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na" sheetId="1" r:id="rId4"/>
    <sheet state="visible" name="Egypt" sheetId="2" r:id="rId5"/>
    <sheet state="visible" name="Germany" sheetId="3" r:id="rId6"/>
    <sheet state="visible" name="Hong Kong" sheetId="4" r:id="rId7"/>
    <sheet state="visible" name="Korea" sheetId="5" r:id="rId8"/>
    <sheet state="visible" name="Uganda" sheetId="6" r:id="rId9"/>
    <sheet state="visible" name="Taiwan" sheetId="7" r:id="rId10"/>
    <sheet state="visible" name="UK" sheetId="8" r:id="rId11"/>
    <sheet state="visible" name="US" sheetId="9" r:id="rId12"/>
    <sheet state="visible" name="Templet" sheetId="10" r:id="rId13"/>
    <sheet state="visible" name="data explore" sheetId="11" r:id="rId14"/>
  </sheets>
  <definedNames/>
  <calcPr/>
  <extLst>
    <ext uri="GoogleSheetsCustomDataVersion1">
      <go:sheetsCustomData xmlns:go="http://customooxmlschemas.google.com/" r:id="rId15" roundtripDataSignature="AMtx7mhYClJYjbu9NgK25NY5QUoBp9OHmg=="/>
    </ext>
  </extLst>
</workbook>
</file>

<file path=xl/sharedStrings.xml><?xml version="1.0" encoding="utf-8"?>
<sst xmlns="http://schemas.openxmlformats.org/spreadsheetml/2006/main" count="714" uniqueCount="144">
  <si>
    <t>#</t>
  </si>
  <si>
    <t xml:space="preserve">English </t>
  </si>
  <si>
    <t>Chinese</t>
  </si>
  <si>
    <t>01/05 - 01/11</t>
  </si>
  <si>
    <t>01/12 - 01/18</t>
  </si>
  <si>
    <t>01/19 - 01/25</t>
  </si>
  <si>
    <t>01/26 - 02/01</t>
  </si>
  <si>
    <t>02/02 - 02/08</t>
  </si>
  <si>
    <t>02/09 - 02/15</t>
  </si>
  <si>
    <t>02/16 - 02/22</t>
  </si>
  <si>
    <t>02/23 - 02/29</t>
  </si>
  <si>
    <t>03/01 - 03/07</t>
  </si>
  <si>
    <t>03/08 - 03/14</t>
  </si>
  <si>
    <t>03/15 - 03/21</t>
  </si>
  <si>
    <t>03/22 - 03/28</t>
  </si>
  <si>
    <t>03/29 - 04/04</t>
  </si>
  <si>
    <t>04/05 - 04/11</t>
  </si>
  <si>
    <t>04/12 - 04/18</t>
  </si>
  <si>
    <t>04/19 - 04/25</t>
  </si>
  <si>
    <t>04/26 - 05/02</t>
  </si>
  <si>
    <t>05/03 - 05/09</t>
  </si>
  <si>
    <t>05/10 - 05/16</t>
  </si>
  <si>
    <t>05/17 - 05/23</t>
  </si>
  <si>
    <t>05/24 - 05/30</t>
  </si>
  <si>
    <t>05/31 - 06/06</t>
  </si>
  <si>
    <t>06/07 - 06/13</t>
  </si>
  <si>
    <t>06/14 - 06/20</t>
  </si>
  <si>
    <t>06/21- 06/27</t>
  </si>
  <si>
    <t>06/28 - 07/04</t>
  </si>
  <si>
    <t>07/05 - 07/11</t>
  </si>
  <si>
    <t>07/12 - 07/18</t>
  </si>
  <si>
    <t>07/19 - 07/25</t>
  </si>
  <si>
    <t>07/26 - 08/01</t>
  </si>
  <si>
    <t>08/02 - 08/08</t>
  </si>
  <si>
    <t>08/09 - 08/15</t>
  </si>
  <si>
    <t>09/06 - 09/12</t>
  </si>
  <si>
    <t>09/13 - 09/19</t>
  </si>
  <si>
    <t>09/20 - 09/26</t>
  </si>
  <si>
    <t>09/27 - 10/03</t>
  </si>
  <si>
    <t>10/04 - 10/10</t>
  </si>
  <si>
    <t>10/11 - 10/17</t>
  </si>
  <si>
    <t>10/18 - 10/24</t>
  </si>
  <si>
    <t>10/25 - 10/31</t>
  </si>
  <si>
    <t>11/01 - 11/07</t>
  </si>
  <si>
    <t>11/08 - 11/14</t>
  </si>
  <si>
    <t>11/15 - 11/21</t>
  </si>
  <si>
    <t>11/22 - 11/28</t>
  </si>
  <si>
    <t>11/29 - 12/05</t>
  </si>
  <si>
    <t>12/06 - 12/12</t>
  </si>
  <si>
    <t>12/13 - 12/19</t>
  </si>
  <si>
    <t>12/20 - 12/26</t>
  </si>
  <si>
    <t>12/27 - 01/02</t>
  </si>
  <si>
    <t>01/03 - 01/09</t>
  </si>
  <si>
    <t>01/10 - 01/16</t>
  </si>
  <si>
    <t>01/17 - 01/23</t>
  </si>
  <si>
    <t>01/24 - 01/27</t>
  </si>
  <si>
    <t>Domestic COVID-19 outbreak</t>
  </si>
  <si>
    <t>中国新冠疫情</t>
  </si>
  <si>
    <t>Frontline healthcare</t>
  </si>
  <si>
    <t>新冠治疗</t>
  </si>
  <si>
    <t>Scientific research &amp; opinion</t>
  </si>
  <si>
    <t>科学研究及意见</t>
  </si>
  <si>
    <t>Government responses and actions</t>
  </si>
  <si>
    <t>政府响应及行动</t>
  </si>
  <si>
    <t>Personal preventive actions</t>
  </si>
  <si>
    <t xml:space="preserve">个人防疫措施 </t>
  </si>
  <si>
    <t>Domestic economic consequences</t>
  </si>
  <si>
    <t>中国经济影响</t>
  </si>
  <si>
    <t xml:space="preserve">Impact on the education sector </t>
  </si>
  <si>
    <t>教育系统影响</t>
  </si>
  <si>
    <t xml:space="preserve">Medical and other supplies </t>
  </si>
  <si>
    <t>物资供应</t>
  </si>
  <si>
    <t xml:space="preserve">Impact on entertainment &amp; sports </t>
  </si>
  <si>
    <t>文体活动影响</t>
  </si>
  <si>
    <t xml:space="preserve">Impact on tourism </t>
  </si>
  <si>
    <t>旅游业影响</t>
  </si>
  <si>
    <t xml:space="preserve">Impact on domestic politics </t>
  </si>
  <si>
    <t>当地政治活动影响</t>
  </si>
  <si>
    <t xml:space="preserve">Online discussion </t>
  </si>
  <si>
    <t>网络讨论</t>
  </si>
  <si>
    <t>Racism &amp; race relations</t>
  </si>
  <si>
    <t>International COVID-19 outbreak</t>
  </si>
  <si>
    <t>全球新冠疫情</t>
  </si>
  <si>
    <t>Global economic consequences</t>
  </si>
  <si>
    <t>全球经济影响</t>
  </si>
  <si>
    <t xml:space="preserve">Responses from international organizations </t>
  </si>
  <si>
    <t>国际组织响应</t>
  </si>
  <si>
    <t>International collaboration</t>
  </si>
  <si>
    <t>国际抗疫合作</t>
  </si>
  <si>
    <t>COVID-19 outbreak in China</t>
  </si>
  <si>
    <t>---Countries Other Than China---</t>
  </si>
  <si>
    <t>Impact on the diaspora</t>
  </si>
  <si>
    <t>侨民</t>
  </si>
  <si>
    <t>U.S. - China relationship</t>
  </si>
  <si>
    <t>中美关系</t>
  </si>
  <si>
    <t>International relations</t>
  </si>
  <si>
    <t>国际关系</t>
  </si>
  <si>
    <t>Other</t>
  </si>
  <si>
    <t>其他</t>
  </si>
  <si>
    <t>Total</t>
  </si>
  <si>
    <t>Egypt</t>
  </si>
  <si>
    <t>German</t>
  </si>
  <si>
    <t>NA (Fewer than 50 articles)</t>
  </si>
  <si>
    <t>本土新冠疫情</t>
  </si>
  <si>
    <t>新冠治療</t>
  </si>
  <si>
    <t>科學研究及意見</t>
  </si>
  <si>
    <t>政府回應及行動</t>
  </si>
  <si>
    <t>個人防疫措施</t>
  </si>
  <si>
    <t>中國經濟影響</t>
  </si>
  <si>
    <t>教育系統影響</t>
  </si>
  <si>
    <t>物資供應</t>
  </si>
  <si>
    <t>文體活動影響</t>
  </si>
  <si>
    <t>旅遊業影響</t>
  </si>
  <si>
    <t>當地政治活動影響</t>
  </si>
  <si>
    <t>網絡討論</t>
  </si>
  <si>
    <t>全球經濟影響</t>
  </si>
  <si>
    <t>國際組織回應</t>
  </si>
  <si>
    <t>國際抗疫合作</t>
  </si>
  <si>
    <t>僑民</t>
  </si>
  <si>
    <t>中美關係</t>
  </si>
  <si>
    <t>國際關係</t>
  </si>
  <si>
    <t xml:space="preserve">Korean </t>
  </si>
  <si>
    <t>08/16 - 08/22</t>
  </si>
  <si>
    <t>08/23 - 08/29</t>
  </si>
  <si>
    <t>08/30 - 09/05</t>
  </si>
  <si>
    <t>Abbreviation</t>
  </si>
  <si>
    <t>Domestic outbreak</t>
  </si>
  <si>
    <t>Healthcare</t>
  </si>
  <si>
    <t>Science</t>
  </si>
  <si>
    <t>Government</t>
  </si>
  <si>
    <t>Personal</t>
  </si>
  <si>
    <t>Domestic economy</t>
  </si>
  <si>
    <t>Education</t>
  </si>
  <si>
    <t>Supplies</t>
  </si>
  <si>
    <t>Entertainment &amp; sports</t>
  </si>
  <si>
    <t>Tourism</t>
  </si>
  <si>
    <t>Politics</t>
  </si>
  <si>
    <t>Online</t>
  </si>
  <si>
    <t>International outbreak</t>
  </si>
  <si>
    <t>Global economy</t>
  </si>
  <si>
    <t>International organizations</t>
  </si>
  <si>
    <t>Outbreak in China</t>
  </si>
  <si>
    <t>Diaspora</t>
  </si>
  <si>
    <t xml:space="preserve"> Sino-US relations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</si>
</sst>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000000"/>
      <name val="Times New Roman"/>
    </font>
    <font>
      <b/>
      <sz val="12.0"/>
      <color rgb="FF000000"/>
      <name val="Times New Roman"/>
    </font>
    <font>
      <b/>
      <sz val="12.0"/>
      <color rgb="FF999999"/>
      <name val="Times New Roman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2" numFmtId="10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2" numFmtId="10" xfId="0" applyFont="1" applyNumberFormat="1"/>
    <xf borderId="0" fillId="2" fontId="2" numFmtId="0" xfId="0" applyAlignment="1" applyFill="1" applyFont="1">
      <alignment horizontal="right" vertical="bottom"/>
    </xf>
    <xf borderId="0" fillId="2" fontId="2" numFmtId="0" xfId="0" applyAlignment="1" applyFont="1">
      <alignment shrinkToFit="0" vertical="bottom" wrapText="0"/>
    </xf>
    <xf borderId="0" fillId="2" fontId="2" numFmtId="10" xfId="0" applyAlignment="1" applyFont="1" applyNumberFormat="1">
      <alignment vertical="bottom"/>
    </xf>
    <xf borderId="0" fillId="2" fontId="2" numFmtId="10" xfId="0" applyFont="1" applyNumberFormat="1"/>
    <xf borderId="0" fillId="2" fontId="2" numFmtId="10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2" fontId="3" numFmtId="10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0" fontId="4" numFmtId="10" xfId="0" applyAlignment="1" applyFont="1" applyNumberFormat="1">
      <alignment horizontal="right" vertical="bottom"/>
    </xf>
    <xf borderId="0" fillId="0" fontId="2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5" numFmtId="10" xfId="0" applyAlignment="1" applyFont="1" applyNumberFormat="1">
      <alignment vertical="bottom"/>
    </xf>
    <xf borderId="0" fillId="0" fontId="1" numFmtId="10" xfId="0" applyAlignment="1" applyFont="1" applyNumberFormat="1">
      <alignment vertical="bottom"/>
    </xf>
    <xf borderId="0" fillId="0" fontId="6" numFmtId="0" xfId="0" applyAlignment="1" applyFont="1">
      <alignment shrinkToFit="0" wrapText="0"/>
    </xf>
    <xf borderId="0" fillId="2" fontId="4" numFmtId="10" xfId="0" applyAlignment="1" applyFont="1" applyNumberFormat="1">
      <alignment vertical="bottom"/>
    </xf>
    <xf borderId="0" fillId="2" fontId="1" numFmtId="10" xfId="0" applyAlignment="1" applyFont="1" applyNumberFormat="1">
      <alignment vertical="bottom"/>
    </xf>
    <xf borderId="0" fillId="2" fontId="4" numFmtId="10" xfId="0" applyAlignment="1" applyFont="1" applyNumberFormat="1">
      <alignment horizontal="right" vertical="bottom"/>
    </xf>
    <xf borderId="0" fillId="2" fontId="2" numFmtId="0" xfId="0" applyFont="1"/>
    <xf borderId="0" fillId="0" fontId="6" numFmtId="10" xfId="0" applyFont="1" applyNumberFormat="1"/>
    <xf borderId="0" fillId="0" fontId="2" numFmtId="0" xfId="0" applyAlignment="1" applyFont="1">
      <alignment vertical="bottom"/>
    </xf>
    <xf borderId="0" fillId="2" fontId="6" numFmtId="10" xfId="0" applyFont="1" applyNumberFormat="1"/>
    <xf borderId="0" fillId="2" fontId="6" numFmtId="0" xfId="0" applyFont="1"/>
    <xf borderId="0" fillId="0" fontId="4" numFmtId="10" xfId="0" applyAlignment="1" applyFont="1" applyNumberFormat="1">
      <alignment vertical="bottom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shrinkToFit="0" vertical="bottom" wrapText="0"/>
    </xf>
    <xf borderId="0" fillId="2" fontId="2" numFmtId="0" xfId="0" applyAlignment="1" applyFont="1">
      <alignment horizontal="left" shrinkToFit="0" vertical="bottom" wrapText="0"/>
    </xf>
    <xf borderId="0" fillId="2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shrinkToFit="0" wrapText="0"/>
    </xf>
    <xf borderId="0" fillId="0" fontId="6" numFmtId="10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9.29"/>
    <col customWidth="1" min="2" max="2" width="24.71"/>
    <col customWidth="1" min="3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/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ht="15.75" customHeight="1">
      <c r="A2" s="2">
        <v>1.0</v>
      </c>
      <c r="B2" s="3" t="s">
        <v>56</v>
      </c>
      <c r="C2" s="3" t="s">
        <v>57</v>
      </c>
      <c r="D2" s="4">
        <f>0.061771+0.033132+0.06448+0.164139</f>
        <v>0.323522</v>
      </c>
      <c r="E2" s="4">
        <f>0.09703/2+0.070216+0.075777</f>
        <v>0.194508</v>
      </c>
      <c r="F2" s="4">
        <v>0.084791</v>
      </c>
      <c r="G2" s="4">
        <v>0.096834</v>
      </c>
      <c r="H2" s="4">
        <v>0.090364</v>
      </c>
      <c r="I2" s="4">
        <v>0.084415</v>
      </c>
      <c r="J2" s="4">
        <v>0.072527</v>
      </c>
      <c r="K2" s="5"/>
      <c r="L2" s="5">
        <v>0.066607</v>
      </c>
      <c r="M2" s="5">
        <v>0.074275</v>
      </c>
      <c r="N2" s="5">
        <v>0.067541</v>
      </c>
      <c r="O2" s="5">
        <v>0.057482</v>
      </c>
      <c r="P2" s="5">
        <v>0.052983</v>
      </c>
      <c r="Q2" s="5">
        <v>0.048244</v>
      </c>
      <c r="R2" s="5">
        <v>0.06358406</v>
      </c>
      <c r="S2" s="5">
        <v>0.05471</v>
      </c>
      <c r="T2" s="5">
        <v>0.06413</v>
      </c>
      <c r="U2" s="6">
        <v>0.049601</v>
      </c>
      <c r="V2" s="6">
        <f>0.051824+0.083564+0.036555</f>
        <v>0.171943</v>
      </c>
      <c r="W2" s="6">
        <f>0.092964</f>
        <v>0.092964</v>
      </c>
      <c r="X2" s="6">
        <f>0.077673/2</f>
        <v>0.0388365</v>
      </c>
      <c r="Y2" s="6">
        <f>0.086006</f>
        <v>0.086006</v>
      </c>
      <c r="Z2" s="6">
        <f>0.067842+0.083527</f>
        <v>0.151369</v>
      </c>
      <c r="AA2" s="6">
        <f>0.067615+0.077286+0.084041+0.076875</f>
        <v>0.305817</v>
      </c>
      <c r="AB2" s="6">
        <f>0.088686+0.081583</f>
        <v>0.170269</v>
      </c>
      <c r="AC2" s="6">
        <f>0.073178+0.085038</f>
        <v>0.158216</v>
      </c>
      <c r="AD2" s="6">
        <f>0.041052</f>
        <v>0.041052</v>
      </c>
      <c r="AE2" s="6">
        <f>0.046395</f>
        <v>0.046395</v>
      </c>
      <c r="AF2" s="6">
        <f>0.088985</f>
        <v>0.088985</v>
      </c>
      <c r="AG2" s="6">
        <f>0.069669+0.060653+0.058167</f>
        <v>0.188489</v>
      </c>
      <c r="AH2" s="6">
        <f>0.058205+0.073778</f>
        <v>0.131983</v>
      </c>
      <c r="AI2" s="6">
        <f>0.051382+0.063728</f>
        <v>0.11511</v>
      </c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</row>
    <row r="3" ht="15.75" customHeight="1">
      <c r="A3" s="2">
        <v>2.0</v>
      </c>
      <c r="B3" s="3" t="s">
        <v>58</v>
      </c>
      <c r="C3" s="3" t="s">
        <v>59</v>
      </c>
      <c r="D3" s="4"/>
      <c r="E3" s="4"/>
      <c r="F3" s="4">
        <f>0.084292+0.111199</f>
        <v>0.195491</v>
      </c>
      <c r="G3" s="4">
        <v>0.093534</v>
      </c>
      <c r="H3" s="4">
        <v>0.080184</v>
      </c>
      <c r="I3" s="4">
        <v>0.085308</v>
      </c>
      <c r="J3" s="4">
        <v>0.090373</v>
      </c>
      <c r="K3" s="4">
        <v>0.081138</v>
      </c>
      <c r="L3" s="4">
        <f>0.096332+0.077732</f>
        <v>0.174064</v>
      </c>
      <c r="M3" s="4">
        <v>0.096171</v>
      </c>
      <c r="N3" s="5">
        <v>0.075536</v>
      </c>
      <c r="O3" s="5">
        <v>0.090696</v>
      </c>
      <c r="P3" s="5">
        <v>0.071464</v>
      </c>
      <c r="Q3" s="5">
        <v>0.079772</v>
      </c>
      <c r="R3" s="5">
        <v>0.0791275</v>
      </c>
      <c r="S3" s="5"/>
      <c r="T3" s="4"/>
      <c r="U3" s="6">
        <v>0.062638</v>
      </c>
      <c r="V3" s="6">
        <v>0.090547</v>
      </c>
      <c r="W3" s="6">
        <f>0.081447</f>
        <v>0.081447</v>
      </c>
      <c r="X3" s="6">
        <f>0.076757</f>
        <v>0.076757</v>
      </c>
      <c r="Y3" s="6">
        <f>0.069233</f>
        <v>0.069233</v>
      </c>
      <c r="Z3" s="6"/>
      <c r="AA3" s="6">
        <f>0.107038/2</f>
        <v>0.053519</v>
      </c>
      <c r="AB3" s="6"/>
      <c r="AC3" s="6"/>
      <c r="AD3" s="6">
        <f>0.094233/2</f>
        <v>0.0471165</v>
      </c>
      <c r="AE3" s="6">
        <f>0.107019/2</f>
        <v>0.0535095</v>
      </c>
      <c r="AF3" s="6">
        <f>0.085086/2</f>
        <v>0.042543</v>
      </c>
      <c r="AG3" s="6">
        <f>0.120644/2</f>
        <v>0.060322</v>
      </c>
      <c r="AH3" s="6">
        <f>0.103232</f>
        <v>0.103232</v>
      </c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</row>
    <row r="4" ht="15.75" customHeight="1">
      <c r="A4" s="2">
        <v>3.0</v>
      </c>
      <c r="B4" s="3" t="s">
        <v>60</v>
      </c>
      <c r="C4" s="3" t="s">
        <v>61</v>
      </c>
      <c r="D4" s="4"/>
      <c r="E4" s="4"/>
      <c r="F4" s="4">
        <v>0.132058</v>
      </c>
      <c r="G4" s="4">
        <v>0.128583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>
        <f>0.107732/2</f>
        <v>0.053866</v>
      </c>
      <c r="V4" s="6">
        <f>0.11644/2</f>
        <v>0.05822</v>
      </c>
      <c r="W4" s="6">
        <f>0.068771</f>
        <v>0.068771</v>
      </c>
      <c r="X4" s="6">
        <f>0.108847/3</f>
        <v>0.03628233333</v>
      </c>
      <c r="Y4" s="6">
        <f>0.134232/2</f>
        <v>0.067116</v>
      </c>
      <c r="Z4" s="6">
        <f>0.140889</f>
        <v>0.140889</v>
      </c>
      <c r="AA4" s="6"/>
      <c r="AB4" s="6">
        <f>0.083591</f>
        <v>0.083591</v>
      </c>
      <c r="AC4" s="6">
        <f>0.10782/2</f>
        <v>0.05391</v>
      </c>
      <c r="AD4" s="6"/>
      <c r="AE4" s="6">
        <f>0.142809/2</f>
        <v>0.0714045</v>
      </c>
      <c r="AF4" s="6">
        <f>0.11378/2</f>
        <v>0.05689</v>
      </c>
      <c r="AG4" s="6">
        <f>0.202218/2</f>
        <v>0.101109</v>
      </c>
      <c r="AH4" s="6">
        <f>0.065244/2</f>
        <v>0.032622</v>
      </c>
      <c r="AI4" s="6">
        <f>0.067149</f>
        <v>0.067149</v>
      </c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</row>
    <row r="5" ht="15.75" customHeight="1">
      <c r="A5" s="2">
        <v>4.0</v>
      </c>
      <c r="B5" s="3" t="s">
        <v>62</v>
      </c>
      <c r="C5" s="3" t="s">
        <v>63</v>
      </c>
      <c r="D5" s="4"/>
      <c r="E5" s="4"/>
      <c r="F5" s="4">
        <f>0.069911+0.112298+0.081951+0.05784</f>
        <v>0.322</v>
      </c>
      <c r="G5" s="4">
        <f>0.099444+0.090879+0.113928</f>
        <v>0.304251</v>
      </c>
      <c r="H5" s="4">
        <f>0.128206+0.110043</f>
        <v>0.238249</v>
      </c>
      <c r="I5" s="5">
        <f>0.094113+0.080383+0.10702</f>
        <v>0.281516</v>
      </c>
      <c r="J5" s="5">
        <f>0.120718+0.1052</f>
        <v>0.225918</v>
      </c>
      <c r="K5" s="5">
        <f>0.115651+0.082072+0.086911</f>
        <v>0.284634</v>
      </c>
      <c r="L5" s="4">
        <f>0.080223+0.105659</f>
        <v>0.185882</v>
      </c>
      <c r="M5" s="5">
        <v>0.06301</v>
      </c>
      <c r="N5" s="5">
        <f>0.114716/2</f>
        <v>0.057358</v>
      </c>
      <c r="O5" s="5"/>
      <c r="P5" s="5">
        <f>0.085209/2+0.094541</f>
        <v>0.1371455</v>
      </c>
      <c r="Q5" s="5">
        <v>0.07023</v>
      </c>
      <c r="R5" s="5"/>
      <c r="S5" s="5">
        <v>0.076838</v>
      </c>
      <c r="T5" s="5">
        <f>0.074504+0.058417/2</f>
        <v>0.1037125</v>
      </c>
      <c r="U5" s="6">
        <v>0.083564</v>
      </c>
      <c r="V5" s="6">
        <f>0.175624/2+0.104283</f>
        <v>0.192095</v>
      </c>
      <c r="W5" s="6">
        <f>0.082401</f>
        <v>0.082401</v>
      </c>
      <c r="X5" s="6">
        <f>0.095537/2+0.148956</f>
        <v>0.1967245</v>
      </c>
      <c r="Y5" s="6">
        <f>0.081047+0.127885/2</f>
        <v>0.1449895</v>
      </c>
      <c r="Z5" s="6">
        <f>0.057465+0.109042</f>
        <v>0.166507</v>
      </c>
      <c r="AA5" s="6">
        <f>0.100387</f>
        <v>0.100387</v>
      </c>
      <c r="AB5" s="6">
        <f t="shared" ref="AB5:AB6" si="1">0.090984/2</f>
        <v>0.045492</v>
      </c>
      <c r="AC5" s="6"/>
      <c r="AD5" s="6">
        <f>0.094233/2+0.085086+0.097548/2</f>
        <v>0.1809765</v>
      </c>
      <c r="AE5" s="6">
        <f>0.084671/2+0.107019/2</f>
        <v>0.095845</v>
      </c>
      <c r="AF5" s="6">
        <f>0.069924/2+0.085086/2+0.061041/2</f>
        <v>0.1080255</v>
      </c>
      <c r="AG5" s="6">
        <f>0.120644/2+0.114984/2</f>
        <v>0.117814</v>
      </c>
      <c r="AH5" s="6">
        <f>0.093688/2</f>
        <v>0.046844</v>
      </c>
      <c r="AI5" s="6">
        <f>0.105706+0.052289/2</f>
        <v>0.1318505</v>
      </c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</row>
    <row r="6" ht="15.75" customHeight="1">
      <c r="A6" s="2">
        <v>5.0</v>
      </c>
      <c r="B6" s="3" t="s">
        <v>64</v>
      </c>
      <c r="C6" s="3" t="s">
        <v>65</v>
      </c>
      <c r="D6" s="4"/>
      <c r="E6" s="4">
        <f>0.09703/2</f>
        <v>0.048515</v>
      </c>
      <c r="F6" s="4"/>
      <c r="G6" s="4"/>
      <c r="H6" s="4"/>
      <c r="I6" s="4"/>
      <c r="J6" s="4"/>
      <c r="K6" s="4"/>
      <c r="L6" s="4"/>
      <c r="M6" s="4"/>
      <c r="N6" s="5"/>
      <c r="O6" s="5"/>
      <c r="P6" s="5"/>
      <c r="Q6" s="5"/>
      <c r="R6" s="5"/>
      <c r="S6" s="4">
        <v>0.077682</v>
      </c>
      <c r="T6" s="5"/>
      <c r="U6" s="6"/>
      <c r="V6" s="6"/>
      <c r="W6" s="6"/>
      <c r="X6" s="6">
        <f>0.081856/2</f>
        <v>0.040928</v>
      </c>
      <c r="Y6" s="6">
        <f>0.134232/2</f>
        <v>0.067116</v>
      </c>
      <c r="Z6" s="6">
        <f>0.128747</f>
        <v>0.128747</v>
      </c>
      <c r="AA6" s="6"/>
      <c r="AB6" s="6">
        <f t="shared" si="1"/>
        <v>0.045492</v>
      </c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</row>
    <row r="7" ht="15.75" customHeight="1">
      <c r="A7" s="2">
        <v>6.0</v>
      </c>
      <c r="B7" s="3" t="s">
        <v>66</v>
      </c>
      <c r="C7" s="3" t="s">
        <v>67</v>
      </c>
      <c r="D7" s="4"/>
      <c r="E7" s="4"/>
      <c r="F7" s="4"/>
      <c r="G7" s="4">
        <f t="shared" ref="G7:G8" si="2">0.053708/2</f>
        <v>0.026854</v>
      </c>
      <c r="H7" s="4">
        <f>0.096825+0.102127/2</f>
        <v>0.1478885</v>
      </c>
      <c r="I7" s="4">
        <f>0.108585/2+0.09646+0.122552</f>
        <v>0.2733045</v>
      </c>
      <c r="J7" s="4">
        <f>0.107418+0.11662</f>
        <v>0.224038</v>
      </c>
      <c r="K7" s="4">
        <f>0.105115/2+0.133175</f>
        <v>0.1857325</v>
      </c>
      <c r="L7" s="4">
        <f>0.113143/2+0.127467</f>
        <v>0.1840385</v>
      </c>
      <c r="M7" s="4">
        <f>0.096237/2+0.117151+0.124944</f>
        <v>0.2902135</v>
      </c>
      <c r="N7" s="5">
        <f>0.110638+0.104062/2+0.086605</f>
        <v>0.249274</v>
      </c>
      <c r="O7" s="5">
        <f>0.096309+0.118187</f>
        <v>0.214496</v>
      </c>
      <c r="P7" s="5">
        <f>0.126857/2+0.077332+0.11175</f>
        <v>0.2525105</v>
      </c>
      <c r="Q7" s="5">
        <f>0.079061+0.118159/2+0.093428</f>
        <v>0.2315685</v>
      </c>
      <c r="R7" s="5">
        <f>0.10069032+0.10596822+0.07197787/2+0.08552113</f>
        <v>0.328168605</v>
      </c>
      <c r="S7" s="5">
        <f>0.11378+0.108882+0.091699</f>
        <v>0.314361</v>
      </c>
      <c r="T7" s="5">
        <f>0.105515+0.099926+0.089442</f>
        <v>0.294883</v>
      </c>
      <c r="U7" s="6">
        <f>0.119058+0.127309</f>
        <v>0.246367</v>
      </c>
      <c r="V7" s="6">
        <f>0.175624/2+0.154711/2</f>
        <v>0.1651675</v>
      </c>
      <c r="W7" s="6">
        <f>0.117526/2+0.128598</f>
        <v>0.187361</v>
      </c>
      <c r="X7" s="6">
        <f>0.095537/2+0.124476</f>
        <v>0.1722445</v>
      </c>
      <c r="Y7" s="6">
        <f>0.094947+0.105117+0.126802/2</f>
        <v>0.263465</v>
      </c>
      <c r="Z7" s="6">
        <f>0.137255+0.134861/2</f>
        <v>0.2046855</v>
      </c>
      <c r="AA7" s="6">
        <f>0.105474+0.139869/2</f>
        <v>0.1754085</v>
      </c>
      <c r="AB7" s="6">
        <f>0.124689/2+0.12017</f>
        <v>0.1825145</v>
      </c>
      <c r="AC7" s="6">
        <f>0.101959+0.155649/2</f>
        <v>0.1797835</v>
      </c>
      <c r="AD7" s="6">
        <f>0.115549+0.137343/2+0.097548/2</f>
        <v>0.2329945</v>
      </c>
      <c r="AE7" s="6">
        <f>0.047369+0.084671/2+0.110077+0.139052/2</f>
        <v>0.2693075</v>
      </c>
      <c r="AF7" s="6">
        <f>0.069924/2+0.129306</f>
        <v>0.164268</v>
      </c>
      <c r="AG7" s="6">
        <f>0.062957+0.114984/2+0.141321/2</f>
        <v>0.1911095</v>
      </c>
      <c r="AH7" s="6">
        <f>0.097588+0.093688/2+0.121354</f>
        <v>0.265786</v>
      </c>
      <c r="AI7" s="6">
        <f>0.118874+0.164125/2</f>
        <v>0.2009365</v>
      </c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</row>
    <row r="8" ht="15.75" customHeight="1">
      <c r="A8" s="2">
        <v>7.0</v>
      </c>
      <c r="B8" s="3" t="s">
        <v>68</v>
      </c>
      <c r="C8" s="3" t="s">
        <v>69</v>
      </c>
      <c r="D8" s="4"/>
      <c r="E8" s="4"/>
      <c r="F8" s="5"/>
      <c r="G8" s="5">
        <f t="shared" si="2"/>
        <v>0.026854</v>
      </c>
      <c r="H8" s="4">
        <v>0.071696</v>
      </c>
      <c r="I8" s="4"/>
      <c r="J8" s="4">
        <v>0.079786</v>
      </c>
      <c r="K8" s="4">
        <v>0.079141</v>
      </c>
      <c r="L8" s="5">
        <v>0.083939</v>
      </c>
      <c r="M8" s="5">
        <v>0.102405</v>
      </c>
      <c r="N8" s="4">
        <f>0.114716/2</f>
        <v>0.057358</v>
      </c>
      <c r="O8" s="4">
        <f>0.070941+0.123721</f>
        <v>0.194662</v>
      </c>
      <c r="P8" s="4">
        <f>0.085209/2</f>
        <v>0.0426045</v>
      </c>
      <c r="Q8" s="4">
        <v>0.104269</v>
      </c>
      <c r="R8" s="4">
        <v>0.11146065</v>
      </c>
      <c r="S8" s="4">
        <v>0.091677</v>
      </c>
      <c r="T8" s="5">
        <v>0.102338</v>
      </c>
      <c r="U8" s="6">
        <v>0.097562</v>
      </c>
      <c r="V8" s="6">
        <v>0.092477</v>
      </c>
      <c r="W8" s="6">
        <f>0.099423</f>
        <v>0.099423</v>
      </c>
      <c r="X8" s="6">
        <f>0.081856/2</f>
        <v>0.040928</v>
      </c>
      <c r="Y8" s="6"/>
      <c r="Z8" s="6"/>
      <c r="AA8" s="6">
        <f>0.107038/2</f>
        <v>0.053519</v>
      </c>
      <c r="AB8" s="6">
        <f>0.117751</f>
        <v>0.117751</v>
      </c>
      <c r="AC8" s="6">
        <f>0.064834</f>
        <v>0.064834</v>
      </c>
      <c r="AD8" s="6">
        <f>0.058555</f>
        <v>0.058555</v>
      </c>
      <c r="AE8" s="6">
        <f>0.139788</f>
        <v>0.139788</v>
      </c>
      <c r="AF8" s="6">
        <f>0.159543</f>
        <v>0.159543</v>
      </c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</row>
    <row r="9" ht="15.75" customHeight="1">
      <c r="A9" s="2">
        <v>8.0</v>
      </c>
      <c r="B9" s="3" t="s">
        <v>70</v>
      </c>
      <c r="C9" s="3" t="s">
        <v>71</v>
      </c>
      <c r="D9" s="4"/>
      <c r="E9" s="4"/>
      <c r="F9" s="4">
        <v>0.100372</v>
      </c>
      <c r="G9" s="4">
        <v>0.129951</v>
      </c>
      <c r="H9" s="4">
        <f>0.056816+0.102127/2</f>
        <v>0.1078795</v>
      </c>
      <c r="I9" s="4">
        <f>0.108585/2+0.071521/2</f>
        <v>0.090053</v>
      </c>
      <c r="J9" s="4">
        <v>0.072188</v>
      </c>
      <c r="K9" s="4"/>
      <c r="L9" s="4"/>
      <c r="M9" s="4"/>
      <c r="N9" s="4">
        <v>0.071224</v>
      </c>
      <c r="O9" s="4"/>
      <c r="P9" s="5"/>
      <c r="Q9" s="4"/>
      <c r="R9" s="4"/>
      <c r="S9" s="4"/>
      <c r="T9" s="4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>
        <f>0.052289/2</f>
        <v>0.0261445</v>
      </c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</row>
    <row r="10" ht="15.75" customHeight="1">
      <c r="A10" s="7">
        <v>9.0</v>
      </c>
      <c r="B10" s="8" t="s">
        <v>72</v>
      </c>
      <c r="C10" s="8" t="s">
        <v>73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10"/>
      <c r="V10" s="10"/>
      <c r="W10" s="10"/>
      <c r="X10" s="10"/>
      <c r="Y10" s="10">
        <f>0.127885/2</f>
        <v>0.0639425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</row>
    <row r="11" ht="15.75" customHeight="1">
      <c r="A11" s="2">
        <v>10.0</v>
      </c>
      <c r="B11" s="3" t="s">
        <v>74</v>
      </c>
      <c r="C11" s="3" t="s">
        <v>75</v>
      </c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4"/>
      <c r="Q11" s="4"/>
      <c r="R11" s="4"/>
      <c r="S11" s="5"/>
      <c r="T11" s="4">
        <f>0.058417/2</f>
        <v>0.0292085</v>
      </c>
      <c r="U11" s="6">
        <v>0.070439</v>
      </c>
      <c r="V11" s="6"/>
      <c r="W11" s="6"/>
      <c r="X11" s="6"/>
      <c r="Y11" s="6"/>
      <c r="Z11" s="6"/>
      <c r="AA11" s="6"/>
      <c r="AB11" s="6"/>
      <c r="AC11" s="6"/>
      <c r="AD11" s="6"/>
      <c r="AE11" s="6">
        <f>0.139052/2</f>
        <v>0.069526</v>
      </c>
      <c r="AF11" s="6">
        <f>0.061041/2</f>
        <v>0.0305205</v>
      </c>
      <c r="AG11" s="6">
        <f>0.141321/2</f>
        <v>0.0706605</v>
      </c>
      <c r="AH11" s="6"/>
      <c r="AI11" s="6">
        <f>0.164125/2</f>
        <v>0.0820625</v>
      </c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</row>
    <row r="12" ht="15.75" customHeight="1">
      <c r="A12" s="7">
        <v>11.0</v>
      </c>
      <c r="B12" s="8" t="s">
        <v>76</v>
      </c>
      <c r="C12" s="8" t="s">
        <v>77</v>
      </c>
      <c r="D12" s="9"/>
      <c r="E12" s="9"/>
      <c r="F12" s="11"/>
      <c r="G12" s="11"/>
      <c r="H12" s="11"/>
      <c r="I12" s="11"/>
      <c r="J12" s="11"/>
      <c r="K12" s="11"/>
      <c r="L12" s="11"/>
      <c r="M12" s="11"/>
      <c r="N12" s="9"/>
      <c r="O12" s="11"/>
      <c r="P12" s="11"/>
      <c r="Q12" s="9"/>
      <c r="R12" s="9"/>
      <c r="S12" s="9"/>
      <c r="T12" s="9"/>
      <c r="U12" s="10"/>
      <c r="V12" s="10"/>
      <c r="W12" s="10">
        <f>0.056444</f>
        <v>0.056444</v>
      </c>
      <c r="X12" s="10">
        <f>0.097016+0.086354</f>
        <v>0.18337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>
        <f>0.059817</f>
        <v>0.059817</v>
      </c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</row>
    <row r="13" ht="15.75" customHeight="1">
      <c r="A13" s="7">
        <v>12.0</v>
      </c>
      <c r="B13" s="12" t="s">
        <v>78</v>
      </c>
      <c r="C13" s="8" t="s">
        <v>79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0"/>
      <c r="V13" s="10"/>
      <c r="W13" s="10"/>
      <c r="X13" s="10"/>
      <c r="Y13" s="10"/>
      <c r="Z13" s="10"/>
      <c r="AA13" s="10"/>
      <c r="AB13" s="10"/>
      <c r="AC13" s="10">
        <f>0.123981</f>
        <v>0.123981</v>
      </c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</row>
    <row r="14" ht="15.75" customHeight="1">
      <c r="A14" s="2">
        <v>13.0</v>
      </c>
      <c r="B14" s="3" t="s">
        <v>80</v>
      </c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6"/>
      <c r="W14" s="6"/>
      <c r="X14" s="6"/>
      <c r="Y14" s="6">
        <f>0.085707</f>
        <v>0.085707</v>
      </c>
      <c r="Z14" s="6">
        <f>0.069389</f>
        <v>0.069389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</row>
    <row r="15" ht="15.75" customHeight="1">
      <c r="A15" s="2">
        <v>101.0</v>
      </c>
      <c r="B15" s="3" t="s">
        <v>81</v>
      </c>
      <c r="C15" s="3" t="s">
        <v>82</v>
      </c>
      <c r="D15" s="4"/>
      <c r="E15" s="4"/>
      <c r="F15" s="4"/>
      <c r="G15" s="4"/>
      <c r="H15" s="4"/>
      <c r="I15" s="4"/>
      <c r="J15" s="4"/>
      <c r="K15" s="4">
        <f>0.072489+0.104324</f>
        <v>0.176813</v>
      </c>
      <c r="L15" s="4">
        <f>0.102603/2</f>
        <v>0.0513015</v>
      </c>
      <c r="M15" s="4">
        <f>0.110783+0.061345/2</f>
        <v>0.1414555</v>
      </c>
      <c r="N15" s="4">
        <v>0.134489</v>
      </c>
      <c r="O15" s="4">
        <f>0.161468+0.124569</f>
        <v>0.286037</v>
      </c>
      <c r="P15" s="4">
        <v>0.114979</v>
      </c>
      <c r="Q15" s="4">
        <v>0.100316</v>
      </c>
      <c r="R15" s="4">
        <f>0.11937518/2</f>
        <v>0.05968759</v>
      </c>
      <c r="S15" s="4">
        <v>0.130207</v>
      </c>
      <c r="T15" s="4">
        <v>0.146162</v>
      </c>
      <c r="U15" s="6">
        <f>0.107732/2</f>
        <v>0.053866</v>
      </c>
      <c r="V15" s="6">
        <f>0.11644/2</f>
        <v>0.05822</v>
      </c>
      <c r="W15" s="6">
        <f>0.187868</f>
        <v>0.187868</v>
      </c>
      <c r="X15" s="6">
        <f>0.077673/2+0.108847/3</f>
        <v>0.07511883333</v>
      </c>
      <c r="Y15" s="6"/>
      <c r="Z15" s="6"/>
      <c r="AA15" s="6"/>
      <c r="AB15" s="6">
        <f>0.156542</f>
        <v>0.156542</v>
      </c>
      <c r="AC15" s="6">
        <f>0.044321+0.138235</f>
        <v>0.182556</v>
      </c>
      <c r="AD15" s="6">
        <f>0.08228+0.202658</f>
        <v>0.284938</v>
      </c>
      <c r="AE15" s="6">
        <f>0.093321+0.142809/2</f>
        <v>0.1647255</v>
      </c>
      <c r="AF15" s="6">
        <f>0.11378/2+0.107079</f>
        <v>0.163969</v>
      </c>
      <c r="AG15" s="6">
        <f>0.07391+0.202218/2</f>
        <v>0.175019</v>
      </c>
      <c r="AH15" s="6">
        <f>0.101769</f>
        <v>0.101769</v>
      </c>
      <c r="AI15" s="6">
        <f>0.09954+0.21739</f>
        <v>0.31693</v>
      </c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</row>
    <row r="16" ht="15.75" customHeight="1">
      <c r="A16" s="2">
        <v>102.0</v>
      </c>
      <c r="B16" s="3" t="s">
        <v>83</v>
      </c>
      <c r="C16" s="3" t="s">
        <v>84</v>
      </c>
      <c r="D16" s="4"/>
      <c r="E16" s="4"/>
      <c r="F16" s="4"/>
      <c r="G16" s="4"/>
      <c r="H16" s="4"/>
      <c r="I16" s="4"/>
      <c r="J16" s="4"/>
      <c r="K16" s="4">
        <f>0.105115/2</f>
        <v>0.0525575</v>
      </c>
      <c r="L16" s="4">
        <f>0.113143/2</f>
        <v>0.0565715</v>
      </c>
      <c r="M16" s="4">
        <f>0.096237/2</f>
        <v>0.0481185</v>
      </c>
      <c r="N16" s="4">
        <f>0.104062/2</f>
        <v>0.052031</v>
      </c>
      <c r="O16" s="4">
        <v>0.076036</v>
      </c>
      <c r="P16" s="4">
        <f>0.126857/2</f>
        <v>0.0634285</v>
      </c>
      <c r="Q16" s="4">
        <f>0.118159/2</f>
        <v>0.0590795</v>
      </c>
      <c r="R16" s="4">
        <f>0.07197787/2</f>
        <v>0.035988935</v>
      </c>
      <c r="S16" s="4"/>
      <c r="T16" s="4"/>
      <c r="U16" s="6"/>
      <c r="V16" s="6">
        <f>0.154711/2</f>
        <v>0.0773555</v>
      </c>
      <c r="W16" s="6">
        <f>0.117526/2</f>
        <v>0.058763</v>
      </c>
      <c r="X16" s="6">
        <f>0.102528/2</f>
        <v>0.051264</v>
      </c>
      <c r="Y16" s="6">
        <f>0.126802/2</f>
        <v>0.063401</v>
      </c>
      <c r="Z16" s="6">
        <f>0.134861/2</f>
        <v>0.0674305</v>
      </c>
      <c r="AA16" s="6">
        <f>0.1725+0.139869/2</f>
        <v>0.2424345</v>
      </c>
      <c r="AB16" s="6">
        <f>0.124689/2</f>
        <v>0.0623445</v>
      </c>
      <c r="AC16" s="6">
        <f>0.155649/2</f>
        <v>0.0778245</v>
      </c>
      <c r="AD16" s="6">
        <f>0.137343/2</f>
        <v>0.0686715</v>
      </c>
      <c r="AE16" s="6"/>
      <c r="AF16" s="6">
        <f>0.105662</f>
        <v>0.105662</v>
      </c>
      <c r="AG16" s="6">
        <f>0.095477</f>
        <v>0.095477</v>
      </c>
      <c r="AH16" s="6">
        <f>0.096477</f>
        <v>0.096477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</row>
    <row r="17" ht="15.75" customHeight="1">
      <c r="A17" s="2">
        <v>103.0</v>
      </c>
      <c r="B17" s="3" t="s">
        <v>85</v>
      </c>
      <c r="C17" s="3" t="s">
        <v>86</v>
      </c>
      <c r="D17" s="4"/>
      <c r="E17" s="5"/>
      <c r="F17" s="5"/>
      <c r="G17" s="5"/>
      <c r="H17" s="5">
        <v>0.107541</v>
      </c>
      <c r="I17" s="5"/>
      <c r="J17" s="5">
        <v>0.088921</v>
      </c>
      <c r="K17" s="5"/>
      <c r="L17" s="5">
        <f>0.102603/2</f>
        <v>0.0513015</v>
      </c>
      <c r="M17" s="5">
        <f>0.061345/2</f>
        <v>0.0306725</v>
      </c>
      <c r="N17" s="5"/>
      <c r="O17" s="5"/>
      <c r="P17" s="5"/>
      <c r="Q17" s="5"/>
      <c r="R17" s="4">
        <f>0.11937518/2</f>
        <v>0.05968759</v>
      </c>
      <c r="S17" s="4">
        <f t="shared" ref="S17:S18" si="3">0.083685/2</f>
        <v>0.0418425</v>
      </c>
      <c r="T17" s="5"/>
      <c r="U17" s="6"/>
      <c r="V17" s="6"/>
      <c r="W17" s="6">
        <f t="shared" ref="W17:W18" si="4">0.084558/2</f>
        <v>0.042279</v>
      </c>
      <c r="X17" s="6">
        <f>0.108847/3</f>
        <v>0.03628233333</v>
      </c>
      <c r="Y17" s="6">
        <f t="shared" ref="Y17:Y18" si="5">0.089023/2</f>
        <v>0.0445115</v>
      </c>
      <c r="Z17" s="6"/>
      <c r="AA17" s="6"/>
      <c r="AB17" s="6"/>
      <c r="AC17" s="6"/>
      <c r="AD17" s="6"/>
      <c r="AE17" s="6"/>
      <c r="AF17" s="6"/>
      <c r="AG17" s="6"/>
      <c r="AH17" s="6">
        <f>0.065244/2</f>
        <v>0.032622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</row>
    <row r="18" ht="15.75" customHeight="1">
      <c r="A18" s="2">
        <v>104.0</v>
      </c>
      <c r="B18" s="3" t="s">
        <v>87</v>
      </c>
      <c r="C18" s="3" t="s">
        <v>88</v>
      </c>
      <c r="D18" s="4"/>
      <c r="E18" s="4"/>
      <c r="F18" s="5"/>
      <c r="G18" s="5"/>
      <c r="H18" s="5"/>
      <c r="I18" s="4">
        <f>0.071521/2</f>
        <v>0.0357605</v>
      </c>
      <c r="J18" s="4"/>
      <c r="K18" s="5"/>
      <c r="L18" s="5"/>
      <c r="M18" s="4"/>
      <c r="N18" s="5">
        <v>0.076002</v>
      </c>
      <c r="O18" s="4">
        <v>0.080591</v>
      </c>
      <c r="P18" s="4">
        <v>0.09167</v>
      </c>
      <c r="Q18" s="4">
        <v>0.085869</v>
      </c>
      <c r="R18" s="4">
        <v>0.07746197</v>
      </c>
      <c r="S18" s="4">
        <f t="shared" si="3"/>
        <v>0.0418425</v>
      </c>
      <c r="T18" s="4">
        <v>0.098594</v>
      </c>
      <c r="U18" s="6">
        <v>0.096689</v>
      </c>
      <c r="V18" s="6">
        <v>0.093974</v>
      </c>
      <c r="W18" s="6">
        <f t="shared" si="4"/>
        <v>0.042279</v>
      </c>
      <c r="X18" s="6">
        <f>0.102528/2</f>
        <v>0.051264</v>
      </c>
      <c r="Y18" s="6">
        <f t="shared" si="5"/>
        <v>0.0445115</v>
      </c>
      <c r="Z18" s="6">
        <f>0.070983</f>
        <v>0.070983</v>
      </c>
      <c r="AA18" s="6">
        <f>0.068915</f>
        <v>0.068915</v>
      </c>
      <c r="AB18" s="6">
        <f>0.096361</f>
        <v>0.096361</v>
      </c>
      <c r="AC18" s="6">
        <f>0.10782/2+0.104985</f>
        <v>0.158895</v>
      </c>
      <c r="AD18" s="6">
        <f>0.085697</f>
        <v>0.085697</v>
      </c>
      <c r="AE18" s="6">
        <f>0.089499</f>
        <v>0.089499</v>
      </c>
      <c r="AF18" s="6">
        <f>0.079594</f>
        <v>0.079594</v>
      </c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</row>
    <row r="19" ht="15.75" customHeight="1">
      <c r="A19" s="7">
        <v>105.0</v>
      </c>
      <c r="B19" s="8" t="s">
        <v>89</v>
      </c>
      <c r="C19" s="8" t="s">
        <v>90</v>
      </c>
      <c r="D19" s="11"/>
      <c r="E19" s="11"/>
      <c r="F19" s="11"/>
      <c r="G19" s="11"/>
      <c r="H19" s="11"/>
      <c r="I19" s="11"/>
      <c r="J19" s="11"/>
      <c r="K19" s="9"/>
      <c r="L19" s="9"/>
      <c r="M19" s="9"/>
      <c r="N19" s="9"/>
      <c r="O19" s="9"/>
      <c r="P19" s="9"/>
      <c r="Q19" s="9"/>
      <c r="R19" s="11"/>
      <c r="S19" s="9"/>
      <c r="T19" s="9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</row>
    <row r="20" ht="15.75" customHeight="1">
      <c r="A20" s="7">
        <v>106.0</v>
      </c>
      <c r="B20" s="8" t="s">
        <v>91</v>
      </c>
      <c r="C20" s="8" t="s">
        <v>92</v>
      </c>
      <c r="D20" s="9"/>
      <c r="E20" s="9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</row>
    <row r="21" ht="15.75" customHeight="1">
      <c r="A21" s="7">
        <v>107.0</v>
      </c>
      <c r="B21" s="8" t="s">
        <v>93</v>
      </c>
      <c r="C21" s="8" t="s">
        <v>94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</row>
    <row r="22" ht="15.75" customHeight="1">
      <c r="A22" s="2">
        <v>108.0</v>
      </c>
      <c r="B22" s="2" t="s">
        <v>95</v>
      </c>
      <c r="C22" s="3" t="s">
        <v>96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</row>
    <row r="23" ht="15.75" customHeight="1">
      <c r="A23" s="2">
        <v>99.0</v>
      </c>
      <c r="B23" s="3" t="s">
        <v>97</v>
      </c>
      <c r="C23" s="3" t="s">
        <v>98</v>
      </c>
      <c r="D23" s="14">
        <f>0.166037+0.047718+0.084908+0.076267+0.090128+0.21142</f>
        <v>0.676478</v>
      </c>
      <c r="E23" s="14">
        <f>0.052719+0.096013+0.157237+0.116396+0.165951+0.152122+0.01654</f>
        <v>0.756978</v>
      </c>
      <c r="F23" s="14">
        <v>0.165288</v>
      </c>
      <c r="G23" s="14">
        <f>0.140846+0.052293</f>
        <v>0.193139</v>
      </c>
      <c r="H23" s="14">
        <v>0.156201</v>
      </c>
      <c r="I23" s="14">
        <v>0.149642</v>
      </c>
      <c r="J23" s="14">
        <v>0.146249</v>
      </c>
      <c r="K23" s="14">
        <v>0.139983</v>
      </c>
      <c r="L23" s="14">
        <v>0.146295</v>
      </c>
      <c r="M23" s="14">
        <v>0.153679</v>
      </c>
      <c r="N23" s="14">
        <v>0.159187</v>
      </c>
      <c r="O23" s="14"/>
      <c r="P23" s="14">
        <v>0.173215</v>
      </c>
      <c r="Q23" s="14">
        <v>0.220651</v>
      </c>
      <c r="R23" s="14">
        <v>0.18483312</v>
      </c>
      <c r="S23" s="14">
        <v>0.170842</v>
      </c>
      <c r="T23" s="14">
        <v>0.160972</v>
      </c>
      <c r="U23" s="6">
        <v>0.185406</v>
      </c>
      <c r="V23" s="6"/>
      <c r="W23" s="6"/>
      <c r="X23" s="6"/>
      <c r="Y23" s="6"/>
      <c r="Z23" s="6"/>
      <c r="AA23" s="6"/>
      <c r="AB23" s="6">
        <f>0.039642</f>
        <v>0.039642</v>
      </c>
      <c r="AC23" s="6"/>
      <c r="AD23" s="6"/>
      <c r="AE23" s="6"/>
      <c r="AF23" s="6"/>
      <c r="AG23" s="6"/>
      <c r="AH23" s="6">
        <f>0.188665</f>
        <v>0.188665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</row>
    <row r="24" ht="15.75" customHeight="1">
      <c r="A24" s="15" t="s">
        <v>99</v>
      </c>
      <c r="B24" s="16"/>
      <c r="C24" s="17"/>
      <c r="D24" s="18">
        <f t="shared" ref="D24:AI24" si="6">SUM(D2:D23)</f>
        <v>1</v>
      </c>
      <c r="E24" s="18">
        <f t="shared" si="6"/>
        <v>1.000001</v>
      </c>
      <c r="F24" s="18">
        <f t="shared" si="6"/>
        <v>1</v>
      </c>
      <c r="G24" s="18">
        <f t="shared" si="6"/>
        <v>1</v>
      </c>
      <c r="H24" s="18">
        <f t="shared" si="6"/>
        <v>1.000003</v>
      </c>
      <c r="I24" s="18">
        <f t="shared" si="6"/>
        <v>0.999999</v>
      </c>
      <c r="J24" s="18">
        <f t="shared" si="6"/>
        <v>1</v>
      </c>
      <c r="K24" s="18">
        <f t="shared" si="6"/>
        <v>0.999999</v>
      </c>
      <c r="L24" s="18">
        <f t="shared" si="6"/>
        <v>1</v>
      </c>
      <c r="M24" s="18">
        <f t="shared" si="6"/>
        <v>1</v>
      </c>
      <c r="N24" s="18">
        <f t="shared" si="6"/>
        <v>1</v>
      </c>
      <c r="O24" s="18">
        <f t="shared" si="6"/>
        <v>1</v>
      </c>
      <c r="P24" s="18">
        <f t="shared" si="6"/>
        <v>1</v>
      </c>
      <c r="Q24" s="18">
        <f t="shared" si="6"/>
        <v>0.999999</v>
      </c>
      <c r="R24" s="18">
        <f t="shared" si="6"/>
        <v>1.00000002</v>
      </c>
      <c r="S24" s="18">
        <f t="shared" si="6"/>
        <v>1.000002</v>
      </c>
      <c r="T24" s="18">
        <f t="shared" si="6"/>
        <v>1</v>
      </c>
      <c r="U24" s="18">
        <f t="shared" si="6"/>
        <v>0.999998</v>
      </c>
      <c r="V24" s="18">
        <f t="shared" si="6"/>
        <v>0.999999</v>
      </c>
      <c r="W24" s="18">
        <f t="shared" si="6"/>
        <v>1</v>
      </c>
      <c r="X24" s="18">
        <f t="shared" si="6"/>
        <v>1</v>
      </c>
      <c r="Y24" s="18">
        <f t="shared" si="6"/>
        <v>0.999999</v>
      </c>
      <c r="Z24" s="18">
        <f t="shared" si="6"/>
        <v>1</v>
      </c>
      <c r="AA24" s="18">
        <f t="shared" si="6"/>
        <v>1</v>
      </c>
      <c r="AB24" s="18">
        <f t="shared" si="6"/>
        <v>0.999999</v>
      </c>
      <c r="AC24" s="18">
        <f t="shared" si="6"/>
        <v>1</v>
      </c>
      <c r="AD24" s="18">
        <f t="shared" si="6"/>
        <v>1.000001</v>
      </c>
      <c r="AE24" s="18">
        <f t="shared" si="6"/>
        <v>1</v>
      </c>
      <c r="AF24" s="18">
        <f t="shared" si="6"/>
        <v>1</v>
      </c>
      <c r="AG24" s="18">
        <f t="shared" si="6"/>
        <v>1</v>
      </c>
      <c r="AH24" s="18">
        <f t="shared" si="6"/>
        <v>1</v>
      </c>
      <c r="AI24" s="18">
        <f t="shared" si="6"/>
        <v>1</v>
      </c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</row>
    <row r="25" ht="15.75" customHeight="1">
      <c r="A25" s="19"/>
      <c r="B25" s="17"/>
      <c r="C25" s="17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</row>
    <row r="26" ht="15.75" customHeight="1">
      <c r="A26" s="19"/>
      <c r="B26" s="17"/>
      <c r="C26" s="17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</row>
    <row r="27" ht="15.75" customHeight="1">
      <c r="A27" s="19"/>
      <c r="B27" s="17"/>
      <c r="C27" s="17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</row>
    <row r="28" ht="15.75" customHeight="1">
      <c r="A28" s="19"/>
      <c r="B28" s="17"/>
      <c r="C28" s="17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</row>
    <row r="29" ht="15.75" customHeight="1">
      <c r="A29" s="19"/>
      <c r="B29" s="17"/>
      <c r="C29" s="17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</row>
    <row r="30" ht="15.75" customHeight="1">
      <c r="A30" s="19"/>
      <c r="B30" s="17"/>
      <c r="C30" s="1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</row>
    <row r="31" ht="15.75" customHeight="1">
      <c r="A31" s="19"/>
      <c r="B31" s="17"/>
      <c r="C31" s="17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</row>
    <row r="32" ht="15.75" customHeight="1">
      <c r="A32" s="19"/>
      <c r="B32" s="17"/>
      <c r="C32" s="17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</row>
    <row r="33" ht="15.75" customHeight="1">
      <c r="A33" s="19"/>
      <c r="B33" s="17"/>
      <c r="C33" s="17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</row>
    <row r="34" ht="15.75" customHeight="1">
      <c r="A34" s="19"/>
      <c r="B34" s="17"/>
      <c r="C34" s="17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</row>
    <row r="35" ht="15.75" customHeight="1">
      <c r="A35" s="19"/>
      <c r="B35" s="17"/>
      <c r="C35" s="17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</row>
    <row r="36" ht="15.75" customHeight="1">
      <c r="A36" s="19"/>
      <c r="B36" s="17"/>
      <c r="C36" s="17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</row>
    <row r="37" ht="15.75" customHeight="1">
      <c r="A37" s="19"/>
      <c r="B37" s="17"/>
      <c r="C37" s="17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</row>
    <row r="38" ht="15.75" customHeight="1">
      <c r="A38" s="19"/>
      <c r="B38" s="17"/>
      <c r="C38" s="17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</row>
    <row r="39" ht="15.75" customHeight="1">
      <c r="A39" s="19"/>
      <c r="B39" s="17"/>
      <c r="C39" s="17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</row>
    <row r="40" ht="15.75" customHeight="1">
      <c r="A40" s="19"/>
      <c r="B40" s="17"/>
      <c r="C40" s="17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</row>
    <row r="41" ht="15.75" customHeight="1">
      <c r="A41" s="19"/>
      <c r="B41" s="17"/>
      <c r="C41" s="17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</row>
    <row r="42" ht="15.75" customHeight="1">
      <c r="A42" s="19"/>
      <c r="B42" s="17"/>
      <c r="C42" s="17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</row>
    <row r="43" ht="15.75" customHeight="1">
      <c r="A43" s="19"/>
      <c r="B43" s="17"/>
      <c r="C43" s="17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</row>
    <row r="44" ht="15.75" customHeight="1">
      <c r="A44" s="19"/>
      <c r="B44" s="17"/>
      <c r="C44" s="17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</row>
    <row r="45" ht="15.75" customHeight="1">
      <c r="A45" s="19"/>
      <c r="B45" s="17"/>
      <c r="C45" s="17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</row>
    <row r="46" ht="15.75" customHeight="1">
      <c r="A46" s="19"/>
      <c r="B46" s="17"/>
      <c r="C46" s="17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</row>
    <row r="47" ht="15.75" customHeight="1">
      <c r="A47" s="19"/>
      <c r="B47" s="17"/>
      <c r="C47" s="17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</row>
    <row r="48" ht="15.75" customHeight="1">
      <c r="A48" s="19"/>
      <c r="B48" s="17"/>
      <c r="C48" s="17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</row>
    <row r="49" ht="15.75" customHeight="1">
      <c r="A49" s="19"/>
      <c r="B49" s="17"/>
      <c r="C49" s="17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</row>
    <row r="50" ht="15.75" customHeight="1">
      <c r="A50" s="19"/>
      <c r="B50" s="17"/>
      <c r="C50" s="17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</row>
    <row r="51" ht="15.75" customHeight="1">
      <c r="A51" s="19"/>
      <c r="B51" s="17"/>
      <c r="C51" s="17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</row>
    <row r="52" ht="15.75" customHeight="1">
      <c r="A52" s="19"/>
      <c r="B52" s="17"/>
      <c r="C52" s="17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</row>
    <row r="53" ht="15.75" customHeight="1">
      <c r="A53" s="19"/>
      <c r="B53" s="17"/>
      <c r="C53" s="17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</row>
    <row r="54" ht="15.75" customHeight="1">
      <c r="A54" s="19"/>
      <c r="B54" s="17"/>
      <c r="C54" s="17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</row>
    <row r="55" ht="15.75" customHeight="1">
      <c r="A55" s="19"/>
      <c r="B55" s="17"/>
      <c r="C55" s="17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</row>
    <row r="56" ht="15.75" customHeight="1">
      <c r="A56" s="19"/>
      <c r="B56" s="17"/>
      <c r="C56" s="17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</row>
    <row r="57" ht="15.75" customHeight="1">
      <c r="A57" s="19"/>
      <c r="B57" s="17"/>
      <c r="C57" s="17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</row>
    <row r="58" ht="15.75" customHeight="1">
      <c r="A58" s="19"/>
      <c r="B58" s="17"/>
      <c r="C58" s="17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</row>
    <row r="59" ht="15.75" customHeight="1">
      <c r="A59" s="19"/>
      <c r="B59" s="17"/>
      <c r="C59" s="17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</row>
    <row r="60" ht="15.75" customHeight="1">
      <c r="A60" s="19"/>
      <c r="B60" s="17"/>
      <c r="C60" s="17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</row>
    <row r="61" ht="15.75" customHeight="1">
      <c r="A61" s="19"/>
      <c r="B61" s="17"/>
      <c r="C61" s="17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</row>
    <row r="62" ht="15.75" customHeight="1">
      <c r="A62" s="19"/>
      <c r="B62" s="17"/>
      <c r="C62" s="17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</row>
    <row r="63" ht="15.75" customHeight="1">
      <c r="A63" s="19"/>
      <c r="B63" s="17"/>
      <c r="C63" s="17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</row>
    <row r="64" ht="15.75" customHeight="1">
      <c r="A64" s="19"/>
      <c r="B64" s="17"/>
      <c r="C64" s="17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</row>
    <row r="65" ht="15.75" customHeight="1">
      <c r="A65" s="19"/>
      <c r="B65" s="17"/>
      <c r="C65" s="17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</row>
    <row r="66" ht="15.75" customHeight="1">
      <c r="A66" s="19"/>
      <c r="B66" s="17"/>
      <c r="C66" s="17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</row>
    <row r="67" ht="15.75" customHeight="1">
      <c r="A67" s="19"/>
      <c r="B67" s="17"/>
      <c r="C67" s="17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</row>
    <row r="68" ht="15.75" customHeight="1">
      <c r="A68" s="19"/>
      <c r="B68" s="17"/>
      <c r="C68" s="17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</row>
    <row r="69" ht="15.75" customHeight="1">
      <c r="A69" s="19"/>
      <c r="B69" s="17"/>
      <c r="C69" s="17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</row>
    <row r="70" ht="15.75" customHeight="1">
      <c r="A70" s="19"/>
      <c r="B70" s="17"/>
      <c r="C70" s="17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</row>
    <row r="71" ht="15.75" customHeight="1">
      <c r="A71" s="19"/>
      <c r="B71" s="17"/>
      <c r="C71" s="17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</row>
    <row r="72" ht="15.75" customHeight="1">
      <c r="A72" s="19"/>
      <c r="B72" s="17"/>
      <c r="C72" s="17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</row>
    <row r="73" ht="15.75" customHeight="1">
      <c r="A73" s="19"/>
      <c r="B73" s="17"/>
      <c r="C73" s="17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</row>
    <row r="74" ht="15.75" customHeight="1">
      <c r="A74" s="19"/>
      <c r="B74" s="17"/>
      <c r="C74" s="17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</row>
    <row r="75" ht="15.75" customHeight="1">
      <c r="A75" s="19"/>
      <c r="B75" s="17"/>
      <c r="C75" s="17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</row>
    <row r="76" ht="15.75" customHeight="1">
      <c r="A76" s="19"/>
      <c r="B76" s="17"/>
      <c r="C76" s="17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</row>
    <row r="77" ht="15.75" customHeight="1">
      <c r="A77" s="19"/>
      <c r="B77" s="17"/>
      <c r="C77" s="17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</row>
    <row r="78" ht="15.75" customHeight="1">
      <c r="A78" s="19"/>
      <c r="B78" s="17"/>
      <c r="C78" s="17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</row>
    <row r="79" ht="15.75" customHeight="1">
      <c r="A79" s="19"/>
      <c r="B79" s="17"/>
      <c r="C79" s="17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</row>
    <row r="80" ht="15.75" customHeight="1">
      <c r="A80" s="19"/>
      <c r="B80" s="17"/>
      <c r="C80" s="17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</row>
    <row r="81" ht="15.75" customHeight="1">
      <c r="A81" s="19"/>
      <c r="B81" s="17"/>
      <c r="C81" s="17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</row>
    <row r="82" ht="15.75" customHeight="1">
      <c r="A82" s="19"/>
      <c r="B82" s="17"/>
      <c r="C82" s="17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</row>
    <row r="83" ht="15.75" customHeight="1">
      <c r="A83" s="19"/>
      <c r="B83" s="17"/>
      <c r="C83" s="17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</row>
    <row r="84" ht="15.75" customHeight="1">
      <c r="A84" s="19"/>
      <c r="B84" s="17"/>
      <c r="C84" s="17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</row>
    <row r="85" ht="15.75" customHeight="1">
      <c r="A85" s="19"/>
      <c r="B85" s="17"/>
      <c r="C85" s="17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</row>
    <row r="86" ht="15.75" customHeight="1">
      <c r="A86" s="19"/>
      <c r="B86" s="17"/>
      <c r="C86" s="17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</row>
    <row r="87" ht="15.75" customHeight="1">
      <c r="A87" s="19"/>
      <c r="B87" s="17"/>
      <c r="C87" s="17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</row>
    <row r="88" ht="15.75" customHeight="1">
      <c r="A88" s="19"/>
      <c r="B88" s="17"/>
      <c r="C88" s="17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</row>
    <row r="89" ht="15.75" customHeight="1">
      <c r="A89" s="19"/>
      <c r="B89" s="17"/>
      <c r="C89" s="17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</row>
    <row r="90" ht="15.75" customHeight="1">
      <c r="A90" s="19"/>
      <c r="B90" s="17"/>
      <c r="C90" s="17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</row>
    <row r="91" ht="15.75" customHeight="1">
      <c r="A91" s="19"/>
      <c r="B91" s="17"/>
      <c r="C91" s="17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</row>
    <row r="92" ht="15.75" customHeight="1">
      <c r="A92" s="19"/>
      <c r="B92" s="17"/>
      <c r="C92" s="17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</row>
    <row r="93" ht="15.75" customHeight="1">
      <c r="A93" s="19"/>
      <c r="B93" s="17"/>
      <c r="C93" s="17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</row>
    <row r="94" ht="15.75" customHeight="1">
      <c r="A94" s="19"/>
      <c r="B94" s="17"/>
      <c r="C94" s="17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</row>
    <row r="95" ht="15.75" customHeight="1">
      <c r="A95" s="19"/>
      <c r="B95" s="17"/>
      <c r="C95" s="17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</row>
    <row r="96" ht="15.75" customHeight="1">
      <c r="A96" s="19"/>
      <c r="B96" s="17"/>
      <c r="C96" s="17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</row>
    <row r="97" ht="15.75" customHeight="1">
      <c r="A97" s="19"/>
      <c r="B97" s="17"/>
      <c r="C97" s="17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</row>
    <row r="98" ht="15.75" customHeight="1">
      <c r="A98" s="19"/>
      <c r="B98" s="17"/>
      <c r="C98" s="17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</row>
    <row r="99" ht="15.75" customHeight="1">
      <c r="A99" s="19"/>
      <c r="B99" s="17"/>
      <c r="C99" s="17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</row>
    <row r="100" ht="15.75" customHeight="1">
      <c r="A100" s="19"/>
      <c r="B100" s="17"/>
      <c r="C100" s="17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</row>
    <row r="101" ht="15.75" customHeight="1">
      <c r="A101" s="19"/>
      <c r="B101" s="17"/>
      <c r="C101" s="17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</row>
    <row r="102" ht="15.75" customHeight="1">
      <c r="A102" s="19"/>
      <c r="B102" s="17"/>
      <c r="C102" s="17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</row>
    <row r="103" ht="15.75" customHeight="1">
      <c r="A103" s="19"/>
      <c r="B103" s="17"/>
      <c r="C103" s="17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</row>
    <row r="104" ht="15.75" customHeight="1">
      <c r="A104" s="19"/>
      <c r="B104" s="17"/>
      <c r="C104" s="17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</row>
    <row r="105" ht="15.75" customHeight="1">
      <c r="A105" s="19"/>
      <c r="B105" s="17"/>
      <c r="C105" s="17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</row>
    <row r="106" ht="15.75" customHeight="1">
      <c r="A106" s="19"/>
      <c r="B106" s="17"/>
      <c r="C106" s="17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</row>
    <row r="107" ht="15.75" customHeight="1">
      <c r="A107" s="19"/>
      <c r="B107" s="17"/>
      <c r="C107" s="17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</row>
    <row r="108" ht="15.75" customHeight="1">
      <c r="A108" s="19"/>
      <c r="B108" s="17"/>
      <c r="C108" s="17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</row>
    <row r="109" ht="15.75" customHeight="1">
      <c r="A109" s="19"/>
      <c r="B109" s="17"/>
      <c r="C109" s="17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</row>
    <row r="110" ht="15.75" customHeight="1">
      <c r="A110" s="19"/>
      <c r="B110" s="17"/>
      <c r="C110" s="17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</row>
    <row r="111" ht="15.75" customHeight="1">
      <c r="A111" s="19"/>
      <c r="B111" s="17"/>
      <c r="C111" s="17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</row>
    <row r="112" ht="15.75" customHeight="1">
      <c r="A112" s="19"/>
      <c r="B112" s="17"/>
      <c r="C112" s="17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</row>
    <row r="113" ht="15.75" customHeight="1">
      <c r="A113" s="19"/>
      <c r="B113" s="17"/>
      <c r="C113" s="17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</row>
    <row r="114" ht="15.75" customHeight="1">
      <c r="A114" s="19"/>
      <c r="B114" s="17"/>
      <c r="C114" s="17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</row>
    <row r="115" ht="15.75" customHeight="1">
      <c r="A115" s="19"/>
      <c r="B115" s="17"/>
      <c r="C115" s="17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</row>
    <row r="116" ht="15.75" customHeight="1">
      <c r="A116" s="19"/>
      <c r="B116" s="17"/>
      <c r="C116" s="17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</row>
    <row r="117" ht="15.75" customHeight="1">
      <c r="A117" s="19"/>
      <c r="B117" s="17"/>
      <c r="C117" s="17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</row>
    <row r="118" ht="15.75" customHeight="1">
      <c r="A118" s="19"/>
      <c r="B118" s="17"/>
      <c r="C118" s="17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</row>
    <row r="119" ht="15.75" customHeight="1">
      <c r="A119" s="19"/>
      <c r="B119" s="17"/>
      <c r="C119" s="17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</row>
    <row r="120" ht="15.75" customHeight="1">
      <c r="A120" s="19"/>
      <c r="B120" s="17"/>
      <c r="C120" s="17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</row>
    <row r="121" ht="15.75" customHeight="1">
      <c r="A121" s="19"/>
      <c r="B121" s="17"/>
      <c r="C121" s="17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</row>
    <row r="122" ht="15.75" customHeight="1">
      <c r="A122" s="19"/>
      <c r="B122" s="17"/>
      <c r="C122" s="17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</row>
    <row r="123" ht="15.75" customHeight="1">
      <c r="A123" s="19"/>
      <c r="B123" s="17"/>
      <c r="C123" s="17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</row>
    <row r="124" ht="15.75" customHeight="1">
      <c r="A124" s="19"/>
      <c r="B124" s="17"/>
      <c r="C124" s="17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</row>
    <row r="125" ht="15.75" customHeight="1">
      <c r="A125" s="19"/>
      <c r="B125" s="17"/>
      <c r="C125" s="17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</row>
    <row r="126" ht="15.75" customHeight="1">
      <c r="A126" s="19"/>
      <c r="B126" s="17"/>
      <c r="C126" s="17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</row>
    <row r="127" ht="15.75" customHeight="1">
      <c r="A127" s="19"/>
      <c r="B127" s="17"/>
      <c r="C127" s="17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</row>
    <row r="128" ht="15.75" customHeight="1">
      <c r="A128" s="19"/>
      <c r="B128" s="17"/>
      <c r="C128" s="17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</row>
    <row r="129" ht="15.75" customHeight="1">
      <c r="A129" s="19"/>
      <c r="B129" s="17"/>
      <c r="C129" s="17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</row>
    <row r="130" ht="15.75" customHeight="1">
      <c r="A130" s="19"/>
      <c r="B130" s="17"/>
      <c r="C130" s="17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</row>
    <row r="131" ht="15.75" customHeight="1">
      <c r="A131" s="19"/>
      <c r="B131" s="17"/>
      <c r="C131" s="17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</row>
    <row r="132" ht="15.75" customHeight="1">
      <c r="A132" s="19"/>
      <c r="B132" s="17"/>
      <c r="C132" s="17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</row>
    <row r="133" ht="15.75" customHeight="1">
      <c r="A133" s="19"/>
      <c r="B133" s="17"/>
      <c r="C133" s="17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</row>
    <row r="134" ht="15.75" customHeight="1">
      <c r="A134" s="19"/>
      <c r="B134" s="17"/>
      <c r="C134" s="17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</row>
    <row r="135" ht="15.75" customHeight="1">
      <c r="A135" s="19"/>
      <c r="B135" s="17"/>
      <c r="C135" s="17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</row>
    <row r="136" ht="15.75" customHeight="1">
      <c r="A136" s="19"/>
      <c r="B136" s="17"/>
      <c r="C136" s="17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</row>
    <row r="137" ht="15.75" customHeight="1">
      <c r="A137" s="19"/>
      <c r="B137" s="17"/>
      <c r="C137" s="17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</row>
    <row r="138" ht="15.75" customHeight="1">
      <c r="A138" s="19"/>
      <c r="B138" s="17"/>
      <c r="C138" s="17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</row>
    <row r="139" ht="15.75" customHeight="1">
      <c r="A139" s="19"/>
      <c r="B139" s="17"/>
      <c r="C139" s="17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</row>
    <row r="140" ht="15.75" customHeight="1">
      <c r="A140" s="19"/>
      <c r="B140" s="17"/>
      <c r="C140" s="17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</row>
    <row r="141" ht="15.75" customHeight="1">
      <c r="A141" s="19"/>
      <c r="B141" s="17"/>
      <c r="C141" s="17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</row>
    <row r="142" ht="15.75" customHeight="1">
      <c r="A142" s="19"/>
      <c r="B142" s="17"/>
      <c r="C142" s="17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</row>
    <row r="143" ht="15.75" customHeight="1">
      <c r="A143" s="19"/>
      <c r="B143" s="17"/>
      <c r="C143" s="17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</row>
    <row r="144" ht="15.75" customHeight="1">
      <c r="A144" s="19"/>
      <c r="B144" s="17"/>
      <c r="C144" s="17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</row>
    <row r="145" ht="15.75" customHeight="1">
      <c r="A145" s="19"/>
      <c r="B145" s="17"/>
      <c r="C145" s="17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</row>
    <row r="146" ht="15.75" customHeight="1">
      <c r="A146" s="19"/>
      <c r="B146" s="17"/>
      <c r="C146" s="17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</row>
    <row r="147" ht="15.75" customHeight="1">
      <c r="A147" s="19"/>
      <c r="B147" s="17"/>
      <c r="C147" s="17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</row>
    <row r="148" ht="15.75" customHeight="1">
      <c r="A148" s="19"/>
      <c r="B148" s="17"/>
      <c r="C148" s="17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</row>
    <row r="149" ht="15.75" customHeight="1">
      <c r="A149" s="19"/>
      <c r="B149" s="17"/>
      <c r="C149" s="17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</row>
    <row r="150" ht="15.75" customHeight="1">
      <c r="A150" s="19"/>
      <c r="B150" s="17"/>
      <c r="C150" s="17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</row>
    <row r="151" ht="15.75" customHeight="1">
      <c r="A151" s="19"/>
      <c r="B151" s="17"/>
      <c r="C151" s="17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</row>
    <row r="152" ht="15.75" customHeight="1">
      <c r="A152" s="19"/>
      <c r="B152" s="17"/>
      <c r="C152" s="17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</row>
    <row r="153" ht="15.75" customHeight="1">
      <c r="A153" s="19"/>
      <c r="B153" s="17"/>
      <c r="C153" s="17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</row>
    <row r="154" ht="15.75" customHeight="1">
      <c r="A154" s="19"/>
      <c r="B154" s="17"/>
      <c r="C154" s="17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</row>
    <row r="155" ht="15.75" customHeight="1">
      <c r="A155" s="19"/>
      <c r="B155" s="17"/>
      <c r="C155" s="17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</row>
    <row r="156" ht="15.75" customHeight="1">
      <c r="A156" s="19"/>
      <c r="B156" s="17"/>
      <c r="C156" s="17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</row>
    <row r="157" ht="15.75" customHeight="1">
      <c r="A157" s="19"/>
      <c r="B157" s="17"/>
      <c r="C157" s="17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</row>
    <row r="158" ht="15.75" customHeight="1">
      <c r="A158" s="19"/>
      <c r="B158" s="17"/>
      <c r="C158" s="17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</row>
    <row r="159" ht="15.75" customHeight="1">
      <c r="A159" s="19"/>
      <c r="B159" s="17"/>
      <c r="C159" s="17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</row>
    <row r="160" ht="15.75" customHeight="1">
      <c r="A160" s="19"/>
      <c r="B160" s="17"/>
      <c r="C160" s="17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</row>
    <row r="161" ht="15.75" customHeight="1">
      <c r="A161" s="19"/>
      <c r="B161" s="17"/>
      <c r="C161" s="17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</row>
    <row r="162" ht="15.75" customHeight="1">
      <c r="A162" s="19"/>
      <c r="B162" s="17"/>
      <c r="C162" s="17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</row>
    <row r="163" ht="15.75" customHeight="1">
      <c r="A163" s="19"/>
      <c r="B163" s="17"/>
      <c r="C163" s="17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</row>
    <row r="164" ht="15.75" customHeight="1">
      <c r="A164" s="19"/>
      <c r="B164" s="17"/>
      <c r="C164" s="17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</row>
    <row r="165" ht="15.75" customHeight="1">
      <c r="A165" s="19"/>
      <c r="B165" s="17"/>
      <c r="C165" s="17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</row>
    <row r="166" ht="15.75" customHeight="1">
      <c r="A166" s="19"/>
      <c r="B166" s="17"/>
      <c r="C166" s="17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</row>
    <row r="167" ht="15.75" customHeight="1">
      <c r="A167" s="19"/>
      <c r="B167" s="17"/>
      <c r="C167" s="17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</row>
    <row r="168" ht="15.75" customHeight="1">
      <c r="A168" s="19"/>
      <c r="B168" s="17"/>
      <c r="C168" s="17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</row>
    <row r="169" ht="15.75" customHeight="1">
      <c r="A169" s="19"/>
      <c r="B169" s="17"/>
      <c r="C169" s="17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</row>
    <row r="170" ht="15.75" customHeight="1">
      <c r="A170" s="19"/>
      <c r="B170" s="17"/>
      <c r="C170" s="17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</row>
    <row r="171" ht="15.75" customHeight="1">
      <c r="A171" s="19"/>
      <c r="B171" s="17"/>
      <c r="C171" s="17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</row>
    <row r="172" ht="15.75" customHeight="1">
      <c r="A172" s="19"/>
      <c r="B172" s="17"/>
      <c r="C172" s="17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</row>
    <row r="173" ht="15.75" customHeight="1">
      <c r="A173" s="19"/>
      <c r="B173" s="17"/>
      <c r="C173" s="17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</row>
    <row r="174" ht="15.75" customHeight="1">
      <c r="A174" s="19"/>
      <c r="B174" s="17"/>
      <c r="C174" s="17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</row>
    <row r="175" ht="15.75" customHeight="1">
      <c r="A175" s="19"/>
      <c r="B175" s="17"/>
      <c r="C175" s="17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</row>
    <row r="176" ht="15.75" customHeight="1">
      <c r="A176" s="19"/>
      <c r="B176" s="17"/>
      <c r="C176" s="17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</row>
    <row r="177" ht="15.75" customHeight="1">
      <c r="A177" s="19"/>
      <c r="B177" s="17"/>
      <c r="C177" s="17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</row>
    <row r="178" ht="15.75" customHeight="1">
      <c r="A178" s="19"/>
      <c r="B178" s="17"/>
      <c r="C178" s="17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</row>
    <row r="179" ht="15.75" customHeight="1">
      <c r="A179" s="19"/>
      <c r="B179" s="17"/>
      <c r="C179" s="17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</row>
    <row r="180" ht="15.75" customHeight="1">
      <c r="A180" s="19"/>
      <c r="B180" s="17"/>
      <c r="C180" s="17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</row>
    <row r="181" ht="15.75" customHeight="1">
      <c r="A181" s="19"/>
      <c r="B181" s="17"/>
      <c r="C181" s="17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</row>
    <row r="182" ht="15.75" customHeight="1">
      <c r="A182" s="19"/>
      <c r="B182" s="17"/>
      <c r="C182" s="17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</row>
    <row r="183" ht="15.75" customHeight="1">
      <c r="A183" s="19"/>
      <c r="B183" s="17"/>
      <c r="C183" s="17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</row>
    <row r="184" ht="15.75" customHeight="1">
      <c r="A184" s="19"/>
      <c r="B184" s="17"/>
      <c r="C184" s="17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</row>
    <row r="185" ht="15.75" customHeight="1">
      <c r="A185" s="19"/>
      <c r="B185" s="17"/>
      <c r="C185" s="17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</row>
    <row r="186" ht="15.75" customHeight="1">
      <c r="A186" s="19"/>
      <c r="B186" s="17"/>
      <c r="C186" s="17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</row>
    <row r="187" ht="15.75" customHeight="1">
      <c r="A187" s="19"/>
      <c r="B187" s="17"/>
      <c r="C187" s="17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</row>
    <row r="188" ht="15.75" customHeight="1">
      <c r="A188" s="19"/>
      <c r="B188" s="17"/>
      <c r="C188" s="17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</row>
    <row r="189" ht="15.75" customHeight="1">
      <c r="A189" s="19"/>
      <c r="B189" s="17"/>
      <c r="C189" s="17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</row>
    <row r="190" ht="15.75" customHeight="1">
      <c r="A190" s="19"/>
      <c r="B190" s="17"/>
      <c r="C190" s="17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</row>
    <row r="191" ht="15.75" customHeight="1">
      <c r="A191" s="19"/>
      <c r="B191" s="17"/>
      <c r="C191" s="17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</row>
    <row r="192" ht="15.75" customHeight="1">
      <c r="A192" s="19"/>
      <c r="B192" s="17"/>
      <c r="C192" s="17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</row>
    <row r="193" ht="15.75" customHeight="1">
      <c r="A193" s="19"/>
      <c r="B193" s="17"/>
      <c r="C193" s="17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</row>
    <row r="194" ht="15.75" customHeight="1">
      <c r="A194" s="19"/>
      <c r="B194" s="17"/>
      <c r="C194" s="17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</row>
    <row r="195" ht="15.75" customHeight="1">
      <c r="A195" s="19"/>
      <c r="B195" s="17"/>
      <c r="C195" s="17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</row>
    <row r="196" ht="15.75" customHeight="1">
      <c r="A196" s="19"/>
      <c r="B196" s="17"/>
      <c r="C196" s="17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</row>
    <row r="197" ht="15.75" customHeight="1">
      <c r="A197" s="19"/>
      <c r="B197" s="17"/>
      <c r="C197" s="17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</row>
    <row r="198" ht="15.75" customHeight="1">
      <c r="A198" s="19"/>
      <c r="B198" s="17"/>
      <c r="C198" s="17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</row>
    <row r="199" ht="15.75" customHeight="1">
      <c r="A199" s="19"/>
      <c r="B199" s="17"/>
      <c r="C199" s="17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</row>
    <row r="200" ht="15.75" customHeight="1">
      <c r="A200" s="19"/>
      <c r="B200" s="17"/>
      <c r="C200" s="17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</row>
    <row r="201" ht="15.75" customHeight="1">
      <c r="A201" s="19"/>
      <c r="B201" s="17"/>
      <c r="C201" s="17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</row>
    <row r="202" ht="15.75" customHeight="1">
      <c r="A202" s="19"/>
      <c r="B202" s="17"/>
      <c r="C202" s="17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</row>
    <row r="203" ht="15.75" customHeight="1">
      <c r="A203" s="19"/>
      <c r="B203" s="17"/>
      <c r="C203" s="17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</row>
    <row r="204" ht="15.75" customHeight="1">
      <c r="A204" s="19"/>
      <c r="B204" s="17"/>
      <c r="C204" s="17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</row>
    <row r="205" ht="15.75" customHeight="1">
      <c r="A205" s="19"/>
      <c r="B205" s="17"/>
      <c r="C205" s="17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</row>
    <row r="206" ht="15.75" customHeight="1">
      <c r="A206" s="19"/>
      <c r="B206" s="17"/>
      <c r="C206" s="17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</row>
    <row r="207" ht="15.75" customHeight="1">
      <c r="A207" s="19"/>
      <c r="B207" s="17"/>
      <c r="C207" s="17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</row>
    <row r="208" ht="15.75" customHeight="1">
      <c r="A208" s="19"/>
      <c r="B208" s="17"/>
      <c r="C208" s="17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</row>
    <row r="209" ht="15.75" customHeight="1">
      <c r="A209" s="19"/>
      <c r="B209" s="17"/>
      <c r="C209" s="17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</row>
    <row r="210" ht="15.75" customHeight="1">
      <c r="A210" s="19"/>
      <c r="B210" s="17"/>
      <c r="C210" s="17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</row>
    <row r="211" ht="15.75" customHeight="1">
      <c r="A211" s="19"/>
      <c r="B211" s="17"/>
      <c r="C211" s="17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</row>
    <row r="212" ht="15.75" customHeight="1">
      <c r="A212" s="19"/>
      <c r="B212" s="17"/>
      <c r="C212" s="17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</row>
    <row r="213" ht="15.75" customHeight="1">
      <c r="A213" s="19"/>
      <c r="B213" s="17"/>
      <c r="C213" s="17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</row>
    <row r="214" ht="15.75" customHeight="1">
      <c r="A214" s="19"/>
      <c r="B214" s="17"/>
      <c r="C214" s="17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</row>
    <row r="215" ht="15.75" customHeight="1">
      <c r="A215" s="19"/>
      <c r="B215" s="17"/>
      <c r="C215" s="17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</row>
    <row r="216" ht="15.75" customHeight="1">
      <c r="A216" s="19"/>
      <c r="B216" s="17"/>
      <c r="C216" s="17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</row>
    <row r="217" ht="15.75" customHeight="1">
      <c r="A217" s="19"/>
      <c r="B217" s="17"/>
      <c r="C217" s="17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</row>
    <row r="218" ht="15.75" customHeight="1">
      <c r="A218" s="19"/>
      <c r="B218" s="17"/>
      <c r="C218" s="17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</row>
    <row r="219" ht="15.75" customHeight="1">
      <c r="A219" s="19"/>
      <c r="B219" s="17"/>
      <c r="C219" s="17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</row>
    <row r="220" ht="15.75" customHeight="1">
      <c r="A220" s="19"/>
      <c r="B220" s="17"/>
      <c r="C220" s="17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</row>
    <row r="221" ht="15.75" customHeight="1">
      <c r="A221" s="19"/>
      <c r="B221" s="17"/>
      <c r="C221" s="17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</row>
    <row r="222" ht="15.75" customHeight="1">
      <c r="A222" s="19"/>
      <c r="B222" s="17"/>
      <c r="C222" s="17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</row>
    <row r="223" ht="15.75" customHeight="1">
      <c r="A223" s="19"/>
      <c r="B223" s="17"/>
      <c r="C223" s="17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</row>
    <row r="224" ht="15.75" customHeight="1">
      <c r="A224" s="19"/>
      <c r="B224" s="17"/>
      <c r="C224" s="17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0" t="s">
        <v>0</v>
      </c>
      <c r="B1" s="20" t="s">
        <v>1</v>
      </c>
      <c r="C1" s="21" t="s">
        <v>2</v>
      </c>
      <c r="D1" s="20" t="s">
        <v>121</v>
      </c>
      <c r="E1" s="3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23" t="s">
        <v>16</v>
      </c>
      <c r="S1" s="20" t="s">
        <v>17</v>
      </c>
      <c r="T1" s="20" t="s">
        <v>18</v>
      </c>
      <c r="U1" s="20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ht="15.75" customHeight="1">
      <c r="A2" s="2">
        <v>1.0</v>
      </c>
      <c r="B2" s="30" t="s">
        <v>56</v>
      </c>
      <c r="C2" s="3" t="s">
        <v>103</v>
      </c>
      <c r="D2" s="30"/>
      <c r="E2" s="4"/>
      <c r="F2" s="4"/>
      <c r="G2" s="4"/>
      <c r="H2" s="4"/>
      <c r="I2" s="4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ht="15.75" customHeight="1">
      <c r="A3" s="2">
        <v>2.0</v>
      </c>
      <c r="B3" s="30" t="s">
        <v>58</v>
      </c>
      <c r="C3" s="3" t="s">
        <v>59</v>
      </c>
      <c r="D3" s="30"/>
      <c r="E3" s="4"/>
      <c r="F3" s="4"/>
      <c r="G3" s="4"/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5"/>
      <c r="T3" s="5"/>
      <c r="U3" s="4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ht="15.75" customHeight="1">
      <c r="A4" s="2">
        <v>3.0</v>
      </c>
      <c r="B4" s="30" t="s">
        <v>60</v>
      </c>
      <c r="C4" s="3" t="s">
        <v>61</v>
      </c>
      <c r="D4" s="3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 ht="15.75" customHeight="1">
      <c r="A5" s="2">
        <v>4.0</v>
      </c>
      <c r="B5" s="30" t="s">
        <v>62</v>
      </c>
      <c r="C5" s="3" t="s">
        <v>63</v>
      </c>
      <c r="D5" s="30"/>
      <c r="E5" s="4"/>
      <c r="F5" s="4"/>
      <c r="G5" s="4"/>
      <c r="H5" s="4"/>
      <c r="I5" s="4"/>
      <c r="J5" s="5"/>
      <c r="K5" s="5"/>
      <c r="L5" s="5"/>
      <c r="M5" s="4"/>
      <c r="N5" s="5"/>
      <c r="O5" s="5"/>
      <c r="P5" s="5"/>
      <c r="Q5" s="5"/>
      <c r="R5" s="5"/>
      <c r="S5" s="5"/>
      <c r="T5" s="5"/>
      <c r="U5" s="5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ht="15.75" customHeight="1">
      <c r="A6" s="2">
        <v>5.0</v>
      </c>
      <c r="B6" s="30" t="s">
        <v>64</v>
      </c>
      <c r="C6" s="3" t="s">
        <v>65</v>
      </c>
      <c r="D6" s="30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5"/>
      <c r="Q6" s="5"/>
      <c r="R6" s="5"/>
      <c r="S6" s="5"/>
      <c r="T6" s="4"/>
      <c r="U6" s="5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ht="15.75" customHeight="1">
      <c r="A7" s="2">
        <v>6.0</v>
      </c>
      <c r="B7" s="30" t="s">
        <v>66</v>
      </c>
      <c r="C7" s="3" t="s">
        <v>67</v>
      </c>
      <c r="D7" s="30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5"/>
      <c r="Q7" s="5"/>
      <c r="R7" s="5"/>
      <c r="S7" s="5"/>
      <c r="T7" s="5"/>
      <c r="U7" s="5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ht="15.75" customHeight="1">
      <c r="A8" s="2">
        <v>7.0</v>
      </c>
      <c r="B8" s="30" t="s">
        <v>68</v>
      </c>
      <c r="C8" s="3" t="s">
        <v>69</v>
      </c>
      <c r="D8" s="30"/>
      <c r="E8" s="4"/>
      <c r="F8" s="4"/>
      <c r="G8" s="5"/>
      <c r="H8" s="5"/>
      <c r="I8" s="4"/>
      <c r="J8" s="4"/>
      <c r="K8" s="4"/>
      <c r="L8" s="4"/>
      <c r="M8" s="5"/>
      <c r="N8" s="5"/>
      <c r="O8" s="4"/>
      <c r="P8" s="4"/>
      <c r="Q8" s="4"/>
      <c r="R8" s="4"/>
      <c r="S8" s="4"/>
      <c r="T8" s="4"/>
      <c r="U8" s="5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 ht="15.75" customHeight="1">
      <c r="A9" s="2">
        <v>8.0</v>
      </c>
      <c r="B9" s="30" t="s">
        <v>70</v>
      </c>
      <c r="C9" s="3" t="s">
        <v>71</v>
      </c>
      <c r="D9" s="3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5"/>
      <c r="R9" s="4"/>
      <c r="S9" s="4"/>
      <c r="T9" s="4"/>
      <c r="U9" s="4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ht="15.75" customHeight="1">
      <c r="A10" s="2">
        <v>9.0</v>
      </c>
      <c r="B10" s="30" t="s">
        <v>72</v>
      </c>
      <c r="C10" s="3" t="s">
        <v>73</v>
      </c>
      <c r="D10" s="3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ht="15.75" customHeight="1">
      <c r="A11" s="2">
        <v>10.0</v>
      </c>
      <c r="B11" s="30" t="s">
        <v>74</v>
      </c>
      <c r="C11" s="3" t="s">
        <v>75</v>
      </c>
      <c r="D11" s="30"/>
      <c r="E11" s="4"/>
      <c r="F11" s="4"/>
      <c r="G11" s="4"/>
      <c r="H11" s="4"/>
      <c r="I11" s="5"/>
      <c r="J11" s="5"/>
      <c r="K11" s="5"/>
      <c r="L11" s="5"/>
      <c r="M11" s="5"/>
      <c r="N11" s="5"/>
      <c r="O11" s="5"/>
      <c r="P11" s="5"/>
      <c r="Q11" s="4"/>
      <c r="R11" s="4"/>
      <c r="S11" s="4"/>
      <c r="T11" s="5"/>
      <c r="U11" s="4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ht="15.75" customHeight="1">
      <c r="A12" s="2">
        <v>11.0</v>
      </c>
      <c r="B12" s="30" t="s">
        <v>76</v>
      </c>
      <c r="C12" s="3" t="s">
        <v>77</v>
      </c>
      <c r="D12" s="30"/>
      <c r="E12" s="4"/>
      <c r="F12" s="4"/>
      <c r="G12" s="5"/>
      <c r="H12" s="5"/>
      <c r="I12" s="5"/>
      <c r="J12" s="5"/>
      <c r="K12" s="5"/>
      <c r="L12" s="5"/>
      <c r="M12" s="5"/>
      <c r="N12" s="5"/>
      <c r="O12" s="4"/>
      <c r="P12" s="5"/>
      <c r="Q12" s="5"/>
      <c r="R12" s="4"/>
      <c r="S12" s="4"/>
      <c r="T12" s="4"/>
      <c r="U12" s="4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 ht="15.75" customHeight="1">
      <c r="A13" s="2">
        <v>12.0</v>
      </c>
      <c r="B13" s="30" t="s">
        <v>78</v>
      </c>
      <c r="C13" s="3" t="s">
        <v>79</v>
      </c>
      <c r="D13" s="30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9"/>
      <c r="W13" s="19"/>
      <c r="X13" s="19"/>
      <c r="Y13" s="19"/>
      <c r="Z13" s="19"/>
      <c r="AA13" s="19"/>
      <c r="AB13" s="19"/>
      <c r="AC13" s="19"/>
      <c r="AD13" s="19"/>
      <c r="AE13" s="19"/>
    </row>
    <row r="14" ht="15.75" customHeight="1">
      <c r="A14" s="2">
        <v>13.0</v>
      </c>
      <c r="B14" s="30" t="s">
        <v>80</v>
      </c>
      <c r="C14" s="3"/>
      <c r="D14" s="30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 ht="15.75" customHeight="1">
      <c r="A15" s="2">
        <v>101.0</v>
      </c>
      <c r="B15" s="30" t="s">
        <v>81</v>
      </c>
      <c r="C15" s="3" t="s">
        <v>82</v>
      </c>
      <c r="D15" s="30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ht="15.75" customHeight="1">
      <c r="A16" s="2">
        <v>102.0</v>
      </c>
      <c r="B16" s="30" t="s">
        <v>83</v>
      </c>
      <c r="C16" s="3" t="s">
        <v>84</v>
      </c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ht="15.75" customHeight="1">
      <c r="A17" s="2">
        <v>103.0</v>
      </c>
      <c r="B17" s="30" t="s">
        <v>85</v>
      </c>
      <c r="C17" s="3" t="s">
        <v>86</v>
      </c>
      <c r="D17" s="30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4"/>
      <c r="T17" s="4"/>
      <c r="U17" s="5"/>
      <c r="V17" s="19"/>
      <c r="W17" s="19"/>
      <c r="X17" s="19"/>
      <c r="Y17" s="19"/>
      <c r="Z17" s="19"/>
      <c r="AA17" s="19"/>
      <c r="AB17" s="19"/>
      <c r="AC17" s="19"/>
      <c r="AD17" s="19"/>
      <c r="AE17" s="19"/>
    </row>
    <row r="18" ht="15.75" customHeight="1">
      <c r="A18" s="2">
        <v>104.0</v>
      </c>
      <c r="B18" s="30" t="s">
        <v>87</v>
      </c>
      <c r="C18" s="3" t="s">
        <v>88</v>
      </c>
      <c r="D18" s="30"/>
      <c r="E18" s="4"/>
      <c r="F18" s="4"/>
      <c r="G18" s="5"/>
      <c r="H18" s="5"/>
      <c r="I18" s="5"/>
      <c r="J18" s="4"/>
      <c r="K18" s="4"/>
      <c r="L18" s="5"/>
      <c r="M18" s="5"/>
      <c r="N18" s="4"/>
      <c r="O18" s="5"/>
      <c r="P18" s="4"/>
      <c r="Q18" s="4"/>
      <c r="R18" s="4"/>
      <c r="S18" s="4"/>
      <c r="T18" s="4"/>
      <c r="U18" s="4"/>
      <c r="V18" s="19"/>
      <c r="W18" s="19"/>
      <c r="X18" s="19"/>
      <c r="Y18" s="19"/>
      <c r="Z18" s="19"/>
      <c r="AA18" s="19"/>
      <c r="AB18" s="19"/>
      <c r="AC18" s="19"/>
      <c r="AD18" s="19"/>
      <c r="AE18" s="19"/>
    </row>
    <row r="19" ht="15.75" customHeight="1">
      <c r="A19" s="2">
        <v>105.0</v>
      </c>
      <c r="B19" s="30" t="s">
        <v>89</v>
      </c>
      <c r="C19" s="3" t="s">
        <v>90</v>
      </c>
      <c r="D19" s="30"/>
      <c r="E19" s="5"/>
      <c r="F19" s="5"/>
      <c r="G19" s="5"/>
      <c r="H19" s="5"/>
      <c r="I19" s="5"/>
      <c r="J19" s="5"/>
      <c r="K19" s="5"/>
      <c r="L19" s="4"/>
      <c r="M19" s="4"/>
      <c r="N19" s="4"/>
      <c r="O19" s="4"/>
      <c r="P19" s="4"/>
      <c r="Q19" s="4"/>
      <c r="R19" s="4"/>
      <c r="S19" s="5"/>
      <c r="T19" s="4"/>
      <c r="U19" s="4"/>
      <c r="V19" s="19"/>
      <c r="W19" s="19"/>
      <c r="X19" s="19"/>
      <c r="Y19" s="19"/>
      <c r="Z19" s="19"/>
      <c r="AA19" s="19"/>
      <c r="AB19" s="19"/>
      <c r="AC19" s="19"/>
      <c r="AD19" s="19"/>
      <c r="AE19" s="19"/>
    </row>
    <row r="20" ht="15.75" customHeight="1">
      <c r="A20" s="2">
        <v>106.0</v>
      </c>
      <c r="B20" s="30" t="s">
        <v>91</v>
      </c>
      <c r="C20" s="3" t="s">
        <v>92</v>
      </c>
      <c r="D20" s="30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ht="15.75" customHeight="1">
      <c r="A21" s="2">
        <v>107.0</v>
      </c>
      <c r="B21" s="30" t="s">
        <v>93</v>
      </c>
      <c r="C21" s="3" t="s">
        <v>94</v>
      </c>
      <c r="D21" s="3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ht="15.75" customHeight="1">
      <c r="A22" s="2">
        <v>108.0</v>
      </c>
      <c r="B22" s="30" t="s">
        <v>95</v>
      </c>
      <c r="C22" s="3" t="s">
        <v>96</v>
      </c>
      <c r="D22" s="3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ht="15.75" customHeight="1">
      <c r="A23" s="2">
        <v>99.0</v>
      </c>
      <c r="B23" s="30" t="s">
        <v>97</v>
      </c>
      <c r="C23" s="3" t="s">
        <v>98</v>
      </c>
      <c r="D23" s="3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ht="15.75" customHeight="1">
      <c r="A24" s="15" t="s">
        <v>99</v>
      </c>
      <c r="B24" s="15"/>
      <c r="C24" s="17"/>
      <c r="D24" s="19"/>
      <c r="E24" s="18">
        <f t="shared" ref="E24:U24" si="1">SUM(E2:E23)</f>
        <v>0</v>
      </c>
      <c r="F24" s="18">
        <f t="shared" si="1"/>
        <v>0</v>
      </c>
      <c r="G24" s="18">
        <f t="shared" si="1"/>
        <v>0</v>
      </c>
      <c r="H24" s="18">
        <f t="shared" si="1"/>
        <v>0</v>
      </c>
      <c r="I24" s="18">
        <f t="shared" si="1"/>
        <v>0</v>
      </c>
      <c r="J24" s="18">
        <f t="shared" si="1"/>
        <v>0</v>
      </c>
      <c r="K24" s="18">
        <f t="shared" si="1"/>
        <v>0</v>
      </c>
      <c r="L24" s="18">
        <f t="shared" si="1"/>
        <v>0</v>
      </c>
      <c r="M24" s="18">
        <f t="shared" si="1"/>
        <v>0</v>
      </c>
      <c r="N24" s="18">
        <f t="shared" si="1"/>
        <v>0</v>
      </c>
      <c r="O24" s="18">
        <f t="shared" si="1"/>
        <v>0</v>
      </c>
      <c r="P24" s="18">
        <f t="shared" si="1"/>
        <v>0</v>
      </c>
      <c r="Q24" s="18">
        <f t="shared" si="1"/>
        <v>0</v>
      </c>
      <c r="R24" s="18">
        <f t="shared" si="1"/>
        <v>0</v>
      </c>
      <c r="S24" s="18">
        <f t="shared" si="1"/>
        <v>0</v>
      </c>
      <c r="T24" s="18">
        <f t="shared" si="1"/>
        <v>0</v>
      </c>
      <c r="U24" s="18">
        <f t="shared" si="1"/>
        <v>0</v>
      </c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ht="15.75" customHeight="1">
      <c r="A25" s="19"/>
      <c r="B25" s="19"/>
      <c r="C25" s="17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ht="15.75" customHeight="1">
      <c r="A26" s="19"/>
      <c r="B26" s="19"/>
      <c r="C26" s="17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ht="15.75" customHeight="1">
      <c r="A27" s="19"/>
      <c r="B27" s="19"/>
      <c r="C27" s="17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 ht="15.75" customHeight="1">
      <c r="A28" s="19"/>
      <c r="B28" s="19"/>
      <c r="C28" s="17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ht="15.75" customHeight="1">
      <c r="A29" s="19"/>
      <c r="B29" s="19"/>
      <c r="C29" s="17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ht="15.75" customHeight="1">
      <c r="A30" s="19"/>
      <c r="B30" s="19"/>
      <c r="C30" s="1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ht="15.75" customHeight="1">
      <c r="A31" s="19"/>
      <c r="B31" s="19"/>
      <c r="C31" s="17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 ht="15.75" customHeight="1">
      <c r="A32" s="19"/>
      <c r="B32" s="19"/>
      <c r="C32" s="17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ht="15.75" customHeight="1">
      <c r="A33" s="19"/>
      <c r="B33" s="19"/>
      <c r="C33" s="17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ht="15.75" customHeight="1">
      <c r="A34" s="19"/>
      <c r="B34" s="19"/>
      <c r="C34" s="17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ht="15.75" customHeight="1">
      <c r="A35" s="19"/>
      <c r="B35" s="19"/>
      <c r="C35" s="17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ht="15.75" customHeight="1">
      <c r="A36" s="19"/>
      <c r="B36" s="19"/>
      <c r="C36" s="17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ht="15.75" customHeight="1">
      <c r="A37" s="19"/>
      <c r="B37" s="19"/>
      <c r="C37" s="17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 ht="15.75" customHeight="1">
      <c r="A38" s="19"/>
      <c r="B38" s="19"/>
      <c r="C38" s="17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 ht="15.75" customHeight="1">
      <c r="A39" s="19"/>
      <c r="B39" s="19"/>
      <c r="C39" s="17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 ht="15.75" customHeight="1">
      <c r="A40" s="19"/>
      <c r="B40" s="19"/>
      <c r="C40" s="17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ht="15.75" customHeight="1">
      <c r="A41" s="19"/>
      <c r="B41" s="19"/>
      <c r="C41" s="17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ht="15.75" customHeight="1">
      <c r="A42" s="19"/>
      <c r="B42" s="19"/>
      <c r="C42" s="17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ht="15.75" customHeight="1">
      <c r="A43" s="19"/>
      <c r="B43" s="19"/>
      <c r="C43" s="17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ht="15.75" customHeight="1">
      <c r="A44" s="19"/>
      <c r="B44" s="19"/>
      <c r="C44" s="17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ht="15.75" customHeight="1">
      <c r="A45" s="19"/>
      <c r="B45" s="19"/>
      <c r="C45" s="17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ht="15.75" customHeight="1">
      <c r="A46" s="19"/>
      <c r="B46" s="19"/>
      <c r="C46" s="17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ht="15.75" customHeight="1">
      <c r="A47" s="19"/>
      <c r="B47" s="19"/>
      <c r="C47" s="17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ht="15.75" customHeight="1">
      <c r="A48" s="19"/>
      <c r="B48" s="19"/>
      <c r="C48" s="17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ht="15.75" customHeight="1">
      <c r="A49" s="19"/>
      <c r="B49" s="19"/>
      <c r="C49" s="17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ht="15.75" customHeight="1">
      <c r="A50" s="19"/>
      <c r="B50" s="19"/>
      <c r="C50" s="17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ht="15.75" customHeight="1">
      <c r="A51" s="19"/>
      <c r="B51" s="19"/>
      <c r="C51" s="17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ht="15.75" customHeight="1">
      <c r="A52" s="19"/>
      <c r="B52" s="19"/>
      <c r="C52" s="17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ht="15.75" customHeight="1">
      <c r="A53" s="19"/>
      <c r="B53" s="19"/>
      <c r="C53" s="17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ht="15.75" customHeight="1">
      <c r="A54" s="19"/>
      <c r="B54" s="19"/>
      <c r="C54" s="17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ht="15.75" customHeight="1">
      <c r="A55" s="19"/>
      <c r="B55" s="19"/>
      <c r="C55" s="17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ht="15.75" customHeight="1">
      <c r="A56" s="19"/>
      <c r="B56" s="19"/>
      <c r="C56" s="17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ht="15.75" customHeight="1">
      <c r="A57" s="19"/>
      <c r="B57" s="19"/>
      <c r="C57" s="17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ht="15.75" customHeight="1">
      <c r="A58" s="19"/>
      <c r="B58" s="19"/>
      <c r="C58" s="17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ht="15.75" customHeight="1">
      <c r="A59" s="19"/>
      <c r="B59" s="19"/>
      <c r="C59" s="17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ht="15.75" customHeight="1">
      <c r="A60" s="19"/>
      <c r="B60" s="19"/>
      <c r="C60" s="17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ht="15.75" customHeight="1">
      <c r="A61" s="19"/>
      <c r="B61" s="19"/>
      <c r="C61" s="17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ht="15.75" customHeight="1">
      <c r="A62" s="19"/>
      <c r="B62" s="19"/>
      <c r="C62" s="17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</row>
    <row r="63" ht="15.75" customHeight="1">
      <c r="A63" s="19"/>
      <c r="B63" s="19"/>
      <c r="C63" s="17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 ht="15.75" customHeight="1">
      <c r="A64" s="19"/>
      <c r="B64" s="19"/>
      <c r="C64" s="17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 ht="15.75" customHeight="1">
      <c r="A65" s="19"/>
      <c r="B65" s="19"/>
      <c r="C65" s="17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 ht="15.75" customHeight="1">
      <c r="A66" s="19"/>
      <c r="B66" s="19"/>
      <c r="C66" s="17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r="67" ht="15.75" customHeight="1">
      <c r="A67" s="19"/>
      <c r="B67" s="19"/>
      <c r="C67" s="17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</row>
    <row r="68" ht="15.75" customHeight="1">
      <c r="A68" s="19"/>
      <c r="B68" s="19"/>
      <c r="C68" s="17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</row>
    <row r="69" ht="15.75" customHeight="1">
      <c r="A69" s="19"/>
      <c r="B69" s="19"/>
      <c r="C69" s="17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 ht="15.75" customHeight="1">
      <c r="A70" s="19"/>
      <c r="B70" s="19"/>
      <c r="C70" s="17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</row>
    <row r="71" ht="15.75" customHeight="1">
      <c r="A71" s="19"/>
      <c r="B71" s="19"/>
      <c r="C71" s="17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 ht="15.75" customHeight="1">
      <c r="A72" s="19"/>
      <c r="B72" s="19"/>
      <c r="C72" s="17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</row>
    <row r="73" ht="15.75" customHeight="1">
      <c r="A73" s="19"/>
      <c r="B73" s="19"/>
      <c r="C73" s="17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</row>
    <row r="74" ht="15.75" customHeight="1">
      <c r="A74" s="19"/>
      <c r="B74" s="19"/>
      <c r="C74" s="17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</row>
    <row r="75" ht="15.75" customHeight="1">
      <c r="A75" s="19"/>
      <c r="B75" s="19"/>
      <c r="C75" s="17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</row>
    <row r="76" ht="15.75" customHeight="1">
      <c r="A76" s="19"/>
      <c r="B76" s="19"/>
      <c r="C76" s="17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</row>
    <row r="77" ht="15.75" customHeight="1">
      <c r="A77" s="19"/>
      <c r="B77" s="19"/>
      <c r="C77" s="17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</row>
    <row r="78" ht="15.75" customHeight="1">
      <c r="A78" s="19"/>
      <c r="B78" s="19"/>
      <c r="C78" s="17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</row>
    <row r="79" ht="15.75" customHeight="1">
      <c r="A79" s="19"/>
      <c r="B79" s="19"/>
      <c r="C79" s="17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</row>
    <row r="80" ht="15.75" customHeight="1">
      <c r="A80" s="19"/>
      <c r="B80" s="19"/>
      <c r="C80" s="17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</row>
    <row r="81" ht="15.75" customHeight="1">
      <c r="A81" s="19"/>
      <c r="B81" s="19"/>
      <c r="C81" s="17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</row>
    <row r="82" ht="15.75" customHeight="1">
      <c r="A82" s="19"/>
      <c r="B82" s="19"/>
      <c r="C82" s="17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</row>
    <row r="83" ht="15.75" customHeight="1">
      <c r="A83" s="19"/>
      <c r="B83" s="19"/>
      <c r="C83" s="17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</row>
    <row r="84" ht="15.75" customHeight="1">
      <c r="A84" s="19"/>
      <c r="B84" s="19"/>
      <c r="C84" s="17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</row>
    <row r="85" ht="15.75" customHeight="1">
      <c r="A85" s="19"/>
      <c r="B85" s="19"/>
      <c r="C85" s="17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</row>
    <row r="86" ht="15.75" customHeight="1">
      <c r="A86" s="19"/>
      <c r="B86" s="19"/>
      <c r="C86" s="17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</row>
    <row r="87" ht="15.75" customHeight="1">
      <c r="A87" s="19"/>
      <c r="B87" s="19"/>
      <c r="C87" s="17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r="88" ht="15.75" customHeight="1">
      <c r="A88" s="19"/>
      <c r="B88" s="19"/>
      <c r="C88" s="17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</row>
    <row r="89" ht="15.75" customHeight="1">
      <c r="A89" s="19"/>
      <c r="B89" s="19"/>
      <c r="C89" s="17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</row>
    <row r="90" ht="15.75" customHeight="1">
      <c r="A90" s="19"/>
      <c r="B90" s="19"/>
      <c r="C90" s="17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</row>
    <row r="91" ht="15.75" customHeight="1">
      <c r="A91" s="19"/>
      <c r="B91" s="19"/>
      <c r="C91" s="17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</row>
    <row r="92" ht="15.75" customHeight="1">
      <c r="A92" s="19"/>
      <c r="B92" s="19"/>
      <c r="C92" s="17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</row>
    <row r="93" ht="15.75" customHeight="1">
      <c r="A93" s="19"/>
      <c r="B93" s="19"/>
      <c r="C93" s="17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  <row r="94" ht="15.75" customHeight="1">
      <c r="A94" s="19"/>
      <c r="B94" s="19"/>
      <c r="C94" s="17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</row>
    <row r="95" ht="15.75" customHeight="1">
      <c r="A95" s="19"/>
      <c r="B95" s="19"/>
      <c r="C95" s="17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r="96" ht="15.75" customHeight="1">
      <c r="A96" s="19"/>
      <c r="B96" s="19"/>
      <c r="C96" s="17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</row>
    <row r="97" ht="15.75" customHeight="1">
      <c r="A97" s="19"/>
      <c r="B97" s="19"/>
      <c r="C97" s="17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r="98" ht="15.75" customHeight="1">
      <c r="A98" s="19"/>
      <c r="B98" s="19"/>
      <c r="C98" s="17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 ht="15.75" customHeight="1">
      <c r="A99" s="19"/>
      <c r="B99" s="19"/>
      <c r="C99" s="17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 ht="15.75" customHeight="1">
      <c r="A100" s="19"/>
      <c r="B100" s="19"/>
      <c r="C100" s="17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r="101" ht="15.75" customHeight="1">
      <c r="A101" s="19"/>
      <c r="B101" s="19"/>
      <c r="C101" s="17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 ht="15.75" customHeight="1">
      <c r="A102" s="19"/>
      <c r="B102" s="19"/>
      <c r="C102" s="17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r="103" ht="15.75" customHeight="1">
      <c r="A103" s="19"/>
      <c r="B103" s="19"/>
      <c r="C103" s="17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 ht="15.75" customHeight="1">
      <c r="A104" s="19"/>
      <c r="B104" s="19"/>
      <c r="C104" s="17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</row>
    <row r="105" ht="15.75" customHeight="1">
      <c r="A105" s="19"/>
      <c r="B105" s="19"/>
      <c r="C105" s="17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r="106" ht="15.75" customHeight="1">
      <c r="A106" s="19"/>
      <c r="B106" s="19"/>
      <c r="C106" s="17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</row>
    <row r="107" ht="15.75" customHeight="1">
      <c r="A107" s="19"/>
      <c r="B107" s="19"/>
      <c r="C107" s="17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r="108" ht="15.75" customHeight="1">
      <c r="A108" s="19"/>
      <c r="B108" s="19"/>
      <c r="C108" s="17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09" ht="15.75" customHeight="1">
      <c r="A109" s="19"/>
      <c r="B109" s="19"/>
      <c r="C109" s="17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r="110" ht="15.75" customHeight="1">
      <c r="A110" s="19"/>
      <c r="B110" s="19"/>
      <c r="C110" s="17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r="111" ht="15.75" customHeight="1">
      <c r="A111" s="19"/>
      <c r="B111" s="19"/>
      <c r="C111" s="17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r="112" ht="15.75" customHeight="1">
      <c r="A112" s="19"/>
      <c r="B112" s="19"/>
      <c r="C112" s="17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</row>
    <row r="113" ht="15.75" customHeight="1">
      <c r="A113" s="19"/>
      <c r="B113" s="19"/>
      <c r="C113" s="17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r="114" ht="15.75" customHeight="1">
      <c r="A114" s="19"/>
      <c r="B114" s="19"/>
      <c r="C114" s="17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</row>
    <row r="115" ht="15.75" customHeight="1">
      <c r="A115" s="19"/>
      <c r="B115" s="19"/>
      <c r="C115" s="17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</row>
    <row r="116" ht="15.75" customHeight="1">
      <c r="A116" s="19"/>
      <c r="B116" s="19"/>
      <c r="C116" s="17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</row>
    <row r="117" ht="15.75" customHeight="1">
      <c r="A117" s="19"/>
      <c r="B117" s="19"/>
      <c r="C117" s="17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r="118" ht="15.75" customHeight="1">
      <c r="A118" s="19"/>
      <c r="B118" s="19"/>
      <c r="C118" s="17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</row>
    <row r="119" ht="15.75" customHeight="1">
      <c r="A119" s="19"/>
      <c r="B119" s="19"/>
      <c r="C119" s="17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r="120" ht="15.75" customHeight="1">
      <c r="A120" s="19"/>
      <c r="B120" s="19"/>
      <c r="C120" s="17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</row>
    <row r="121" ht="15.75" customHeight="1">
      <c r="A121" s="19"/>
      <c r="B121" s="19"/>
      <c r="C121" s="17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</row>
    <row r="122" ht="15.75" customHeight="1">
      <c r="A122" s="19"/>
      <c r="B122" s="19"/>
      <c r="C122" s="17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</row>
    <row r="123" ht="15.75" customHeight="1">
      <c r="A123" s="19"/>
      <c r="B123" s="19"/>
      <c r="C123" s="17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</row>
    <row r="124" ht="15.75" customHeight="1">
      <c r="A124" s="19"/>
      <c r="B124" s="19"/>
      <c r="C124" s="17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</row>
    <row r="125" ht="15.75" customHeight="1">
      <c r="A125" s="19"/>
      <c r="B125" s="19"/>
      <c r="C125" s="17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r="126" ht="15.75" customHeight="1">
      <c r="A126" s="19"/>
      <c r="B126" s="19"/>
      <c r="C126" s="17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</row>
    <row r="127" ht="15.75" customHeight="1">
      <c r="A127" s="19"/>
      <c r="B127" s="19"/>
      <c r="C127" s="17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</row>
    <row r="128" ht="15.75" customHeight="1">
      <c r="A128" s="19"/>
      <c r="B128" s="19"/>
      <c r="C128" s="17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</row>
    <row r="129" ht="15.75" customHeight="1">
      <c r="A129" s="19"/>
      <c r="B129" s="19"/>
      <c r="C129" s="17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r="130" ht="15.75" customHeight="1">
      <c r="A130" s="19"/>
      <c r="B130" s="19"/>
      <c r="C130" s="17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</row>
    <row r="131" ht="15.75" customHeight="1">
      <c r="A131" s="19"/>
      <c r="B131" s="19"/>
      <c r="C131" s="17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r="132" ht="15.75" customHeight="1">
      <c r="A132" s="19"/>
      <c r="B132" s="19"/>
      <c r="C132" s="17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</row>
    <row r="133" ht="15.75" customHeight="1">
      <c r="A133" s="19"/>
      <c r="B133" s="19"/>
      <c r="C133" s="17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r="134" ht="15.75" customHeight="1">
      <c r="A134" s="19"/>
      <c r="B134" s="19"/>
      <c r="C134" s="17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</row>
    <row r="135" ht="15.75" customHeight="1">
      <c r="A135" s="19"/>
      <c r="B135" s="19"/>
      <c r="C135" s="17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r="136" ht="15.75" customHeight="1">
      <c r="A136" s="19"/>
      <c r="B136" s="19"/>
      <c r="C136" s="17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</row>
    <row r="137" ht="15.75" customHeight="1">
      <c r="A137" s="19"/>
      <c r="B137" s="19"/>
      <c r="C137" s="17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r="138" ht="15.75" customHeight="1">
      <c r="A138" s="19"/>
      <c r="B138" s="19"/>
      <c r="C138" s="17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r="139" ht="15.75" customHeight="1">
      <c r="A139" s="19"/>
      <c r="B139" s="19"/>
      <c r="C139" s="17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r="140" ht="15.75" customHeight="1">
      <c r="A140" s="19"/>
      <c r="B140" s="19"/>
      <c r="C140" s="17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</row>
    <row r="141" ht="15.75" customHeight="1">
      <c r="A141" s="19"/>
      <c r="B141" s="19"/>
      <c r="C141" s="17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</row>
    <row r="142" ht="15.75" customHeight="1">
      <c r="A142" s="19"/>
      <c r="B142" s="19"/>
      <c r="C142" s="17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</row>
    <row r="143" ht="15.75" customHeight="1">
      <c r="A143" s="19"/>
      <c r="B143" s="19"/>
      <c r="C143" s="17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</row>
    <row r="144" ht="15.75" customHeight="1">
      <c r="A144" s="19"/>
      <c r="B144" s="19"/>
      <c r="C144" s="17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</row>
    <row r="145" ht="15.75" customHeight="1">
      <c r="A145" s="19"/>
      <c r="B145" s="19"/>
      <c r="C145" s="17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</row>
    <row r="146" ht="15.75" customHeight="1">
      <c r="A146" s="19"/>
      <c r="B146" s="19"/>
      <c r="C146" s="17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</row>
    <row r="147" ht="15.75" customHeight="1">
      <c r="A147" s="19"/>
      <c r="B147" s="19"/>
      <c r="C147" s="17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</row>
    <row r="148" ht="15.75" customHeight="1">
      <c r="A148" s="19"/>
      <c r="B148" s="19"/>
      <c r="C148" s="17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</row>
    <row r="149" ht="15.75" customHeight="1">
      <c r="A149" s="19"/>
      <c r="B149" s="19"/>
      <c r="C149" s="17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</row>
    <row r="150" ht="15.75" customHeight="1">
      <c r="A150" s="19"/>
      <c r="B150" s="19"/>
      <c r="C150" s="17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</row>
    <row r="151" ht="15.75" customHeight="1">
      <c r="A151" s="19"/>
      <c r="B151" s="19"/>
      <c r="C151" s="17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</row>
    <row r="152" ht="15.75" customHeight="1">
      <c r="A152" s="19"/>
      <c r="B152" s="19"/>
      <c r="C152" s="17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</row>
    <row r="153" ht="15.75" customHeight="1">
      <c r="A153" s="19"/>
      <c r="B153" s="19"/>
      <c r="C153" s="17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</row>
    <row r="154" ht="15.75" customHeight="1">
      <c r="A154" s="19"/>
      <c r="B154" s="19"/>
      <c r="C154" s="17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</row>
    <row r="155" ht="15.75" customHeight="1">
      <c r="A155" s="19"/>
      <c r="B155" s="19"/>
      <c r="C155" s="17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</row>
    <row r="156" ht="15.75" customHeight="1">
      <c r="A156" s="19"/>
      <c r="B156" s="19"/>
      <c r="C156" s="17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</row>
    <row r="157" ht="15.75" customHeight="1">
      <c r="A157" s="19"/>
      <c r="B157" s="19"/>
      <c r="C157" s="17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</row>
    <row r="158" ht="15.75" customHeight="1">
      <c r="A158" s="19"/>
      <c r="B158" s="19"/>
      <c r="C158" s="17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</row>
    <row r="159" ht="15.75" customHeight="1">
      <c r="A159" s="19"/>
      <c r="B159" s="19"/>
      <c r="C159" s="17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</row>
    <row r="160" ht="15.75" customHeight="1">
      <c r="A160" s="19"/>
      <c r="B160" s="19"/>
      <c r="C160" s="17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</row>
    <row r="161" ht="15.75" customHeight="1">
      <c r="A161" s="19"/>
      <c r="B161" s="19"/>
      <c r="C161" s="17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</row>
    <row r="162" ht="15.75" customHeight="1">
      <c r="A162" s="19"/>
      <c r="B162" s="19"/>
      <c r="C162" s="17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</row>
    <row r="163" ht="15.75" customHeight="1">
      <c r="A163" s="19"/>
      <c r="B163" s="19"/>
      <c r="C163" s="17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</row>
    <row r="164" ht="15.75" customHeight="1">
      <c r="A164" s="19"/>
      <c r="B164" s="19"/>
      <c r="C164" s="17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</row>
    <row r="165" ht="15.75" customHeight="1">
      <c r="A165" s="19"/>
      <c r="B165" s="19"/>
      <c r="C165" s="17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</row>
    <row r="166" ht="15.75" customHeight="1">
      <c r="A166" s="19"/>
      <c r="B166" s="19"/>
      <c r="C166" s="17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</row>
    <row r="167" ht="15.75" customHeight="1">
      <c r="A167" s="19"/>
      <c r="B167" s="19"/>
      <c r="C167" s="17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</row>
    <row r="168" ht="15.75" customHeight="1">
      <c r="A168" s="19"/>
      <c r="B168" s="19"/>
      <c r="C168" s="17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</row>
    <row r="169" ht="15.75" customHeight="1">
      <c r="A169" s="19"/>
      <c r="B169" s="19"/>
      <c r="C169" s="17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</row>
    <row r="170" ht="15.75" customHeight="1">
      <c r="A170" s="19"/>
      <c r="B170" s="19"/>
      <c r="C170" s="17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</row>
    <row r="171" ht="15.75" customHeight="1">
      <c r="A171" s="19"/>
      <c r="B171" s="19"/>
      <c r="C171" s="17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</row>
    <row r="172" ht="15.75" customHeight="1">
      <c r="A172" s="19"/>
      <c r="B172" s="19"/>
      <c r="C172" s="17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</row>
    <row r="173" ht="15.75" customHeight="1">
      <c r="A173" s="19"/>
      <c r="B173" s="19"/>
      <c r="C173" s="17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</row>
    <row r="174" ht="15.75" customHeight="1">
      <c r="A174" s="19"/>
      <c r="B174" s="19"/>
      <c r="C174" s="17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</row>
    <row r="175" ht="15.75" customHeight="1">
      <c r="A175" s="19"/>
      <c r="B175" s="19"/>
      <c r="C175" s="17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</row>
    <row r="176" ht="15.75" customHeight="1">
      <c r="A176" s="19"/>
      <c r="B176" s="19"/>
      <c r="C176" s="17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</row>
    <row r="177" ht="15.75" customHeight="1">
      <c r="A177" s="19"/>
      <c r="B177" s="19"/>
      <c r="C177" s="17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</row>
    <row r="178" ht="15.75" customHeight="1">
      <c r="A178" s="19"/>
      <c r="B178" s="19"/>
      <c r="C178" s="17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</row>
    <row r="179" ht="15.75" customHeight="1">
      <c r="A179" s="19"/>
      <c r="B179" s="19"/>
      <c r="C179" s="17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</row>
    <row r="180" ht="15.75" customHeight="1">
      <c r="A180" s="19"/>
      <c r="B180" s="19"/>
      <c r="C180" s="17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</row>
    <row r="181" ht="15.75" customHeight="1">
      <c r="A181" s="19"/>
      <c r="B181" s="19"/>
      <c r="C181" s="17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</row>
    <row r="182" ht="15.75" customHeight="1">
      <c r="A182" s="19"/>
      <c r="B182" s="19"/>
      <c r="C182" s="17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</row>
    <row r="183" ht="15.75" customHeight="1">
      <c r="A183" s="19"/>
      <c r="B183" s="19"/>
      <c r="C183" s="17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r="184" ht="15.75" customHeight="1">
      <c r="A184" s="19"/>
      <c r="B184" s="19"/>
      <c r="C184" s="17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</row>
    <row r="185" ht="15.75" customHeight="1">
      <c r="A185" s="19"/>
      <c r="B185" s="19"/>
      <c r="C185" s="17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</row>
    <row r="186" ht="15.75" customHeight="1">
      <c r="A186" s="19"/>
      <c r="B186" s="19"/>
      <c r="C186" s="17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</row>
    <row r="187" ht="15.75" customHeight="1">
      <c r="A187" s="19"/>
      <c r="B187" s="19"/>
      <c r="C187" s="17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</row>
    <row r="188" ht="15.75" customHeight="1">
      <c r="A188" s="19"/>
      <c r="B188" s="19"/>
      <c r="C188" s="17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</row>
    <row r="189" ht="15.75" customHeight="1">
      <c r="A189" s="19"/>
      <c r="B189" s="19"/>
      <c r="C189" s="17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</row>
    <row r="190" ht="15.75" customHeight="1">
      <c r="A190" s="19"/>
      <c r="B190" s="19"/>
      <c r="C190" s="17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</row>
    <row r="191" ht="15.75" customHeight="1">
      <c r="A191" s="19"/>
      <c r="B191" s="19"/>
      <c r="C191" s="17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</row>
    <row r="192" ht="15.75" customHeight="1">
      <c r="A192" s="19"/>
      <c r="B192" s="19"/>
      <c r="C192" s="17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</row>
    <row r="193" ht="15.75" customHeight="1">
      <c r="A193" s="19"/>
      <c r="B193" s="19"/>
      <c r="C193" s="17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</row>
    <row r="194" ht="15.75" customHeight="1">
      <c r="A194" s="19"/>
      <c r="B194" s="19"/>
      <c r="C194" s="17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</row>
    <row r="195" ht="15.75" customHeight="1">
      <c r="A195" s="19"/>
      <c r="B195" s="19"/>
      <c r="C195" s="17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</row>
    <row r="196" ht="15.75" customHeight="1">
      <c r="A196" s="19"/>
      <c r="B196" s="19"/>
      <c r="C196" s="17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</row>
    <row r="197" ht="15.75" customHeight="1">
      <c r="A197" s="19"/>
      <c r="B197" s="19"/>
      <c r="C197" s="17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</row>
    <row r="198" ht="15.75" customHeight="1">
      <c r="A198" s="19"/>
      <c r="B198" s="19"/>
      <c r="C198" s="17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</row>
    <row r="199" ht="15.75" customHeight="1">
      <c r="A199" s="19"/>
      <c r="B199" s="19"/>
      <c r="C199" s="17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r="200" ht="15.75" customHeight="1">
      <c r="A200" s="19"/>
      <c r="B200" s="19"/>
      <c r="C200" s="17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</row>
    <row r="201" ht="15.75" customHeight="1">
      <c r="A201" s="19"/>
      <c r="B201" s="19"/>
      <c r="C201" s="17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</row>
    <row r="202" ht="15.75" customHeight="1">
      <c r="A202" s="19"/>
      <c r="B202" s="19"/>
      <c r="C202" s="17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</row>
    <row r="203" ht="15.75" customHeight="1">
      <c r="A203" s="19"/>
      <c r="B203" s="19"/>
      <c r="C203" s="17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</row>
    <row r="204" ht="15.75" customHeight="1">
      <c r="A204" s="19"/>
      <c r="B204" s="19"/>
      <c r="C204" s="17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</row>
    <row r="205" ht="15.75" customHeight="1">
      <c r="A205" s="19"/>
      <c r="B205" s="19"/>
      <c r="C205" s="17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</row>
    <row r="206" ht="15.75" customHeight="1">
      <c r="A206" s="19"/>
      <c r="B206" s="19"/>
      <c r="C206" s="17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</row>
    <row r="207" ht="15.75" customHeight="1">
      <c r="A207" s="19"/>
      <c r="B207" s="19"/>
      <c r="C207" s="17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</row>
    <row r="208" ht="15.75" customHeight="1">
      <c r="A208" s="19"/>
      <c r="B208" s="19"/>
      <c r="C208" s="17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</row>
    <row r="209" ht="15.75" customHeight="1">
      <c r="A209" s="19"/>
      <c r="B209" s="19"/>
      <c r="C209" s="17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</row>
    <row r="210" ht="15.75" customHeight="1">
      <c r="A210" s="19"/>
      <c r="B210" s="19"/>
      <c r="C210" s="17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</row>
    <row r="211" ht="15.75" customHeight="1">
      <c r="A211" s="19"/>
      <c r="B211" s="19"/>
      <c r="C211" s="17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</row>
    <row r="212" ht="15.75" customHeight="1">
      <c r="A212" s="19"/>
      <c r="B212" s="19"/>
      <c r="C212" s="17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</row>
    <row r="213" ht="15.75" customHeight="1">
      <c r="A213" s="19"/>
      <c r="B213" s="19"/>
      <c r="C213" s="17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</row>
    <row r="214" ht="15.75" customHeight="1">
      <c r="A214" s="19"/>
      <c r="B214" s="19"/>
      <c r="C214" s="17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</row>
    <row r="215" ht="15.75" customHeight="1">
      <c r="A215" s="19"/>
      <c r="B215" s="19"/>
      <c r="C215" s="17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</row>
    <row r="216" ht="15.75" customHeight="1">
      <c r="A216" s="19"/>
      <c r="B216" s="19"/>
      <c r="C216" s="17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</row>
    <row r="217" ht="15.75" customHeight="1">
      <c r="A217" s="19"/>
      <c r="B217" s="19"/>
      <c r="C217" s="17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</row>
    <row r="218" ht="15.75" customHeight="1">
      <c r="A218" s="19"/>
      <c r="B218" s="19"/>
      <c r="C218" s="17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</row>
    <row r="219" ht="15.75" customHeight="1">
      <c r="A219" s="19"/>
      <c r="B219" s="19"/>
      <c r="C219" s="17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</row>
    <row r="220" ht="15.75" customHeight="1">
      <c r="A220" s="19"/>
      <c r="B220" s="19"/>
      <c r="C220" s="17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</row>
    <row r="221" ht="15.75" customHeight="1">
      <c r="A221" s="19"/>
      <c r="B221" s="19"/>
      <c r="C221" s="17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</row>
    <row r="222" ht="15.75" customHeight="1">
      <c r="A222" s="19"/>
      <c r="B222" s="19"/>
      <c r="C222" s="17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</row>
    <row r="223" ht="15.75" customHeight="1">
      <c r="A223" s="19"/>
      <c r="B223" s="19"/>
      <c r="C223" s="17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</row>
    <row r="224" ht="15.75" customHeight="1">
      <c r="A224" s="19"/>
      <c r="B224" s="19"/>
      <c r="C224" s="17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3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0"/>
      <c r="Q1" s="20"/>
      <c r="R1" s="20"/>
      <c r="S1" s="1"/>
    </row>
    <row r="2" ht="15.75" customHeight="1">
      <c r="B2" s="4"/>
      <c r="C2" s="4"/>
      <c r="D2" s="4"/>
      <c r="E2" s="4"/>
      <c r="F2" s="4"/>
      <c r="G2" s="5"/>
      <c r="H2" s="5"/>
      <c r="I2" s="5"/>
      <c r="J2" s="4"/>
      <c r="K2" s="5"/>
      <c r="L2" s="5"/>
      <c r="M2" s="5"/>
      <c r="N2" s="5"/>
      <c r="O2" s="5"/>
      <c r="P2" s="5"/>
      <c r="Q2" s="5"/>
      <c r="R2" s="5"/>
      <c r="S2" s="6"/>
    </row>
    <row r="3" ht="15.75" customHeight="1">
      <c r="B3" s="4"/>
      <c r="C3" s="4"/>
      <c r="D3" s="4"/>
      <c r="E3" s="4"/>
      <c r="F3" s="4"/>
      <c r="G3" s="5"/>
      <c r="H3" s="5"/>
      <c r="I3" s="5"/>
      <c r="J3" s="4"/>
      <c r="K3" s="5"/>
      <c r="L3" s="5"/>
      <c r="M3" s="5"/>
      <c r="N3" s="5"/>
      <c r="O3" s="5"/>
      <c r="P3" s="5"/>
      <c r="Q3" s="5"/>
      <c r="R3" s="5"/>
      <c r="S3" s="6"/>
    </row>
    <row r="4" ht="15.75" customHeight="1">
      <c r="B4" s="4"/>
      <c r="C4" s="4"/>
      <c r="D4" s="4"/>
      <c r="E4" s="4"/>
      <c r="F4" s="4"/>
      <c r="G4" s="5"/>
      <c r="H4" s="5"/>
      <c r="I4" s="5"/>
      <c r="J4" s="4"/>
      <c r="K4" s="5"/>
      <c r="L4" s="5"/>
      <c r="M4" s="5"/>
      <c r="N4" s="5"/>
      <c r="O4" s="5"/>
      <c r="P4" s="5"/>
      <c r="Q4" s="5"/>
      <c r="R4" s="5"/>
      <c r="S4" s="6"/>
    </row>
    <row r="5" ht="15.75" customHeight="1">
      <c r="B5" s="4"/>
      <c r="C5" s="4"/>
      <c r="D5" s="4"/>
      <c r="E5" s="4"/>
      <c r="F5" s="4"/>
      <c r="G5" s="5"/>
      <c r="H5" s="5"/>
      <c r="I5" s="5"/>
      <c r="J5" s="4"/>
      <c r="K5" s="5"/>
      <c r="L5" s="5"/>
      <c r="M5" s="5"/>
      <c r="N5" s="5"/>
      <c r="O5" s="5"/>
      <c r="P5" s="5"/>
      <c r="Q5" s="5"/>
      <c r="R5" s="5"/>
      <c r="S5" s="6"/>
    </row>
    <row r="6" ht="15.75" customHeight="1"/>
    <row r="7" ht="15.75" customHeight="1"/>
    <row r="8" ht="15.75" customHeight="1">
      <c r="B8" s="3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0"/>
      <c r="Q8" s="20"/>
      <c r="R8" s="20"/>
      <c r="S8" s="1"/>
    </row>
    <row r="9" ht="15.75" customHeight="1">
      <c r="B9" s="4"/>
      <c r="C9" s="4"/>
      <c r="D9" s="4"/>
      <c r="E9" s="4"/>
      <c r="F9" s="4"/>
      <c r="G9" s="5"/>
      <c r="H9" s="5"/>
      <c r="I9" s="5"/>
      <c r="J9" s="4"/>
      <c r="K9" s="5"/>
      <c r="L9" s="5"/>
      <c r="M9" s="5"/>
      <c r="N9" s="5"/>
      <c r="O9" s="5"/>
      <c r="P9" s="5"/>
      <c r="Q9" s="5"/>
      <c r="R9" s="5"/>
      <c r="S9" s="6"/>
    </row>
    <row r="10" ht="15.75" customHeight="1">
      <c r="B10" s="4"/>
      <c r="C10" s="4"/>
      <c r="D10" s="4"/>
      <c r="E10" s="4"/>
      <c r="F10" s="4"/>
      <c r="G10" s="4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</row>
    <row r="11" ht="15.75" customHeight="1">
      <c r="B11" s="5"/>
      <c r="C11" s="5"/>
      <c r="D11" s="5"/>
      <c r="E11" s="5"/>
      <c r="F11" s="5"/>
      <c r="G11" s="5"/>
      <c r="H11" s="5"/>
      <c r="I11" s="4"/>
      <c r="J11" s="4"/>
      <c r="K11" s="4"/>
      <c r="L11" s="4"/>
      <c r="M11" s="4"/>
      <c r="N11" s="4"/>
      <c r="O11" s="4"/>
      <c r="P11" s="5"/>
      <c r="Q11" s="4"/>
      <c r="R11" s="4"/>
      <c r="S11" s="6"/>
    </row>
    <row r="12" ht="15.75" customHeight="1"/>
    <row r="13" ht="15.75" customHeight="1"/>
    <row r="14" ht="15.75" customHeight="1"/>
    <row r="15" ht="15.75" customHeight="1">
      <c r="B15" s="3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0"/>
      <c r="Q15" s="20"/>
      <c r="R15" s="20"/>
      <c r="S15" s="1"/>
    </row>
    <row r="16" ht="15.75" customHeight="1">
      <c r="A16" s="3"/>
      <c r="B16" s="41"/>
      <c r="C16" s="41"/>
      <c r="D16" s="41"/>
      <c r="E16" s="5"/>
      <c r="F16" s="5"/>
      <c r="G16" s="41"/>
      <c r="H16" s="41"/>
      <c r="I16" s="41"/>
      <c r="J16" s="5"/>
      <c r="K16" s="5"/>
      <c r="L16" s="41"/>
      <c r="M16" s="41"/>
      <c r="N16" s="41"/>
      <c r="O16" s="41"/>
      <c r="P16" s="41"/>
      <c r="Q16" s="41"/>
      <c r="R16" s="41"/>
      <c r="S16" s="5"/>
    </row>
    <row r="17" ht="15.75" customHeight="1">
      <c r="B17" s="4"/>
      <c r="C17" s="4"/>
      <c r="D17" s="4"/>
      <c r="E17" s="4"/>
      <c r="F17" s="4"/>
      <c r="G17" s="4"/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6"/>
    </row>
    <row r="18" ht="15.75" customHeight="1">
      <c r="B18" s="41"/>
      <c r="C18" s="41"/>
      <c r="D18" s="41"/>
      <c r="E18" s="41"/>
      <c r="F18" s="41"/>
      <c r="G18" s="41"/>
      <c r="H18" s="5"/>
      <c r="I18" s="5"/>
      <c r="J18" s="5"/>
      <c r="K18" s="41"/>
      <c r="L18" s="41"/>
      <c r="M18" s="5"/>
      <c r="N18" s="5"/>
      <c r="O18" s="41"/>
      <c r="P18" s="41"/>
      <c r="Q18" s="5"/>
      <c r="R18" s="5"/>
      <c r="S18" s="5"/>
    </row>
    <row r="19" ht="15.75" customHeight="1"/>
    <row r="20" ht="15.75" customHeight="1">
      <c r="A20" s="2"/>
      <c r="B20" s="3"/>
      <c r="C20" s="41"/>
      <c r="D20" s="41"/>
      <c r="E20" s="41"/>
      <c r="F20" s="5"/>
      <c r="G20" s="5"/>
      <c r="H20" s="41"/>
      <c r="I20" s="41"/>
      <c r="J20" s="41"/>
      <c r="K20" s="5"/>
      <c r="L20" s="5"/>
      <c r="M20" s="41"/>
      <c r="N20" s="41"/>
      <c r="O20" s="41"/>
      <c r="P20" s="41"/>
      <c r="Q20" s="41"/>
      <c r="R20" s="41"/>
      <c r="S20" s="41"/>
      <c r="T20" s="5"/>
      <c r="U20" s="42"/>
    </row>
    <row r="21" ht="15.75" customHeight="1">
      <c r="A21" s="2"/>
      <c r="B21" s="3"/>
      <c r="C21" s="41"/>
      <c r="D21" s="41"/>
      <c r="E21" s="41"/>
      <c r="F21" s="41"/>
      <c r="G21" s="41"/>
      <c r="H21" s="41"/>
      <c r="I21" s="41"/>
      <c r="J21" s="41"/>
      <c r="K21" s="5"/>
      <c r="L21" s="5"/>
      <c r="M21" s="41"/>
      <c r="N21" s="41"/>
      <c r="O21" s="41"/>
      <c r="P21" s="41"/>
      <c r="Q21" s="41"/>
      <c r="R21" s="5"/>
      <c r="S21" s="41"/>
      <c r="T21" s="5"/>
      <c r="U21" s="42"/>
    </row>
    <row r="22" ht="15.75" customHeight="1">
      <c r="A22" s="2"/>
      <c r="B22" s="3"/>
      <c r="C22" s="41"/>
      <c r="D22" s="41"/>
      <c r="E22" s="41"/>
      <c r="F22" s="41"/>
      <c r="G22" s="41"/>
      <c r="H22" s="41"/>
      <c r="I22" s="5"/>
      <c r="J22" s="5"/>
      <c r="K22" s="5"/>
      <c r="L22" s="41"/>
      <c r="M22" s="41"/>
      <c r="N22" s="5"/>
      <c r="O22" s="5"/>
      <c r="P22" s="41"/>
      <c r="Q22" s="41"/>
      <c r="R22" s="5"/>
      <c r="S22" s="5"/>
      <c r="T22" s="5"/>
      <c r="U22" s="42"/>
    </row>
    <row r="23" ht="15.75" customHeight="1">
      <c r="B23" s="3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0"/>
      <c r="Q23" s="20"/>
      <c r="R23" s="20"/>
      <c r="S23" s="1"/>
    </row>
    <row r="24" ht="15.75" customHeight="1">
      <c r="A24" s="3"/>
      <c r="B24" s="41"/>
      <c r="C24" s="41"/>
      <c r="D24" s="41"/>
      <c r="E24" s="5"/>
      <c r="F24" s="5"/>
      <c r="G24" s="41"/>
      <c r="H24" s="41"/>
      <c r="I24" s="41"/>
      <c r="J24" s="5"/>
      <c r="K24" s="5"/>
      <c r="L24" s="41"/>
      <c r="M24" s="41"/>
      <c r="N24" s="41"/>
      <c r="O24" s="41"/>
      <c r="P24" s="41"/>
      <c r="Q24" s="41"/>
      <c r="R24" s="41"/>
      <c r="S24" s="5"/>
    </row>
    <row r="25" ht="15.75" customHeight="1">
      <c r="B25" s="4"/>
      <c r="C25" s="4"/>
      <c r="D25" s="4"/>
      <c r="E25" s="4"/>
      <c r="F25" s="4"/>
      <c r="G25" s="4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6"/>
    </row>
    <row r="26" ht="15.75" customHeight="1">
      <c r="B26" s="41"/>
      <c r="C26" s="41"/>
      <c r="D26" s="41"/>
      <c r="E26" s="41"/>
      <c r="F26" s="41"/>
      <c r="G26" s="41"/>
      <c r="H26" s="5"/>
      <c r="I26" s="5"/>
      <c r="J26" s="5"/>
      <c r="K26" s="41"/>
      <c r="L26" s="41"/>
      <c r="M26" s="5"/>
      <c r="N26" s="5"/>
      <c r="O26" s="41"/>
      <c r="P26" s="41"/>
      <c r="Q26" s="5"/>
      <c r="R26" s="5"/>
      <c r="S26" s="5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4.43"/>
    <col customWidth="1" min="2" max="2" width="53.57"/>
    <col customWidth="1" min="3" max="6" width="14.43"/>
  </cols>
  <sheetData>
    <row r="1" ht="15.75" customHeight="1">
      <c r="A1" s="20" t="s">
        <v>0</v>
      </c>
      <c r="B1" s="21" t="s">
        <v>1</v>
      </c>
      <c r="C1" s="21" t="s">
        <v>100</v>
      </c>
      <c r="D1" s="22" t="s">
        <v>3</v>
      </c>
      <c r="E1" s="22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0" t="s">
        <v>17</v>
      </c>
      <c r="S1" s="20" t="s">
        <v>18</v>
      </c>
      <c r="T1" s="20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  <c r="AI1" s="1"/>
      <c r="AJ1" s="1"/>
      <c r="AK1" s="1"/>
      <c r="AL1" s="1"/>
    </row>
    <row r="2" ht="15.75" customHeight="1">
      <c r="A2" s="2">
        <v>1.0</v>
      </c>
      <c r="B2" s="3" t="s">
        <v>56</v>
      </c>
      <c r="C2" s="3"/>
      <c r="D2" s="4"/>
      <c r="E2" s="4"/>
      <c r="F2" s="4"/>
      <c r="G2" s="4"/>
      <c r="H2" s="4"/>
      <c r="I2" s="4">
        <f>0.08186535616</f>
        <v>0.08186535616</v>
      </c>
      <c r="J2" s="4"/>
      <c r="K2" s="5"/>
      <c r="L2" s="5">
        <f>0.1449931069</f>
        <v>0.1449931069</v>
      </c>
      <c r="M2" s="5">
        <f>0.1528288636</f>
        <v>0.1528288636</v>
      </c>
      <c r="N2" s="5">
        <f>0.1301477298</f>
        <v>0.1301477298</v>
      </c>
      <c r="O2" s="5">
        <f>0.118069397</f>
        <v>0.118069397</v>
      </c>
      <c r="P2" s="5">
        <f>0.1178022386/2</f>
        <v>0.0589011193</v>
      </c>
      <c r="Q2" s="5">
        <f>0.1061905309</f>
        <v>0.1061905309</v>
      </c>
      <c r="R2" s="5">
        <f>0.1010996297</f>
        <v>0.1010996297</v>
      </c>
      <c r="S2" s="5">
        <f>0.09187881559</f>
        <v>0.09187881559</v>
      </c>
      <c r="T2" s="5">
        <f>0.089861</f>
        <v>0.089861</v>
      </c>
      <c r="U2" s="6">
        <f>0.09117226615</f>
        <v>0.09117226615</v>
      </c>
      <c r="V2" s="6">
        <f>0.10003207</f>
        <v>0.10003207</v>
      </c>
      <c r="W2" s="6">
        <f>0.1005015636</f>
        <v>0.1005015636</v>
      </c>
      <c r="X2" s="6">
        <f>0.09554426109+0.1059981006/2+0.0847466159/2</f>
        <v>0.1909166193</v>
      </c>
      <c r="Y2" s="6">
        <f>0.08189554135</f>
        <v>0.08189554135</v>
      </c>
      <c r="Z2" s="6">
        <f>0.06713890004/3+0.07387908016</f>
        <v>0.09625871351</v>
      </c>
      <c r="AA2" s="6">
        <f>0.08978775078</f>
        <v>0.08978775078</v>
      </c>
      <c r="AB2" s="6">
        <f>0.07797135184</f>
        <v>0.07797135184</v>
      </c>
      <c r="AC2" s="6">
        <f>0.1058496033</f>
        <v>0.1058496033</v>
      </c>
      <c r="AD2" s="6">
        <f>0.030716/2+0.09813+0.053431/2</f>
        <v>0.1402035</v>
      </c>
      <c r="AE2" s="6">
        <f>0.093945</f>
        <v>0.093945</v>
      </c>
      <c r="AF2" s="6">
        <f>0.058247+0.03068/2+0.114849</f>
        <v>0.188436</v>
      </c>
      <c r="AG2" s="6">
        <f>0.111968</f>
        <v>0.111968</v>
      </c>
      <c r="AH2" s="6"/>
      <c r="AI2" s="6"/>
      <c r="AJ2" s="6"/>
      <c r="AK2" s="6"/>
      <c r="AL2" s="6"/>
    </row>
    <row r="3" ht="15.75" customHeight="1">
      <c r="A3" s="2">
        <v>2.0</v>
      </c>
      <c r="B3" s="3" t="s">
        <v>58</v>
      </c>
      <c r="C3" s="3"/>
      <c r="D3" s="4"/>
      <c r="E3" s="4"/>
      <c r="F3" s="4"/>
      <c r="G3" s="4">
        <f>0.06392279309/2+0.1282209062/2</f>
        <v>0.09607184965</v>
      </c>
      <c r="H3" s="4"/>
      <c r="I3" s="4"/>
      <c r="J3" s="4">
        <f>0.1302950367/2</f>
        <v>0.06514751835</v>
      </c>
      <c r="K3" s="4"/>
      <c r="L3" s="4">
        <f>0.0511549674/2+0.04757579124/2</f>
        <v>0.04936537932</v>
      </c>
      <c r="M3" s="4"/>
      <c r="N3" s="5"/>
      <c r="O3" s="5">
        <f>0.068900461/2</f>
        <v>0.0344502305</v>
      </c>
      <c r="P3" s="5">
        <f>0.09757341772/2</f>
        <v>0.04878670886</v>
      </c>
      <c r="Q3" s="5">
        <f>0.09417515498</f>
        <v>0.09417515498</v>
      </c>
      <c r="R3" s="5">
        <f>0.08569124196/2</f>
        <v>0.04284562098</v>
      </c>
      <c r="S3" s="5">
        <f>0.09081060512/2+0.08839764789/2</f>
        <v>0.08960412651</v>
      </c>
      <c r="T3" s="4">
        <f>0.106362/2</f>
        <v>0.053181</v>
      </c>
      <c r="U3" s="6">
        <f>0.1029910624</f>
        <v>0.1029910624</v>
      </c>
      <c r="V3" s="6">
        <f>0.09757643072/2+0.06267449192</f>
        <v>0.1114627073</v>
      </c>
      <c r="W3" s="6">
        <f>0.09507335079/2</f>
        <v>0.0475366754</v>
      </c>
      <c r="X3" s="6">
        <f>0.07361714491/2+0.1596152495/2</f>
        <v>0.1166161972</v>
      </c>
      <c r="Y3" s="6">
        <f>0.06684327931/2+0.08539598496/2+0.05716999875/2</f>
        <v>0.1047046315</v>
      </c>
      <c r="Z3" s="6">
        <f>0.06713890004/3+0.1254692331/2</f>
        <v>0.0851142499</v>
      </c>
      <c r="AA3" s="6">
        <f>0.1365598702/2+0.051756309/2</f>
        <v>0.0941580896</v>
      </c>
      <c r="AB3" s="6">
        <f>0.106528402642326/2</f>
        <v>0.05326420132</v>
      </c>
      <c r="AC3" s="6">
        <f>0.09966852355/2</f>
        <v>0.04983426178</v>
      </c>
      <c r="AD3" s="6">
        <f>0.080518/2</f>
        <v>0.040259</v>
      </c>
      <c r="AE3" s="6">
        <f>0.085819/2</f>
        <v>0.0429095</v>
      </c>
      <c r="AF3" s="6"/>
      <c r="AG3" s="6">
        <f>0.062558</f>
        <v>0.062558</v>
      </c>
      <c r="AH3" s="6"/>
      <c r="AI3" s="6"/>
      <c r="AJ3" s="6"/>
      <c r="AK3" s="6"/>
      <c r="AL3" s="6"/>
    </row>
    <row r="4" ht="15.75" customHeight="1">
      <c r="A4" s="2">
        <v>3.0</v>
      </c>
      <c r="B4" s="3" t="s">
        <v>60</v>
      </c>
      <c r="C4" s="3"/>
      <c r="D4" s="4"/>
      <c r="E4" s="4"/>
      <c r="F4" s="4">
        <f>0.05889706294/2+0.04553216731/2+0.09897500046</f>
        <v>0.1511896156</v>
      </c>
      <c r="G4" s="4">
        <f>0.03154144764</f>
        <v>0.03154144764</v>
      </c>
      <c r="H4" s="4"/>
      <c r="I4" s="4">
        <f>0.02474032887</f>
        <v>0.02474032887</v>
      </c>
      <c r="J4" s="4">
        <f>0.0441764022/2</f>
        <v>0.0220882011</v>
      </c>
      <c r="K4" s="4">
        <f>0.0233376529</f>
        <v>0.0233376529</v>
      </c>
      <c r="L4" s="4"/>
      <c r="M4" s="4"/>
      <c r="N4" s="4"/>
      <c r="O4" s="4"/>
      <c r="P4" s="4"/>
      <c r="Q4" s="4"/>
      <c r="R4" s="4"/>
      <c r="S4" s="4"/>
      <c r="T4" s="4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>
        <f>0.133817</f>
        <v>0.133817</v>
      </c>
      <c r="AG4" s="6">
        <f>0.098447/2</f>
        <v>0.0492235</v>
      </c>
      <c r="AH4" s="6"/>
      <c r="AI4" s="6"/>
      <c r="AJ4" s="6"/>
      <c r="AK4" s="6"/>
      <c r="AL4" s="6"/>
    </row>
    <row r="5" ht="15.75" customHeight="1">
      <c r="A5" s="2">
        <v>4.0</v>
      </c>
      <c r="B5" s="3" t="s">
        <v>62</v>
      </c>
      <c r="C5" s="3"/>
      <c r="D5" s="4"/>
      <c r="E5" s="4"/>
      <c r="F5" s="4">
        <f>0.1063332682/2</f>
        <v>0.0531666341</v>
      </c>
      <c r="G5" s="4">
        <f>0.06392279309/2+0.1282209062/2</f>
        <v>0.09607184965</v>
      </c>
      <c r="H5" s="4">
        <f>0.08905093187/2+0.07623312697/2+0.08586645965/2</f>
        <v>0.1255752592</v>
      </c>
      <c r="I5" s="5">
        <f t="shared" ref="I5:I6" si="1">0.1099742573/3</f>
        <v>0.03665808577</v>
      </c>
      <c r="J5" s="5">
        <f>0.08126029792/2+0.08186210295/3</f>
        <v>0.06791751661</v>
      </c>
      <c r="K5" s="5">
        <f>0.09556775062</f>
        <v>0.09556775062</v>
      </c>
      <c r="L5" s="4">
        <f>0.1279759344/2+0.0511549674/2+0.04757579124/2</f>
        <v>0.1133533465</v>
      </c>
      <c r="M5" s="5">
        <f>0.09608562054/2+0.0533250086/2+0.06112872983/2</f>
        <v>0.1052696795</v>
      </c>
      <c r="N5" s="5">
        <f>0.09890628685/2+0.03075425632/2+0.0550779812/2+0.1248757214/2+0.0643369018/2+0.1393131102/2</f>
        <v>0.2566321289</v>
      </c>
      <c r="O5" s="5">
        <f>0.08565438143/2+0.0746849474+0.1243326397/2+0.08009755819/2+0.07302562249/2+0.09976513949+0.07757735837</f>
        <v>0.4335825462</v>
      </c>
      <c r="P5" s="5">
        <f>0.1178022386/2+0.07988959287/2+0.04237702992/2+0.09757341772/2+0.04073601883+0.1013323056/2+0.1055095074/2+0.1336718649+0.09244884817/2</f>
        <v>0.4928743539</v>
      </c>
      <c r="Q5" s="5">
        <f>0.08815515496/2+0.05534924092/2+0.05879218906/2+0.08817469008/2+0.06640156188/2+0.1182734432/2+0.1379632817/3</f>
        <v>0.2835609006</v>
      </c>
      <c r="R5" s="5">
        <f>0.04366528756/2+0.08569124196/2+0.1134294892/2+0.07206875059/2+0.1278214128/2+0.1100667949/2</f>
        <v>0.2763714885</v>
      </c>
      <c r="S5" s="5">
        <f>0.09081060512/2+0.07043951608/2+0.1473132313+0.08839764789/2+0.07891362044/2+0.07207663067</f>
        <v>0.3836705567</v>
      </c>
      <c r="T5" s="5">
        <f>0.138368/2+0.106362/2+0.080275/2+0.088992/2+0.065518/3+0.11268/2+0.065583/2</f>
        <v>0.3179693333</v>
      </c>
      <c r="U5" s="6">
        <f>0.05587657915/2+0.1109742888/2+0.113426163+0.08722086795+0.03252006439/2</f>
        <v>0.3003324971</v>
      </c>
      <c r="V5" s="6">
        <f>0.09757643072/2+0.06928134886/2+0.03251858954/2+0.1107451654/2+0.153766576/2</f>
        <v>0.2319440553</v>
      </c>
      <c r="W5" s="6">
        <f>0.1236972398/2+0.07269340911+0.04467662707/2+0.109284069/2+0.07299056869+0.09507335079/2</f>
        <v>0.3320496211</v>
      </c>
      <c r="X5" s="6">
        <f>0.05392180792/2+0.07361714491/2+0.1596152495/2+0.1377528686/2+0.1059981006/2+0.0847466159/2</f>
        <v>0.3078258937</v>
      </c>
      <c r="Y5" s="6">
        <f>0.1304059838/2+0.2237573305/2+0.07464591853+0.06684327931/2+0.1150720699/2+0.08539598496/2+0.05716999875/2</f>
        <v>0.4139682421</v>
      </c>
      <c r="Z5" s="6">
        <f>0.1335981936+0.06713890004/3+0.0343606778/2+0.1212696779/2+0.1254692331/2+0.09355176557+0.04145217137/3</f>
        <v>0.4038967774</v>
      </c>
      <c r="AA5" s="6">
        <f>0.09120044548/2+0.06747921646/2+0.1365598702/2+0.051756309/2+0.1194012252/2+0.06880024723/2+0.05113272503/2</f>
        <v>0.2931650193</v>
      </c>
      <c r="AB5" s="6">
        <f>0.1308336072/2+0.1031102095/2+0.09115026595/2+0.0767570738/2+0.106528402642326/2+0.08546621407/3</f>
        <v>0.2826785176</v>
      </c>
      <c r="AC5" s="6">
        <f>0.06072554751/2+0.09966852355/2+0.06736012868+0.1212344857/2+0.05197583289/2+0.1025433452/2</f>
        <v>0.2854339961</v>
      </c>
      <c r="AD5" s="6">
        <f>0.030716/2+0.080518/2+0.137706</f>
        <v>0.193323</v>
      </c>
      <c r="AE5" s="6">
        <f>0.085819/2+0.125786+0.060495/2+0.121014/2+0.071556/2</f>
        <v>0.295228</v>
      </c>
      <c r="AF5" s="6">
        <f>0.213192/2+0.188129/2</f>
        <v>0.2006605</v>
      </c>
      <c r="AG5" s="6">
        <f>0.071179+0.149/2+0.099265/2</f>
        <v>0.1953115</v>
      </c>
      <c r="AH5" s="6"/>
      <c r="AI5" s="6"/>
      <c r="AJ5" s="6"/>
      <c r="AK5" s="6"/>
      <c r="AL5" s="6"/>
    </row>
    <row r="6" ht="15.75" customHeight="1">
      <c r="A6" s="2">
        <v>5.0</v>
      </c>
      <c r="B6" s="3" t="s">
        <v>64</v>
      </c>
      <c r="C6" s="3"/>
      <c r="D6" s="4"/>
      <c r="E6" s="4"/>
      <c r="F6" s="4"/>
      <c r="G6" s="4"/>
      <c r="H6" s="4">
        <f>0.08905093187/2</f>
        <v>0.04452546594</v>
      </c>
      <c r="I6" s="4">
        <f t="shared" si="1"/>
        <v>0.03665808577</v>
      </c>
      <c r="J6" s="4">
        <f>0.08186210295/3</f>
        <v>0.02728736765</v>
      </c>
      <c r="K6" s="4"/>
      <c r="L6" s="4"/>
      <c r="M6" s="4">
        <f>0.09608562054/2</f>
        <v>0.04804281027</v>
      </c>
      <c r="N6" s="5">
        <f>0.09490338065/2+0.1248757214/2+0.0643369018/2</f>
        <v>0.1420580019</v>
      </c>
      <c r="O6" s="5">
        <f>0.1243326397/2</f>
        <v>0.06216631985</v>
      </c>
      <c r="P6" s="5">
        <f>0.1013323056/2</f>
        <v>0.0506661528</v>
      </c>
      <c r="Q6" s="5">
        <f>0.08817469008/2+0.1379632817/3</f>
        <v>0.09007510561</v>
      </c>
      <c r="R6" s="5">
        <f>0.1278214128/2</f>
        <v>0.0639107064</v>
      </c>
      <c r="S6" s="4"/>
      <c r="T6" s="5">
        <f>0.11268/2</f>
        <v>0.05634</v>
      </c>
      <c r="U6" s="6"/>
      <c r="V6" s="6">
        <f>0.1107451654/2</f>
        <v>0.0553725827</v>
      </c>
      <c r="W6" s="6">
        <f>0.109284069/2</f>
        <v>0.0546420345</v>
      </c>
      <c r="X6" s="6">
        <f>0.05392180792/2</f>
        <v>0.02696090396</v>
      </c>
      <c r="Y6" s="6">
        <f>0.1304059838/2+0.05536582709</f>
        <v>0.120568819</v>
      </c>
      <c r="Z6" s="6">
        <f>0.1212696779/2+0.04145217137/3</f>
        <v>0.07445222941</v>
      </c>
      <c r="AA6" s="6">
        <f>0.06880024723/2</f>
        <v>0.03440012362</v>
      </c>
      <c r="AB6" s="6">
        <f>0.1308336072/2</f>
        <v>0.0654168036</v>
      </c>
      <c r="AC6" s="6">
        <f>0.1212344857/2</f>
        <v>0.06061724285</v>
      </c>
      <c r="AD6" s="6">
        <f>0.058062/2</f>
        <v>0.029031</v>
      </c>
      <c r="AE6" s="6">
        <f>0.121014/2</f>
        <v>0.060507</v>
      </c>
      <c r="AF6" s="6">
        <f>0.188129/2</f>
        <v>0.0940645</v>
      </c>
      <c r="AG6" s="6">
        <f>0.149/2</f>
        <v>0.0745</v>
      </c>
      <c r="AH6" s="6"/>
      <c r="AI6" s="6"/>
      <c r="AJ6" s="6"/>
      <c r="AK6" s="6"/>
      <c r="AL6" s="6"/>
    </row>
    <row r="7" ht="15.75" customHeight="1">
      <c r="A7" s="2">
        <v>6.0</v>
      </c>
      <c r="B7" s="3" t="s">
        <v>66</v>
      </c>
      <c r="C7" s="3"/>
      <c r="D7" s="4"/>
      <c r="E7" s="4"/>
      <c r="F7" s="4">
        <f>0.08431029312/2</f>
        <v>0.04215514656</v>
      </c>
      <c r="G7" s="4"/>
      <c r="H7" s="4"/>
      <c r="I7" s="4"/>
      <c r="J7" s="4"/>
      <c r="K7" s="4"/>
      <c r="L7" s="4"/>
      <c r="M7" s="4"/>
      <c r="N7" s="5">
        <f>0.09890628685/2+0.09490338065/2</f>
        <v>0.09690483375</v>
      </c>
      <c r="O7" s="5">
        <f>0.08009755819/2+0.07302562249/2</f>
        <v>0.07656159034</v>
      </c>
      <c r="P7" s="5">
        <f>0.07988959287/2+0.04237702992/2</f>
        <v>0.0611333114</v>
      </c>
      <c r="Q7" s="5">
        <f>0.05879218906/2+0.06640156188/2+0.1182734432/2+0.1379632817/3</f>
        <v>0.1677213576</v>
      </c>
      <c r="R7" s="5">
        <f>0.04366528756/2+0.1134294892/2+0.1100667949/2</f>
        <v>0.1335807858</v>
      </c>
      <c r="S7" s="5">
        <f>0.07891362044/2</f>
        <v>0.03945681022</v>
      </c>
      <c r="T7" s="5">
        <f>0.088992/2+0.065518/3</f>
        <v>0.06633533333</v>
      </c>
      <c r="U7" s="6">
        <f>0.1109742888/2</f>
        <v>0.0554871444</v>
      </c>
      <c r="V7" s="6">
        <f>0.153766576/2</f>
        <v>0.076883288</v>
      </c>
      <c r="W7" s="6">
        <f>0.1236972398/2</f>
        <v>0.0618486199</v>
      </c>
      <c r="X7" s="6">
        <f>0.1377528686/2</f>
        <v>0.0688764343</v>
      </c>
      <c r="Y7" s="6"/>
      <c r="Z7" s="6"/>
      <c r="AA7" s="6">
        <f>0.09120044548/2</f>
        <v>0.04560022274</v>
      </c>
      <c r="AB7" s="6">
        <f>0.08546621407/3</f>
        <v>0.02848873802</v>
      </c>
      <c r="AC7" s="6"/>
      <c r="AD7" s="6"/>
      <c r="AE7" s="6"/>
      <c r="AF7" s="6">
        <f>0.213192/2</f>
        <v>0.106596</v>
      </c>
      <c r="AG7" s="6">
        <f>0.098447/2</f>
        <v>0.0492235</v>
      </c>
      <c r="AH7" s="6"/>
      <c r="AI7" s="6"/>
      <c r="AJ7" s="6"/>
      <c r="AK7" s="6"/>
      <c r="AL7" s="6"/>
    </row>
    <row r="8" ht="15.75" customHeight="1">
      <c r="A8" s="2">
        <v>7.0</v>
      </c>
      <c r="B8" s="3" t="s">
        <v>68</v>
      </c>
      <c r="C8" s="3"/>
      <c r="D8" s="4"/>
      <c r="E8" s="4"/>
      <c r="F8" s="5"/>
      <c r="G8" s="5"/>
      <c r="H8" s="4">
        <f>0.07623312697/2</f>
        <v>0.03811656349</v>
      </c>
      <c r="I8" s="4">
        <f>0.1099742573/3</f>
        <v>0.03665808577</v>
      </c>
      <c r="J8" s="4">
        <f>0.08186210295/3</f>
        <v>0.02728736765</v>
      </c>
      <c r="K8" s="4"/>
      <c r="L8" s="5"/>
      <c r="M8" s="5">
        <f>0.06112872983/2</f>
        <v>0.03056436492</v>
      </c>
      <c r="N8" s="4">
        <f>0.03075425632/2+0.0550779812/2</f>
        <v>0.04291611876</v>
      </c>
      <c r="O8" s="4">
        <f>0.068900461/2</f>
        <v>0.0344502305</v>
      </c>
      <c r="P8" s="4">
        <f>0.1055095074/2</f>
        <v>0.0527547537</v>
      </c>
      <c r="Q8" s="4">
        <f>0.05534924092/2</f>
        <v>0.02767462046</v>
      </c>
      <c r="R8" s="4">
        <f>0.07206875059/2</f>
        <v>0.0360343753</v>
      </c>
      <c r="S8" s="4">
        <f>0.07043951608/2</f>
        <v>0.03521975804</v>
      </c>
      <c r="T8" s="5">
        <f>0.080275/2+0.065583/2</f>
        <v>0.072929</v>
      </c>
      <c r="U8" s="6">
        <f>0.05587657915/2</f>
        <v>0.02793828958</v>
      </c>
      <c r="V8" s="6">
        <f>0.06928134886/2</f>
        <v>0.03464067443</v>
      </c>
      <c r="W8" s="6">
        <f>0.04467662707/2</f>
        <v>0.02233831354</v>
      </c>
      <c r="X8" s="6"/>
      <c r="Y8" s="6">
        <f>0.1150720699/2</f>
        <v>0.05753603495</v>
      </c>
      <c r="Z8" s="6">
        <f>0.0343606778/2+0.04145217137/3</f>
        <v>0.03099772936</v>
      </c>
      <c r="AA8" s="6">
        <f>0.06747921646/2+0.1194012252/2</f>
        <v>0.09344022083</v>
      </c>
      <c r="AB8" s="6">
        <f>0.1031102095/2+0.09115026595/2</f>
        <v>0.09713023773</v>
      </c>
      <c r="AC8" s="6">
        <f>0.06072554751/2+0.05197583289/2</f>
        <v>0.0563506902</v>
      </c>
      <c r="AD8" s="6">
        <f>0.058062/2</f>
        <v>0.029031</v>
      </c>
      <c r="AE8" s="6">
        <f>0.060495/2+0.071556/2</f>
        <v>0.0660255</v>
      </c>
      <c r="AF8" s="6">
        <f>0.04277</f>
        <v>0.04277</v>
      </c>
      <c r="AG8" s="6">
        <f>0.099265/2</f>
        <v>0.0496325</v>
      </c>
      <c r="AH8" s="6"/>
      <c r="AI8" s="6"/>
      <c r="AJ8" s="6"/>
      <c r="AK8" s="6"/>
      <c r="AL8" s="6"/>
    </row>
    <row r="9" ht="15.75" customHeight="1">
      <c r="A9" s="2">
        <v>8.0</v>
      </c>
      <c r="B9" s="3" t="s">
        <v>70</v>
      </c>
      <c r="C9" s="3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  <c r="Q9" s="4"/>
      <c r="R9" s="4"/>
      <c r="S9" s="4"/>
      <c r="T9" s="4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ht="15.75" customHeight="1">
      <c r="A10" s="2">
        <v>9.0</v>
      </c>
      <c r="B10" s="3" t="s">
        <v>72</v>
      </c>
      <c r="C10" s="3"/>
      <c r="D10" s="4"/>
      <c r="E10" s="4"/>
      <c r="F10" s="4"/>
      <c r="G10" s="4"/>
      <c r="H10" s="4"/>
      <c r="I10" s="4"/>
      <c r="J10" s="4"/>
      <c r="K10" s="4"/>
      <c r="L10" s="4"/>
      <c r="M10" s="4">
        <f>0.0533250086/2+0.1160483819</f>
        <v>0.1427108862</v>
      </c>
      <c r="N10" s="4">
        <f>0.1091389344</f>
        <v>0.1091389344</v>
      </c>
      <c r="O10" s="4">
        <f>0.08565438143/2</f>
        <v>0.04282719072</v>
      </c>
      <c r="P10" s="4">
        <f>0.09244884817/2</f>
        <v>0.04622442409</v>
      </c>
      <c r="Q10" s="4">
        <f>0.08815515496/2</f>
        <v>0.04407757748</v>
      </c>
      <c r="R10" s="4">
        <f>0.1142583662</f>
        <v>0.1142583662</v>
      </c>
      <c r="S10" s="4">
        <f>0.1030542488</f>
        <v>0.1030542488</v>
      </c>
      <c r="T10" s="4">
        <f>0.100274</f>
        <v>0.100274</v>
      </c>
      <c r="U10" s="6">
        <f>0.10997979</f>
        <v>0.10997979</v>
      </c>
      <c r="V10" s="6">
        <f>0.116483914</f>
        <v>0.116483914</v>
      </c>
      <c r="W10" s="6">
        <f>0.1135783423</f>
        <v>0.1135783423</v>
      </c>
      <c r="X10" s="6">
        <f>0.04837102991+0.09377823521</f>
        <v>0.1421492651</v>
      </c>
      <c r="Y10" s="6">
        <f>0.1094480658</f>
        <v>0.1094480658</v>
      </c>
      <c r="Z10" s="6">
        <f>0.1261063964</f>
        <v>0.1261063964</v>
      </c>
      <c r="AA10" s="6">
        <f>0.1327834343</f>
        <v>0.1327834343</v>
      </c>
      <c r="AB10" s="6">
        <f>0.06253820089+0.07768465689</f>
        <v>0.1402228578</v>
      </c>
      <c r="AC10" s="6">
        <f>0.04921241489+0.08486343437</f>
        <v>0.1340758493</v>
      </c>
      <c r="AD10" s="6">
        <f>0.053431/2+0.117701</f>
        <v>0.1444165</v>
      </c>
      <c r="AE10" s="6">
        <f>0.124821</f>
        <v>0.124821</v>
      </c>
      <c r="AF10" s="6">
        <f>0.0998+0.060948</f>
        <v>0.160748</v>
      </c>
      <c r="AG10" s="6">
        <f>0.128514</f>
        <v>0.128514</v>
      </c>
      <c r="AH10" s="6"/>
      <c r="AI10" s="6"/>
      <c r="AJ10" s="6"/>
      <c r="AK10" s="6"/>
      <c r="AL10" s="6"/>
    </row>
    <row r="11" ht="15.75" customHeight="1">
      <c r="A11" s="2">
        <v>10.0</v>
      </c>
      <c r="B11" s="3" t="s">
        <v>74</v>
      </c>
      <c r="C11" s="3"/>
      <c r="D11" s="4"/>
      <c r="E11" s="4"/>
      <c r="F11" s="4">
        <f>0.1063332682/2</f>
        <v>0.0531666341</v>
      </c>
      <c r="G11" s="4"/>
      <c r="H11" s="5"/>
      <c r="I11" s="5">
        <f>0.06123128859/2</f>
        <v>0.0306156443</v>
      </c>
      <c r="J11" s="5"/>
      <c r="K11" s="5">
        <f>0.07507289032/2</f>
        <v>0.03753644516</v>
      </c>
      <c r="L11" s="5">
        <f>0.1279759344/2</f>
        <v>0.0639879672</v>
      </c>
      <c r="M11" s="5">
        <f>0.06410757424</f>
        <v>0.06410757424</v>
      </c>
      <c r="N11" s="5"/>
      <c r="O11" s="5"/>
      <c r="P11" s="4"/>
      <c r="Q11" s="4"/>
      <c r="R11" s="4"/>
      <c r="S11" s="5"/>
      <c r="T11" s="4"/>
      <c r="U11" s="6"/>
      <c r="V11" s="6"/>
      <c r="W11" s="6"/>
      <c r="X11" s="6"/>
      <c r="Y11" s="6"/>
      <c r="Z11" s="6"/>
      <c r="AA11" s="6">
        <f>0.05113272503/2</f>
        <v>0.02556636252</v>
      </c>
      <c r="AB11" s="6">
        <f>0.0767570738/2</f>
        <v>0.0383785369</v>
      </c>
      <c r="AC11" s="6">
        <f>0.1025433452/2</f>
        <v>0.0512716726</v>
      </c>
      <c r="AD11" s="6">
        <f>0.147956</f>
        <v>0.147956</v>
      </c>
      <c r="AE11" s="6"/>
      <c r="AF11" s="6"/>
      <c r="AG11" s="6">
        <f>0.039542</f>
        <v>0.039542</v>
      </c>
      <c r="AH11" s="6"/>
      <c r="AI11" s="6"/>
      <c r="AJ11" s="6"/>
      <c r="AK11" s="6"/>
      <c r="AL11" s="6"/>
    </row>
    <row r="12" ht="15.75" customHeight="1">
      <c r="A12" s="2">
        <v>11.0</v>
      </c>
      <c r="B12" s="3" t="s">
        <v>76</v>
      </c>
      <c r="C12" s="3"/>
      <c r="D12" s="4"/>
      <c r="E12" s="4"/>
      <c r="F12" s="5"/>
      <c r="G12" s="5"/>
      <c r="H12" s="5"/>
      <c r="I12" s="5"/>
      <c r="J12" s="5"/>
      <c r="K12" s="5"/>
      <c r="L12" s="5"/>
      <c r="M12" s="5"/>
      <c r="N12" s="4"/>
      <c r="O12" s="5"/>
      <c r="P12" s="5"/>
      <c r="Q12" s="4"/>
      <c r="R12" s="4"/>
      <c r="S12" s="4"/>
      <c r="T12" s="4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ht="15.75" customHeight="1">
      <c r="A13" s="2">
        <v>12.0</v>
      </c>
      <c r="B13" s="3" t="s">
        <v>78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ht="15.75" customHeight="1">
      <c r="A14" s="2">
        <v>13.0</v>
      </c>
      <c r="B14" s="3" t="s">
        <v>80</v>
      </c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ht="15.75" customHeight="1">
      <c r="A15" s="2">
        <v>101.0</v>
      </c>
      <c r="B15" s="3" t="s">
        <v>81</v>
      </c>
      <c r="C15" s="3"/>
      <c r="D15" s="4"/>
      <c r="E15" s="4"/>
      <c r="F15" s="4">
        <f>0.06813865033+0.2098085546/2+0.1545118944</f>
        <v>0.327554822</v>
      </c>
      <c r="G15" s="4">
        <f>0.170721848/2</f>
        <v>0.085360924</v>
      </c>
      <c r="H15" s="4">
        <f>0.05540767787/2</f>
        <v>0.02770383894</v>
      </c>
      <c r="I15" s="4">
        <f>0.09278024212/2+0.1145536565+0.1905926794/2+0.06123128859/2</f>
        <v>0.2868557616</v>
      </c>
      <c r="J15" s="4">
        <f>0.08155906183/2+0.0822646381651217+0.1127131176/2+0.0441764022/2</f>
        <v>0.201488929</v>
      </c>
      <c r="K15" s="4">
        <f>0.1329923965+0.1581569149/2+0.07507289032/2+0.1086574478+0.08926100124+0.08366979291+0.08133853932+0.1519456134/2</f>
        <v>0.6885068871</v>
      </c>
      <c r="L15" s="4">
        <f>0.1337743031/3+0.1162757533+0.1137403962+0.1095693232</f>
        <v>0.3841769071</v>
      </c>
      <c r="M15" s="4">
        <f>0.1818457032/2+0.1541574823+0.05663592536+0.06383671044</f>
        <v>0.3655529697</v>
      </c>
      <c r="N15" s="4">
        <f>0.1525456974/2+0.1393131102/2</f>
        <v>0.1459294038</v>
      </c>
      <c r="O15" s="4">
        <f>0.1978924949</f>
        <v>0.1978924949</v>
      </c>
      <c r="P15" s="4">
        <f>0.188659176</f>
        <v>0.188659176</v>
      </c>
      <c r="Q15" s="4">
        <f>0.1865247523</f>
        <v>0.1865247523</v>
      </c>
      <c r="R15" s="4">
        <f>0.1295684199/2+0.1023306072/2</f>
        <v>0.1159495136</v>
      </c>
      <c r="S15" s="4">
        <f>0.110511939+0.1466037452/2</f>
        <v>0.1838138116</v>
      </c>
      <c r="T15" s="4">
        <f>0.138368/2+0.152087</f>
        <v>0.221271</v>
      </c>
      <c r="U15" s="6">
        <f>0.1504211978/2+0.1454177203/2</f>
        <v>0.1479194591</v>
      </c>
      <c r="V15" s="6">
        <f>0.03251858954/2+0.1445232837/2</f>
        <v>0.08852093662</v>
      </c>
      <c r="W15" s="6">
        <f>0.1660941553</f>
        <v>0.1660941553</v>
      </c>
      <c r="X15" s="6">
        <f>0.1466546863</f>
        <v>0.1466546863</v>
      </c>
      <c r="Y15" s="6">
        <f>0.2237573305/2</f>
        <v>0.1118786653</v>
      </c>
      <c r="Z15" s="6">
        <f t="shared" ref="Z15:Z16" si="2">0.183173904/2</f>
        <v>0.091586952</v>
      </c>
      <c r="AA15" s="6">
        <f>0.1910987764</f>
        <v>0.1910987764</v>
      </c>
      <c r="AB15" s="6">
        <f>0.1879600172</f>
        <v>0.1879600172</v>
      </c>
      <c r="AC15" s="6">
        <f>0.2565666839</f>
        <v>0.2565666839</v>
      </c>
      <c r="AD15" s="6"/>
      <c r="AE15" s="6">
        <f>0.11955</f>
        <v>0.11955</v>
      </c>
      <c r="AF15" s="6">
        <f>0.057567</f>
        <v>0.057567</v>
      </c>
      <c r="AG15" s="6">
        <f>0.132788+0.106741</f>
        <v>0.239529</v>
      </c>
      <c r="AH15" s="6"/>
      <c r="AI15" s="6"/>
      <c r="AJ15" s="6"/>
      <c r="AK15" s="6"/>
      <c r="AL15" s="6"/>
    </row>
    <row r="16" ht="15.75" customHeight="1">
      <c r="A16" s="2">
        <v>102.0</v>
      </c>
      <c r="B16" s="3" t="s">
        <v>83</v>
      </c>
      <c r="C16" s="3"/>
      <c r="D16" s="4"/>
      <c r="E16" s="4"/>
      <c r="F16" s="4">
        <f>0.08431029312/2</f>
        <v>0.04215514656</v>
      </c>
      <c r="G16" s="4">
        <f>0.04702937698</f>
        <v>0.04702937698</v>
      </c>
      <c r="H16" s="4">
        <f>0.1206231149</f>
        <v>0.1206231149</v>
      </c>
      <c r="I16" s="4"/>
      <c r="J16" s="4">
        <f>0.1174333436</f>
        <v>0.1174333436</v>
      </c>
      <c r="K16" s="4"/>
      <c r="L16" s="4">
        <f>0.1235113153</f>
        <v>0.1235113153</v>
      </c>
      <c r="M16" s="4">
        <f>0.1818457032/2</f>
        <v>0.0909228516</v>
      </c>
      <c r="N16" s="4"/>
      <c r="O16" s="4"/>
      <c r="P16" s="4"/>
      <c r="Q16" s="4"/>
      <c r="R16" s="4">
        <f>0.1295684199/2</f>
        <v>0.06478420995</v>
      </c>
      <c r="S16" s="4">
        <f>0.1466037452/2</f>
        <v>0.0733018726</v>
      </c>
      <c r="T16" s="4">
        <f>0.065518/3</f>
        <v>0.02183933333</v>
      </c>
      <c r="U16" s="6">
        <f>0.1504211978/2</f>
        <v>0.0752105989</v>
      </c>
      <c r="V16" s="6">
        <f>0.1445232837/2</f>
        <v>0.07226164185</v>
      </c>
      <c r="W16" s="6">
        <f>0.1014106743</f>
        <v>0.1014106743</v>
      </c>
      <c r="X16" s="6"/>
      <c r="Y16" s="6"/>
      <c r="Z16" s="6">
        <f t="shared" si="2"/>
        <v>0.091586952</v>
      </c>
      <c r="AA16" s="6"/>
      <c r="AB16" s="6"/>
      <c r="AC16" s="6"/>
      <c r="AD16" s="6">
        <f>0.098237/2</f>
        <v>0.0491185</v>
      </c>
      <c r="AE16" s="6">
        <f>0.105507</f>
        <v>0.105507</v>
      </c>
      <c r="AF16" s="6"/>
      <c r="AG16" s="6"/>
      <c r="AH16" s="6"/>
      <c r="AI16" s="6"/>
      <c r="AJ16" s="6"/>
      <c r="AK16" s="6"/>
      <c r="AL16" s="6"/>
    </row>
    <row r="17" ht="15.75" customHeight="1">
      <c r="A17" s="2">
        <v>103.0</v>
      </c>
      <c r="B17" s="3" t="s">
        <v>85</v>
      </c>
      <c r="C17" s="3"/>
      <c r="D17" s="4"/>
      <c r="E17" s="5"/>
      <c r="F17" s="5">
        <f>0.08131690336</f>
        <v>0.08131690336</v>
      </c>
      <c r="G17" s="5">
        <f>0.170721848/2</f>
        <v>0.085360924</v>
      </c>
      <c r="H17" s="5">
        <f>0.1416580287/2</f>
        <v>0.07082901435</v>
      </c>
      <c r="I17" s="5">
        <f>0.1905926794/2</f>
        <v>0.0952963397</v>
      </c>
      <c r="J17" s="5">
        <f>0.1302950367/2</f>
        <v>0.06514751835</v>
      </c>
      <c r="K17" s="5">
        <f>0.1519456134/2</f>
        <v>0.0759728067</v>
      </c>
      <c r="L17" s="5">
        <f>0.1337743031/3</f>
        <v>0.04459143437</v>
      </c>
      <c r="M17" s="5"/>
      <c r="N17" s="5">
        <f>0.1525456974/2</f>
        <v>0.0762728487</v>
      </c>
      <c r="O17" s="5"/>
      <c r="P17" s="5"/>
      <c r="Q17" s="5"/>
      <c r="R17" s="4">
        <f>0.1023306072/2</f>
        <v>0.0511653036</v>
      </c>
      <c r="S17" s="4"/>
      <c r="T17" s="5"/>
      <c r="U17" s="6"/>
      <c r="V17" s="6"/>
      <c r="W17" s="6"/>
      <c r="X17" s="6"/>
      <c r="Y17" s="6"/>
      <c r="Z17" s="6"/>
      <c r="AA17" s="6"/>
      <c r="AB17" s="6"/>
      <c r="AC17" s="6"/>
      <c r="AD17" s="6">
        <f>0.177543/2</f>
        <v>0.0887715</v>
      </c>
      <c r="AE17" s="6">
        <f t="shared" ref="AE17:AE18" si="3">0.091508/2</f>
        <v>0.045754</v>
      </c>
      <c r="AF17" s="6">
        <f>0.03068/2</f>
        <v>0.01534</v>
      </c>
      <c r="AG17" s="6"/>
      <c r="AH17" s="6"/>
      <c r="AI17" s="6"/>
      <c r="AJ17" s="6"/>
      <c r="AK17" s="6"/>
      <c r="AL17" s="6"/>
    </row>
    <row r="18" ht="15.75" customHeight="1">
      <c r="A18" s="2">
        <v>104.0</v>
      </c>
      <c r="B18" s="3" t="s">
        <v>87</v>
      </c>
      <c r="C18" s="3"/>
      <c r="D18" s="4"/>
      <c r="E18" s="4"/>
      <c r="F18" s="5"/>
      <c r="G18" s="5"/>
      <c r="H18" s="5"/>
      <c r="I18" s="4"/>
      <c r="J18" s="4"/>
      <c r="K18" s="5"/>
      <c r="L18" s="5"/>
      <c r="M18" s="4"/>
      <c r="N18" s="5"/>
      <c r="O18" s="4"/>
      <c r="P18" s="4"/>
      <c r="Q18" s="4"/>
      <c r="R18" s="4"/>
      <c r="S18" s="4"/>
      <c r="T18" s="4"/>
      <c r="U18" s="6">
        <f>0.1454177203/2+0.03252006439/2</f>
        <v>0.08896889235</v>
      </c>
      <c r="V18" s="6">
        <f>0.1123981299</f>
        <v>0.1123981299</v>
      </c>
      <c r="W18" s="6"/>
      <c r="X18" s="6"/>
      <c r="Y18" s="6"/>
      <c r="Z18" s="6"/>
      <c r="AA18" s="6"/>
      <c r="AB18" s="6">
        <f>0.08546621407/3</f>
        <v>0.02848873802</v>
      </c>
      <c r="AC18" s="6"/>
      <c r="AD18" s="6">
        <f>0.177543/2+0.098237/2</f>
        <v>0.13789</v>
      </c>
      <c r="AE18" s="6">
        <f t="shared" si="3"/>
        <v>0.045754</v>
      </c>
      <c r="AF18" s="6"/>
      <c r="AG18" s="6"/>
      <c r="AH18" s="6"/>
      <c r="AI18" s="6"/>
      <c r="AJ18" s="6"/>
      <c r="AK18" s="6"/>
      <c r="AL18" s="6"/>
    </row>
    <row r="19" ht="15.75" customHeight="1">
      <c r="A19" s="2">
        <v>105.0</v>
      </c>
      <c r="B19" s="3" t="s">
        <v>89</v>
      </c>
      <c r="C19" s="3"/>
      <c r="D19" s="5"/>
      <c r="E19" s="5"/>
      <c r="F19" s="5">
        <f>0.09217620529+0.05889706294/2+0.2098085546/2+0.04553216731/2</f>
        <v>0.2492950977</v>
      </c>
      <c r="G19" s="5">
        <f>0.08408686013+0.1874450531+0.1295292006+0.09672905225</f>
        <v>0.4977901661</v>
      </c>
      <c r="H19" s="5">
        <f>0.1416580287/2+0.09363018445+0.05540767787/2+0.07727072382+0.1462033657+0.08586645965/2+0.1140563861</f>
        <v>0.5726267432</v>
      </c>
      <c r="I19" s="5">
        <f>0.09278024212/2+0.1023002368+0.1506348571+0.07132709704</f>
        <v>0.370652312</v>
      </c>
      <c r="J19" s="5">
        <f>0.110152814+0.08126029792/2+0.1127131176/2+0.1582831851</f>
        <v>0.3654227069</v>
      </c>
      <c r="K19" s="4">
        <f>0.1581569149/2</f>
        <v>0.07907845745</v>
      </c>
      <c r="L19" s="4">
        <f>0.03142910909+0.1337743031/3</f>
        <v>0.07602054346</v>
      </c>
      <c r="M19" s="4"/>
      <c r="N19" s="4"/>
      <c r="O19" s="4"/>
      <c r="P19" s="4"/>
      <c r="Q19" s="4"/>
      <c r="R19" s="5"/>
      <c r="S19" s="4"/>
      <c r="T19" s="4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ht="15.75" customHeight="1">
      <c r="A20" s="2">
        <v>106.0</v>
      </c>
      <c r="B20" s="3" t="s">
        <v>91</v>
      </c>
      <c r="C20" s="3"/>
      <c r="D20" s="4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ht="15.75" customHeight="1">
      <c r="A21" s="2">
        <v>107.0</v>
      </c>
      <c r="B21" s="3" t="s">
        <v>93</v>
      </c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ht="15.75" customHeight="1">
      <c r="A22" s="2">
        <v>108.0</v>
      </c>
      <c r="B22" s="3" t="s">
        <v>95</v>
      </c>
      <c r="C22" s="3"/>
      <c r="D22" s="14"/>
      <c r="E22" s="14"/>
      <c r="F22" s="14"/>
      <c r="G22" s="14"/>
      <c r="H22" s="14"/>
      <c r="I22" s="14"/>
      <c r="J22" s="14">
        <f>0.08155906183/2</f>
        <v>0.04077953092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ht="15.75" customHeight="1">
      <c r="A23" s="2">
        <v>99.0</v>
      </c>
      <c r="B23" s="3" t="s">
        <v>97</v>
      </c>
      <c r="C23" s="3"/>
      <c r="D23" s="14"/>
      <c r="E23" s="14"/>
      <c r="F23" s="14"/>
      <c r="G23" s="14">
        <f>0.06077346188</f>
        <v>0.06077346188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ht="15.75" customHeight="1">
      <c r="A24" s="15" t="s">
        <v>99</v>
      </c>
      <c r="B24" s="16"/>
      <c r="C24" s="17"/>
      <c r="D24" s="18">
        <f t="shared" ref="D24:AG24" si="4">SUM(D2:D23)</f>
        <v>0</v>
      </c>
      <c r="E24" s="18">
        <f t="shared" si="4"/>
        <v>0</v>
      </c>
      <c r="F24" s="18">
        <f t="shared" si="4"/>
        <v>1</v>
      </c>
      <c r="G24" s="18">
        <f t="shared" si="4"/>
        <v>0.9999999999</v>
      </c>
      <c r="H24" s="18">
        <f t="shared" si="4"/>
        <v>1</v>
      </c>
      <c r="I24" s="18">
        <f t="shared" si="4"/>
        <v>0.9999999999</v>
      </c>
      <c r="J24" s="18">
        <f t="shared" si="4"/>
        <v>1</v>
      </c>
      <c r="K24" s="18">
        <f t="shared" si="4"/>
        <v>0.9999999999</v>
      </c>
      <c r="L24" s="18">
        <f t="shared" si="4"/>
        <v>1</v>
      </c>
      <c r="M24" s="18">
        <f t="shared" si="4"/>
        <v>1</v>
      </c>
      <c r="N24" s="18">
        <f t="shared" si="4"/>
        <v>1</v>
      </c>
      <c r="O24" s="18">
        <f t="shared" si="4"/>
        <v>1</v>
      </c>
      <c r="P24" s="18">
        <f t="shared" si="4"/>
        <v>1</v>
      </c>
      <c r="Q24" s="18">
        <f t="shared" si="4"/>
        <v>1</v>
      </c>
      <c r="R24" s="18">
        <f t="shared" si="4"/>
        <v>1</v>
      </c>
      <c r="S24" s="18">
        <f t="shared" si="4"/>
        <v>1</v>
      </c>
      <c r="T24" s="18">
        <f t="shared" si="4"/>
        <v>1</v>
      </c>
      <c r="U24" s="18">
        <f t="shared" si="4"/>
        <v>0.9999999999</v>
      </c>
      <c r="V24" s="18">
        <f t="shared" si="4"/>
        <v>1</v>
      </c>
      <c r="W24" s="18">
        <f t="shared" si="4"/>
        <v>1</v>
      </c>
      <c r="X24" s="18">
        <f t="shared" si="4"/>
        <v>0.9999999999</v>
      </c>
      <c r="Y24" s="18">
        <f t="shared" si="4"/>
        <v>1</v>
      </c>
      <c r="Z24" s="18">
        <f t="shared" si="4"/>
        <v>0.9999999999</v>
      </c>
      <c r="AA24" s="18">
        <f t="shared" si="4"/>
        <v>1</v>
      </c>
      <c r="AB24" s="18">
        <f t="shared" si="4"/>
        <v>1</v>
      </c>
      <c r="AC24" s="18">
        <f t="shared" si="4"/>
        <v>1</v>
      </c>
      <c r="AD24" s="18">
        <f t="shared" si="4"/>
        <v>1</v>
      </c>
      <c r="AE24" s="18">
        <f t="shared" si="4"/>
        <v>1.000001</v>
      </c>
      <c r="AF24" s="18">
        <f t="shared" si="4"/>
        <v>0.999999</v>
      </c>
      <c r="AG24" s="18">
        <f t="shared" si="4"/>
        <v>1.000002</v>
      </c>
      <c r="AH24" s="18"/>
      <c r="AI24" s="18"/>
      <c r="AJ24" s="18"/>
      <c r="AK24" s="18"/>
      <c r="AL24" s="18"/>
    </row>
    <row r="25" ht="15.75" customHeight="1">
      <c r="B25" s="24"/>
      <c r="C25" s="24"/>
    </row>
    <row r="26" ht="15.75" customHeight="1">
      <c r="B26" s="24"/>
      <c r="C26" s="24"/>
    </row>
    <row r="27" ht="15.75" customHeight="1">
      <c r="B27" s="24"/>
      <c r="C27" s="24"/>
    </row>
    <row r="28" ht="15.75" customHeight="1">
      <c r="B28" s="24"/>
      <c r="C28" s="24"/>
    </row>
    <row r="29" ht="15.75" customHeight="1">
      <c r="B29" s="24"/>
      <c r="C29" s="24"/>
    </row>
    <row r="30" ht="15.75" customHeight="1">
      <c r="B30" s="24"/>
      <c r="C30" s="24"/>
    </row>
    <row r="31" ht="15.75" customHeight="1">
      <c r="B31" s="24"/>
      <c r="C31" s="24"/>
    </row>
    <row r="32" ht="15.75" customHeight="1">
      <c r="B32" s="24"/>
      <c r="C32" s="24"/>
    </row>
    <row r="33" ht="15.75" customHeight="1">
      <c r="B33" s="24"/>
      <c r="C33" s="24"/>
    </row>
    <row r="34" ht="15.75" customHeight="1">
      <c r="B34" s="24"/>
      <c r="C34" s="24"/>
    </row>
    <row r="35" ht="15.75" customHeight="1">
      <c r="B35" s="24"/>
      <c r="C35" s="24"/>
    </row>
    <row r="36" ht="15.75" customHeight="1">
      <c r="B36" s="24"/>
      <c r="C36" s="24"/>
    </row>
    <row r="37" ht="15.75" customHeight="1">
      <c r="B37" s="24"/>
      <c r="C37" s="24"/>
    </row>
    <row r="38" ht="15.75" customHeight="1">
      <c r="B38" s="24"/>
      <c r="C38" s="24"/>
    </row>
    <row r="39" ht="15.75" customHeight="1">
      <c r="B39" s="24"/>
      <c r="C39" s="24"/>
    </row>
    <row r="40" ht="15.75" customHeight="1">
      <c r="B40" s="24"/>
      <c r="C40" s="24"/>
    </row>
    <row r="41" ht="15.75" customHeight="1">
      <c r="B41" s="24"/>
      <c r="C41" s="24"/>
    </row>
    <row r="42" ht="15.75" customHeight="1">
      <c r="B42" s="24"/>
      <c r="C42" s="24"/>
    </row>
    <row r="43" ht="15.75" customHeight="1">
      <c r="B43" s="24"/>
      <c r="C43" s="24"/>
    </row>
    <row r="44" ht="15.75" customHeight="1">
      <c r="B44" s="24"/>
      <c r="C44" s="24"/>
    </row>
    <row r="45" ht="15.75" customHeight="1">
      <c r="B45" s="24"/>
      <c r="C45" s="24"/>
    </row>
    <row r="46" ht="15.75" customHeight="1">
      <c r="B46" s="24"/>
      <c r="C46" s="24"/>
    </row>
    <row r="47" ht="15.75" customHeight="1">
      <c r="B47" s="24"/>
      <c r="C47" s="24"/>
    </row>
    <row r="48" ht="15.75" customHeight="1">
      <c r="B48" s="24"/>
      <c r="C48" s="24"/>
    </row>
    <row r="49" ht="15.75" customHeight="1">
      <c r="B49" s="24"/>
      <c r="C49" s="24"/>
    </row>
    <row r="50" ht="15.75" customHeight="1">
      <c r="B50" s="24"/>
      <c r="C50" s="24"/>
    </row>
    <row r="51" ht="15.75" customHeight="1">
      <c r="B51" s="24"/>
      <c r="C51" s="24"/>
    </row>
    <row r="52" ht="15.75" customHeight="1">
      <c r="B52" s="24"/>
      <c r="C52" s="24"/>
    </row>
    <row r="53" ht="15.75" customHeight="1">
      <c r="B53" s="24"/>
      <c r="C53" s="24"/>
    </row>
    <row r="54" ht="15.75" customHeight="1">
      <c r="B54" s="24"/>
      <c r="C54" s="24"/>
    </row>
    <row r="55" ht="15.75" customHeight="1">
      <c r="B55" s="24"/>
      <c r="C55" s="24"/>
    </row>
    <row r="56" ht="15.75" customHeight="1">
      <c r="B56" s="24"/>
      <c r="C56" s="24"/>
    </row>
    <row r="57" ht="15.75" customHeight="1">
      <c r="B57" s="24"/>
      <c r="C57" s="24"/>
    </row>
    <row r="58" ht="15.75" customHeight="1">
      <c r="B58" s="24"/>
      <c r="C58" s="24"/>
    </row>
    <row r="59" ht="15.75" customHeight="1">
      <c r="B59" s="24"/>
      <c r="C59" s="24"/>
    </row>
    <row r="60" ht="15.75" customHeight="1">
      <c r="B60" s="24"/>
      <c r="C60" s="24"/>
    </row>
    <row r="61" ht="15.75" customHeight="1">
      <c r="B61" s="24"/>
      <c r="C61" s="24"/>
    </row>
    <row r="62" ht="15.75" customHeight="1">
      <c r="B62" s="24"/>
      <c r="C62" s="24"/>
    </row>
    <row r="63" ht="15.75" customHeight="1">
      <c r="B63" s="24"/>
      <c r="C63" s="24"/>
    </row>
    <row r="64" ht="15.75" customHeight="1">
      <c r="B64" s="24"/>
      <c r="C64" s="24"/>
    </row>
    <row r="65" ht="15.75" customHeight="1">
      <c r="B65" s="24"/>
      <c r="C65" s="24"/>
    </row>
    <row r="66" ht="15.75" customHeight="1">
      <c r="B66" s="24"/>
      <c r="C66" s="24"/>
    </row>
    <row r="67" ht="15.75" customHeight="1">
      <c r="B67" s="24"/>
      <c r="C67" s="24"/>
    </row>
    <row r="68" ht="15.75" customHeight="1">
      <c r="B68" s="24"/>
      <c r="C68" s="24"/>
    </row>
    <row r="69" ht="15.75" customHeight="1">
      <c r="B69" s="24"/>
      <c r="C69" s="24"/>
    </row>
    <row r="70" ht="15.75" customHeight="1">
      <c r="B70" s="24"/>
      <c r="C70" s="24"/>
    </row>
    <row r="71" ht="15.75" customHeight="1">
      <c r="B71" s="24"/>
      <c r="C71" s="24"/>
    </row>
    <row r="72" ht="15.75" customHeight="1">
      <c r="B72" s="24"/>
      <c r="C72" s="24"/>
    </row>
    <row r="73" ht="15.75" customHeight="1">
      <c r="B73" s="24"/>
      <c r="C73" s="24"/>
    </row>
    <row r="74" ht="15.75" customHeight="1">
      <c r="B74" s="24"/>
      <c r="C74" s="24"/>
    </row>
    <row r="75" ht="15.75" customHeight="1">
      <c r="B75" s="24"/>
      <c r="C75" s="24"/>
    </row>
    <row r="76" ht="15.75" customHeight="1">
      <c r="B76" s="24"/>
      <c r="C76" s="24"/>
    </row>
    <row r="77" ht="15.75" customHeight="1">
      <c r="B77" s="24"/>
      <c r="C77" s="24"/>
    </row>
    <row r="78" ht="15.75" customHeight="1">
      <c r="B78" s="24"/>
      <c r="C78" s="24"/>
    </row>
    <row r="79" ht="15.75" customHeight="1">
      <c r="B79" s="24"/>
      <c r="C79" s="24"/>
    </row>
    <row r="80" ht="15.75" customHeight="1">
      <c r="B80" s="24"/>
      <c r="C80" s="24"/>
    </row>
    <row r="81" ht="15.75" customHeight="1">
      <c r="B81" s="24"/>
      <c r="C81" s="24"/>
    </row>
    <row r="82" ht="15.75" customHeight="1">
      <c r="B82" s="24"/>
      <c r="C82" s="24"/>
    </row>
    <row r="83" ht="15.75" customHeight="1">
      <c r="B83" s="24"/>
      <c r="C83" s="24"/>
    </row>
    <row r="84" ht="15.75" customHeight="1">
      <c r="B84" s="24"/>
      <c r="C84" s="24"/>
    </row>
    <row r="85" ht="15.75" customHeight="1">
      <c r="B85" s="24"/>
      <c r="C85" s="24"/>
    </row>
    <row r="86" ht="15.75" customHeight="1">
      <c r="B86" s="24"/>
      <c r="C86" s="24"/>
    </row>
    <row r="87" ht="15.75" customHeight="1">
      <c r="B87" s="24"/>
      <c r="C87" s="24"/>
    </row>
    <row r="88" ht="15.75" customHeight="1">
      <c r="B88" s="24"/>
      <c r="C88" s="24"/>
    </row>
    <row r="89" ht="15.75" customHeight="1">
      <c r="B89" s="24"/>
      <c r="C89" s="24"/>
    </row>
    <row r="90" ht="15.75" customHeight="1">
      <c r="B90" s="24"/>
      <c r="C90" s="24"/>
    </row>
    <row r="91" ht="15.75" customHeight="1">
      <c r="B91" s="24"/>
      <c r="C91" s="24"/>
    </row>
    <row r="92" ht="15.75" customHeight="1">
      <c r="B92" s="24"/>
      <c r="C92" s="24"/>
    </row>
    <row r="93" ht="15.75" customHeight="1">
      <c r="B93" s="24"/>
      <c r="C93" s="24"/>
    </row>
    <row r="94" ht="15.75" customHeight="1">
      <c r="B94" s="24"/>
      <c r="C94" s="24"/>
    </row>
    <row r="95" ht="15.75" customHeight="1">
      <c r="B95" s="24"/>
      <c r="C95" s="24"/>
    </row>
    <row r="96" ht="15.75" customHeight="1">
      <c r="B96" s="24"/>
      <c r="C96" s="24"/>
    </row>
    <row r="97" ht="15.75" customHeight="1">
      <c r="B97" s="24"/>
      <c r="C97" s="24"/>
    </row>
    <row r="98" ht="15.75" customHeight="1">
      <c r="B98" s="24"/>
      <c r="C98" s="24"/>
    </row>
    <row r="99" ht="15.75" customHeight="1">
      <c r="B99" s="24"/>
      <c r="C99" s="24"/>
    </row>
    <row r="100" ht="15.75" customHeight="1">
      <c r="B100" s="24"/>
      <c r="C100" s="24"/>
    </row>
    <row r="101" ht="15.75" customHeight="1">
      <c r="B101" s="24"/>
      <c r="C101" s="24"/>
    </row>
    <row r="102" ht="15.75" customHeight="1">
      <c r="B102" s="24"/>
      <c r="C102" s="24"/>
    </row>
    <row r="103" ht="15.75" customHeight="1">
      <c r="B103" s="24"/>
      <c r="C103" s="24"/>
    </row>
    <row r="104" ht="15.75" customHeight="1">
      <c r="B104" s="24"/>
      <c r="C104" s="24"/>
    </row>
    <row r="105" ht="15.75" customHeight="1">
      <c r="B105" s="24"/>
      <c r="C105" s="24"/>
    </row>
    <row r="106" ht="15.75" customHeight="1">
      <c r="B106" s="24"/>
      <c r="C106" s="24"/>
    </row>
    <row r="107" ht="15.75" customHeight="1">
      <c r="B107" s="24"/>
      <c r="C107" s="24"/>
    </row>
    <row r="108" ht="15.75" customHeight="1">
      <c r="B108" s="24"/>
      <c r="C108" s="24"/>
    </row>
    <row r="109" ht="15.75" customHeight="1">
      <c r="B109" s="24"/>
      <c r="C109" s="24"/>
    </row>
    <row r="110" ht="15.75" customHeight="1">
      <c r="B110" s="24"/>
      <c r="C110" s="24"/>
    </row>
    <row r="111" ht="15.75" customHeight="1">
      <c r="B111" s="24"/>
      <c r="C111" s="24"/>
    </row>
    <row r="112" ht="15.75" customHeight="1">
      <c r="B112" s="24"/>
      <c r="C112" s="24"/>
    </row>
    <row r="113" ht="15.75" customHeight="1">
      <c r="B113" s="24"/>
      <c r="C113" s="24"/>
    </row>
    <row r="114" ht="15.75" customHeight="1">
      <c r="B114" s="24"/>
      <c r="C114" s="24"/>
    </row>
    <row r="115" ht="15.75" customHeight="1">
      <c r="B115" s="24"/>
      <c r="C115" s="24"/>
    </row>
    <row r="116" ht="15.75" customHeight="1">
      <c r="B116" s="24"/>
      <c r="C116" s="24"/>
    </row>
    <row r="117" ht="15.75" customHeight="1">
      <c r="B117" s="24"/>
      <c r="C117" s="24"/>
    </row>
    <row r="118" ht="15.75" customHeight="1">
      <c r="B118" s="24"/>
      <c r="C118" s="24"/>
    </row>
    <row r="119" ht="15.75" customHeight="1">
      <c r="B119" s="24"/>
      <c r="C119" s="24"/>
    </row>
    <row r="120" ht="15.75" customHeight="1">
      <c r="B120" s="24"/>
      <c r="C120" s="24"/>
    </row>
    <row r="121" ht="15.75" customHeight="1">
      <c r="B121" s="24"/>
      <c r="C121" s="24"/>
    </row>
    <row r="122" ht="15.75" customHeight="1">
      <c r="B122" s="24"/>
      <c r="C122" s="24"/>
    </row>
    <row r="123" ht="15.75" customHeight="1">
      <c r="B123" s="24"/>
      <c r="C123" s="24"/>
    </row>
    <row r="124" ht="15.75" customHeight="1">
      <c r="B124" s="24"/>
      <c r="C124" s="24"/>
    </row>
    <row r="125" ht="15.75" customHeight="1">
      <c r="B125" s="24"/>
      <c r="C125" s="24"/>
    </row>
    <row r="126" ht="15.75" customHeight="1">
      <c r="B126" s="24"/>
      <c r="C126" s="24"/>
    </row>
    <row r="127" ht="15.75" customHeight="1">
      <c r="B127" s="24"/>
      <c r="C127" s="24"/>
    </row>
    <row r="128" ht="15.75" customHeight="1">
      <c r="B128" s="24"/>
      <c r="C128" s="24"/>
    </row>
    <row r="129" ht="15.75" customHeight="1">
      <c r="B129" s="24"/>
      <c r="C129" s="24"/>
    </row>
    <row r="130" ht="15.75" customHeight="1">
      <c r="B130" s="24"/>
      <c r="C130" s="24"/>
    </row>
    <row r="131" ht="15.75" customHeight="1">
      <c r="B131" s="24"/>
      <c r="C131" s="24"/>
    </row>
    <row r="132" ht="15.75" customHeight="1">
      <c r="B132" s="24"/>
      <c r="C132" s="24"/>
    </row>
    <row r="133" ht="15.75" customHeight="1">
      <c r="B133" s="24"/>
      <c r="C133" s="24"/>
    </row>
    <row r="134" ht="15.75" customHeight="1">
      <c r="B134" s="24"/>
      <c r="C134" s="24"/>
    </row>
    <row r="135" ht="15.75" customHeight="1">
      <c r="B135" s="24"/>
      <c r="C135" s="24"/>
    </row>
    <row r="136" ht="15.75" customHeight="1">
      <c r="B136" s="24"/>
      <c r="C136" s="24"/>
    </row>
    <row r="137" ht="15.75" customHeight="1">
      <c r="B137" s="24"/>
      <c r="C137" s="24"/>
    </row>
    <row r="138" ht="15.75" customHeight="1">
      <c r="B138" s="24"/>
      <c r="C138" s="24"/>
    </row>
    <row r="139" ht="15.75" customHeight="1">
      <c r="B139" s="24"/>
      <c r="C139" s="24"/>
    </row>
    <row r="140" ht="15.75" customHeight="1">
      <c r="B140" s="24"/>
      <c r="C140" s="24"/>
    </row>
    <row r="141" ht="15.75" customHeight="1">
      <c r="B141" s="24"/>
      <c r="C141" s="24"/>
    </row>
    <row r="142" ht="15.75" customHeight="1">
      <c r="B142" s="24"/>
      <c r="C142" s="24"/>
    </row>
    <row r="143" ht="15.75" customHeight="1">
      <c r="B143" s="24"/>
      <c r="C143" s="24"/>
    </row>
    <row r="144" ht="15.75" customHeight="1">
      <c r="B144" s="24"/>
      <c r="C144" s="24"/>
    </row>
    <row r="145" ht="15.75" customHeight="1">
      <c r="B145" s="24"/>
      <c r="C145" s="24"/>
    </row>
    <row r="146" ht="15.75" customHeight="1">
      <c r="B146" s="24"/>
      <c r="C146" s="24"/>
    </row>
    <row r="147" ht="15.75" customHeight="1">
      <c r="B147" s="24"/>
      <c r="C147" s="24"/>
    </row>
    <row r="148" ht="15.75" customHeight="1">
      <c r="B148" s="24"/>
      <c r="C148" s="24"/>
    </row>
    <row r="149" ht="15.75" customHeight="1">
      <c r="B149" s="24"/>
      <c r="C149" s="24"/>
    </row>
    <row r="150" ht="15.75" customHeight="1">
      <c r="B150" s="24"/>
      <c r="C150" s="24"/>
    </row>
    <row r="151" ht="15.75" customHeight="1">
      <c r="B151" s="24"/>
      <c r="C151" s="24"/>
    </row>
    <row r="152" ht="15.75" customHeight="1">
      <c r="B152" s="24"/>
      <c r="C152" s="24"/>
    </row>
    <row r="153" ht="15.75" customHeight="1">
      <c r="B153" s="24"/>
      <c r="C153" s="24"/>
    </row>
    <row r="154" ht="15.75" customHeight="1">
      <c r="B154" s="24"/>
      <c r="C154" s="24"/>
    </row>
    <row r="155" ht="15.75" customHeight="1">
      <c r="B155" s="24"/>
      <c r="C155" s="24"/>
    </row>
    <row r="156" ht="15.75" customHeight="1">
      <c r="B156" s="24"/>
      <c r="C156" s="24"/>
    </row>
    <row r="157" ht="15.75" customHeight="1">
      <c r="B157" s="24"/>
      <c r="C157" s="24"/>
    </row>
    <row r="158" ht="15.75" customHeight="1">
      <c r="B158" s="24"/>
      <c r="C158" s="24"/>
    </row>
    <row r="159" ht="15.75" customHeight="1">
      <c r="B159" s="24"/>
      <c r="C159" s="24"/>
    </row>
    <row r="160" ht="15.75" customHeight="1">
      <c r="B160" s="24"/>
      <c r="C160" s="24"/>
    </row>
    <row r="161" ht="15.75" customHeight="1">
      <c r="B161" s="24"/>
      <c r="C161" s="24"/>
    </row>
    <row r="162" ht="15.75" customHeight="1">
      <c r="B162" s="24"/>
      <c r="C162" s="24"/>
    </row>
    <row r="163" ht="15.75" customHeight="1">
      <c r="B163" s="24"/>
      <c r="C163" s="24"/>
    </row>
    <row r="164" ht="15.75" customHeight="1">
      <c r="B164" s="24"/>
      <c r="C164" s="24"/>
    </row>
    <row r="165" ht="15.75" customHeight="1">
      <c r="B165" s="24"/>
      <c r="C165" s="24"/>
    </row>
    <row r="166" ht="15.75" customHeight="1">
      <c r="B166" s="24"/>
      <c r="C166" s="24"/>
    </row>
    <row r="167" ht="15.75" customHeight="1">
      <c r="B167" s="24"/>
      <c r="C167" s="24"/>
    </row>
    <row r="168" ht="15.75" customHeight="1">
      <c r="B168" s="24"/>
      <c r="C168" s="24"/>
    </row>
    <row r="169" ht="15.75" customHeight="1">
      <c r="B169" s="24"/>
      <c r="C169" s="24"/>
    </row>
    <row r="170" ht="15.75" customHeight="1">
      <c r="B170" s="24"/>
      <c r="C170" s="24"/>
    </row>
    <row r="171" ht="15.75" customHeight="1">
      <c r="B171" s="24"/>
      <c r="C171" s="24"/>
    </row>
    <row r="172" ht="15.75" customHeight="1">
      <c r="B172" s="24"/>
      <c r="C172" s="24"/>
    </row>
    <row r="173" ht="15.75" customHeight="1">
      <c r="B173" s="24"/>
      <c r="C173" s="24"/>
    </row>
    <row r="174" ht="15.75" customHeight="1">
      <c r="B174" s="24"/>
      <c r="C174" s="24"/>
    </row>
    <row r="175" ht="15.75" customHeight="1">
      <c r="B175" s="24"/>
      <c r="C175" s="24"/>
    </row>
    <row r="176" ht="15.75" customHeight="1">
      <c r="B176" s="24"/>
      <c r="C176" s="24"/>
    </row>
    <row r="177" ht="15.75" customHeight="1">
      <c r="B177" s="24"/>
      <c r="C177" s="24"/>
    </row>
    <row r="178" ht="15.75" customHeight="1">
      <c r="B178" s="24"/>
      <c r="C178" s="24"/>
    </row>
    <row r="179" ht="15.75" customHeight="1">
      <c r="B179" s="24"/>
      <c r="C179" s="24"/>
    </row>
    <row r="180" ht="15.75" customHeight="1">
      <c r="B180" s="24"/>
      <c r="C180" s="24"/>
    </row>
    <row r="181" ht="15.75" customHeight="1">
      <c r="B181" s="24"/>
      <c r="C181" s="24"/>
    </row>
    <row r="182" ht="15.75" customHeight="1">
      <c r="B182" s="24"/>
      <c r="C182" s="24"/>
    </row>
    <row r="183" ht="15.75" customHeight="1">
      <c r="B183" s="24"/>
      <c r="C183" s="24"/>
    </row>
    <row r="184" ht="15.75" customHeight="1">
      <c r="B184" s="24"/>
      <c r="C184" s="24"/>
    </row>
    <row r="185" ht="15.75" customHeight="1">
      <c r="B185" s="24"/>
      <c r="C185" s="24"/>
    </row>
    <row r="186" ht="15.75" customHeight="1">
      <c r="B186" s="24"/>
      <c r="C186" s="24"/>
    </row>
    <row r="187" ht="15.75" customHeight="1">
      <c r="B187" s="24"/>
      <c r="C187" s="24"/>
    </row>
    <row r="188" ht="15.75" customHeight="1">
      <c r="B188" s="24"/>
      <c r="C188" s="24"/>
    </row>
    <row r="189" ht="15.75" customHeight="1">
      <c r="B189" s="24"/>
      <c r="C189" s="24"/>
    </row>
    <row r="190" ht="15.75" customHeight="1">
      <c r="B190" s="24"/>
      <c r="C190" s="24"/>
    </row>
    <row r="191" ht="15.75" customHeight="1">
      <c r="B191" s="24"/>
      <c r="C191" s="24"/>
    </row>
    <row r="192" ht="15.75" customHeight="1">
      <c r="B192" s="24"/>
      <c r="C192" s="24"/>
    </row>
    <row r="193" ht="15.75" customHeight="1">
      <c r="B193" s="24"/>
      <c r="C193" s="24"/>
    </row>
    <row r="194" ht="15.75" customHeight="1">
      <c r="B194" s="24"/>
      <c r="C194" s="24"/>
    </row>
    <row r="195" ht="15.75" customHeight="1">
      <c r="B195" s="24"/>
      <c r="C195" s="24"/>
    </row>
    <row r="196" ht="15.75" customHeight="1">
      <c r="B196" s="24"/>
      <c r="C196" s="24"/>
    </row>
    <row r="197" ht="15.75" customHeight="1">
      <c r="B197" s="24"/>
      <c r="C197" s="24"/>
    </row>
    <row r="198" ht="15.75" customHeight="1">
      <c r="B198" s="24"/>
      <c r="C198" s="24"/>
    </row>
    <row r="199" ht="15.75" customHeight="1">
      <c r="B199" s="24"/>
      <c r="C199" s="24"/>
    </row>
    <row r="200" ht="15.75" customHeight="1">
      <c r="B200" s="24"/>
      <c r="C200" s="24"/>
    </row>
    <row r="201" ht="15.75" customHeight="1">
      <c r="B201" s="24"/>
      <c r="C201" s="24"/>
    </row>
    <row r="202" ht="15.75" customHeight="1">
      <c r="B202" s="24"/>
      <c r="C202" s="24"/>
    </row>
    <row r="203" ht="15.75" customHeight="1">
      <c r="B203" s="24"/>
      <c r="C203" s="24"/>
    </row>
    <row r="204" ht="15.75" customHeight="1">
      <c r="B204" s="24"/>
      <c r="C204" s="24"/>
    </row>
    <row r="205" ht="15.75" customHeight="1">
      <c r="B205" s="24"/>
      <c r="C205" s="24"/>
    </row>
    <row r="206" ht="15.75" customHeight="1">
      <c r="B206" s="24"/>
      <c r="C206" s="24"/>
    </row>
    <row r="207" ht="15.75" customHeight="1">
      <c r="B207" s="24"/>
      <c r="C207" s="24"/>
    </row>
    <row r="208" ht="15.75" customHeight="1">
      <c r="B208" s="24"/>
      <c r="C208" s="24"/>
    </row>
    <row r="209" ht="15.75" customHeight="1">
      <c r="B209" s="24"/>
      <c r="C209" s="24"/>
    </row>
    <row r="210" ht="15.75" customHeight="1">
      <c r="B210" s="24"/>
      <c r="C210" s="24"/>
    </row>
    <row r="211" ht="15.75" customHeight="1">
      <c r="B211" s="24"/>
      <c r="C211" s="24"/>
    </row>
    <row r="212" ht="15.75" customHeight="1">
      <c r="B212" s="24"/>
      <c r="C212" s="24"/>
    </row>
    <row r="213" ht="15.75" customHeight="1">
      <c r="B213" s="24"/>
      <c r="C213" s="24"/>
    </row>
    <row r="214" ht="15.75" customHeight="1">
      <c r="B214" s="24"/>
      <c r="C214" s="24"/>
    </row>
    <row r="215" ht="15.75" customHeight="1">
      <c r="B215" s="24"/>
      <c r="C215" s="24"/>
    </row>
    <row r="216" ht="15.75" customHeight="1">
      <c r="B216" s="24"/>
      <c r="C216" s="24"/>
    </row>
    <row r="217" ht="15.75" customHeight="1">
      <c r="B217" s="24"/>
      <c r="C217" s="24"/>
    </row>
    <row r="218" ht="15.75" customHeight="1">
      <c r="B218" s="24"/>
      <c r="C218" s="24"/>
    </row>
    <row r="219" ht="15.75" customHeight="1">
      <c r="B219" s="24"/>
      <c r="C219" s="24"/>
    </row>
    <row r="220" ht="15.75" customHeight="1">
      <c r="B220" s="24"/>
      <c r="C220" s="24"/>
    </row>
    <row r="221" ht="15.75" customHeight="1">
      <c r="B221" s="24"/>
      <c r="C221" s="24"/>
    </row>
    <row r="222" ht="15.75" customHeight="1">
      <c r="B222" s="24"/>
      <c r="C222" s="24"/>
    </row>
    <row r="223" ht="15.75" customHeight="1">
      <c r="B223" s="24"/>
      <c r="C223" s="24"/>
    </row>
    <row r="224" ht="15.75" customHeight="1">
      <c r="B224" s="24"/>
      <c r="C224" s="24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4.43"/>
    <col customWidth="1" min="2" max="2" width="44.0"/>
    <col customWidth="1" min="3" max="6" width="14.43"/>
  </cols>
  <sheetData>
    <row r="1" ht="15.75" customHeight="1">
      <c r="A1" s="20" t="s">
        <v>0</v>
      </c>
      <c r="B1" s="21" t="s">
        <v>1</v>
      </c>
      <c r="C1" s="21" t="s">
        <v>101</v>
      </c>
      <c r="D1" s="25" t="s">
        <v>3</v>
      </c>
      <c r="E1" s="26" t="s">
        <v>4</v>
      </c>
      <c r="F1" s="23" t="s">
        <v>5</v>
      </c>
      <c r="G1" s="2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/>
      <c r="AF1" s="1"/>
      <c r="AG1" s="1"/>
    </row>
    <row r="2" ht="15.75" customHeight="1">
      <c r="A2" s="2">
        <v>1.0</v>
      </c>
      <c r="B2" s="3" t="s">
        <v>56</v>
      </c>
      <c r="C2" s="3"/>
      <c r="D2" s="12" t="s">
        <v>102</v>
      </c>
      <c r="E2" s="12" t="s">
        <v>102</v>
      </c>
      <c r="F2" s="4">
        <f>0.1257119325</f>
        <v>0.1257119325</v>
      </c>
      <c r="G2" s="4">
        <f>0.09085788054+0.08699477487+0.09361031679+0.1354736741</f>
        <v>0.4069366463</v>
      </c>
      <c r="H2" s="4">
        <f>0.07242903168+0.1043879855/2+0.06533451797/2+0.06726134317/2</f>
        <v>0.190920955</v>
      </c>
      <c r="I2" s="4">
        <f>0.07892673388/2</f>
        <v>0.03946336694</v>
      </c>
      <c r="J2" s="4"/>
      <c r="K2" s="5">
        <f>0.1226004385+0.1808774576+0.09062750648/2+0.07235117564/2+0.07758213864/2</f>
        <v>0.4237583065</v>
      </c>
      <c r="L2" s="5">
        <f>0.03193907247+0.0912055308737773+0.05124323189+0.113178537/2+0.1305144742+0.1452315366</f>
        <v>0.5067231145</v>
      </c>
      <c r="M2" s="5">
        <f>0.03114343868+0.06576396618+0.09022493225+0.1618842367+0.1397159327</f>
        <v>0.4887325065</v>
      </c>
      <c r="N2" s="5">
        <f>0.1437478831+0.1139622498+0.08760600455+0.04190524638+0.06937680105</f>
        <v>0.4565981849</v>
      </c>
      <c r="O2" s="5">
        <f>0.03029980668+0.05807129262/2</f>
        <v>0.05933545299</v>
      </c>
      <c r="P2" s="5">
        <f>0.04725391203+0.09177861482+0.232057363336471</f>
        <v>0.3710898902</v>
      </c>
      <c r="Q2" s="5">
        <f>0.02944251041+0.1870869037+0.0855578111662246+0.07058543415</f>
        <v>0.3726726594</v>
      </c>
      <c r="R2" s="5">
        <f>0.222093713+0.08188218083+0.03993271365</f>
        <v>0.3439086075</v>
      </c>
      <c r="S2" s="5">
        <f>0.08373025641</f>
        <v>0.08373025641</v>
      </c>
      <c r="T2" s="5">
        <f>0.1880788464+0.09472638022+0.08268978104</f>
        <v>0.3654950077</v>
      </c>
      <c r="U2" s="6">
        <f>0.1128220632+0.03836486692</f>
        <v>0.1511869301</v>
      </c>
      <c r="V2" s="6">
        <f>0.134326303+0.03479614651+0.09802897553</f>
        <v>0.267151425</v>
      </c>
      <c r="W2" s="6">
        <f>0.1065825407+0.07679489645</f>
        <v>0.1833774372</v>
      </c>
      <c r="X2" s="6">
        <f>0.1713073043/2+0.09662019432+0.1587020776</f>
        <v>0.3409759241</v>
      </c>
      <c r="Y2" s="6">
        <f>0.103574+0.196802+0.069021/2+0.048269+0.110281</f>
        <v>0.4934365</v>
      </c>
      <c r="Z2" s="6">
        <f>0.111632+0.056655/2+0.028857+0.094519</f>
        <v>0.2633355</v>
      </c>
      <c r="AA2" s="6"/>
      <c r="AB2" s="6"/>
      <c r="AC2" s="6"/>
      <c r="AD2" s="6"/>
      <c r="AE2" s="19"/>
      <c r="AF2" s="19"/>
      <c r="AG2" s="19"/>
    </row>
    <row r="3" ht="15.75" customHeight="1">
      <c r="A3" s="2">
        <v>2.0</v>
      </c>
      <c r="B3" s="3" t="s">
        <v>58</v>
      </c>
      <c r="C3" s="3"/>
      <c r="D3" s="9"/>
      <c r="E3" s="9"/>
      <c r="F3" s="4"/>
      <c r="G3" s="4"/>
      <c r="H3" s="4"/>
      <c r="I3" s="4"/>
      <c r="J3" s="4">
        <f>0.06182558415</f>
        <v>0.06182558415</v>
      </c>
      <c r="K3" s="4"/>
      <c r="L3" s="4"/>
      <c r="M3" s="4"/>
      <c r="N3" s="5"/>
      <c r="O3" s="5"/>
      <c r="P3" s="5">
        <f>0.08213622981</f>
        <v>0.08213622981</v>
      </c>
      <c r="Q3" s="5">
        <f>0.1097055042</f>
        <v>0.1097055042</v>
      </c>
      <c r="R3" s="5">
        <f>0.115116198752291</f>
        <v>0.1151161988</v>
      </c>
      <c r="S3" s="5"/>
      <c r="T3" s="4"/>
      <c r="U3" s="6"/>
      <c r="V3" s="6"/>
      <c r="W3" s="6"/>
      <c r="X3" s="6"/>
      <c r="Y3" s="6"/>
      <c r="Z3" s="6"/>
      <c r="AA3" s="6"/>
      <c r="AB3" s="6"/>
      <c r="AC3" s="6"/>
      <c r="AD3" s="6"/>
      <c r="AE3" s="19"/>
      <c r="AF3" s="19"/>
      <c r="AG3" s="19"/>
    </row>
    <row r="4" ht="15.75" customHeight="1">
      <c r="A4" s="2">
        <v>3.0</v>
      </c>
      <c r="B4" s="3" t="s">
        <v>60</v>
      </c>
      <c r="C4" s="3"/>
      <c r="D4" s="9"/>
      <c r="E4" s="9"/>
      <c r="F4" s="4">
        <f>0.0397854495</f>
        <v>0.0397854495</v>
      </c>
      <c r="G4" s="4"/>
      <c r="H4" s="4"/>
      <c r="I4" s="4"/>
      <c r="J4" s="4"/>
      <c r="K4" s="4">
        <f>0.07235117564/2</f>
        <v>0.03617558782</v>
      </c>
      <c r="L4" s="4"/>
      <c r="M4" s="4"/>
      <c r="N4" s="4"/>
      <c r="O4" s="4"/>
      <c r="P4" s="4"/>
      <c r="Q4" s="4"/>
      <c r="R4" s="4"/>
      <c r="S4" s="4"/>
      <c r="T4" s="4"/>
      <c r="U4" s="6"/>
      <c r="V4" s="6"/>
      <c r="W4" s="6"/>
      <c r="X4" s="6"/>
      <c r="Y4" s="6">
        <f>0.163437/2</f>
        <v>0.0817185</v>
      </c>
      <c r="Z4" s="6">
        <f>0.108265/2</f>
        <v>0.0541325</v>
      </c>
      <c r="AA4" s="6"/>
      <c r="AB4" s="6"/>
      <c r="AC4" s="6"/>
      <c r="AD4" s="6"/>
      <c r="AE4" s="19"/>
      <c r="AF4" s="19"/>
      <c r="AG4" s="19"/>
    </row>
    <row r="5" ht="15.75" customHeight="1">
      <c r="A5" s="2">
        <v>4.0</v>
      </c>
      <c r="B5" s="3" t="s">
        <v>62</v>
      </c>
      <c r="C5" s="3"/>
      <c r="D5" s="9"/>
      <c r="E5" s="9"/>
      <c r="F5" s="4"/>
      <c r="G5" s="4"/>
      <c r="H5" s="4"/>
      <c r="I5" s="5"/>
      <c r="J5" s="5"/>
      <c r="K5" s="5">
        <f>0.09062750648/2+0.0608677039/2</f>
        <v>0.07574760519</v>
      </c>
      <c r="L5" s="4"/>
      <c r="M5" s="5">
        <f>0.0822497128/2</f>
        <v>0.0411248564</v>
      </c>
      <c r="N5" s="5">
        <f>0.1421827433/2+0.07144344697+0.07479151564/2+0.1360282369/2</f>
        <v>0.2479446949</v>
      </c>
      <c r="O5" s="5">
        <f>0.1178590948+0.132239661/2+0.05807129262/2</f>
        <v>0.2130145716</v>
      </c>
      <c r="P5" s="5">
        <f>0.05824839506+0.1261228904</f>
        <v>0.1843712855</v>
      </c>
      <c r="Q5" s="5">
        <f>0.115254474</f>
        <v>0.115254474</v>
      </c>
      <c r="R5" s="5">
        <f>0.04818821452+0.1618789366/2</f>
        <v>0.1291276828</v>
      </c>
      <c r="S5" s="5">
        <f>0.04147922339+0.08926823243+0.06682378567/2+0.105375111/2</f>
        <v>0.2168469042</v>
      </c>
      <c r="T5" s="5">
        <f>0.05737159076</f>
        <v>0.05737159076</v>
      </c>
      <c r="U5" s="6">
        <f>0.1371082559+0.1462626589/2+0.07544638862</f>
        <v>0.285685974</v>
      </c>
      <c r="V5" s="6">
        <f>0.09229797281+0.1430117272</f>
        <v>0.2353097</v>
      </c>
      <c r="W5" s="6">
        <f>0.1298821958+0.07694661201</f>
        <v>0.2068288078</v>
      </c>
      <c r="X5" s="6">
        <f>0.09203813642+0.04541749375</f>
        <v>0.1374556302</v>
      </c>
      <c r="Y5" s="6"/>
      <c r="Z5" s="6">
        <f>0.1645/2+0.108265/2</f>
        <v>0.1363825</v>
      </c>
      <c r="AA5" s="6"/>
      <c r="AB5" s="6"/>
      <c r="AC5" s="6"/>
      <c r="AD5" s="6"/>
      <c r="AE5" s="19"/>
      <c r="AF5" s="19"/>
      <c r="AG5" s="19"/>
    </row>
    <row r="6" ht="15.75" customHeight="1">
      <c r="A6" s="2">
        <v>5.0</v>
      </c>
      <c r="B6" s="3" t="s">
        <v>64</v>
      </c>
      <c r="C6" s="3"/>
      <c r="D6" s="9"/>
      <c r="E6" s="9"/>
      <c r="F6" s="4"/>
      <c r="G6" s="4"/>
      <c r="H6" s="4"/>
      <c r="I6" s="4"/>
      <c r="J6" s="4"/>
      <c r="K6" s="4"/>
      <c r="L6" s="4"/>
      <c r="M6" s="4"/>
      <c r="N6" s="5">
        <f>0.1360282369/2</f>
        <v>0.06801411845</v>
      </c>
      <c r="O6" s="5">
        <f>0.132239661/2</f>
        <v>0.0661198305</v>
      </c>
      <c r="P6" s="5"/>
      <c r="Q6" s="5"/>
      <c r="R6" s="5"/>
      <c r="S6" s="4">
        <f>0.06682378567/2</f>
        <v>0.03341189284</v>
      </c>
      <c r="T6" s="5">
        <f>0.07952400264/2</f>
        <v>0.03976200132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19"/>
      <c r="AF6" s="19"/>
      <c r="AG6" s="19"/>
    </row>
    <row r="7" ht="15.75" customHeight="1">
      <c r="A7" s="2">
        <v>6.0</v>
      </c>
      <c r="B7" s="3" t="s">
        <v>66</v>
      </c>
      <c r="C7" s="3"/>
      <c r="D7" s="9"/>
      <c r="E7" s="9"/>
      <c r="F7" s="4">
        <f>0.1168445434</f>
        <v>0.1168445434</v>
      </c>
      <c r="G7" s="4">
        <f>0.08646097046</f>
        <v>0.08646097046</v>
      </c>
      <c r="H7" s="4">
        <f>0.08382134298+0.1028937821</f>
        <v>0.1867151251</v>
      </c>
      <c r="I7" s="4">
        <f>0.08992522438/2+0.1228578973+0.10261484/2+0.1163284053</f>
        <v>0.3354563348</v>
      </c>
      <c r="J7" s="4">
        <f>0.09172127563+0.1059404711+0.149427958063055</f>
        <v>0.3470897048</v>
      </c>
      <c r="K7" s="4">
        <f>0.09213966556/2+0.09300122711+0.09111968852</f>
        <v>0.2301907484</v>
      </c>
      <c r="L7" s="4">
        <f>0.0724496202863175</f>
        <v>0.07244962029</v>
      </c>
      <c r="M7" s="4">
        <f>0.1031644685+0.1298751714</f>
        <v>0.2330396399</v>
      </c>
      <c r="N7" s="5">
        <f>0.07479151564/2</f>
        <v>0.03739575782</v>
      </c>
      <c r="O7" s="5">
        <f>0.173939509+0.07294409465+0.07826914429</f>
        <v>0.3251527479</v>
      </c>
      <c r="P7" s="5">
        <f>0.1586082699+0.06389619461</f>
        <v>0.2225044645</v>
      </c>
      <c r="Q7" s="5">
        <f>0.03323546226</f>
        <v>0.03323546226</v>
      </c>
      <c r="R7" s="5">
        <f>0.1429742182/2+0.03630420628</f>
        <v>0.1077913154</v>
      </c>
      <c r="S7" s="5">
        <f>0.04264912123+0.1032183641</f>
        <v>0.1458674853</v>
      </c>
      <c r="T7" s="5">
        <f>0.03438702738+0.102801707</f>
        <v>0.1371887344</v>
      </c>
      <c r="U7" s="6">
        <f>0.1677223011+0.09703062381</f>
        <v>0.2647529249</v>
      </c>
      <c r="V7" s="6">
        <f>0.0907400852317289+0.1198037052+0.04790176259</f>
        <v>0.258445553</v>
      </c>
      <c r="W7" s="6">
        <f>0.1956758033+0.0586262013+0.09759708222</f>
        <v>0.3518990868</v>
      </c>
      <c r="X7" s="6">
        <f>0.05683749009+0.05486668752/2</f>
        <v>0.08427083385</v>
      </c>
      <c r="Y7" s="6">
        <f>0.126455+0.050743/2+0.061613</f>
        <v>0.2134395</v>
      </c>
      <c r="Z7" s="6">
        <f>0.1645/2+0.057993+0.023942</f>
        <v>0.164185</v>
      </c>
      <c r="AA7" s="6"/>
      <c r="AB7" s="6"/>
      <c r="AC7" s="6"/>
      <c r="AD7" s="6"/>
      <c r="AE7" s="19"/>
      <c r="AF7" s="19"/>
      <c r="AG7" s="19"/>
    </row>
    <row r="8" ht="15.75" customHeight="1">
      <c r="A8" s="2">
        <v>7.0</v>
      </c>
      <c r="B8" s="3" t="s">
        <v>68</v>
      </c>
      <c r="C8" s="3"/>
      <c r="D8" s="9"/>
      <c r="E8" s="9"/>
      <c r="F8" s="5"/>
      <c r="G8" s="5"/>
      <c r="H8" s="4"/>
      <c r="I8" s="4"/>
      <c r="J8" s="4"/>
      <c r="K8" s="4"/>
      <c r="L8" s="5">
        <f>0.07053809701</f>
        <v>0.07053809701</v>
      </c>
      <c r="M8" s="5">
        <f>0.07263423883</f>
        <v>0.07263423883</v>
      </c>
      <c r="N8" s="4">
        <f>0.1189558723</f>
        <v>0.1189558723</v>
      </c>
      <c r="O8" s="4"/>
      <c r="P8" s="4"/>
      <c r="Q8" s="4"/>
      <c r="R8" s="4">
        <f>0.1618789366/2</f>
        <v>0.0809394683</v>
      </c>
      <c r="S8" s="4">
        <f>0.105375111/2</f>
        <v>0.0526875555</v>
      </c>
      <c r="T8" s="5">
        <f>0.07952400264/2</f>
        <v>0.03976200132</v>
      </c>
      <c r="U8" s="6">
        <f>0.1462626589/2</f>
        <v>0.07313132945</v>
      </c>
      <c r="V8" s="6"/>
      <c r="W8" s="6"/>
      <c r="X8" s="6">
        <f>0.06756793796</f>
        <v>0.06756793796</v>
      </c>
      <c r="Y8" s="6">
        <f>0.069021/2+0.163437/2</f>
        <v>0.116229</v>
      </c>
      <c r="Z8" s="6">
        <f>0.188379</f>
        <v>0.188379</v>
      </c>
      <c r="AA8" s="6"/>
      <c r="AB8" s="6"/>
      <c r="AC8" s="6"/>
      <c r="AD8" s="6"/>
      <c r="AE8" s="19"/>
      <c r="AF8" s="19"/>
      <c r="AG8" s="19"/>
    </row>
    <row r="9" ht="15.75" customHeight="1">
      <c r="A9" s="2">
        <v>8.0</v>
      </c>
      <c r="B9" s="3" t="s">
        <v>70</v>
      </c>
      <c r="C9" s="3"/>
      <c r="D9" s="9"/>
      <c r="E9" s="9"/>
      <c r="F9" s="4"/>
      <c r="G9" s="4"/>
      <c r="H9" s="4"/>
      <c r="I9" s="4"/>
      <c r="J9" s="4"/>
      <c r="K9" s="4"/>
      <c r="L9" s="4"/>
      <c r="M9" s="4"/>
      <c r="N9" s="4"/>
      <c r="O9" s="4"/>
      <c r="P9" s="5"/>
      <c r="Q9" s="4"/>
      <c r="R9" s="4"/>
      <c r="S9" s="4"/>
      <c r="T9" s="4"/>
      <c r="U9" s="6"/>
      <c r="V9" s="6"/>
      <c r="W9" s="6"/>
      <c r="X9" s="6"/>
      <c r="Y9" s="6"/>
      <c r="Z9" s="6"/>
      <c r="AA9" s="6"/>
      <c r="AB9" s="6"/>
      <c r="AC9" s="6"/>
      <c r="AD9" s="6"/>
      <c r="AE9" s="19"/>
      <c r="AF9" s="19"/>
      <c r="AG9" s="19"/>
    </row>
    <row r="10" ht="15.75" customHeight="1">
      <c r="A10" s="2">
        <v>9.0</v>
      </c>
      <c r="B10" s="3" t="s">
        <v>72</v>
      </c>
      <c r="C10" s="3"/>
      <c r="D10" s="9"/>
      <c r="E10" s="9"/>
      <c r="F10" s="4"/>
      <c r="G10" s="4"/>
      <c r="H10" s="4"/>
      <c r="I10" s="4"/>
      <c r="J10" s="4"/>
      <c r="K10" s="4"/>
      <c r="L10" s="4"/>
      <c r="M10" s="4">
        <f>0.1233439019</f>
        <v>0.1233439019</v>
      </c>
      <c r="N10" s="4"/>
      <c r="O10" s="4">
        <f>0.08858153652</f>
        <v>0.08858153652</v>
      </c>
      <c r="P10" s="4"/>
      <c r="Q10" s="4"/>
      <c r="R10" s="4"/>
      <c r="S10" s="4">
        <f>0.2545739627</f>
        <v>0.2545739627</v>
      </c>
      <c r="T10" s="4">
        <f>0.1471991462</f>
        <v>0.1471991462</v>
      </c>
      <c r="U10" s="6">
        <f>0.08043253804</f>
        <v>0.08043253804</v>
      </c>
      <c r="V10" s="6">
        <f>0.142662464</f>
        <v>0.142662464</v>
      </c>
      <c r="W10" s="6">
        <f>0.08697431776</f>
        <v>0.08697431776</v>
      </c>
      <c r="X10" s="6"/>
      <c r="Y10" s="6"/>
      <c r="Z10" s="6"/>
      <c r="AA10" s="6"/>
      <c r="AB10" s="6"/>
      <c r="AC10" s="6"/>
      <c r="AD10" s="6"/>
      <c r="AE10" s="19"/>
      <c r="AF10" s="19"/>
      <c r="AG10" s="19"/>
    </row>
    <row r="11" ht="15.75" customHeight="1">
      <c r="A11" s="2">
        <v>10.0</v>
      </c>
      <c r="B11" s="3" t="s">
        <v>74</v>
      </c>
      <c r="C11" s="3"/>
      <c r="D11" s="9"/>
      <c r="E11" s="9"/>
      <c r="F11" s="4"/>
      <c r="G11" s="4"/>
      <c r="H11" s="5"/>
      <c r="I11" s="5"/>
      <c r="J11" s="5"/>
      <c r="K11" s="5"/>
      <c r="L11" s="5"/>
      <c r="M11" s="5"/>
      <c r="N11" s="5"/>
      <c r="O11" s="5"/>
      <c r="P11" s="4"/>
      <c r="Q11" s="4"/>
      <c r="R11" s="4"/>
      <c r="S11" s="5"/>
      <c r="T11" s="4"/>
      <c r="U11" s="6"/>
      <c r="V11" s="6"/>
      <c r="W11" s="6"/>
      <c r="X11" s="6"/>
      <c r="Y11" s="6"/>
      <c r="Z11" s="6"/>
      <c r="AA11" s="6"/>
      <c r="AB11" s="6"/>
      <c r="AC11" s="6"/>
      <c r="AD11" s="6"/>
      <c r="AE11" s="19"/>
      <c r="AF11" s="19"/>
      <c r="AG11" s="19"/>
    </row>
    <row r="12" ht="15.75" customHeight="1">
      <c r="A12" s="2">
        <v>11.0</v>
      </c>
      <c r="B12" s="3" t="s">
        <v>76</v>
      </c>
      <c r="C12" s="3"/>
      <c r="D12" s="9"/>
      <c r="E12" s="9"/>
      <c r="F12" s="5"/>
      <c r="G12" s="5"/>
      <c r="H12" s="5"/>
      <c r="I12" s="5"/>
      <c r="J12" s="5"/>
      <c r="K12" s="5"/>
      <c r="L12" s="5"/>
      <c r="M12" s="5"/>
      <c r="N12" s="4"/>
      <c r="O12" s="5"/>
      <c r="P12" s="5"/>
      <c r="Q12" s="4"/>
      <c r="R12" s="4"/>
      <c r="S12" s="4"/>
      <c r="T12" s="4"/>
      <c r="U12" s="6"/>
      <c r="V12" s="6"/>
      <c r="W12" s="6"/>
      <c r="X12" s="6"/>
      <c r="Y12" s="6"/>
      <c r="Z12" s="6"/>
      <c r="AA12" s="6"/>
      <c r="AB12" s="6"/>
      <c r="AC12" s="6"/>
      <c r="AD12" s="6"/>
      <c r="AE12" s="19"/>
      <c r="AF12" s="19"/>
      <c r="AG12" s="19"/>
    </row>
    <row r="13" ht="15.75" customHeight="1">
      <c r="A13" s="2">
        <v>12.0</v>
      </c>
      <c r="B13" s="3" t="s">
        <v>78</v>
      </c>
      <c r="C13" s="3"/>
      <c r="D13" s="9"/>
      <c r="E13" s="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/>
      <c r="V13" s="6"/>
      <c r="W13" s="6"/>
      <c r="X13" s="6"/>
      <c r="Y13" s="6"/>
      <c r="Z13" s="6"/>
      <c r="AA13" s="6"/>
      <c r="AB13" s="6"/>
      <c r="AC13" s="6"/>
      <c r="AD13" s="6"/>
      <c r="AE13" s="19"/>
      <c r="AF13" s="19"/>
      <c r="AG13" s="19"/>
    </row>
    <row r="14" ht="15.75" customHeight="1">
      <c r="A14" s="2">
        <v>13.0</v>
      </c>
      <c r="B14" s="3" t="s">
        <v>80</v>
      </c>
      <c r="C14" s="3"/>
      <c r="D14" s="9"/>
      <c r="E14" s="9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6"/>
      <c r="W14" s="6"/>
      <c r="X14" s="6"/>
      <c r="Y14" s="6">
        <f>0.069805</f>
        <v>0.069805</v>
      </c>
      <c r="Z14" s="6">
        <f>0.165257</f>
        <v>0.165257</v>
      </c>
      <c r="AA14" s="6"/>
      <c r="AB14" s="6"/>
      <c r="AC14" s="6"/>
      <c r="AD14" s="6"/>
      <c r="AE14" s="19"/>
      <c r="AF14" s="19"/>
      <c r="AG14" s="19"/>
    </row>
    <row r="15" ht="15.75" customHeight="1">
      <c r="A15" s="2">
        <v>101.0</v>
      </c>
      <c r="B15" s="3" t="s">
        <v>81</v>
      </c>
      <c r="C15" s="3"/>
      <c r="D15" s="9"/>
      <c r="E15" s="9"/>
      <c r="F15" s="4">
        <f>0.05618962108+0.104384663</f>
        <v>0.1605742841</v>
      </c>
      <c r="G15" s="4">
        <f>0.1082010029+0.1537510971+0.09831673656</f>
        <v>0.3602688366</v>
      </c>
      <c r="H15" s="4">
        <f>0.1233410987</f>
        <v>0.1233410987</v>
      </c>
      <c r="I15" s="4">
        <f>0.1725220872/2+0.07906576412</f>
        <v>0.1653268077</v>
      </c>
      <c r="J15" s="4">
        <f>0.1366890294+0.09696972376/2</f>
        <v>0.1851738913</v>
      </c>
      <c r="K15" s="4">
        <f>0.0608677039/2+0.07758213864/2+0.118832998</f>
        <v>0.1880579193</v>
      </c>
      <c r="L15" s="4">
        <f>0.113178537/2</f>
        <v>0.0565892685</v>
      </c>
      <c r="M15" s="4">
        <f>0.0822497128/2</f>
        <v>0.0411248564</v>
      </c>
      <c r="N15" s="4">
        <f>0.1421827433/2</f>
        <v>0.07109137165</v>
      </c>
      <c r="O15" s="4">
        <f>0.13057707+0.1172187904</f>
        <v>0.2477958604</v>
      </c>
      <c r="P15" s="4">
        <f>0.08788806569+0.05201006434</f>
        <v>0.13989813</v>
      </c>
      <c r="Q15" s="4">
        <f>0.02476360273+0.2430210257+0.1013472718</f>
        <v>0.3691319002</v>
      </c>
      <c r="R15" s="4">
        <f>0.1011729616+0.05045665654</f>
        <v>0.1516296181</v>
      </c>
      <c r="S15" s="4">
        <f>0.166063293+0.04681865005</f>
        <v>0.2128819431</v>
      </c>
      <c r="T15" s="4">
        <f>0.06637549516+0.1468460233</f>
        <v>0.2132215185</v>
      </c>
      <c r="U15" s="6">
        <f>0.08704384476+0.05776645868</f>
        <v>0.1448103034</v>
      </c>
      <c r="V15" s="6">
        <f>0.09643085789</f>
        <v>0.09643085789</v>
      </c>
      <c r="W15" s="6">
        <f>0.07996932608+0.09095102436/2</f>
        <v>0.1254448383</v>
      </c>
      <c r="X15" s="6">
        <f>0.07910437575/2</f>
        <v>0.03955218788</v>
      </c>
      <c r="Y15" s="6"/>
      <c r="Z15" s="6">
        <f>0.056655/2</f>
        <v>0.0283275</v>
      </c>
      <c r="AA15" s="6"/>
      <c r="AB15" s="6"/>
      <c r="AC15" s="6"/>
      <c r="AD15" s="6"/>
      <c r="AE15" s="19"/>
      <c r="AF15" s="19"/>
      <c r="AG15" s="19"/>
    </row>
    <row r="16" ht="15.75" customHeight="1">
      <c r="A16" s="2">
        <v>102.0</v>
      </c>
      <c r="B16" s="3" t="s">
        <v>83</v>
      </c>
      <c r="C16" s="3"/>
      <c r="D16" s="9"/>
      <c r="E16" s="9"/>
      <c r="F16" s="4">
        <f>0.06352389648</f>
        <v>0.06352389648</v>
      </c>
      <c r="G16" s="4">
        <f>0.05488379282+0.09144975385</f>
        <v>0.1463335467</v>
      </c>
      <c r="H16" s="4">
        <f>0.1129069072</f>
        <v>0.1129069072</v>
      </c>
      <c r="I16" s="4">
        <f>0.08992522438/2+0.03963557718+0.10261484/2</f>
        <v>0.1359056094</v>
      </c>
      <c r="J16" s="4">
        <f>0.04860874469+0.063754076</f>
        <v>0.1123628207</v>
      </c>
      <c r="K16" s="4">
        <f>0.09213966556/2</f>
        <v>0.04606983278</v>
      </c>
      <c r="L16" s="4">
        <f>0.07349875269+0.2202011471</f>
        <v>0.2936998998</v>
      </c>
      <c r="M16" s="4"/>
      <c r="N16" s="4"/>
      <c r="O16" s="4"/>
      <c r="P16" s="4"/>
      <c r="Q16" s="4"/>
      <c r="R16" s="4">
        <f>0.1429742182/2</f>
        <v>0.0714871091</v>
      </c>
      <c r="S16" s="4"/>
      <c r="T16" s="4"/>
      <c r="U16" s="6"/>
      <c r="V16" s="6"/>
      <c r="W16" s="6"/>
      <c r="X16" s="6">
        <f>0.1713073043/2+0.05486668752/2</f>
        <v>0.1130869959</v>
      </c>
      <c r="Y16" s="6">
        <f>0.050743/2</f>
        <v>0.0253715</v>
      </c>
      <c r="Z16" s="6"/>
      <c r="AA16" s="6"/>
      <c r="AB16" s="6"/>
      <c r="AC16" s="6"/>
      <c r="AD16" s="6"/>
      <c r="AE16" s="19"/>
      <c r="AF16" s="19"/>
      <c r="AG16" s="19"/>
    </row>
    <row r="17" ht="15.75" customHeight="1">
      <c r="A17" s="2">
        <v>103.0</v>
      </c>
      <c r="B17" s="3" t="s">
        <v>85</v>
      </c>
      <c r="C17" s="3"/>
      <c r="D17" s="9"/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4"/>
      <c r="S17" s="4"/>
      <c r="T17" s="5"/>
      <c r="U17" s="6"/>
      <c r="V17" s="6"/>
      <c r="W17" s="6"/>
      <c r="X17" s="6"/>
      <c r="Y17" s="6"/>
      <c r="Z17" s="6"/>
      <c r="AA17" s="6"/>
      <c r="AB17" s="6"/>
      <c r="AC17" s="6"/>
      <c r="AD17" s="6"/>
      <c r="AE17" s="19"/>
      <c r="AF17" s="19"/>
      <c r="AG17" s="19"/>
    </row>
    <row r="18" ht="15.75" customHeight="1">
      <c r="A18" s="2">
        <v>104.0</v>
      </c>
      <c r="B18" s="3" t="s">
        <v>87</v>
      </c>
      <c r="C18" s="3"/>
      <c r="D18" s="9"/>
      <c r="E18" s="9"/>
      <c r="F18" s="5"/>
      <c r="G18" s="5"/>
      <c r="H18" s="5"/>
      <c r="I18" s="4"/>
      <c r="J18" s="4"/>
      <c r="K18" s="5"/>
      <c r="L18" s="5"/>
      <c r="M18" s="4"/>
      <c r="N18" s="5"/>
      <c r="O18" s="4"/>
      <c r="P18" s="4"/>
      <c r="Q18" s="4"/>
      <c r="R18" s="4"/>
      <c r="S18" s="4"/>
      <c r="T18" s="4"/>
      <c r="U18" s="6"/>
      <c r="V18" s="6"/>
      <c r="W18" s="6"/>
      <c r="X18" s="6"/>
      <c r="Y18" s="6"/>
      <c r="Z18" s="6"/>
      <c r="AA18" s="6"/>
      <c r="AB18" s="6"/>
      <c r="AC18" s="6"/>
      <c r="AD18" s="6"/>
      <c r="AE18" s="19"/>
      <c r="AF18" s="19"/>
      <c r="AG18" s="19"/>
    </row>
    <row r="19" ht="15.75" customHeight="1">
      <c r="A19" s="2">
        <v>105.0</v>
      </c>
      <c r="B19" s="3" t="s">
        <v>89</v>
      </c>
      <c r="C19" s="3"/>
      <c r="D19" s="11"/>
      <c r="E19" s="11"/>
      <c r="F19" s="5">
        <f>0.1164026626+0.166058176+0.04918444287+0.1619146126</f>
        <v>0.4935598941</v>
      </c>
      <c r="G19" s="5"/>
      <c r="H19" s="5">
        <f>0.07661275469+0.1043879855/2+0.191011236+0.06533451797/2+0.06726134317/2</f>
        <v>0.386115914</v>
      </c>
      <c r="I19" s="5">
        <f>0.07892673388/2+0.09849001157+0.09963345904+0.1725220872/2</f>
        <v>0.3238478812</v>
      </c>
      <c r="J19" s="5">
        <f>0.08000210256+0.1650610347+0.09696972376/2</f>
        <v>0.2935479991</v>
      </c>
      <c r="K19" s="4"/>
      <c r="L19" s="4"/>
      <c r="M19" s="4"/>
      <c r="N19" s="4"/>
      <c r="O19" s="4"/>
      <c r="P19" s="4"/>
      <c r="Q19" s="4"/>
      <c r="R19" s="5"/>
      <c r="S19" s="4"/>
      <c r="T19" s="4"/>
      <c r="U19" s="6"/>
      <c r="V19" s="6"/>
      <c r="W19" s="6"/>
      <c r="X19" s="6"/>
      <c r="Y19" s="6"/>
      <c r="Z19" s="6"/>
      <c r="AA19" s="6"/>
      <c r="AB19" s="6"/>
      <c r="AC19" s="6"/>
      <c r="AD19" s="6"/>
      <c r="AE19" s="19"/>
      <c r="AF19" s="19"/>
      <c r="AG19" s="19"/>
    </row>
    <row r="20" ht="15.75" customHeight="1">
      <c r="A20" s="2">
        <v>106.0</v>
      </c>
      <c r="B20" s="3" t="s">
        <v>91</v>
      </c>
      <c r="C20" s="3"/>
      <c r="D20" s="9"/>
      <c r="E20" s="9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  <c r="V20" s="6"/>
      <c r="W20" s="6"/>
      <c r="X20" s="6"/>
      <c r="Y20" s="6"/>
      <c r="Z20" s="6"/>
      <c r="AA20" s="6"/>
      <c r="AB20" s="6"/>
      <c r="AC20" s="6"/>
      <c r="AD20" s="6"/>
      <c r="AE20" s="19"/>
      <c r="AF20" s="19"/>
      <c r="AG20" s="19"/>
    </row>
    <row r="21" ht="15.75" customHeight="1">
      <c r="A21" s="2">
        <v>107.0</v>
      </c>
      <c r="B21" s="3" t="s">
        <v>93</v>
      </c>
      <c r="C21" s="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6"/>
      <c r="V21" s="6"/>
      <c r="W21" s="6">
        <f>0.09095102436/2</f>
        <v>0.04547551218</v>
      </c>
      <c r="X21" s="6">
        <f>0.07910437575/2</f>
        <v>0.03955218788</v>
      </c>
      <c r="Y21" s="6"/>
      <c r="Z21" s="6"/>
      <c r="AA21" s="6"/>
      <c r="AB21" s="6"/>
      <c r="AC21" s="6"/>
      <c r="AD21" s="6"/>
      <c r="AE21" s="19"/>
      <c r="AF21" s="19"/>
      <c r="AG21" s="19"/>
    </row>
    <row r="22" ht="15.75" customHeight="1">
      <c r="A22" s="2">
        <v>108.0</v>
      </c>
      <c r="B22" s="3" t="s">
        <v>95</v>
      </c>
      <c r="C22" s="3"/>
      <c r="D22" s="13"/>
      <c r="E22" s="13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6"/>
      <c r="V22" s="6"/>
      <c r="W22" s="6"/>
      <c r="X22" s="6"/>
      <c r="Y22" s="6"/>
      <c r="Z22" s="6"/>
      <c r="AA22" s="6"/>
      <c r="AB22" s="6"/>
      <c r="AC22" s="6"/>
      <c r="AD22" s="6"/>
      <c r="AE22" s="19"/>
      <c r="AF22" s="19"/>
      <c r="AG22" s="19"/>
    </row>
    <row r="23" ht="15.75" customHeight="1">
      <c r="A23" s="2">
        <v>99.0</v>
      </c>
      <c r="B23" s="3" t="s">
        <v>97</v>
      </c>
      <c r="C23" s="3"/>
      <c r="D23" s="13"/>
      <c r="E23" s="13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6"/>
      <c r="V23" s="6"/>
      <c r="W23" s="6"/>
      <c r="X23" s="6">
        <f>0.1775383023</f>
        <v>0.1775383023</v>
      </c>
      <c r="Y23" s="6"/>
      <c r="Z23" s="6"/>
      <c r="AA23" s="6"/>
      <c r="AB23" s="6"/>
      <c r="AC23" s="6"/>
      <c r="AD23" s="6"/>
      <c r="AE23" s="19"/>
      <c r="AF23" s="19"/>
      <c r="AG23" s="19"/>
    </row>
    <row r="24" ht="15.75" customHeight="1">
      <c r="A24" s="15" t="s">
        <v>99</v>
      </c>
      <c r="B24" s="16"/>
      <c r="C24" s="17"/>
      <c r="D24" s="27">
        <f t="shared" ref="D24:AD24" si="1">SUM(D2:D23)</f>
        <v>0</v>
      </c>
      <c r="E24" s="27">
        <f t="shared" si="1"/>
        <v>0</v>
      </c>
      <c r="F24" s="18">
        <f t="shared" si="1"/>
        <v>1</v>
      </c>
      <c r="G24" s="18">
        <f t="shared" si="1"/>
        <v>1</v>
      </c>
      <c r="H24" s="18">
        <f t="shared" si="1"/>
        <v>1</v>
      </c>
      <c r="I24" s="18">
        <f t="shared" si="1"/>
        <v>1</v>
      </c>
      <c r="J24" s="18">
        <f t="shared" si="1"/>
        <v>1</v>
      </c>
      <c r="K24" s="18">
        <f t="shared" si="1"/>
        <v>1</v>
      </c>
      <c r="L24" s="18">
        <f t="shared" si="1"/>
        <v>1</v>
      </c>
      <c r="M24" s="18">
        <f t="shared" si="1"/>
        <v>0.9999999999</v>
      </c>
      <c r="N24" s="18">
        <f t="shared" si="1"/>
        <v>1</v>
      </c>
      <c r="O24" s="18">
        <f t="shared" si="1"/>
        <v>1</v>
      </c>
      <c r="P24" s="18">
        <f t="shared" si="1"/>
        <v>1</v>
      </c>
      <c r="Q24" s="18">
        <f t="shared" si="1"/>
        <v>1</v>
      </c>
      <c r="R24" s="18">
        <f t="shared" si="1"/>
        <v>1</v>
      </c>
      <c r="S24" s="18">
        <f t="shared" si="1"/>
        <v>1</v>
      </c>
      <c r="T24" s="18">
        <f t="shared" si="1"/>
        <v>1</v>
      </c>
      <c r="U24" s="18">
        <f t="shared" si="1"/>
        <v>0.9999999999</v>
      </c>
      <c r="V24" s="18">
        <f t="shared" si="1"/>
        <v>1</v>
      </c>
      <c r="W24" s="18">
        <f t="shared" si="1"/>
        <v>1</v>
      </c>
      <c r="X24" s="18">
        <f t="shared" si="1"/>
        <v>1</v>
      </c>
      <c r="Y24" s="18">
        <f t="shared" si="1"/>
        <v>1</v>
      </c>
      <c r="Z24" s="18">
        <f t="shared" si="1"/>
        <v>0.999999</v>
      </c>
      <c r="AA24" s="18">
        <f t="shared" si="1"/>
        <v>0</v>
      </c>
      <c r="AB24" s="18">
        <f t="shared" si="1"/>
        <v>0</v>
      </c>
      <c r="AC24" s="18">
        <f t="shared" si="1"/>
        <v>0</v>
      </c>
      <c r="AD24" s="18">
        <f t="shared" si="1"/>
        <v>0</v>
      </c>
      <c r="AE24" s="19"/>
      <c r="AF24" s="19"/>
      <c r="AG24" s="19"/>
    </row>
    <row r="25" ht="15.75" customHeight="1">
      <c r="A25" s="19"/>
      <c r="B25" s="17"/>
      <c r="C25" s="17"/>
      <c r="D25" s="28"/>
      <c r="E25" s="28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15.75" customHeight="1">
      <c r="A26" s="19"/>
      <c r="B26" s="17"/>
      <c r="C26" s="17"/>
      <c r="D26" s="28"/>
      <c r="E26" s="28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15.75" customHeight="1">
      <c r="A27" s="19"/>
      <c r="B27" s="17"/>
      <c r="C27" s="17"/>
      <c r="D27" s="28"/>
      <c r="E27" s="28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15.75" customHeight="1">
      <c r="A28" s="19"/>
      <c r="B28" s="17"/>
      <c r="C28" s="17"/>
      <c r="D28" s="28"/>
      <c r="E28" s="28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15.75" customHeight="1">
      <c r="A29" s="19"/>
      <c r="B29" s="17"/>
      <c r="C29" s="17"/>
      <c r="D29" s="28"/>
      <c r="E29" s="28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15.75" customHeight="1">
      <c r="A30" s="19"/>
      <c r="B30" s="17"/>
      <c r="C30" s="17"/>
      <c r="D30" s="28"/>
      <c r="E30" s="28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15.75" customHeight="1">
      <c r="A31" s="19"/>
      <c r="B31" s="17"/>
      <c r="C31" s="17"/>
      <c r="D31" s="28"/>
      <c r="E31" s="28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15.75" customHeight="1">
      <c r="A32" s="19"/>
      <c r="B32" s="17"/>
      <c r="C32" s="17"/>
      <c r="D32" s="28"/>
      <c r="E32" s="28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15.75" customHeight="1">
      <c r="A33" s="19"/>
      <c r="B33" s="17"/>
      <c r="C33" s="17"/>
      <c r="D33" s="28"/>
      <c r="E33" s="28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15.75" customHeight="1">
      <c r="A34" s="19"/>
      <c r="B34" s="17"/>
      <c r="C34" s="17"/>
      <c r="D34" s="28"/>
      <c r="E34" s="28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15.75" customHeight="1">
      <c r="A35" s="19"/>
      <c r="B35" s="17"/>
      <c r="C35" s="17"/>
      <c r="D35" s="28"/>
      <c r="E35" s="28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15.75" customHeight="1">
      <c r="A36" s="19"/>
      <c r="B36" s="17"/>
      <c r="C36" s="17"/>
      <c r="D36" s="28"/>
      <c r="E36" s="28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15.75" customHeight="1">
      <c r="A37" s="19"/>
      <c r="B37" s="17"/>
      <c r="C37" s="17"/>
      <c r="D37" s="28"/>
      <c r="E37" s="28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15.75" customHeight="1">
      <c r="A38" s="19"/>
      <c r="B38" s="17"/>
      <c r="C38" s="17"/>
      <c r="D38" s="28"/>
      <c r="E38" s="28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15.75" customHeight="1">
      <c r="A39" s="19"/>
      <c r="B39" s="17"/>
      <c r="C39" s="17"/>
      <c r="D39" s="28"/>
      <c r="E39" s="28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15.75" customHeight="1">
      <c r="A40" s="19"/>
      <c r="B40" s="17"/>
      <c r="C40" s="17"/>
      <c r="D40" s="28"/>
      <c r="E40" s="28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15.75" customHeight="1">
      <c r="A41" s="19"/>
      <c r="B41" s="17"/>
      <c r="C41" s="17"/>
      <c r="D41" s="28"/>
      <c r="E41" s="28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15.75" customHeight="1">
      <c r="A42" s="19"/>
      <c r="B42" s="17"/>
      <c r="C42" s="17"/>
      <c r="D42" s="28"/>
      <c r="E42" s="28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15.75" customHeight="1">
      <c r="A43" s="19"/>
      <c r="B43" s="17"/>
      <c r="C43" s="17"/>
      <c r="D43" s="28"/>
      <c r="E43" s="28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15.75" customHeight="1">
      <c r="A44" s="19"/>
      <c r="B44" s="17"/>
      <c r="C44" s="17"/>
      <c r="D44" s="28"/>
      <c r="E44" s="28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15.75" customHeight="1">
      <c r="A45" s="19"/>
      <c r="B45" s="17"/>
      <c r="C45" s="17"/>
      <c r="D45" s="28"/>
      <c r="E45" s="2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15.75" customHeight="1">
      <c r="A46" s="19"/>
      <c r="B46" s="17"/>
      <c r="C46" s="17"/>
      <c r="D46" s="28"/>
      <c r="E46" s="2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15.75" customHeight="1">
      <c r="A47" s="19"/>
      <c r="B47" s="17"/>
      <c r="C47" s="17"/>
      <c r="D47" s="28"/>
      <c r="E47" s="2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15.75" customHeight="1">
      <c r="A48" s="19"/>
      <c r="B48" s="17"/>
      <c r="C48" s="17"/>
      <c r="D48" s="28"/>
      <c r="E48" s="28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15.75" customHeight="1">
      <c r="A49" s="19"/>
      <c r="B49" s="17"/>
      <c r="C49" s="17"/>
      <c r="D49" s="28"/>
      <c r="E49" s="28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15.75" customHeight="1">
      <c r="A50" s="19"/>
      <c r="B50" s="17"/>
      <c r="C50" s="17"/>
      <c r="D50" s="28"/>
      <c r="E50" s="28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15.75" customHeight="1">
      <c r="A51" s="19"/>
      <c r="B51" s="17"/>
      <c r="C51" s="17"/>
      <c r="D51" s="28"/>
      <c r="E51" s="28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15.75" customHeight="1">
      <c r="A52" s="19"/>
      <c r="B52" s="17"/>
      <c r="C52" s="17"/>
      <c r="D52" s="28"/>
      <c r="E52" s="28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15.75" customHeight="1">
      <c r="A53" s="19"/>
      <c r="B53" s="17"/>
      <c r="C53" s="17"/>
      <c r="D53" s="28"/>
      <c r="E53" s="28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15.75" customHeight="1">
      <c r="A54" s="19"/>
      <c r="B54" s="17"/>
      <c r="C54" s="17"/>
      <c r="D54" s="28"/>
      <c r="E54" s="28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15.75" customHeight="1">
      <c r="A55" s="19"/>
      <c r="B55" s="17"/>
      <c r="C55" s="17"/>
      <c r="D55" s="28"/>
      <c r="E55" s="28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15.75" customHeight="1">
      <c r="A56" s="19"/>
      <c r="B56" s="17"/>
      <c r="C56" s="17"/>
      <c r="D56" s="28"/>
      <c r="E56" s="28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15.75" customHeight="1">
      <c r="A57" s="19"/>
      <c r="B57" s="17"/>
      <c r="C57" s="17"/>
      <c r="D57" s="28"/>
      <c r="E57" s="28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15.75" customHeight="1">
      <c r="A58" s="19"/>
      <c r="B58" s="17"/>
      <c r="C58" s="17"/>
      <c r="D58" s="28"/>
      <c r="E58" s="28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15.75" customHeight="1">
      <c r="A59" s="19"/>
      <c r="B59" s="17"/>
      <c r="C59" s="17"/>
      <c r="D59" s="28"/>
      <c r="E59" s="28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15.75" customHeight="1">
      <c r="A60" s="19"/>
      <c r="B60" s="17"/>
      <c r="C60" s="17"/>
      <c r="D60" s="28"/>
      <c r="E60" s="28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15.75" customHeight="1">
      <c r="A61" s="19"/>
      <c r="B61" s="17"/>
      <c r="C61" s="17"/>
      <c r="D61" s="28"/>
      <c r="E61" s="28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15.75" customHeight="1">
      <c r="A62" s="19"/>
      <c r="B62" s="17"/>
      <c r="C62" s="17"/>
      <c r="D62" s="28"/>
      <c r="E62" s="28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15.75" customHeight="1">
      <c r="A63" s="19"/>
      <c r="B63" s="17"/>
      <c r="C63" s="17"/>
      <c r="D63" s="28"/>
      <c r="E63" s="28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15.75" customHeight="1">
      <c r="A64" s="19"/>
      <c r="B64" s="17"/>
      <c r="C64" s="17"/>
      <c r="D64" s="28"/>
      <c r="E64" s="28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15.75" customHeight="1">
      <c r="A65" s="19"/>
      <c r="B65" s="17"/>
      <c r="C65" s="17"/>
      <c r="D65" s="28"/>
      <c r="E65" s="28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15.75" customHeight="1">
      <c r="A66" s="19"/>
      <c r="B66" s="17"/>
      <c r="C66" s="17"/>
      <c r="D66" s="28"/>
      <c r="E66" s="28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15.75" customHeight="1">
      <c r="A67" s="19"/>
      <c r="B67" s="17"/>
      <c r="C67" s="17"/>
      <c r="D67" s="28"/>
      <c r="E67" s="28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15.75" customHeight="1">
      <c r="A68" s="19"/>
      <c r="B68" s="17"/>
      <c r="C68" s="17"/>
      <c r="D68" s="28"/>
      <c r="E68" s="28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15.75" customHeight="1">
      <c r="A69" s="19"/>
      <c r="B69" s="17"/>
      <c r="C69" s="17"/>
      <c r="D69" s="28"/>
      <c r="E69" s="28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15.75" customHeight="1">
      <c r="A70" s="19"/>
      <c r="B70" s="17"/>
      <c r="C70" s="17"/>
      <c r="D70" s="28"/>
      <c r="E70" s="28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15.75" customHeight="1">
      <c r="A71" s="19"/>
      <c r="B71" s="17"/>
      <c r="C71" s="17"/>
      <c r="D71" s="28"/>
      <c r="E71" s="28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15.75" customHeight="1">
      <c r="A72" s="19"/>
      <c r="B72" s="17"/>
      <c r="C72" s="17"/>
      <c r="D72" s="28"/>
      <c r="E72" s="28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15.75" customHeight="1">
      <c r="A73" s="19"/>
      <c r="B73" s="17"/>
      <c r="C73" s="17"/>
      <c r="D73" s="28"/>
      <c r="E73" s="28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15.75" customHeight="1">
      <c r="A74" s="19"/>
      <c r="B74" s="17"/>
      <c r="C74" s="17"/>
      <c r="D74" s="28"/>
      <c r="E74" s="28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15.75" customHeight="1">
      <c r="A75" s="19"/>
      <c r="B75" s="17"/>
      <c r="C75" s="17"/>
      <c r="D75" s="28"/>
      <c r="E75" s="28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15.75" customHeight="1">
      <c r="A76" s="19"/>
      <c r="B76" s="17"/>
      <c r="C76" s="17"/>
      <c r="D76" s="28"/>
      <c r="E76" s="28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15.75" customHeight="1">
      <c r="A77" s="19"/>
      <c r="B77" s="17"/>
      <c r="C77" s="17"/>
      <c r="D77" s="28"/>
      <c r="E77" s="28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15.75" customHeight="1">
      <c r="A78" s="19"/>
      <c r="B78" s="17"/>
      <c r="C78" s="17"/>
      <c r="D78" s="28"/>
      <c r="E78" s="28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15.75" customHeight="1">
      <c r="A79" s="19"/>
      <c r="B79" s="17"/>
      <c r="C79" s="17"/>
      <c r="D79" s="28"/>
      <c r="E79" s="28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15.75" customHeight="1">
      <c r="A80" s="19"/>
      <c r="B80" s="17"/>
      <c r="C80" s="17"/>
      <c r="D80" s="28"/>
      <c r="E80" s="28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15.75" customHeight="1">
      <c r="A81" s="19"/>
      <c r="B81" s="17"/>
      <c r="C81" s="17"/>
      <c r="D81" s="28"/>
      <c r="E81" s="28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15.75" customHeight="1">
      <c r="A82" s="19"/>
      <c r="B82" s="17"/>
      <c r="C82" s="17"/>
      <c r="D82" s="28"/>
      <c r="E82" s="28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15.75" customHeight="1">
      <c r="A83" s="19"/>
      <c r="B83" s="17"/>
      <c r="C83" s="17"/>
      <c r="D83" s="28"/>
      <c r="E83" s="28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15.75" customHeight="1">
      <c r="A84" s="19"/>
      <c r="B84" s="17"/>
      <c r="C84" s="17"/>
      <c r="D84" s="28"/>
      <c r="E84" s="28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15.75" customHeight="1">
      <c r="A85" s="19"/>
      <c r="B85" s="17"/>
      <c r="C85" s="17"/>
      <c r="D85" s="28"/>
      <c r="E85" s="28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15.75" customHeight="1">
      <c r="A86" s="19"/>
      <c r="B86" s="17"/>
      <c r="C86" s="17"/>
      <c r="D86" s="28"/>
      <c r="E86" s="28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15.75" customHeight="1">
      <c r="A87" s="19"/>
      <c r="B87" s="17"/>
      <c r="C87" s="17"/>
      <c r="D87" s="28"/>
      <c r="E87" s="28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15.75" customHeight="1">
      <c r="A88" s="19"/>
      <c r="B88" s="17"/>
      <c r="C88" s="17"/>
      <c r="D88" s="28"/>
      <c r="E88" s="28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15.75" customHeight="1">
      <c r="A89" s="19"/>
      <c r="B89" s="17"/>
      <c r="C89" s="17"/>
      <c r="D89" s="28"/>
      <c r="E89" s="28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15.75" customHeight="1">
      <c r="A90" s="19"/>
      <c r="B90" s="17"/>
      <c r="C90" s="17"/>
      <c r="D90" s="28"/>
      <c r="E90" s="28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15.75" customHeight="1">
      <c r="A91" s="19"/>
      <c r="B91" s="17"/>
      <c r="C91" s="17"/>
      <c r="D91" s="28"/>
      <c r="E91" s="28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15.75" customHeight="1">
      <c r="A92" s="19"/>
      <c r="B92" s="17"/>
      <c r="C92" s="17"/>
      <c r="D92" s="28"/>
      <c r="E92" s="28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15.75" customHeight="1">
      <c r="A93" s="19"/>
      <c r="B93" s="17"/>
      <c r="C93" s="17"/>
      <c r="D93" s="28"/>
      <c r="E93" s="28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15.75" customHeight="1">
      <c r="A94" s="19"/>
      <c r="B94" s="17"/>
      <c r="C94" s="17"/>
      <c r="D94" s="28"/>
      <c r="E94" s="28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15.75" customHeight="1">
      <c r="A95" s="19"/>
      <c r="B95" s="17"/>
      <c r="C95" s="17"/>
      <c r="D95" s="28"/>
      <c r="E95" s="28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15.75" customHeight="1">
      <c r="A96" s="19"/>
      <c r="B96" s="17"/>
      <c r="C96" s="17"/>
      <c r="D96" s="28"/>
      <c r="E96" s="28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15.75" customHeight="1">
      <c r="A97" s="19"/>
      <c r="B97" s="17"/>
      <c r="C97" s="17"/>
      <c r="D97" s="28"/>
      <c r="E97" s="28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15.75" customHeight="1">
      <c r="A98" s="19"/>
      <c r="B98" s="17"/>
      <c r="C98" s="17"/>
      <c r="D98" s="28"/>
      <c r="E98" s="28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15.75" customHeight="1">
      <c r="A99" s="19"/>
      <c r="B99" s="17"/>
      <c r="C99" s="17"/>
      <c r="D99" s="28"/>
      <c r="E99" s="28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15.75" customHeight="1">
      <c r="A100" s="19"/>
      <c r="B100" s="17"/>
      <c r="C100" s="17"/>
      <c r="D100" s="28"/>
      <c r="E100" s="28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15.75" customHeight="1">
      <c r="A101" s="19"/>
      <c r="B101" s="17"/>
      <c r="C101" s="17"/>
      <c r="D101" s="28"/>
      <c r="E101" s="28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15.75" customHeight="1">
      <c r="A102" s="19"/>
      <c r="B102" s="17"/>
      <c r="C102" s="17"/>
      <c r="D102" s="28"/>
      <c r="E102" s="28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15.75" customHeight="1">
      <c r="A103" s="19"/>
      <c r="B103" s="17"/>
      <c r="C103" s="17"/>
      <c r="D103" s="28"/>
      <c r="E103" s="28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15.75" customHeight="1">
      <c r="A104" s="19"/>
      <c r="B104" s="17"/>
      <c r="C104" s="17"/>
      <c r="D104" s="28"/>
      <c r="E104" s="28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15.75" customHeight="1">
      <c r="A105" s="19"/>
      <c r="B105" s="17"/>
      <c r="C105" s="17"/>
      <c r="D105" s="28"/>
      <c r="E105" s="28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15.75" customHeight="1">
      <c r="A106" s="19"/>
      <c r="B106" s="17"/>
      <c r="C106" s="17"/>
      <c r="D106" s="28"/>
      <c r="E106" s="28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15.75" customHeight="1">
      <c r="A107" s="19"/>
      <c r="B107" s="17"/>
      <c r="C107" s="17"/>
      <c r="D107" s="28"/>
      <c r="E107" s="28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15.75" customHeight="1">
      <c r="A108" s="19"/>
      <c r="B108" s="17"/>
      <c r="C108" s="17"/>
      <c r="D108" s="28"/>
      <c r="E108" s="28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15.75" customHeight="1">
      <c r="A109" s="19"/>
      <c r="B109" s="17"/>
      <c r="C109" s="17"/>
      <c r="D109" s="28"/>
      <c r="E109" s="28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15.75" customHeight="1">
      <c r="A110" s="19"/>
      <c r="B110" s="17"/>
      <c r="C110" s="17"/>
      <c r="D110" s="28"/>
      <c r="E110" s="28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15.75" customHeight="1">
      <c r="A111" s="19"/>
      <c r="B111" s="17"/>
      <c r="C111" s="17"/>
      <c r="D111" s="28"/>
      <c r="E111" s="28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15.75" customHeight="1">
      <c r="A112" s="19"/>
      <c r="B112" s="17"/>
      <c r="C112" s="17"/>
      <c r="D112" s="28"/>
      <c r="E112" s="28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15.75" customHeight="1">
      <c r="A113" s="19"/>
      <c r="B113" s="17"/>
      <c r="C113" s="17"/>
      <c r="D113" s="28"/>
      <c r="E113" s="28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15.75" customHeight="1">
      <c r="A114" s="19"/>
      <c r="B114" s="17"/>
      <c r="C114" s="17"/>
      <c r="D114" s="28"/>
      <c r="E114" s="28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15.75" customHeight="1">
      <c r="A115" s="19"/>
      <c r="B115" s="17"/>
      <c r="C115" s="17"/>
      <c r="D115" s="28"/>
      <c r="E115" s="28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15.75" customHeight="1">
      <c r="A116" s="19"/>
      <c r="B116" s="17"/>
      <c r="C116" s="17"/>
      <c r="D116" s="28"/>
      <c r="E116" s="28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15.75" customHeight="1">
      <c r="A117" s="19"/>
      <c r="B117" s="17"/>
      <c r="C117" s="17"/>
      <c r="D117" s="28"/>
      <c r="E117" s="28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15.75" customHeight="1">
      <c r="A118" s="19"/>
      <c r="B118" s="17"/>
      <c r="C118" s="17"/>
      <c r="D118" s="28"/>
      <c r="E118" s="28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15.75" customHeight="1">
      <c r="A119" s="19"/>
      <c r="B119" s="17"/>
      <c r="C119" s="17"/>
      <c r="D119" s="28"/>
      <c r="E119" s="28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15.75" customHeight="1">
      <c r="A120" s="19"/>
      <c r="B120" s="17"/>
      <c r="C120" s="17"/>
      <c r="D120" s="28"/>
      <c r="E120" s="28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15.75" customHeight="1">
      <c r="A121" s="19"/>
      <c r="B121" s="17"/>
      <c r="C121" s="17"/>
      <c r="D121" s="28"/>
      <c r="E121" s="28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15.75" customHeight="1">
      <c r="A122" s="19"/>
      <c r="B122" s="17"/>
      <c r="C122" s="17"/>
      <c r="D122" s="28"/>
      <c r="E122" s="28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15.75" customHeight="1">
      <c r="A123" s="19"/>
      <c r="B123" s="17"/>
      <c r="C123" s="17"/>
      <c r="D123" s="28"/>
      <c r="E123" s="28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15.75" customHeight="1">
      <c r="A124" s="19"/>
      <c r="B124" s="17"/>
      <c r="C124" s="17"/>
      <c r="D124" s="28"/>
      <c r="E124" s="28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15.75" customHeight="1">
      <c r="A125" s="19"/>
      <c r="B125" s="17"/>
      <c r="C125" s="17"/>
      <c r="D125" s="28"/>
      <c r="E125" s="28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15.75" customHeight="1">
      <c r="A126" s="19"/>
      <c r="B126" s="17"/>
      <c r="C126" s="17"/>
      <c r="D126" s="28"/>
      <c r="E126" s="28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15.75" customHeight="1">
      <c r="A127" s="19"/>
      <c r="B127" s="17"/>
      <c r="C127" s="17"/>
      <c r="D127" s="28"/>
      <c r="E127" s="28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15.75" customHeight="1">
      <c r="A128" s="19"/>
      <c r="B128" s="17"/>
      <c r="C128" s="17"/>
      <c r="D128" s="28"/>
      <c r="E128" s="28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15.75" customHeight="1">
      <c r="A129" s="19"/>
      <c r="B129" s="17"/>
      <c r="C129" s="17"/>
      <c r="D129" s="28"/>
      <c r="E129" s="28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15.75" customHeight="1">
      <c r="A130" s="19"/>
      <c r="B130" s="17"/>
      <c r="C130" s="17"/>
      <c r="D130" s="28"/>
      <c r="E130" s="28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15.75" customHeight="1">
      <c r="A131" s="19"/>
      <c r="B131" s="17"/>
      <c r="C131" s="17"/>
      <c r="D131" s="28"/>
      <c r="E131" s="28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15.75" customHeight="1">
      <c r="A132" s="19"/>
      <c r="B132" s="17"/>
      <c r="C132" s="17"/>
      <c r="D132" s="28"/>
      <c r="E132" s="28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15.75" customHeight="1">
      <c r="A133" s="19"/>
      <c r="B133" s="17"/>
      <c r="C133" s="17"/>
      <c r="D133" s="28"/>
      <c r="E133" s="28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15.75" customHeight="1">
      <c r="A134" s="19"/>
      <c r="B134" s="17"/>
      <c r="C134" s="17"/>
      <c r="D134" s="28"/>
      <c r="E134" s="28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15.75" customHeight="1">
      <c r="A135" s="19"/>
      <c r="B135" s="17"/>
      <c r="C135" s="17"/>
      <c r="D135" s="28"/>
      <c r="E135" s="28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15.75" customHeight="1">
      <c r="A136" s="19"/>
      <c r="B136" s="17"/>
      <c r="C136" s="17"/>
      <c r="D136" s="28"/>
      <c r="E136" s="28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15.75" customHeight="1">
      <c r="A137" s="19"/>
      <c r="B137" s="17"/>
      <c r="C137" s="17"/>
      <c r="D137" s="28"/>
      <c r="E137" s="28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15.75" customHeight="1">
      <c r="A138" s="19"/>
      <c r="B138" s="17"/>
      <c r="C138" s="17"/>
      <c r="D138" s="28"/>
      <c r="E138" s="28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15.75" customHeight="1">
      <c r="A139" s="19"/>
      <c r="B139" s="17"/>
      <c r="C139" s="17"/>
      <c r="D139" s="28"/>
      <c r="E139" s="28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15.75" customHeight="1">
      <c r="A140" s="19"/>
      <c r="B140" s="17"/>
      <c r="C140" s="17"/>
      <c r="D140" s="28"/>
      <c r="E140" s="28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15.75" customHeight="1">
      <c r="A141" s="19"/>
      <c r="B141" s="17"/>
      <c r="C141" s="17"/>
      <c r="D141" s="28"/>
      <c r="E141" s="28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15.75" customHeight="1">
      <c r="A142" s="19"/>
      <c r="B142" s="17"/>
      <c r="C142" s="17"/>
      <c r="D142" s="28"/>
      <c r="E142" s="28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15.75" customHeight="1">
      <c r="A143" s="19"/>
      <c r="B143" s="17"/>
      <c r="C143" s="17"/>
      <c r="D143" s="28"/>
      <c r="E143" s="28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15.75" customHeight="1">
      <c r="A144" s="19"/>
      <c r="B144" s="17"/>
      <c r="C144" s="17"/>
      <c r="D144" s="28"/>
      <c r="E144" s="28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15.75" customHeight="1">
      <c r="A145" s="19"/>
      <c r="B145" s="17"/>
      <c r="C145" s="17"/>
      <c r="D145" s="28"/>
      <c r="E145" s="28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15.75" customHeight="1">
      <c r="A146" s="19"/>
      <c r="B146" s="17"/>
      <c r="C146" s="17"/>
      <c r="D146" s="28"/>
      <c r="E146" s="28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15.75" customHeight="1">
      <c r="A147" s="19"/>
      <c r="B147" s="17"/>
      <c r="C147" s="17"/>
      <c r="D147" s="28"/>
      <c r="E147" s="28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15.75" customHeight="1">
      <c r="A148" s="19"/>
      <c r="B148" s="17"/>
      <c r="C148" s="17"/>
      <c r="D148" s="28"/>
      <c r="E148" s="28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15.75" customHeight="1">
      <c r="A149" s="19"/>
      <c r="B149" s="17"/>
      <c r="C149" s="17"/>
      <c r="D149" s="28"/>
      <c r="E149" s="28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15.75" customHeight="1">
      <c r="A150" s="19"/>
      <c r="B150" s="17"/>
      <c r="C150" s="17"/>
      <c r="D150" s="28"/>
      <c r="E150" s="28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15.75" customHeight="1">
      <c r="A151" s="19"/>
      <c r="B151" s="17"/>
      <c r="C151" s="17"/>
      <c r="D151" s="28"/>
      <c r="E151" s="28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15.75" customHeight="1">
      <c r="A152" s="19"/>
      <c r="B152" s="17"/>
      <c r="C152" s="17"/>
      <c r="D152" s="28"/>
      <c r="E152" s="28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15.75" customHeight="1">
      <c r="A153" s="19"/>
      <c r="B153" s="17"/>
      <c r="C153" s="17"/>
      <c r="D153" s="28"/>
      <c r="E153" s="28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15.75" customHeight="1">
      <c r="A154" s="19"/>
      <c r="B154" s="17"/>
      <c r="C154" s="17"/>
      <c r="D154" s="28"/>
      <c r="E154" s="28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15.75" customHeight="1">
      <c r="A155" s="19"/>
      <c r="B155" s="17"/>
      <c r="C155" s="17"/>
      <c r="D155" s="28"/>
      <c r="E155" s="28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15.75" customHeight="1">
      <c r="A156" s="19"/>
      <c r="B156" s="17"/>
      <c r="C156" s="17"/>
      <c r="D156" s="28"/>
      <c r="E156" s="28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15.75" customHeight="1">
      <c r="A157" s="19"/>
      <c r="B157" s="17"/>
      <c r="C157" s="17"/>
      <c r="D157" s="28"/>
      <c r="E157" s="28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15.75" customHeight="1">
      <c r="A158" s="19"/>
      <c r="B158" s="17"/>
      <c r="C158" s="17"/>
      <c r="D158" s="28"/>
      <c r="E158" s="28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15.75" customHeight="1">
      <c r="A159" s="19"/>
      <c r="B159" s="17"/>
      <c r="C159" s="17"/>
      <c r="D159" s="28"/>
      <c r="E159" s="28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15.75" customHeight="1">
      <c r="A160" s="19"/>
      <c r="B160" s="17"/>
      <c r="C160" s="17"/>
      <c r="D160" s="28"/>
      <c r="E160" s="28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15.75" customHeight="1">
      <c r="A161" s="19"/>
      <c r="B161" s="17"/>
      <c r="C161" s="17"/>
      <c r="D161" s="28"/>
      <c r="E161" s="28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15.75" customHeight="1">
      <c r="A162" s="19"/>
      <c r="B162" s="17"/>
      <c r="C162" s="17"/>
      <c r="D162" s="28"/>
      <c r="E162" s="28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15.75" customHeight="1">
      <c r="A163" s="19"/>
      <c r="B163" s="17"/>
      <c r="C163" s="17"/>
      <c r="D163" s="28"/>
      <c r="E163" s="28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15.75" customHeight="1">
      <c r="A164" s="19"/>
      <c r="B164" s="17"/>
      <c r="C164" s="17"/>
      <c r="D164" s="28"/>
      <c r="E164" s="28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15.75" customHeight="1">
      <c r="A165" s="19"/>
      <c r="B165" s="17"/>
      <c r="C165" s="17"/>
      <c r="D165" s="28"/>
      <c r="E165" s="28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15.75" customHeight="1">
      <c r="A166" s="19"/>
      <c r="B166" s="17"/>
      <c r="C166" s="17"/>
      <c r="D166" s="28"/>
      <c r="E166" s="28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15.75" customHeight="1">
      <c r="A167" s="19"/>
      <c r="B167" s="17"/>
      <c r="C167" s="17"/>
      <c r="D167" s="28"/>
      <c r="E167" s="28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15.75" customHeight="1">
      <c r="A168" s="19"/>
      <c r="B168" s="17"/>
      <c r="C168" s="17"/>
      <c r="D168" s="28"/>
      <c r="E168" s="28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15.75" customHeight="1">
      <c r="A169" s="19"/>
      <c r="B169" s="17"/>
      <c r="C169" s="17"/>
      <c r="D169" s="28"/>
      <c r="E169" s="28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15.75" customHeight="1">
      <c r="A170" s="19"/>
      <c r="B170" s="17"/>
      <c r="C170" s="17"/>
      <c r="D170" s="28"/>
      <c r="E170" s="28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15.75" customHeight="1">
      <c r="A171" s="19"/>
      <c r="B171" s="17"/>
      <c r="C171" s="17"/>
      <c r="D171" s="28"/>
      <c r="E171" s="28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15.75" customHeight="1">
      <c r="A172" s="19"/>
      <c r="B172" s="17"/>
      <c r="C172" s="17"/>
      <c r="D172" s="28"/>
      <c r="E172" s="28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15.75" customHeight="1">
      <c r="A173" s="19"/>
      <c r="B173" s="17"/>
      <c r="C173" s="17"/>
      <c r="D173" s="28"/>
      <c r="E173" s="28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15.75" customHeight="1">
      <c r="A174" s="19"/>
      <c r="B174" s="17"/>
      <c r="C174" s="17"/>
      <c r="D174" s="28"/>
      <c r="E174" s="28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15.75" customHeight="1">
      <c r="A175" s="19"/>
      <c r="B175" s="17"/>
      <c r="C175" s="17"/>
      <c r="D175" s="28"/>
      <c r="E175" s="28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15.75" customHeight="1">
      <c r="A176" s="19"/>
      <c r="B176" s="17"/>
      <c r="C176" s="17"/>
      <c r="D176" s="28"/>
      <c r="E176" s="28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15.75" customHeight="1">
      <c r="A177" s="19"/>
      <c r="B177" s="17"/>
      <c r="C177" s="17"/>
      <c r="D177" s="28"/>
      <c r="E177" s="28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15.75" customHeight="1">
      <c r="A178" s="19"/>
      <c r="B178" s="17"/>
      <c r="C178" s="17"/>
      <c r="D178" s="28"/>
      <c r="E178" s="28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15.75" customHeight="1">
      <c r="A179" s="19"/>
      <c r="B179" s="17"/>
      <c r="C179" s="17"/>
      <c r="D179" s="28"/>
      <c r="E179" s="28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15.75" customHeight="1">
      <c r="A180" s="19"/>
      <c r="B180" s="17"/>
      <c r="C180" s="17"/>
      <c r="D180" s="28"/>
      <c r="E180" s="28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15.75" customHeight="1">
      <c r="A181" s="19"/>
      <c r="B181" s="17"/>
      <c r="C181" s="17"/>
      <c r="D181" s="28"/>
      <c r="E181" s="28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15.75" customHeight="1">
      <c r="A182" s="19"/>
      <c r="B182" s="17"/>
      <c r="C182" s="17"/>
      <c r="D182" s="28"/>
      <c r="E182" s="28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15.75" customHeight="1">
      <c r="A183" s="19"/>
      <c r="B183" s="17"/>
      <c r="C183" s="17"/>
      <c r="D183" s="28"/>
      <c r="E183" s="28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15.75" customHeight="1">
      <c r="A184" s="19"/>
      <c r="B184" s="17"/>
      <c r="C184" s="17"/>
      <c r="D184" s="28"/>
      <c r="E184" s="28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15.75" customHeight="1">
      <c r="A185" s="19"/>
      <c r="B185" s="17"/>
      <c r="C185" s="17"/>
      <c r="D185" s="28"/>
      <c r="E185" s="28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15.75" customHeight="1">
      <c r="A186" s="19"/>
      <c r="B186" s="17"/>
      <c r="C186" s="17"/>
      <c r="D186" s="28"/>
      <c r="E186" s="28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15.75" customHeight="1">
      <c r="A187" s="19"/>
      <c r="B187" s="17"/>
      <c r="C187" s="17"/>
      <c r="D187" s="28"/>
      <c r="E187" s="28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15.75" customHeight="1">
      <c r="A188" s="19"/>
      <c r="B188" s="17"/>
      <c r="C188" s="17"/>
      <c r="D188" s="28"/>
      <c r="E188" s="28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15.75" customHeight="1">
      <c r="A189" s="19"/>
      <c r="B189" s="17"/>
      <c r="C189" s="17"/>
      <c r="D189" s="28"/>
      <c r="E189" s="28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15.75" customHeight="1">
      <c r="A190" s="19"/>
      <c r="B190" s="17"/>
      <c r="C190" s="17"/>
      <c r="D190" s="28"/>
      <c r="E190" s="28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15.75" customHeight="1">
      <c r="A191" s="19"/>
      <c r="B191" s="17"/>
      <c r="C191" s="17"/>
      <c r="D191" s="28"/>
      <c r="E191" s="28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15.75" customHeight="1">
      <c r="A192" s="19"/>
      <c r="B192" s="17"/>
      <c r="C192" s="17"/>
      <c r="D192" s="28"/>
      <c r="E192" s="28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15.75" customHeight="1">
      <c r="A193" s="19"/>
      <c r="B193" s="17"/>
      <c r="C193" s="17"/>
      <c r="D193" s="28"/>
      <c r="E193" s="28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15.75" customHeight="1">
      <c r="A194" s="19"/>
      <c r="B194" s="17"/>
      <c r="C194" s="17"/>
      <c r="D194" s="28"/>
      <c r="E194" s="28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15.75" customHeight="1">
      <c r="A195" s="19"/>
      <c r="B195" s="17"/>
      <c r="C195" s="17"/>
      <c r="D195" s="28"/>
      <c r="E195" s="28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15.75" customHeight="1">
      <c r="A196" s="19"/>
      <c r="B196" s="17"/>
      <c r="C196" s="17"/>
      <c r="D196" s="28"/>
      <c r="E196" s="28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15.75" customHeight="1">
      <c r="A197" s="19"/>
      <c r="B197" s="17"/>
      <c r="C197" s="17"/>
      <c r="D197" s="28"/>
      <c r="E197" s="28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15.75" customHeight="1">
      <c r="A198" s="19"/>
      <c r="B198" s="17"/>
      <c r="C198" s="17"/>
      <c r="D198" s="28"/>
      <c r="E198" s="28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15.75" customHeight="1">
      <c r="A199" s="19"/>
      <c r="B199" s="17"/>
      <c r="C199" s="17"/>
      <c r="D199" s="28"/>
      <c r="E199" s="28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15.75" customHeight="1">
      <c r="A200" s="19"/>
      <c r="B200" s="17"/>
      <c r="C200" s="17"/>
      <c r="D200" s="28"/>
      <c r="E200" s="28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15.75" customHeight="1">
      <c r="A201" s="19"/>
      <c r="B201" s="17"/>
      <c r="C201" s="17"/>
      <c r="D201" s="28"/>
      <c r="E201" s="28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15.75" customHeight="1">
      <c r="A202" s="19"/>
      <c r="B202" s="17"/>
      <c r="C202" s="17"/>
      <c r="D202" s="28"/>
      <c r="E202" s="28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15.75" customHeight="1">
      <c r="A203" s="19"/>
      <c r="B203" s="17"/>
      <c r="C203" s="17"/>
      <c r="D203" s="28"/>
      <c r="E203" s="28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15.75" customHeight="1">
      <c r="A204" s="19"/>
      <c r="B204" s="17"/>
      <c r="C204" s="17"/>
      <c r="D204" s="28"/>
      <c r="E204" s="28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15.75" customHeight="1">
      <c r="A205" s="19"/>
      <c r="B205" s="17"/>
      <c r="C205" s="17"/>
      <c r="D205" s="28"/>
      <c r="E205" s="28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15.75" customHeight="1">
      <c r="A206" s="19"/>
      <c r="B206" s="17"/>
      <c r="C206" s="17"/>
      <c r="D206" s="28"/>
      <c r="E206" s="28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15.75" customHeight="1">
      <c r="A207" s="19"/>
      <c r="B207" s="17"/>
      <c r="C207" s="17"/>
      <c r="D207" s="28"/>
      <c r="E207" s="28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15.75" customHeight="1">
      <c r="A208" s="19"/>
      <c r="B208" s="17"/>
      <c r="C208" s="17"/>
      <c r="D208" s="28"/>
      <c r="E208" s="28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15.75" customHeight="1">
      <c r="A209" s="19"/>
      <c r="B209" s="17"/>
      <c r="C209" s="17"/>
      <c r="D209" s="28"/>
      <c r="E209" s="28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15.75" customHeight="1">
      <c r="A210" s="19"/>
      <c r="B210" s="17"/>
      <c r="C210" s="17"/>
      <c r="D210" s="28"/>
      <c r="E210" s="28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15.75" customHeight="1">
      <c r="A211" s="19"/>
      <c r="B211" s="17"/>
      <c r="C211" s="17"/>
      <c r="D211" s="28"/>
      <c r="E211" s="28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15.75" customHeight="1">
      <c r="A212" s="19"/>
      <c r="B212" s="17"/>
      <c r="C212" s="17"/>
      <c r="D212" s="28"/>
      <c r="E212" s="28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15.75" customHeight="1">
      <c r="A213" s="19"/>
      <c r="B213" s="17"/>
      <c r="C213" s="17"/>
      <c r="D213" s="28"/>
      <c r="E213" s="28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15.75" customHeight="1">
      <c r="A214" s="19"/>
      <c r="B214" s="17"/>
      <c r="C214" s="17"/>
      <c r="D214" s="28"/>
      <c r="E214" s="28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15.75" customHeight="1">
      <c r="A215" s="19"/>
      <c r="B215" s="17"/>
      <c r="C215" s="17"/>
      <c r="D215" s="28"/>
      <c r="E215" s="28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15.75" customHeight="1">
      <c r="A216" s="19"/>
      <c r="B216" s="17"/>
      <c r="C216" s="17"/>
      <c r="D216" s="28"/>
      <c r="E216" s="28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15.75" customHeight="1">
      <c r="A217" s="19"/>
      <c r="B217" s="17"/>
      <c r="C217" s="17"/>
      <c r="D217" s="28"/>
      <c r="E217" s="28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15.75" customHeight="1">
      <c r="A218" s="19"/>
      <c r="B218" s="17"/>
      <c r="C218" s="17"/>
      <c r="D218" s="28"/>
      <c r="E218" s="28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15.75" customHeight="1">
      <c r="A219" s="19"/>
      <c r="B219" s="17"/>
      <c r="C219" s="17"/>
      <c r="D219" s="28"/>
      <c r="E219" s="28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15.75" customHeight="1">
      <c r="A220" s="19"/>
      <c r="B220" s="17"/>
      <c r="C220" s="17"/>
      <c r="D220" s="28"/>
      <c r="E220" s="28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15.75" customHeight="1">
      <c r="A221" s="19"/>
      <c r="B221" s="17"/>
      <c r="C221" s="17"/>
      <c r="D221" s="28"/>
      <c r="E221" s="28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15.75" customHeight="1">
      <c r="A222" s="19"/>
      <c r="B222" s="17"/>
      <c r="C222" s="17"/>
      <c r="D222" s="28"/>
      <c r="E222" s="28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15.75" customHeight="1">
      <c r="A223" s="19"/>
      <c r="B223" s="17"/>
      <c r="C223" s="17"/>
      <c r="D223" s="28"/>
      <c r="E223" s="28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15.75" customHeight="1">
      <c r="A224" s="19"/>
      <c r="B224" s="17"/>
      <c r="C224" s="17"/>
      <c r="D224" s="28"/>
      <c r="E224" s="28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4.43"/>
    <col customWidth="1" min="2" max="2" width="40.29"/>
    <col customWidth="1" min="3" max="6" width="14.43"/>
    <col customWidth="1" min="20" max="20" width="13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/>
      <c r="AF1" s="1"/>
      <c r="AG1" s="1"/>
      <c r="AH1" s="1"/>
      <c r="AI1" s="1"/>
      <c r="AJ1" s="1"/>
    </row>
    <row r="2" ht="15.75" customHeight="1">
      <c r="A2" s="2">
        <v>1.0</v>
      </c>
      <c r="B2" s="3" t="s">
        <v>56</v>
      </c>
      <c r="C2" s="3" t="s">
        <v>103</v>
      </c>
      <c r="D2" s="4">
        <f>0.1176191092+0.07086312823+0.05752131135/2</f>
        <v>0.2172428931</v>
      </c>
      <c r="E2" s="29">
        <v>0.09001916518516748</v>
      </c>
      <c r="F2" s="4">
        <f>0.1187678497+0.08872031912+0.09116633687</f>
        <v>0.2986545057</v>
      </c>
      <c r="G2" s="4">
        <f>0.08992784829+0.08138379359</f>
        <v>0.1713116419</v>
      </c>
      <c r="H2" s="4">
        <v>0.1197452566</v>
      </c>
      <c r="I2" s="4">
        <f>0.07793756102+0.05827129255</f>
        <v>0.1362088536</v>
      </c>
      <c r="J2" s="4">
        <v>0.109583</v>
      </c>
      <c r="K2" s="5">
        <v>0.08322027825</v>
      </c>
      <c r="L2" s="5">
        <v>0.1210547253</v>
      </c>
      <c r="M2" s="5"/>
      <c r="N2" s="5">
        <f>0.07934789226+0.07620224213</f>
        <v>0.1555501344</v>
      </c>
      <c r="O2" s="5"/>
      <c r="P2" s="5">
        <v>0.109384213</v>
      </c>
      <c r="Q2" s="5">
        <v>0.0803380322441594</v>
      </c>
      <c r="R2" s="5">
        <f>0.07620070742</f>
        <v>0.07620070742</v>
      </c>
      <c r="S2" s="5">
        <f>0.07586995618</f>
        <v>0.07586995618</v>
      </c>
      <c r="T2" s="5">
        <f>0.08447064786</f>
        <v>0.08447064786</v>
      </c>
      <c r="U2" s="6"/>
      <c r="V2" s="6">
        <f>0.09289627683</f>
        <v>0.09289627683</v>
      </c>
      <c r="W2" s="29">
        <f>0.076008/2</f>
        <v>0.038004</v>
      </c>
      <c r="X2" s="29"/>
      <c r="Y2" s="29">
        <f>0.099024</f>
        <v>0.099024</v>
      </c>
      <c r="Z2" s="29"/>
      <c r="AA2" s="29"/>
      <c r="AB2" s="29">
        <f>0.080699</f>
        <v>0.080699</v>
      </c>
      <c r="AC2" s="29">
        <f>0.085708/2</f>
        <v>0.042854</v>
      </c>
      <c r="AD2" s="29">
        <f>0.096095/2+0.100583</f>
        <v>0.1486305</v>
      </c>
    </row>
    <row r="3" ht="15.75" customHeight="1">
      <c r="A3" s="2">
        <v>2.0</v>
      </c>
      <c r="B3" s="3" t="s">
        <v>58</v>
      </c>
      <c r="C3" s="3" t="s">
        <v>104</v>
      </c>
      <c r="D3" s="4"/>
      <c r="E3" s="4"/>
      <c r="F3" s="4"/>
      <c r="G3" s="4"/>
      <c r="H3" s="4"/>
      <c r="I3" s="4"/>
      <c r="J3" s="4"/>
      <c r="K3" s="4"/>
      <c r="L3" s="4">
        <f>0.09493041335</f>
        <v>0.09493041335</v>
      </c>
      <c r="M3" s="4">
        <v>0.1040056914</v>
      </c>
      <c r="N3" s="5"/>
      <c r="O3" s="5">
        <f>0.06067583477+0.111674000472367</f>
        <v>0.1723498352</v>
      </c>
      <c r="P3" s="5">
        <f>0.06268075369</f>
        <v>0.06268075369</v>
      </c>
      <c r="Q3" s="5"/>
      <c r="R3" s="5">
        <f t="shared" ref="R3:R4" si="1">0.1003776264/2</f>
        <v>0.0501888132</v>
      </c>
      <c r="S3" s="5">
        <f t="shared" ref="S3:S4" si="2">0.09067537769/2</f>
        <v>0.04533768885</v>
      </c>
      <c r="T3" s="4">
        <f>0.0840683915612482</f>
        <v>0.08406839156</v>
      </c>
      <c r="U3" s="6">
        <f>0.08332096505</f>
        <v>0.08332096505</v>
      </c>
      <c r="V3" s="6"/>
      <c r="W3" s="29">
        <f t="shared" ref="W3:W4" si="3">0.088976/2</f>
        <v>0.044488</v>
      </c>
      <c r="X3" s="29">
        <f>0.089682</f>
        <v>0.089682</v>
      </c>
      <c r="Y3" s="29"/>
      <c r="Z3" s="29"/>
      <c r="AA3" s="29"/>
      <c r="AB3" s="29"/>
      <c r="AC3" s="29"/>
      <c r="AD3" s="29"/>
    </row>
    <row r="4" ht="15.75" customHeight="1">
      <c r="A4" s="2">
        <v>3.0</v>
      </c>
      <c r="B4" s="3" t="s">
        <v>60</v>
      </c>
      <c r="C4" s="3" t="s">
        <v>105</v>
      </c>
      <c r="D4" s="4">
        <v>0.1654968604</v>
      </c>
      <c r="E4" s="29">
        <f>8.461423553782%+0.1061744013/2</f>
        <v>0.1377014362</v>
      </c>
      <c r="F4" s="4">
        <v>0.1153611958</v>
      </c>
      <c r="G4" s="4">
        <v>0.1111778193</v>
      </c>
      <c r="H4" s="4">
        <v>0.09960914476</v>
      </c>
      <c r="I4" s="4">
        <v>0.09744535179</v>
      </c>
      <c r="J4" s="4">
        <v>0.089745</v>
      </c>
      <c r="K4" s="4">
        <f>0.09939269999/3</f>
        <v>0.0331309</v>
      </c>
      <c r="L4" s="4"/>
      <c r="M4" s="4"/>
      <c r="N4" s="4">
        <v>0.08454810184</v>
      </c>
      <c r="O4" s="4"/>
      <c r="P4" s="4">
        <v>0.0546727251</v>
      </c>
      <c r="Q4" s="4">
        <v>0.07189031947</v>
      </c>
      <c r="R4" s="4">
        <f t="shared" si="1"/>
        <v>0.0501888132</v>
      </c>
      <c r="S4" s="4">
        <f t="shared" si="2"/>
        <v>0.04533768885</v>
      </c>
      <c r="T4" s="4">
        <f>0.05390053825</f>
        <v>0.05390053825</v>
      </c>
      <c r="U4" s="6">
        <f>0.07622288034</f>
        <v>0.07622288034</v>
      </c>
      <c r="V4" s="6">
        <f>0.08246119724</f>
        <v>0.08246119724</v>
      </c>
      <c r="W4" s="29">
        <f t="shared" si="3"/>
        <v>0.044488</v>
      </c>
      <c r="X4" s="29">
        <f>0.074104</f>
        <v>0.074104</v>
      </c>
      <c r="Y4" s="29"/>
      <c r="Z4" s="29">
        <f>0.125834+0.121321</f>
        <v>0.247155</v>
      </c>
      <c r="AA4" s="29">
        <f>0.093173</f>
        <v>0.093173</v>
      </c>
      <c r="AB4" s="29"/>
      <c r="AC4" s="29">
        <f>0.105003/2</f>
        <v>0.0525015</v>
      </c>
      <c r="AD4" s="29">
        <f>0.078729</f>
        <v>0.078729</v>
      </c>
    </row>
    <row r="5" ht="15.75" customHeight="1">
      <c r="A5" s="2">
        <v>4.0</v>
      </c>
      <c r="B5" s="3" t="s">
        <v>62</v>
      </c>
      <c r="C5" s="3" t="s">
        <v>106</v>
      </c>
      <c r="D5" s="4">
        <f>0.0909916364+0.1086371455</f>
        <v>0.1996287819</v>
      </c>
      <c r="E5" s="4">
        <f>0.1140936308+0.1180066568/2</f>
        <v>0.1730969592</v>
      </c>
      <c r="F5" s="4">
        <v>0.1520314417</v>
      </c>
      <c r="G5" s="4"/>
      <c r="H5" s="4">
        <f>0.05207236577+0.08315534852</f>
        <v>0.1352277143</v>
      </c>
      <c r="I5" s="5">
        <f>0.09617864583/2+0.1261438307</f>
        <v>0.1742331536</v>
      </c>
      <c r="J5" s="5">
        <v>0.084846</v>
      </c>
      <c r="K5" s="5">
        <f>0.08826681855/2+0.0619214801/2</f>
        <v>0.07509414933</v>
      </c>
      <c r="L5" s="4">
        <f>0.1147257422/2+0.07769888466/2</f>
        <v>0.09621231343</v>
      </c>
      <c r="M5" s="5">
        <v>0.066844799</v>
      </c>
      <c r="N5" s="5"/>
      <c r="O5" s="5">
        <v>0.07413014159</v>
      </c>
      <c r="P5" s="5">
        <f>0.08869562052/2+0.0806919029</f>
        <v>0.1250397132</v>
      </c>
      <c r="Q5" s="5">
        <f>0.1687657101/3+0.09083524821/2</f>
        <v>0.1016728608</v>
      </c>
      <c r="R5" s="5">
        <f>0.07164502187/2</f>
        <v>0.03582251094</v>
      </c>
      <c r="S5" s="5">
        <f>0.09886976055/2+0.08296252573</f>
        <v>0.132397406</v>
      </c>
      <c r="T5" s="5">
        <f>0.1468250542/2+0.1500058171</f>
        <v>0.2234183442</v>
      </c>
      <c r="U5" s="6">
        <f>0.09175618829+0.0771690479/2</f>
        <v>0.1303407122</v>
      </c>
      <c r="V5" s="6">
        <f>0.1005683288/2+0.1091177421</f>
        <v>0.1594019065</v>
      </c>
      <c r="W5" s="29">
        <f t="shared" ref="W5:W6" si="4">0.105554/2</f>
        <v>0.052777</v>
      </c>
      <c r="X5" s="29"/>
      <c r="Y5" s="29">
        <f>0.074527/2</f>
        <v>0.0372635</v>
      </c>
      <c r="Z5" s="29">
        <f t="shared" ref="Z5:Z6" si="5">0.092367/2</f>
        <v>0.0461835</v>
      </c>
      <c r="AA5" s="29">
        <f>0.054331+0.090793/2</f>
        <v>0.0997275</v>
      </c>
      <c r="AB5" s="29">
        <f>0.052883+0.141804/2+0.0497</f>
        <v>0.173485</v>
      </c>
      <c r="AC5" s="29">
        <f>0.067882/2+0.085708/2</f>
        <v>0.076795</v>
      </c>
      <c r="AD5" s="29">
        <f>0.189112+0.096095/2</f>
        <v>0.2371595</v>
      </c>
    </row>
    <row r="6" ht="15.75" customHeight="1">
      <c r="A6" s="2">
        <v>5.0</v>
      </c>
      <c r="B6" s="3" t="s">
        <v>64</v>
      </c>
      <c r="C6" s="3" t="s">
        <v>107</v>
      </c>
      <c r="D6" s="4">
        <v>0.07658824764</v>
      </c>
      <c r="E6" s="4">
        <v>0.09426664106</v>
      </c>
      <c r="F6" s="4"/>
      <c r="G6" s="4"/>
      <c r="H6" s="4"/>
      <c r="I6" s="4">
        <f>0.1545469846/2</f>
        <v>0.0772734923</v>
      </c>
      <c r="J6" s="4">
        <f>0.136184/2</f>
        <v>0.068092</v>
      </c>
      <c r="K6" s="4">
        <f>0.1850242425/2</f>
        <v>0.09251212125</v>
      </c>
      <c r="L6" s="4"/>
      <c r="M6" s="4">
        <f>0.1424792393/2</f>
        <v>0.07123961965</v>
      </c>
      <c r="N6" s="5"/>
      <c r="O6" s="5">
        <f>0.1404198606/3</f>
        <v>0.0468066202</v>
      </c>
      <c r="P6" s="5">
        <f>0.1901917798/2</f>
        <v>0.0950958899</v>
      </c>
      <c r="Q6" s="5">
        <f>0.09083524821/2+0.1947684487/2</f>
        <v>0.1428018485</v>
      </c>
      <c r="R6" s="5">
        <f>0.1128946368/2+0.1755669841/2</f>
        <v>0.1442308105</v>
      </c>
      <c r="S6" s="4"/>
      <c r="T6" s="5"/>
      <c r="U6" s="6">
        <f>0.1831969707/2</f>
        <v>0.09159848535</v>
      </c>
      <c r="V6" s="6">
        <f>0.1005683288/2+0.1557720342</f>
        <v>0.2060561986</v>
      </c>
      <c r="W6" s="29">
        <f t="shared" si="4"/>
        <v>0.052777</v>
      </c>
      <c r="X6" s="29"/>
      <c r="Y6" s="29"/>
      <c r="Z6" s="29">
        <f t="shared" si="5"/>
        <v>0.0461835</v>
      </c>
      <c r="AA6" s="29">
        <f>0.147685/2</f>
        <v>0.0738425</v>
      </c>
      <c r="AB6" s="29">
        <f>0.141804/2</f>
        <v>0.070902</v>
      </c>
      <c r="AC6" s="29">
        <f>0.067882/2</f>
        <v>0.033941</v>
      </c>
      <c r="AD6" s="29">
        <f>0.072891/2</f>
        <v>0.0364455</v>
      </c>
    </row>
    <row r="7" ht="15.75" customHeight="1">
      <c r="A7" s="2">
        <v>6.0</v>
      </c>
      <c r="B7" s="3" t="s">
        <v>66</v>
      </c>
      <c r="C7" s="3" t="s">
        <v>108</v>
      </c>
      <c r="D7" s="4"/>
      <c r="E7" s="4"/>
      <c r="F7" s="4">
        <v>0.1023257931</v>
      </c>
      <c r="G7" s="4">
        <f>0.1136263621/2+0.1074876866+0.108586877</f>
        <v>0.2728877447</v>
      </c>
      <c r="H7" s="4">
        <f>0.1351419738+0.1130785733</f>
        <v>0.2482205471</v>
      </c>
      <c r="I7" s="4">
        <f>0.1303022493</f>
        <v>0.1303022493</v>
      </c>
      <c r="J7" s="4">
        <f>0.095317/2+0.144013</f>
        <v>0.1916715</v>
      </c>
      <c r="K7" s="4">
        <f>0.08826681855/2+0.08264511392+0.1174429134/2</f>
        <v>0.1854999799</v>
      </c>
      <c r="L7" s="4">
        <f>0.08550967954+0.1157747515/2</f>
        <v>0.1433970553</v>
      </c>
      <c r="M7" s="4">
        <f>0.1436769582/2+0.09998289798</f>
        <v>0.1718213771</v>
      </c>
      <c r="N7" s="5">
        <f>0.1048855108/2+0.08847372884+0.0806085643</f>
        <v>0.2215250485</v>
      </c>
      <c r="O7" s="5">
        <f>0.1164221754+0.1357088127/2</f>
        <v>0.1842765818</v>
      </c>
      <c r="P7" s="5">
        <f>0.1414005599/2+0.08869562052/2</f>
        <v>0.1150480902</v>
      </c>
      <c r="Q7" s="5">
        <f>0.1687657101/3</f>
        <v>0.0562552367</v>
      </c>
      <c r="R7" s="5">
        <f>0.07164502187/2+0.1389013323/2</f>
        <v>0.1052731771</v>
      </c>
      <c r="S7" s="5">
        <f>0.09886976055/2+0.1739410269</f>
        <v>0.2233759072</v>
      </c>
      <c r="T7" s="5">
        <f>0.1336648293/2</f>
        <v>0.06683241465</v>
      </c>
      <c r="U7" s="6">
        <f>0.1510123354/2</f>
        <v>0.0755061677</v>
      </c>
      <c r="V7" s="6">
        <f>0.1420264151/2</f>
        <v>0.07101320755</v>
      </c>
      <c r="W7" s="29">
        <f>0.160276</f>
        <v>0.160276</v>
      </c>
      <c r="X7" s="29">
        <f t="shared" ref="X7:X8" si="6">0.113413/2</f>
        <v>0.0567065</v>
      </c>
      <c r="Y7" s="29">
        <f>0.151288/2</f>
        <v>0.075644</v>
      </c>
      <c r="Z7" s="29">
        <f>0.078712</f>
        <v>0.078712</v>
      </c>
      <c r="AA7" s="29">
        <f>0.168622/2</f>
        <v>0.084311</v>
      </c>
      <c r="AB7" s="29">
        <f>0.142553/2+0.118807</f>
        <v>0.1900835</v>
      </c>
      <c r="AC7" s="29">
        <f>0.189577</f>
        <v>0.189577</v>
      </c>
      <c r="AD7" s="29">
        <f>0.13294/2</f>
        <v>0.06647</v>
      </c>
    </row>
    <row r="8" ht="15.75" customHeight="1">
      <c r="A8" s="2">
        <v>7.0</v>
      </c>
      <c r="B8" s="3" t="s">
        <v>68</v>
      </c>
      <c r="C8" s="3" t="s">
        <v>109</v>
      </c>
      <c r="D8" s="4">
        <f>0.05752131135/2</f>
        <v>0.02876065568</v>
      </c>
      <c r="E8" s="4">
        <f>0.1180066568/2</f>
        <v>0.0590033284</v>
      </c>
      <c r="F8" s="5"/>
      <c r="G8" s="5"/>
      <c r="H8" s="4"/>
      <c r="I8" s="4"/>
      <c r="J8" s="4">
        <f>0.095317/2</f>
        <v>0.0476585</v>
      </c>
      <c r="K8" s="4"/>
      <c r="L8" s="5"/>
      <c r="M8" s="5"/>
      <c r="N8" s="4"/>
      <c r="O8" s="4"/>
      <c r="P8" s="4"/>
      <c r="Q8" s="4"/>
      <c r="R8" s="4">
        <f>0.1128946368/2</f>
        <v>0.0564473184</v>
      </c>
      <c r="S8" s="4"/>
      <c r="T8" s="5"/>
      <c r="U8" s="6">
        <f>0.06874649815</f>
        <v>0.06874649815</v>
      </c>
      <c r="V8" s="6"/>
      <c r="W8" s="29">
        <f>0.076008/2</f>
        <v>0.038004</v>
      </c>
      <c r="X8" s="29">
        <f t="shared" si="6"/>
        <v>0.0567065</v>
      </c>
      <c r="Y8" s="29">
        <f>0.074527/2</f>
        <v>0.0372635</v>
      </c>
      <c r="Z8" s="29">
        <f>0.042954</f>
        <v>0.042954</v>
      </c>
      <c r="AA8" s="29">
        <f>0.090793/2</f>
        <v>0.0453965</v>
      </c>
      <c r="AB8" s="29"/>
      <c r="AC8" s="29"/>
      <c r="AD8" s="29">
        <f>0.06308</f>
        <v>0.06308</v>
      </c>
    </row>
    <row r="9" ht="15.75" customHeight="1">
      <c r="A9" s="2">
        <v>8.0</v>
      </c>
      <c r="B9" s="3" t="s">
        <v>70</v>
      </c>
      <c r="C9" s="3" t="s">
        <v>110</v>
      </c>
      <c r="D9" s="4">
        <v>0.06059236477</v>
      </c>
      <c r="E9" s="4"/>
      <c r="F9" s="29">
        <v>0.07379434339</v>
      </c>
      <c r="G9" s="4">
        <f>0.1200828121+0.08692499096/2</f>
        <v>0.1635453076</v>
      </c>
      <c r="H9" s="4">
        <f>0.1046907846/2+0.1391200572</f>
        <v>0.1914654495</v>
      </c>
      <c r="I9" s="4">
        <f>0.09617864583/2</f>
        <v>0.04808932292</v>
      </c>
      <c r="J9" s="4"/>
      <c r="K9" s="4"/>
      <c r="L9" s="4">
        <f>0.1147257422/2</f>
        <v>0.0573628711</v>
      </c>
      <c r="M9" s="4">
        <f>0.1424792393/2</f>
        <v>0.07123961965</v>
      </c>
      <c r="N9" s="4">
        <f>0.1493649853/2</f>
        <v>0.07468249265</v>
      </c>
      <c r="O9" s="4"/>
      <c r="P9" s="5"/>
      <c r="Q9" s="4">
        <v>0.06422699233</v>
      </c>
      <c r="R9" s="4"/>
      <c r="S9" s="4">
        <f>0.06353818126</f>
        <v>0.06353818126</v>
      </c>
      <c r="T9" s="4"/>
      <c r="U9" s="6"/>
      <c r="V9" s="6"/>
      <c r="W9" s="29"/>
      <c r="X9" s="29"/>
      <c r="Y9" s="29">
        <f>0.055619</f>
        <v>0.055619</v>
      </c>
      <c r="Z9" s="29"/>
      <c r="AA9" s="29"/>
      <c r="AB9" s="29"/>
      <c r="AC9" s="29"/>
      <c r="AD9" s="29"/>
    </row>
    <row r="10" ht="15.75" customHeight="1">
      <c r="A10" s="2">
        <v>9.0</v>
      </c>
      <c r="B10" s="3" t="s">
        <v>72</v>
      </c>
      <c r="C10" s="3" t="s">
        <v>111</v>
      </c>
      <c r="D10" s="4"/>
      <c r="E10" s="4"/>
      <c r="F10" s="4"/>
      <c r="G10" s="4"/>
      <c r="H10" s="4"/>
      <c r="I10" s="4"/>
      <c r="J10" s="4"/>
      <c r="K10" s="4"/>
      <c r="L10" s="4"/>
      <c r="M10" s="4">
        <f>0.08027885297</f>
        <v>0.08027885297</v>
      </c>
      <c r="N10" s="4">
        <v>0.1037147966</v>
      </c>
      <c r="O10" s="4">
        <v>0.06392590944</v>
      </c>
      <c r="P10" s="4"/>
      <c r="Q10" s="4"/>
      <c r="R10" s="4"/>
      <c r="S10" s="4"/>
      <c r="T10" s="4">
        <f>0.1468250542/2</f>
        <v>0.0734125271</v>
      </c>
      <c r="U10" s="6"/>
      <c r="V10" s="6"/>
      <c r="W10" s="29">
        <f>0.160005</f>
        <v>0.160005</v>
      </c>
      <c r="X10" s="29"/>
      <c r="Y10" s="29">
        <f>0.106597/3</f>
        <v>0.03553233333</v>
      </c>
      <c r="Z10" s="29">
        <f>0.142862</f>
        <v>0.142862</v>
      </c>
      <c r="AA10" s="29">
        <f>0.147685/2</f>
        <v>0.0738425</v>
      </c>
      <c r="AB10" s="29">
        <f>0.109547/2</f>
        <v>0.0547735</v>
      </c>
      <c r="AC10" s="29">
        <f>0.176311</f>
        <v>0.176311</v>
      </c>
      <c r="AD10" s="29"/>
    </row>
    <row r="11" ht="15.75" customHeight="1">
      <c r="A11" s="2">
        <v>10.0</v>
      </c>
      <c r="B11" s="3" t="s">
        <v>74</v>
      </c>
      <c r="C11" s="3" t="s">
        <v>112</v>
      </c>
      <c r="D11" s="4">
        <f>0.1233639191/2</f>
        <v>0.06168195955</v>
      </c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4"/>
      <c r="Q11" s="4"/>
      <c r="R11" s="4"/>
      <c r="S11" s="5">
        <f>0.05104547741/2</f>
        <v>0.02552273871</v>
      </c>
      <c r="T11" s="4"/>
      <c r="U11" s="6"/>
      <c r="V11" s="6"/>
      <c r="W11" s="29"/>
      <c r="X11" s="29"/>
      <c r="Y11" s="29"/>
      <c r="Z11" s="29"/>
      <c r="AA11" s="29"/>
      <c r="AB11" s="29"/>
      <c r="AC11" s="29"/>
      <c r="AD11" s="29"/>
    </row>
    <row r="12" ht="15.75" customHeight="1">
      <c r="A12" s="2">
        <v>11.0</v>
      </c>
      <c r="B12" s="3" t="s">
        <v>76</v>
      </c>
      <c r="C12" s="3" t="s">
        <v>113</v>
      </c>
      <c r="D12" s="4"/>
      <c r="E12" s="4"/>
      <c r="F12" s="5"/>
      <c r="G12" s="5"/>
      <c r="H12" s="5"/>
      <c r="I12" s="5"/>
      <c r="J12" s="5"/>
      <c r="K12" s="5"/>
      <c r="L12" s="5"/>
      <c r="M12" s="5"/>
      <c r="N12" s="4"/>
      <c r="O12" s="5"/>
      <c r="P12" s="5"/>
      <c r="Q12" s="4"/>
      <c r="R12" s="4"/>
      <c r="S12" s="4"/>
      <c r="T12" s="4"/>
      <c r="U12" s="6"/>
      <c r="V12" s="6"/>
      <c r="W12" s="29">
        <f>0.085818+0.064149</f>
        <v>0.149967</v>
      </c>
      <c r="X12" s="29">
        <f>0.070806+0.074112</f>
        <v>0.144918</v>
      </c>
      <c r="Y12" s="29">
        <f>0.068714+0.106597/3</f>
        <v>0.1042463333</v>
      </c>
      <c r="Z12" s="29">
        <f>0.088132</f>
        <v>0.088132</v>
      </c>
      <c r="AA12" s="29"/>
      <c r="AB12" s="29"/>
      <c r="AC12" s="29">
        <f>0.082083</f>
        <v>0.082083</v>
      </c>
      <c r="AD12" s="29"/>
    </row>
    <row r="13" ht="15.75" customHeight="1">
      <c r="A13" s="2">
        <v>12.0</v>
      </c>
      <c r="B13" s="30" t="s">
        <v>78</v>
      </c>
      <c r="C13" s="3" t="s">
        <v>114</v>
      </c>
      <c r="D13" s="4"/>
      <c r="E13" s="4"/>
      <c r="F13" s="4"/>
      <c r="G13" s="4">
        <f>0.09556818893/2</f>
        <v>0.04778409447</v>
      </c>
      <c r="H13" s="4"/>
      <c r="I13" s="4">
        <f>0.1545469846/2</f>
        <v>0.0772734923</v>
      </c>
      <c r="J13" s="4">
        <f>0.136184/2</f>
        <v>0.068092</v>
      </c>
      <c r="K13" s="4">
        <f>0.1850242425/2</f>
        <v>0.09251212125</v>
      </c>
      <c r="L13" s="4"/>
      <c r="M13" s="4"/>
      <c r="N13" s="4">
        <f>0.1493649853/2</f>
        <v>0.07468249265</v>
      </c>
      <c r="O13" s="29">
        <f>0.1404198606/3</f>
        <v>0.0468066202</v>
      </c>
      <c r="P13" s="4">
        <f>0.1901917798/2+0.1414005599/2</f>
        <v>0.1657961699</v>
      </c>
      <c r="Q13" s="4">
        <f>0.1947684487/2</f>
        <v>0.09738422435</v>
      </c>
      <c r="R13" s="4">
        <f>0.1755669841/2</f>
        <v>0.08778349205</v>
      </c>
      <c r="S13" s="4"/>
      <c r="T13" s="4"/>
      <c r="U13" s="6">
        <f>0.1831969707/2</f>
        <v>0.09159848535</v>
      </c>
      <c r="V13" s="6"/>
      <c r="W13" s="29"/>
      <c r="X13" s="29"/>
      <c r="Y13" s="29">
        <f>0.125191/2</f>
        <v>0.0625955</v>
      </c>
      <c r="Z13" s="29"/>
      <c r="AA13" s="29"/>
      <c r="AB13" s="29"/>
      <c r="AC13" s="29"/>
      <c r="AD13" s="29"/>
    </row>
    <row r="14" ht="15.75" customHeight="1">
      <c r="A14" s="2">
        <v>13.0</v>
      </c>
      <c r="B14" s="3" t="s">
        <v>80</v>
      </c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9"/>
      <c r="P14" s="4"/>
      <c r="Q14" s="4"/>
      <c r="R14" s="4"/>
      <c r="S14" s="4"/>
      <c r="T14" s="4"/>
      <c r="U14" s="6"/>
      <c r="V14" s="6"/>
      <c r="W14" s="29"/>
      <c r="X14" s="29"/>
      <c r="Y14" s="29">
        <f>0.098731</f>
        <v>0.098731</v>
      </c>
      <c r="Z14" s="29">
        <f>0.08312</f>
        <v>0.08312</v>
      </c>
      <c r="AA14" s="29"/>
      <c r="AB14" s="29"/>
      <c r="AC14" s="29"/>
      <c r="AD14" s="29"/>
    </row>
    <row r="15" ht="15.75" customHeight="1">
      <c r="A15" s="2">
        <v>101.0</v>
      </c>
      <c r="B15" s="3" t="s">
        <v>81</v>
      </c>
      <c r="C15" s="3" t="s">
        <v>82</v>
      </c>
      <c r="D15" s="4"/>
      <c r="E15" s="4">
        <v>0.1143139373</v>
      </c>
      <c r="F15" s="4"/>
      <c r="G15" s="4">
        <f>0.08523362109/2</f>
        <v>0.04261681055</v>
      </c>
      <c r="H15" s="4">
        <f>0.04528542234+0.1081010732/2</f>
        <v>0.09933595894</v>
      </c>
      <c r="I15" s="4">
        <f>0.07105115197/2+0.1333962019</f>
        <v>0.1689217779</v>
      </c>
      <c r="J15" s="4">
        <f>0.073051/2+0.073997/2+0.127423/2</f>
        <v>0.1372355</v>
      </c>
      <c r="K15" s="4">
        <f>0.03492511131/2+0.09939269999/3+0.1299110704/2+0.1172502717/2</f>
        <v>0.1741741267</v>
      </c>
      <c r="L15" s="4">
        <f>0.118897818/2+0.1274857238+0.08128219255</f>
        <v>0.2682168254</v>
      </c>
      <c r="M15" s="4">
        <f>0.09890762463+0.08478216548/2</f>
        <v>0.1412987074</v>
      </c>
      <c r="N15" s="4">
        <f>0.1057982288+0.1270559491/2</f>
        <v>0.1693262034</v>
      </c>
      <c r="O15" s="4">
        <f>0.09414812583+0.07240698912/2+0.1404198606/3+0.13048815</f>
        <v>0.3076463906</v>
      </c>
      <c r="P15" s="4">
        <f>0.1490474978+0.07150061193</f>
        <v>0.2205481097</v>
      </c>
      <c r="Q15" s="4">
        <f>0.1428881501/2+0.07404590995+0.0528922159</f>
        <v>0.1983822009</v>
      </c>
      <c r="R15" s="4">
        <f>0.06091239104/2+0.1107174296+0.07780326118</f>
        <v>0.2189768863</v>
      </c>
      <c r="S15" s="4">
        <f>0.1505351706+0.09751845471</f>
        <v>0.2480536253</v>
      </c>
      <c r="T15" s="4">
        <f>0.1711428894+0.04588432356</f>
        <v>0.217027213</v>
      </c>
      <c r="U15" s="6">
        <f>0.06803555263</f>
        <v>0.06803555263</v>
      </c>
      <c r="V15" s="6">
        <f>0.04755282375</f>
        <v>0.04755282375</v>
      </c>
      <c r="W15" s="29">
        <f>0.078595</f>
        <v>0.078595</v>
      </c>
      <c r="X15" s="29">
        <f>0.079588+0.147176</f>
        <v>0.226764</v>
      </c>
      <c r="Y15" s="29">
        <f>0.095539+0.106597/3</f>
        <v>0.1310713333</v>
      </c>
      <c r="Z15" s="29">
        <f>0.054967</f>
        <v>0.054967</v>
      </c>
      <c r="AA15" s="29">
        <f>0.14034+0.044942</f>
        <v>0.185282</v>
      </c>
      <c r="AB15" s="29">
        <f>0.109547/2</f>
        <v>0.0547735</v>
      </c>
      <c r="AC15" s="29">
        <f>0.085417</f>
        <v>0.085417</v>
      </c>
      <c r="AD15" s="29">
        <f>0.088267+0.08366</f>
        <v>0.171927</v>
      </c>
    </row>
    <row r="16" ht="15.75" customHeight="1">
      <c r="A16" s="2">
        <v>102.0</v>
      </c>
      <c r="B16" s="3" t="s">
        <v>83</v>
      </c>
      <c r="C16" s="3" t="s">
        <v>115</v>
      </c>
      <c r="D16" s="4"/>
      <c r="E16" s="4"/>
      <c r="F16" s="4"/>
      <c r="G16" s="4">
        <f>0.1136263621/2</f>
        <v>0.05681318105</v>
      </c>
      <c r="H16" s="4"/>
      <c r="I16" s="4"/>
      <c r="J16" s="4"/>
      <c r="K16" s="4">
        <f>0.1174429134/2</f>
        <v>0.0587214567</v>
      </c>
      <c r="L16" s="4">
        <f>0.1157747515/2</f>
        <v>0.05788737575</v>
      </c>
      <c r="M16" s="4">
        <f>0.1436769582/2</f>
        <v>0.0718384791</v>
      </c>
      <c r="N16" s="4">
        <f>0.1048855108/2</f>
        <v>0.0524427554</v>
      </c>
      <c r="O16" s="4">
        <f>0.1357088127/2</f>
        <v>0.06785440635</v>
      </c>
      <c r="P16" s="4"/>
      <c r="Q16" s="4">
        <f>0.1687657101/3</f>
        <v>0.0562552367</v>
      </c>
      <c r="R16" s="4">
        <f>0.0749806094/2+0.1389013323/2</f>
        <v>0.1069409709</v>
      </c>
      <c r="S16" s="4">
        <f>0.115044069</f>
        <v>0.115044069</v>
      </c>
      <c r="T16" s="4">
        <f>0.1336648293/2</f>
        <v>0.06683241465</v>
      </c>
      <c r="U16" s="6">
        <f>0.1510123354/2</f>
        <v>0.0755061677</v>
      </c>
      <c r="V16" s="6">
        <f>0.1420264151/2+0.0878387071/2</f>
        <v>0.1149325611</v>
      </c>
      <c r="W16" s="29"/>
      <c r="X16" s="29">
        <f>0.121216+0.10003</f>
        <v>0.221246</v>
      </c>
      <c r="Y16" s="29">
        <f>0.125191/2+0.151288/2</f>
        <v>0.1382395</v>
      </c>
      <c r="Z16" s="29">
        <f>0.169731</f>
        <v>0.169731</v>
      </c>
      <c r="AA16" s="29">
        <f>0.168622/2</f>
        <v>0.084311</v>
      </c>
      <c r="AB16" s="29">
        <f>0.142553/2</f>
        <v>0.0712765</v>
      </c>
      <c r="AC16" s="29"/>
      <c r="AD16" s="29">
        <f>0.13294/2+0.094643</f>
        <v>0.161113</v>
      </c>
    </row>
    <row r="17" ht="15.75" customHeight="1">
      <c r="A17" s="2">
        <v>103.0</v>
      </c>
      <c r="B17" s="3" t="s">
        <v>85</v>
      </c>
      <c r="C17" s="3" t="s">
        <v>116</v>
      </c>
      <c r="D17" s="4"/>
      <c r="E17" s="5"/>
      <c r="F17" s="5">
        <v>0.07223010219</v>
      </c>
      <c r="G17" s="5">
        <f>0.08523362109/2</f>
        <v>0.04261681055</v>
      </c>
      <c r="H17" s="5"/>
      <c r="I17" s="5"/>
      <c r="J17" s="5"/>
      <c r="K17" s="5"/>
      <c r="L17" s="5"/>
      <c r="M17" s="5">
        <f>0.09900983712</f>
        <v>0.09900983712</v>
      </c>
      <c r="N17" s="5"/>
      <c r="O17" s="5"/>
      <c r="P17" s="5"/>
      <c r="Q17" s="5">
        <f>0.1428881501/2</f>
        <v>0.07144407505</v>
      </c>
      <c r="R17" s="4">
        <f>0.0749806094/2</f>
        <v>0.0374903047</v>
      </c>
      <c r="S17" s="4"/>
      <c r="T17" s="5"/>
      <c r="U17" s="6">
        <f>0.09147272323</f>
        <v>0.09147272323</v>
      </c>
      <c r="V17" s="6"/>
      <c r="W17" s="29">
        <f t="shared" ref="W17:W18" si="7">0.071851/2</f>
        <v>0.0359255</v>
      </c>
      <c r="X17" s="29"/>
      <c r="Y17" s="29"/>
      <c r="Z17" s="29"/>
      <c r="AA17" s="29"/>
      <c r="AB17" s="29"/>
      <c r="AC17" s="29"/>
      <c r="AD17" s="29"/>
    </row>
    <row r="18" ht="15.75" customHeight="1">
      <c r="A18" s="2">
        <v>104.0</v>
      </c>
      <c r="B18" s="3" t="s">
        <v>87</v>
      </c>
      <c r="C18" s="3" t="s">
        <v>117</v>
      </c>
      <c r="D18" s="4"/>
      <c r="E18" s="4"/>
      <c r="F18" s="5"/>
      <c r="G18" s="5"/>
      <c r="H18" s="5"/>
      <c r="I18" s="4"/>
      <c r="J18" s="4"/>
      <c r="K18" s="5"/>
      <c r="L18" s="5"/>
      <c r="M18" s="4"/>
      <c r="N18" s="5"/>
      <c r="O18" s="4"/>
      <c r="P18" s="4"/>
      <c r="Q18" s="4"/>
      <c r="R18" s="4"/>
      <c r="S18" s="4"/>
      <c r="T18" s="4"/>
      <c r="U18" s="6"/>
      <c r="V18" s="6"/>
      <c r="W18" s="29">
        <f t="shared" si="7"/>
        <v>0.0359255</v>
      </c>
      <c r="X18" s="29"/>
      <c r="Y18" s="29"/>
      <c r="Z18" s="29"/>
      <c r="AA18" s="29">
        <f>0.100304</f>
        <v>0.100304</v>
      </c>
      <c r="AB18" s="29"/>
      <c r="AC18" s="29"/>
      <c r="AD18" s="29"/>
    </row>
    <row r="19" ht="15.75" customHeight="1">
      <c r="A19" s="2">
        <v>105.0</v>
      </c>
      <c r="B19" s="3" t="s">
        <v>89</v>
      </c>
      <c r="C19" s="3" t="s">
        <v>90</v>
      </c>
      <c r="D19" s="5">
        <f>0.1283262773+0.1233639191/2</f>
        <v>0.1900082369</v>
      </c>
      <c r="E19" s="5">
        <f>0.05850616663+0.1061744013/2+0.1368410698+0.08316409553</f>
        <v>0.3315985326</v>
      </c>
      <c r="F19" s="5">
        <f>0.105008115+0.0805945032</f>
        <v>0.1856026182</v>
      </c>
      <c r="G19" s="5">
        <f>0.09556818893/2+0.08692499096/2</f>
        <v>0.09124658995</v>
      </c>
      <c r="H19" s="5">
        <f>0.1081010732/2+0.1046907846/2</f>
        <v>0.1063959289</v>
      </c>
      <c r="I19" s="5">
        <v>0.05472673037</v>
      </c>
      <c r="J19" s="5">
        <f>0.073997/2+0.065841+0.127423/2</f>
        <v>0.166551</v>
      </c>
      <c r="K19" s="4">
        <f>0.09939269999/3+0.1172502717/2+0.1299110704/2</f>
        <v>0.156711571</v>
      </c>
      <c r="L19" s="4">
        <f>0.118897818/2+0.06264006915</f>
        <v>0.1220889782</v>
      </c>
      <c r="M19" s="4">
        <v>0.08003193393</v>
      </c>
      <c r="N19" s="4">
        <f>0.1270559491/2</f>
        <v>0.06352797455</v>
      </c>
      <c r="O19" s="4">
        <f>0.07240698912/2</f>
        <v>0.03620349456</v>
      </c>
      <c r="P19" s="4">
        <v>0.05173433526</v>
      </c>
      <c r="Q19" s="4">
        <v>0.05934897293</v>
      </c>
      <c r="R19" s="5">
        <f>0.06091239104/2</f>
        <v>0.03045619552</v>
      </c>
      <c r="S19" s="4">
        <f>0.05104547741/2</f>
        <v>0.02552273871</v>
      </c>
      <c r="T19" s="4">
        <f>0.06452883035</f>
        <v>0.06452883035</v>
      </c>
      <c r="U19" s="6">
        <f>0.0771690479/2</f>
        <v>0.03858452395</v>
      </c>
      <c r="V19" s="6">
        <f>0.0878387071/2</f>
        <v>0.04391935355</v>
      </c>
      <c r="W19" s="29"/>
      <c r="X19" s="29"/>
      <c r="Y19" s="29"/>
      <c r="Z19" s="29"/>
      <c r="AA19" s="29">
        <f>0.097702</f>
        <v>0.097702</v>
      </c>
      <c r="AB19" s="29">
        <f>0.099088</f>
        <v>0.099088</v>
      </c>
      <c r="AC19" s="29">
        <f>0.105003/2</f>
        <v>0.0525015</v>
      </c>
      <c r="AD19" s="29"/>
    </row>
    <row r="20" ht="15.75" customHeight="1">
      <c r="A20" s="2">
        <v>106.0</v>
      </c>
      <c r="B20" s="3" t="s">
        <v>91</v>
      </c>
      <c r="C20" s="3" t="s">
        <v>118</v>
      </c>
      <c r="D20" s="4"/>
      <c r="E20" s="4"/>
      <c r="F20" s="5"/>
      <c r="G20" s="5"/>
      <c r="H20" s="5"/>
      <c r="I20" s="5">
        <f>0.07105115197/2</f>
        <v>0.03552557599</v>
      </c>
      <c r="J20" s="5">
        <f>0.073051/2</f>
        <v>0.0365255</v>
      </c>
      <c r="K20" s="5">
        <f>0.03492511131/2+0.0619214801/2</f>
        <v>0.04842329571</v>
      </c>
      <c r="L20" s="5">
        <f>0.07769888466/2</f>
        <v>0.03884944233</v>
      </c>
      <c r="M20" s="5">
        <f>0.08478216548/2</f>
        <v>0.04239108274</v>
      </c>
      <c r="N20" s="5"/>
      <c r="O20" s="5"/>
      <c r="P20" s="5"/>
      <c r="Q20" s="5"/>
      <c r="R20" s="5"/>
      <c r="S20" s="5"/>
      <c r="T20" s="5"/>
      <c r="U20" s="6"/>
      <c r="V20" s="6"/>
      <c r="W20" s="29"/>
      <c r="X20" s="29"/>
      <c r="Y20" s="29"/>
      <c r="Z20" s="29"/>
      <c r="AA20" s="29"/>
      <c r="AB20" s="29"/>
      <c r="AC20" s="29"/>
      <c r="AD20" s="29"/>
    </row>
    <row r="21" ht="15.75" customHeight="1">
      <c r="A21" s="2">
        <v>107.0</v>
      </c>
      <c r="B21" s="2" t="s">
        <v>93</v>
      </c>
      <c r="C21" s="3" t="s">
        <v>119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6">
        <f>0.1090668383</f>
        <v>0.1090668383</v>
      </c>
      <c r="V21" s="6">
        <f>0.04870528689+0.1330611879</f>
        <v>0.1817664748</v>
      </c>
      <c r="W21" s="29">
        <v>0.1088</v>
      </c>
      <c r="X21" s="29">
        <f>0.129874</f>
        <v>0.129874</v>
      </c>
      <c r="Y21" s="29">
        <f>0.124771</f>
        <v>0.124771</v>
      </c>
      <c r="Z21" s="29"/>
      <c r="AA21" s="29">
        <f>0.062109</f>
        <v>0.062109</v>
      </c>
      <c r="AB21" s="29">
        <f>0.074023</f>
        <v>0.074023</v>
      </c>
      <c r="AC21" s="29"/>
      <c r="AD21" s="29"/>
    </row>
    <row r="22" ht="15.75" customHeight="1">
      <c r="A22" s="2">
        <v>108.0</v>
      </c>
      <c r="B22" s="2" t="s">
        <v>95</v>
      </c>
      <c r="C22" s="3" t="s">
        <v>120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6"/>
      <c r="V22" s="6"/>
      <c r="W22" s="29"/>
      <c r="X22" s="29"/>
      <c r="Y22" s="29"/>
      <c r="Z22" s="29"/>
      <c r="AA22" s="29"/>
      <c r="AB22" s="29">
        <f>0.130896</f>
        <v>0.130896</v>
      </c>
      <c r="AC22" s="29">
        <f>0.055702+0.067488+0.084829</f>
        <v>0.208019</v>
      </c>
      <c r="AD22" s="29">
        <f>0.072891/2</f>
        <v>0.0364455</v>
      </c>
    </row>
    <row r="23" ht="15.75" customHeight="1">
      <c r="A23" s="2">
        <v>99.0</v>
      </c>
      <c r="B23" s="3" t="s">
        <v>97</v>
      </c>
      <c r="C23" s="3" t="s">
        <v>98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>
        <f>0.06550867848</f>
        <v>0.06550867848</v>
      </c>
      <c r="U23" s="6"/>
      <c r="V23" s="6"/>
      <c r="X23" s="29"/>
      <c r="Y23" s="29"/>
      <c r="AB23" s="29"/>
      <c r="AC23" s="29"/>
      <c r="AD23" s="29"/>
    </row>
    <row r="24" ht="15.75" customHeight="1">
      <c r="A24" s="15" t="s">
        <v>99</v>
      </c>
      <c r="B24" s="16"/>
      <c r="C24" s="17"/>
      <c r="D24" s="18">
        <f t="shared" ref="D24:AD24" si="8">SUM(D2:D23)</f>
        <v>0.9999999999</v>
      </c>
      <c r="E24" s="18">
        <f t="shared" si="8"/>
        <v>0.9999999999</v>
      </c>
      <c r="F24" s="18">
        <f t="shared" si="8"/>
        <v>1</v>
      </c>
      <c r="G24" s="18">
        <f t="shared" si="8"/>
        <v>1</v>
      </c>
      <c r="H24" s="18">
        <f t="shared" si="8"/>
        <v>1</v>
      </c>
      <c r="I24" s="18">
        <f t="shared" si="8"/>
        <v>1</v>
      </c>
      <c r="J24" s="18">
        <f t="shared" si="8"/>
        <v>1</v>
      </c>
      <c r="K24" s="18">
        <f t="shared" si="8"/>
        <v>1</v>
      </c>
      <c r="L24" s="18">
        <f t="shared" si="8"/>
        <v>1</v>
      </c>
      <c r="M24" s="18">
        <f t="shared" si="8"/>
        <v>1</v>
      </c>
      <c r="N24" s="18">
        <f t="shared" si="8"/>
        <v>1</v>
      </c>
      <c r="O24" s="18">
        <f t="shared" si="8"/>
        <v>0.9999999999</v>
      </c>
      <c r="P24" s="18">
        <f t="shared" si="8"/>
        <v>0.9999999999</v>
      </c>
      <c r="Q24" s="18">
        <f t="shared" si="8"/>
        <v>0.9999999999</v>
      </c>
      <c r="R24" s="18">
        <f t="shared" si="8"/>
        <v>1</v>
      </c>
      <c r="S24" s="18">
        <f t="shared" si="8"/>
        <v>1</v>
      </c>
      <c r="T24" s="18">
        <f t="shared" si="8"/>
        <v>1</v>
      </c>
      <c r="U24" s="18">
        <f t="shared" si="8"/>
        <v>1</v>
      </c>
      <c r="V24" s="18">
        <f t="shared" si="8"/>
        <v>0.9999999999</v>
      </c>
      <c r="W24" s="18">
        <f t="shared" si="8"/>
        <v>1.000032</v>
      </c>
      <c r="X24" s="18">
        <f t="shared" si="8"/>
        <v>1.000001</v>
      </c>
      <c r="Y24" s="18">
        <f t="shared" si="8"/>
        <v>1.000001</v>
      </c>
      <c r="Z24" s="18">
        <f t="shared" si="8"/>
        <v>1</v>
      </c>
      <c r="AA24" s="18">
        <f t="shared" si="8"/>
        <v>1.000001</v>
      </c>
      <c r="AB24" s="18">
        <f t="shared" si="8"/>
        <v>1</v>
      </c>
      <c r="AC24" s="18">
        <f t="shared" si="8"/>
        <v>1</v>
      </c>
      <c r="AD24" s="18">
        <f t="shared" si="8"/>
        <v>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5.29"/>
    <col customWidth="1" min="2" max="2" width="19.0"/>
    <col customWidth="1" min="3" max="3" width="9.14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121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122</v>
      </c>
      <c r="AK1" s="1" t="s">
        <v>123</v>
      </c>
      <c r="AL1" s="1" t="s">
        <v>124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ht="15.75" customHeight="1">
      <c r="A2" s="2">
        <v>1.0</v>
      </c>
      <c r="B2" s="3" t="s">
        <v>56</v>
      </c>
      <c r="C2" s="30"/>
      <c r="D2" s="4"/>
      <c r="E2" s="4">
        <v>0.04768498964</v>
      </c>
      <c r="F2" s="4">
        <f>0.08567268206/2+0.1432197175/2</f>
        <v>0.1144461998</v>
      </c>
      <c r="G2" s="4">
        <f>0.04674956624+0.1064449568</f>
        <v>0.153194523</v>
      </c>
      <c r="H2" s="4">
        <f>0.1865706986/2+0.09015877338+0.05779825376/2</f>
        <v>0.2123432496</v>
      </c>
      <c r="I2" s="4">
        <f>0.1660289729/2+0.04744482189/2</f>
        <v>0.1067368974</v>
      </c>
      <c r="J2" s="4">
        <f>0.126628887/2+0.082859904+0.1617022864/2+0.07405318866+0.1170758414</f>
        <v>0.4181545208</v>
      </c>
      <c r="K2" s="5">
        <f>0.09809405025+0.0538879192+0.09168599563+0.138908938+0.1425879965</f>
        <v>0.5251648996</v>
      </c>
      <c r="L2" s="5">
        <f>0.1116905614+0.1772717595+0.0617439098+0.01991109704+0.07682008402+0.1261382874</f>
        <v>0.5735756992</v>
      </c>
      <c r="M2" s="5">
        <f>0.1326811149+0.04741831412+0.103122816587518/2+0.1551628299/2+0.07378503007</f>
        <v>0.3830272823</v>
      </c>
      <c r="N2" s="5">
        <f>0.08114417045+0.1265154536+0.08957883745</f>
        <v>0.2972384615</v>
      </c>
      <c r="O2" s="5">
        <f>0.1996403698/2+0.1011435465+0.1150731183+0.07566810237+0.01673099255</f>
        <v>0.4084359446</v>
      </c>
      <c r="P2" s="5">
        <f>0.0923105984+0.1163341275+0.05026031276/2</f>
        <v>0.2337748823</v>
      </c>
      <c r="Q2" s="5">
        <f>0.09656665876+0.04274129236/2+0.06584072271/2</f>
        <v>0.1508576663</v>
      </c>
      <c r="R2" s="5">
        <f>0.08868128884+0.07644017059+0.03385770115/2</f>
        <v>0.18205031</v>
      </c>
      <c r="S2" s="5">
        <f>0.07112252502+0.1226385324/2+0.08791816224</f>
        <v>0.2203599535</v>
      </c>
      <c r="T2" s="5">
        <f>0.06689827977/2+0.1123984765+0.217046207+0.0447573546</f>
        <v>0.407651178</v>
      </c>
      <c r="U2" s="6">
        <f>0.08624366059/2+0.07631265438+0.07085408598</f>
        <v>0.1902885707</v>
      </c>
      <c r="V2" s="29">
        <f>0.05591967646+0.100826163+0.1035779174/2</f>
        <v>0.2085347982</v>
      </c>
      <c r="W2" s="29">
        <f>0.07894671135+0.09979107758+0.1997623768+0.04548136954</f>
        <v>0.4239815353</v>
      </c>
      <c r="X2" s="29">
        <f>0.06481050361/2+0.09139072881+0.06410440227+0.03017549766/2</f>
        <v>0.2029881317</v>
      </c>
      <c r="Y2" s="29">
        <f>0.19704409+0.02825694396/2+0.08945553383+0.03812988689+0.06931537626</f>
        <v>0.408073359</v>
      </c>
      <c r="Z2" s="29">
        <f>0.101136119+0.215589014+0.014496515+0.051022767/2+0.066492418/2</f>
        <v>0.3899792405</v>
      </c>
      <c r="AA2" s="29">
        <f>0.116726895+0.174372886+0.017211583+0.123006636/2</f>
        <v>0.369814682</v>
      </c>
      <c r="AB2" s="29">
        <f>0.045297386/3+0.090946483+0.174777791+0.133411608+0.016458552+0.160860125/2</f>
        <v>0.5111236252</v>
      </c>
      <c r="AC2" s="29">
        <f>0.125870614+0.037600571/3+0.083281119+0.0170214</f>
        <v>0.2387066567</v>
      </c>
      <c r="AD2" s="29">
        <f>0.108299259+0.150132954+0.016599865+0.106965504</f>
        <v>0.381997582</v>
      </c>
      <c r="AE2" s="29">
        <f>0.116474042+0.223507214+0.10080806+0.092860211</f>
        <v>0.533649527</v>
      </c>
      <c r="AF2" s="29">
        <f>0.28571937+0.118377619+0.017011068+0.087894484</f>
        <v>0.509002541</v>
      </c>
      <c r="AG2" s="29">
        <f>0.014669854+0.280769407/2+0.075169667/2</f>
        <v>0.192639391</v>
      </c>
      <c r="AH2" s="29">
        <f>0.018384432+0.109940895+0.078667763+0.230026888+0.0912085</f>
        <v>0.528228478</v>
      </c>
      <c r="AI2" s="29">
        <f>0.037930417+0.06297479+0.097318613+0.016647406+0.327310883/2+0.120616041</f>
        <v>0.4991427085</v>
      </c>
      <c r="AJ2" s="29">
        <f>0.08864203722+0.07964470585+0.05150494612+0.09675259922</f>
        <v>0.3165442884</v>
      </c>
      <c r="AK2" s="29">
        <f>0.1547105471+0.1085555094+0.1428419674</f>
        <v>0.4061080239</v>
      </c>
      <c r="AL2" s="29">
        <f>0.1458334092+0.1116515933+0.09554172055</f>
        <v>0.3530267231</v>
      </c>
      <c r="AM2" s="29">
        <f>0.1332651522</f>
        <v>0.1332651522</v>
      </c>
      <c r="AN2" s="29">
        <f>0.1419512547</f>
        <v>0.1419512547</v>
      </c>
      <c r="AO2" s="29">
        <f>0.1115129929</f>
        <v>0.1115129929</v>
      </c>
      <c r="AP2" s="29">
        <f>0.1660351246+0.07400919984+0.09023192153</f>
        <v>0.330276246</v>
      </c>
      <c r="AQ2" s="29">
        <f>0.08038625552</f>
        <v>0.08038625552</v>
      </c>
      <c r="AR2" s="29">
        <f>0.1614764429+0.2159887375</f>
        <v>0.3774651804</v>
      </c>
      <c r="AS2" s="29"/>
      <c r="AT2" s="29">
        <f>0.0680738964</f>
        <v>0.0680738964</v>
      </c>
      <c r="AU2" s="29">
        <f>0.212738143+0.06763606482</f>
        <v>0.2803742078</v>
      </c>
      <c r="AV2" s="29">
        <f>0.1085060696</f>
        <v>0.1085060696</v>
      </c>
      <c r="AW2" s="29"/>
      <c r="AX2" s="29"/>
      <c r="AY2" s="29">
        <f>0.09929351735</f>
        <v>0.09929351735</v>
      </c>
      <c r="AZ2" s="29">
        <f>0.1160821877</f>
        <v>0.1160821877</v>
      </c>
      <c r="BA2" s="29">
        <f>0.1144359248</f>
        <v>0.1144359248</v>
      </c>
      <c r="BB2" s="29">
        <f>0.1597947293+0.1380444701</f>
        <v>0.2978391994</v>
      </c>
      <c r="BC2" s="29">
        <f>0.1388093641+0.2006334005+0.1038497382</f>
        <v>0.4432925028</v>
      </c>
      <c r="BD2" s="29"/>
      <c r="BE2" s="29">
        <f>0.1039707853</f>
        <v>0.1039707853</v>
      </c>
      <c r="BF2" s="29">
        <f>0.1476314186+0.1023289467</f>
        <v>0.2499603653</v>
      </c>
      <c r="BG2" s="29">
        <f>0.1064935247</f>
        <v>0.1064935247</v>
      </c>
    </row>
    <row r="3" ht="15.75" customHeight="1">
      <c r="A3" s="2">
        <v>2.0</v>
      </c>
      <c r="B3" s="3" t="s">
        <v>58</v>
      </c>
      <c r="C3" s="30"/>
      <c r="D3" s="4"/>
      <c r="E3" s="4">
        <v>0.07138235659</v>
      </c>
      <c r="F3" s="4"/>
      <c r="G3" s="4"/>
      <c r="H3" s="4">
        <f>0.1112044377/3</f>
        <v>0.0370681459</v>
      </c>
      <c r="I3" s="4">
        <v>0.1321918396</v>
      </c>
      <c r="J3" s="4">
        <v>0.1435283985</v>
      </c>
      <c r="K3" s="4"/>
      <c r="L3" s="4"/>
      <c r="M3" s="4"/>
      <c r="N3" s="5"/>
      <c r="O3" s="5"/>
      <c r="P3" s="5"/>
      <c r="Q3" s="5"/>
      <c r="R3" s="5"/>
      <c r="S3" s="5"/>
      <c r="T3" s="4"/>
      <c r="U3" s="6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</row>
    <row r="4" ht="15.75" customHeight="1">
      <c r="A4" s="2">
        <v>3.0</v>
      </c>
      <c r="B4" s="3" t="s">
        <v>60</v>
      </c>
      <c r="C4" s="30"/>
      <c r="D4" s="4">
        <f>0.22655615/2+0.08917958767</f>
        <v>0.2024576627</v>
      </c>
      <c r="E4" s="4">
        <v>0.0477953421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>
        <f>0.061573921</f>
        <v>0.061573921</v>
      </c>
      <c r="AG4" s="29"/>
      <c r="AH4" s="29"/>
      <c r="AI4" s="29"/>
      <c r="AJ4" s="29"/>
      <c r="AK4" s="29"/>
      <c r="AL4" s="29"/>
      <c r="AM4" s="29"/>
      <c r="AN4" s="29">
        <f>0.07644746351</f>
        <v>0.07644746351</v>
      </c>
      <c r="AO4" s="29">
        <f>0.07450956321/2</f>
        <v>0.03725478161</v>
      </c>
      <c r="AP4" s="29"/>
      <c r="AQ4" s="29"/>
      <c r="AR4" s="29">
        <f>0.03814972963</f>
        <v>0.03814972963</v>
      </c>
      <c r="AS4" s="29"/>
      <c r="AT4" s="29"/>
      <c r="AU4" s="29"/>
      <c r="AV4" s="29">
        <f>0.08839385113</f>
        <v>0.08839385113</v>
      </c>
      <c r="AW4" s="29">
        <f>0.07404855417/2</f>
        <v>0.03702427709</v>
      </c>
      <c r="AX4" s="29">
        <f>0.066146589+0.1010083173</f>
        <v>0.1671549063</v>
      </c>
      <c r="AY4" s="29">
        <f>0.09668689347</f>
        <v>0.09668689347</v>
      </c>
      <c r="AZ4" s="29">
        <f>0.1036076976</f>
        <v>0.1036076976</v>
      </c>
      <c r="BA4" s="29">
        <f>0.08290171221</f>
        <v>0.08290171221</v>
      </c>
      <c r="BB4" s="29">
        <f>0.07734931585+0.07127838238</f>
        <v>0.1486276982</v>
      </c>
      <c r="BC4" s="29">
        <f>0.09036693143</f>
        <v>0.09036693143</v>
      </c>
      <c r="BD4" s="29">
        <f>0.08038511791</f>
        <v>0.08038511791</v>
      </c>
      <c r="BE4" s="29">
        <f>0.1043563217</f>
        <v>0.1043563217</v>
      </c>
      <c r="BF4" s="29">
        <f>0.09966001167</f>
        <v>0.09966001167</v>
      </c>
      <c r="BG4" s="29">
        <f>0.07815998346</f>
        <v>0.07815998346</v>
      </c>
    </row>
    <row r="5" ht="15.75" customHeight="1">
      <c r="A5" s="2">
        <v>4.0</v>
      </c>
      <c r="B5" s="3" t="s">
        <v>62</v>
      </c>
      <c r="C5" s="30"/>
      <c r="D5" s="4"/>
      <c r="E5" s="4"/>
      <c r="F5" s="4">
        <f>0.07107539099/2</f>
        <v>0.0355376955</v>
      </c>
      <c r="G5" s="4">
        <f>0.07208721453+0.07326723963</f>
        <v>0.1453544542</v>
      </c>
      <c r="H5" s="4">
        <v>0.0801277355</v>
      </c>
      <c r="I5" s="5">
        <f>0.09107298045/2</f>
        <v>0.04553649023</v>
      </c>
      <c r="J5" s="5">
        <f>0.126628887/2+0.04664868059/2</f>
        <v>0.0866387838</v>
      </c>
      <c r="K5" s="5">
        <f>0.06588277494+0.0828732085/2+0.07330183365</f>
        <v>0.1806212128</v>
      </c>
      <c r="L5" s="4">
        <f>0.07246367241+0.06012025683/2+0.1470839087</f>
        <v>0.2496077095</v>
      </c>
      <c r="M5" s="5">
        <v>0.05980877628</v>
      </c>
      <c r="N5" s="5">
        <f>0.05145357155/3</f>
        <v>0.01715119052</v>
      </c>
      <c r="O5" s="5">
        <f>0.1568753647+0.05867544997/3</f>
        <v>0.176433848</v>
      </c>
      <c r="P5" s="5">
        <f>0.05227226562/3+0.1604191779/2</f>
        <v>0.09763367749</v>
      </c>
      <c r="Q5" s="5"/>
      <c r="R5" s="5">
        <f>0.05815021826/2+0.1914119872</f>
        <v>0.2204870963</v>
      </c>
      <c r="S5" s="5">
        <f>0.05800539953/2+0.1627299362</f>
        <v>0.191732636</v>
      </c>
      <c r="T5" s="5">
        <f>0.1300592871+0.08558537637/2</f>
        <v>0.1728519753</v>
      </c>
      <c r="U5" s="6">
        <f>0.1391322648+0.05695211137</f>
        <v>0.1960843762</v>
      </c>
      <c r="V5" s="29">
        <v>0.09317470372</v>
      </c>
      <c r="W5" s="29">
        <f>0.1480520873/3</f>
        <v>0.04935069577</v>
      </c>
      <c r="X5" s="29"/>
      <c r="Y5" s="29">
        <f>0.07800791468/2</f>
        <v>0.03900395734</v>
      </c>
      <c r="Z5" s="29"/>
      <c r="AA5" s="29">
        <f>0.116245824/2</f>
        <v>0.058122912</v>
      </c>
      <c r="AB5" s="29">
        <f>0.066762753/2</f>
        <v>0.0333813765</v>
      </c>
      <c r="AC5" s="29">
        <f>0.078141212</f>
        <v>0.078141212</v>
      </c>
      <c r="AD5" s="29">
        <f t="shared" ref="AD5:AD6" si="1">0.113132175/2</f>
        <v>0.0565660875</v>
      </c>
      <c r="AE5" s="29">
        <f>0.133150945</f>
        <v>0.133150945</v>
      </c>
      <c r="AF5" s="29">
        <f>0.1379857</f>
        <v>0.1379857</v>
      </c>
      <c r="AG5" s="29"/>
      <c r="AH5" s="29">
        <f>0.187185619</f>
        <v>0.187185619</v>
      </c>
      <c r="AI5" s="29"/>
      <c r="AJ5" s="29">
        <f>0.08609981604</f>
        <v>0.08609981604</v>
      </c>
      <c r="AK5" s="29">
        <f>0.06047292923+0.05994795692</f>
        <v>0.1204208862</v>
      </c>
      <c r="AL5" s="29">
        <f>0.09204870198</f>
        <v>0.09204870198</v>
      </c>
      <c r="AM5" s="29">
        <f>0.1125029114+0.07860182546+0.04141482528</f>
        <v>0.2325195621</v>
      </c>
      <c r="AN5" s="29">
        <f>0.07298054005</f>
        <v>0.07298054005</v>
      </c>
      <c r="AO5" s="29">
        <f>0.09765922093+0.07450956321/2</f>
        <v>0.1349140025</v>
      </c>
      <c r="AP5" s="29">
        <f>0.08432362621</f>
        <v>0.08432362621</v>
      </c>
      <c r="AQ5" s="29">
        <f>0.1524962888+0.09961834165+0.02931038125+0.06863808579</f>
        <v>0.3500630975</v>
      </c>
      <c r="AR5" s="29"/>
      <c r="AS5" s="29">
        <f>0.05385384657</f>
        <v>0.05385384657</v>
      </c>
      <c r="AT5" s="29"/>
      <c r="AU5" s="29">
        <f>0.02041636957/2</f>
        <v>0.01020818479</v>
      </c>
      <c r="AV5" s="29">
        <f>0.05995337746</f>
        <v>0.05995337746</v>
      </c>
      <c r="AW5" s="29">
        <f>0.05129184652+0.1654945683</f>
        <v>0.2167864148</v>
      </c>
      <c r="AX5" s="29">
        <f>0.1068290938</f>
        <v>0.1068290938</v>
      </c>
      <c r="AY5" s="29"/>
      <c r="AZ5" s="29">
        <f>0.1100355676+0.0860284915</f>
        <v>0.1960640591</v>
      </c>
      <c r="BA5" s="29">
        <f>0.1051394785+0.1323196101+0.04896214601/2</f>
        <v>0.2619401616</v>
      </c>
      <c r="BB5" s="29"/>
      <c r="BC5" s="29">
        <f>0.0840240199</f>
        <v>0.0840240199</v>
      </c>
      <c r="BD5" s="29">
        <f>0.1174391424+0.0716768482</f>
        <v>0.1891159906</v>
      </c>
      <c r="BE5" s="29">
        <f>0.08688424717</f>
        <v>0.08688424717</v>
      </c>
      <c r="BF5" s="29">
        <f>0.1024571871</f>
        <v>0.1024571871</v>
      </c>
      <c r="BG5" s="29">
        <f>0.07777446778</f>
        <v>0.07777446778</v>
      </c>
    </row>
    <row r="6" ht="15.75" customHeight="1">
      <c r="A6" s="2">
        <v>5.0</v>
      </c>
      <c r="B6" s="3" t="s">
        <v>64</v>
      </c>
      <c r="C6" s="30"/>
      <c r="D6" s="4"/>
      <c r="E6" s="4">
        <v>0.04763139274</v>
      </c>
      <c r="F6" s="4"/>
      <c r="G6" s="4"/>
      <c r="H6" s="4">
        <f>0.1865706986/2</f>
        <v>0.0932853493</v>
      </c>
      <c r="I6" s="4">
        <f>0.166028972/2</f>
        <v>0.083014486</v>
      </c>
      <c r="J6" s="4">
        <f>0.1617022864/2</f>
        <v>0.0808511432</v>
      </c>
      <c r="K6" s="4">
        <f>0.0828732085/2</f>
        <v>0.04143660425</v>
      </c>
      <c r="L6" s="4">
        <f>0.06012025683/2</f>
        <v>0.03006012842</v>
      </c>
      <c r="M6" s="4">
        <v>0.130754194</v>
      </c>
      <c r="N6" s="5">
        <v>0.03365146644</v>
      </c>
      <c r="O6" s="5">
        <f>0.1996403698/2</f>
        <v>0.0998201849</v>
      </c>
      <c r="P6" s="5">
        <f>0.1526362054</f>
        <v>0.1526362054</v>
      </c>
      <c r="Q6" s="5">
        <v>0.1368507154</v>
      </c>
      <c r="R6" s="5"/>
      <c r="S6" s="4">
        <v>0.112370147</v>
      </c>
      <c r="T6" s="5">
        <v>0.1033928862</v>
      </c>
      <c r="U6" s="6">
        <f>0.1197951524/2</f>
        <v>0.0598975762</v>
      </c>
      <c r="V6" s="29">
        <f>0.105045828/2</f>
        <v>0.052522914</v>
      </c>
      <c r="W6" s="29">
        <f>0.1480520873/3+0.05797097546/2</f>
        <v>0.0783361835</v>
      </c>
      <c r="X6" s="29">
        <f>0.08915220431</f>
        <v>0.08915220431</v>
      </c>
      <c r="Y6" s="29">
        <f>0.0981999978/2</f>
        <v>0.0490999989</v>
      </c>
      <c r="Z6" s="29">
        <f>0.077470814/2</f>
        <v>0.038735407</v>
      </c>
      <c r="AA6" s="29"/>
      <c r="AB6" s="29">
        <f>0.066762753/2+0.160860125/2</f>
        <v>0.113811439</v>
      </c>
      <c r="AC6" s="29">
        <f>0.10926806</f>
        <v>0.10926806</v>
      </c>
      <c r="AD6" s="29">
        <f t="shared" si="1"/>
        <v>0.0565660875</v>
      </c>
      <c r="AE6" s="29">
        <f>0.064247157</f>
        <v>0.064247157</v>
      </c>
      <c r="AF6" s="29"/>
      <c r="AG6" s="29">
        <f>0.203429439</f>
        <v>0.203429439</v>
      </c>
      <c r="AH6" s="29">
        <f>0.035970038</f>
        <v>0.035970038</v>
      </c>
      <c r="AI6" s="29">
        <f>0.327310883/2</f>
        <v>0.1636554415</v>
      </c>
      <c r="AJ6" s="29">
        <f>0.07713570238</f>
        <v>0.07713570238</v>
      </c>
      <c r="AK6" s="29"/>
      <c r="AL6" s="29">
        <f>0.1015296837</f>
        <v>0.1015296837</v>
      </c>
      <c r="AM6" s="29">
        <f>0.1289625847</f>
        <v>0.1289625847</v>
      </c>
      <c r="AN6" s="29">
        <f>0.08207692114</f>
        <v>0.08207692114</v>
      </c>
      <c r="AO6" s="29">
        <f>0.1467014366+0.1344471557</f>
        <v>0.2811485923</v>
      </c>
      <c r="AP6" s="29">
        <f>0.2096807194+0.1119086101</f>
        <v>0.3215893295</v>
      </c>
      <c r="AQ6" s="29">
        <f>0.087270244+0.08262680287</f>
        <v>0.1698970469</v>
      </c>
      <c r="AR6" s="29">
        <f>0.07813002857+0.1311950263/2+0.07111001754</f>
        <v>0.2148375593</v>
      </c>
      <c r="AS6" s="29">
        <f>0.08750867998+0.07407368276</f>
        <v>0.1615823627</v>
      </c>
      <c r="AT6" s="29">
        <f>0.1095957548</f>
        <v>0.1095957548</v>
      </c>
      <c r="AU6" s="29"/>
      <c r="AV6" s="29"/>
      <c r="AW6" s="29">
        <f>0.1054130524+0.07560973138</f>
        <v>0.1810227838</v>
      </c>
      <c r="AX6" s="29">
        <f>0.1042310813</f>
        <v>0.1042310813</v>
      </c>
      <c r="AY6" s="29">
        <f>0.1200918452</f>
        <v>0.1200918452</v>
      </c>
      <c r="AZ6" s="29"/>
      <c r="BA6" s="29">
        <f>0.1743535062</f>
        <v>0.1743535062</v>
      </c>
      <c r="BB6" s="29"/>
      <c r="BC6" s="29"/>
      <c r="BD6" s="29"/>
      <c r="BE6" s="29"/>
      <c r="BF6" s="29"/>
      <c r="BG6" s="29"/>
    </row>
    <row r="7" ht="15.75" customHeight="1">
      <c r="A7" s="2">
        <v>6.0</v>
      </c>
      <c r="B7" s="3" t="s">
        <v>66</v>
      </c>
      <c r="C7" s="30"/>
      <c r="D7" s="4"/>
      <c r="E7" s="4"/>
      <c r="F7" s="4"/>
      <c r="G7" s="4"/>
      <c r="H7" s="4"/>
      <c r="I7" s="4">
        <f>0.09107298045/2</f>
        <v>0.04553649023</v>
      </c>
      <c r="J7" s="4">
        <f>0.04664868059/2</f>
        <v>0.0233243403</v>
      </c>
      <c r="K7" s="4"/>
      <c r="L7" s="4"/>
      <c r="M7" s="4"/>
      <c r="N7" s="5"/>
      <c r="O7" s="5"/>
      <c r="P7" s="5">
        <f>0.1604191779/2</f>
        <v>0.08020958895</v>
      </c>
      <c r="Q7" s="5"/>
      <c r="R7" s="5"/>
      <c r="S7" s="5"/>
      <c r="T7" s="5"/>
      <c r="U7" s="6"/>
      <c r="V7" s="29"/>
      <c r="W7" s="29"/>
      <c r="X7" s="29">
        <f>0.06481050361/2+0.03017549766/2</f>
        <v>0.04749300064</v>
      </c>
      <c r="Y7" s="29">
        <f>0.02825694396/2+0.07800791468/2</f>
        <v>0.05313242932</v>
      </c>
      <c r="Z7" s="29">
        <f>0.131977704/2</f>
        <v>0.065988852</v>
      </c>
      <c r="AA7" s="29">
        <f>0.107267677/2+0.116245824/2</f>
        <v>0.1117567505</v>
      </c>
      <c r="AB7" s="29">
        <f>0.045297386/3</f>
        <v>0.01509912867</v>
      </c>
      <c r="AC7" s="29">
        <f>0.037600571/3</f>
        <v>0.01253352367</v>
      </c>
      <c r="AD7" s="29"/>
      <c r="AE7" s="29"/>
      <c r="AF7" s="29"/>
      <c r="AG7" s="29"/>
      <c r="AH7" s="29"/>
      <c r="AI7" s="29"/>
      <c r="AJ7" s="29">
        <f>0.1420431896</f>
        <v>0.1420431896</v>
      </c>
      <c r="AK7" s="29">
        <f>0.07302329783</f>
        <v>0.07302329783</v>
      </c>
      <c r="AL7" s="29">
        <f>0.04851922326</f>
        <v>0.04851922326</v>
      </c>
      <c r="AM7" s="29">
        <f>0.1234845003+0.1524389925</f>
        <v>0.2759234928</v>
      </c>
      <c r="AN7" s="29">
        <f>0.08708664596+0.0710819794</f>
        <v>0.1581686254</v>
      </c>
      <c r="AO7" s="29">
        <f>0.05801433504+0.06904413315+0.08971764478</f>
        <v>0.216776113</v>
      </c>
      <c r="AP7" s="29"/>
      <c r="AQ7" s="29"/>
      <c r="AR7" s="29"/>
      <c r="AS7" s="29"/>
      <c r="AT7" s="29">
        <f>0.1586043392/2+0.06377200737</f>
        <v>0.143074177</v>
      </c>
      <c r="AU7" s="29">
        <f>0.02041636957/2+0.09933582725+0.04607692769</f>
        <v>0.1556209397</v>
      </c>
      <c r="AV7" s="29">
        <f>0.04797900293+0.0738918835</f>
        <v>0.1218708864</v>
      </c>
      <c r="AW7" s="29">
        <f>0.09934561357</f>
        <v>0.09934561357</v>
      </c>
      <c r="AX7" s="29"/>
      <c r="AY7" s="29">
        <f>0.04845339955+0.1109076085+0.1367500679+0.04029703807</f>
        <v>0.336408114</v>
      </c>
      <c r="AZ7" s="29"/>
      <c r="BA7" s="29">
        <f>0.04896214601/2</f>
        <v>0.02448107301</v>
      </c>
      <c r="BB7" s="29">
        <f>0.1267159389</f>
        <v>0.1267159389</v>
      </c>
      <c r="BC7" s="29">
        <f>0.06121144772</f>
        <v>0.06121144772</v>
      </c>
      <c r="BD7" s="29">
        <f>0.1020463489+0.0775041623</f>
        <v>0.1795505112</v>
      </c>
      <c r="BE7" s="29">
        <f>0.06291179292+0.05611246635</f>
        <v>0.1190242593</v>
      </c>
      <c r="BF7" s="29">
        <f>0.1280844168+0.07369707644</f>
        <v>0.2017814932</v>
      </c>
      <c r="BG7" s="29">
        <f>0.09851327191</f>
        <v>0.09851327191</v>
      </c>
    </row>
    <row r="8" ht="15.75" customHeight="1">
      <c r="A8" s="2">
        <v>7.0</v>
      </c>
      <c r="B8" s="3" t="s">
        <v>68</v>
      </c>
      <c r="C8" s="30"/>
      <c r="D8" s="4"/>
      <c r="E8" s="4"/>
      <c r="F8" s="5"/>
      <c r="G8" s="5"/>
      <c r="H8" s="4"/>
      <c r="I8" s="4"/>
      <c r="J8" s="4"/>
      <c r="K8" s="4"/>
      <c r="L8" s="5"/>
      <c r="M8" s="5"/>
      <c r="N8" s="4">
        <v>0.08185697654</v>
      </c>
      <c r="O8" s="4"/>
      <c r="P8" s="4"/>
      <c r="Q8" s="4"/>
      <c r="R8" s="4"/>
      <c r="S8" s="4"/>
      <c r="T8" s="5"/>
      <c r="U8" s="6">
        <f>0.1197951524/2</f>
        <v>0.0598975762</v>
      </c>
      <c r="V8" s="29">
        <f>0.105045828/2+0.1035779174/2</f>
        <v>0.1043118727</v>
      </c>
      <c r="W8" s="29">
        <f>0.0575808083</f>
        <v>0.0575808083</v>
      </c>
      <c r="X8" s="29">
        <f>0.04637395914</f>
        <v>0.04637395914</v>
      </c>
      <c r="Y8" s="29">
        <f>0.0981999978/2</f>
        <v>0.0490999989</v>
      </c>
      <c r="Z8" s="29">
        <f>0.077470814/2</f>
        <v>0.038735407</v>
      </c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>
        <f>0.05990377908</f>
        <v>0.05990377908</v>
      </c>
      <c r="AN8" s="29"/>
      <c r="AO8" s="29"/>
      <c r="AP8" s="29"/>
      <c r="AQ8" s="29">
        <f>0.1556169838</f>
        <v>0.1556169838</v>
      </c>
      <c r="AR8" s="29">
        <f>0.1311950263/2</f>
        <v>0.06559751315</v>
      </c>
      <c r="AS8" s="29"/>
      <c r="AT8" s="29">
        <f>0.1586043392/2</f>
        <v>0.0793021696</v>
      </c>
      <c r="AU8" s="29"/>
      <c r="AV8" s="29">
        <f>0.15637015/2+0.1117284763</f>
        <v>0.1899135513</v>
      </c>
      <c r="AW8" s="29"/>
      <c r="AX8" s="29"/>
      <c r="AY8" s="29">
        <f>0.09381520753</f>
        <v>0.09381520753</v>
      </c>
      <c r="AZ8" s="29"/>
      <c r="BA8" s="29">
        <f>0.06412292587</f>
        <v>0.06412292587</v>
      </c>
      <c r="BB8" s="29"/>
      <c r="BC8" s="29"/>
      <c r="BD8" s="29"/>
      <c r="BE8" s="29"/>
      <c r="BF8" s="29"/>
      <c r="BG8" s="29"/>
    </row>
    <row r="9" ht="15.75" customHeight="1">
      <c r="A9" s="7">
        <v>8.0</v>
      </c>
      <c r="B9" s="8" t="s">
        <v>70</v>
      </c>
      <c r="C9" s="12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1"/>
      <c r="Q9" s="9"/>
      <c r="R9" s="9"/>
      <c r="S9" s="9"/>
      <c r="T9" s="9"/>
      <c r="U9" s="10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</row>
    <row r="10" ht="15.75" customHeight="1">
      <c r="A10" s="7">
        <v>9.0</v>
      </c>
      <c r="B10" s="8" t="s">
        <v>72</v>
      </c>
      <c r="C10" s="12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10"/>
      <c r="V10" s="31"/>
      <c r="W10" s="31"/>
      <c r="X10" s="31"/>
      <c r="Y10" s="31"/>
      <c r="Z10" s="31">
        <f>0.095680844+0.066492418/2</f>
        <v>0.128927053</v>
      </c>
      <c r="AA10" s="31">
        <f>0.11162971</f>
        <v>0.11162971</v>
      </c>
      <c r="AB10" s="31">
        <f>0.092595233</f>
        <v>0.092595233</v>
      </c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</row>
    <row r="11" ht="15.75" customHeight="1">
      <c r="A11" s="7">
        <v>10.0</v>
      </c>
      <c r="B11" s="8" t="s">
        <v>74</v>
      </c>
      <c r="C11" s="12"/>
      <c r="D11" s="9"/>
      <c r="E11" s="9"/>
      <c r="F11" s="9"/>
      <c r="G11" s="9"/>
      <c r="H11" s="11"/>
      <c r="I11" s="11"/>
      <c r="J11" s="11"/>
      <c r="K11" s="11"/>
      <c r="L11" s="11"/>
      <c r="M11" s="11"/>
      <c r="N11" s="11"/>
      <c r="O11" s="11"/>
      <c r="P11" s="9"/>
      <c r="Q11" s="9"/>
      <c r="R11" s="9"/>
      <c r="S11" s="11"/>
      <c r="T11" s="9"/>
      <c r="U11" s="10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>
        <f>0.280769407/2</f>
        <v>0.1403847035</v>
      </c>
      <c r="AH11" s="31"/>
      <c r="AI11" s="31"/>
      <c r="AJ11" s="31"/>
      <c r="AK11" s="31"/>
      <c r="AL11" s="31"/>
      <c r="AM11" s="31"/>
      <c r="AN11" s="31">
        <f>0.1165874719</f>
        <v>0.1165874719</v>
      </c>
      <c r="AO11" s="31">
        <f>0.1432092362</f>
        <v>0.1432092362</v>
      </c>
      <c r="AP11" s="31"/>
      <c r="AQ11" s="31">
        <f>0.1286425306</f>
        <v>0.1286425306</v>
      </c>
      <c r="AR11" s="31"/>
      <c r="AS11" s="31">
        <f>0.1373550497+0.2043282732</f>
        <v>0.3416833229</v>
      </c>
      <c r="AT11" s="31">
        <f>0.1564931763</f>
        <v>0.1564931763</v>
      </c>
      <c r="AU11" s="31"/>
      <c r="AV11" s="31">
        <f>0.1715370669+0.15637015/2</f>
        <v>0.2497221419</v>
      </c>
      <c r="AW11" s="31">
        <f>0.2040039543</f>
        <v>0.2040039543</v>
      </c>
      <c r="AX11" s="31">
        <f>0.1693395595</f>
        <v>0.1693395595</v>
      </c>
      <c r="AY11" s="31">
        <f>0.1269690476</f>
        <v>0.1269690476</v>
      </c>
      <c r="AZ11" s="31">
        <f>0.1637858705</f>
        <v>0.1637858705</v>
      </c>
      <c r="BA11" s="31"/>
      <c r="BB11" s="31"/>
      <c r="BC11" s="31"/>
      <c r="BD11" s="31">
        <f>0.116152912</f>
        <v>0.116152912</v>
      </c>
      <c r="BE11" s="31">
        <f>0.2098718433</f>
        <v>0.2098718433</v>
      </c>
      <c r="BF11" s="31">
        <f>0.09540154589</f>
        <v>0.09540154589</v>
      </c>
      <c r="BG11" s="31">
        <f>0.1748181935</f>
        <v>0.1748181935</v>
      </c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</row>
    <row r="12" ht="15.75" customHeight="1">
      <c r="A12" s="2">
        <v>11.0</v>
      </c>
      <c r="B12" s="3" t="s">
        <v>76</v>
      </c>
      <c r="C12" s="30"/>
      <c r="D12" s="4"/>
      <c r="E12" s="4"/>
      <c r="F12" s="5"/>
      <c r="G12" s="5"/>
      <c r="H12" s="5"/>
      <c r="I12" s="5"/>
      <c r="J12" s="5"/>
      <c r="K12" s="5"/>
      <c r="L12" s="5"/>
      <c r="M12" s="5"/>
      <c r="N12" s="4"/>
      <c r="O12" s="5"/>
      <c r="P12" s="5">
        <f>0.09404977747</f>
        <v>0.09404977747</v>
      </c>
      <c r="Q12" s="4">
        <v>0.1023876738</v>
      </c>
      <c r="R12" s="4">
        <v>0.07265323454</v>
      </c>
      <c r="S12" s="4"/>
      <c r="T12" s="4">
        <f>0.08558537637/2</f>
        <v>0.04279268819</v>
      </c>
      <c r="U12" s="6"/>
      <c r="V12" s="29"/>
      <c r="W12" s="29"/>
      <c r="X12" s="29"/>
      <c r="Y12" s="29"/>
      <c r="Z12" s="29"/>
      <c r="AA12" s="29">
        <f>0.086164839</f>
        <v>0.086164839</v>
      </c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</row>
    <row r="13" ht="15.75" customHeight="1">
      <c r="A13" s="7">
        <v>12.0</v>
      </c>
      <c r="B13" s="8" t="s">
        <v>78</v>
      </c>
      <c r="C13" s="12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0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>
        <f>0.1524202136</f>
        <v>0.1524202136</v>
      </c>
      <c r="AL13" s="31">
        <f>0.1230479414</f>
        <v>0.1230479414</v>
      </c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</row>
    <row r="14" ht="15.75" customHeight="1">
      <c r="A14" s="2">
        <v>13.0</v>
      </c>
      <c r="B14" s="2" t="s">
        <v>80</v>
      </c>
      <c r="C14" s="2"/>
      <c r="D14" s="2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r="15" ht="15.75" customHeight="1">
      <c r="A15" s="2">
        <v>101.0</v>
      </c>
      <c r="B15" s="3" t="s">
        <v>81</v>
      </c>
      <c r="C15" s="30"/>
      <c r="D15" s="4"/>
      <c r="E15" s="4">
        <f>0.09273112403/2+0.07864113275/2+0.1584190446/2</f>
        <v>0.1648956507</v>
      </c>
      <c r="F15" s="4">
        <f>0.04706963443/2+0.1530804234/2+0.1138270731/2+0.07541896613+0.1103723866</f>
        <v>0.3427799182</v>
      </c>
      <c r="G15" s="4">
        <v>0.1319506133</v>
      </c>
      <c r="H15" s="4">
        <f>0.1112044377/3+0.1423163859/3+0.03847252376</f>
        <v>0.122979465</v>
      </c>
      <c r="I15" s="4">
        <f>0.06968751884/2</f>
        <v>0.03484375942</v>
      </c>
      <c r="J15" s="4">
        <f>0.06664613251/2</f>
        <v>0.03332306626</v>
      </c>
      <c r="K15" s="4">
        <f>0.13264402/2</f>
        <v>0.06632201</v>
      </c>
      <c r="L15" s="4">
        <f>0.1467564629/2</f>
        <v>0.07337823145</v>
      </c>
      <c r="M15" s="4">
        <f>0.1031228166/2+0.1551628299/2+0.1138256708+0.04494993716</f>
        <v>0.2879184312</v>
      </c>
      <c r="N15" s="4">
        <f>0.1242704216+0.1283203472/2+0.05145357155/3</f>
        <v>0.2055817857</v>
      </c>
      <c r="O15" s="4">
        <f>0.03662796709+0.06877464482/3+0.05867544997/3+0.1707904439/2</f>
        <v>0.164506554</v>
      </c>
      <c r="P15" s="4">
        <f>0.04706141166+0.05227226562/3+0.1143660943/2+0.1202900291</f>
        <v>0.2419585765</v>
      </c>
      <c r="Q15" s="4">
        <f>0.0490457103+0.1465907397+0.1279678481/2+0.04274129236/2+0.06584072271/2</f>
        <v>0.3139113816</v>
      </c>
      <c r="R15" s="4">
        <f>0.1209144203/2</f>
        <v>0.06045721015</v>
      </c>
      <c r="S15" s="4">
        <f>0.1226385324/2</f>
        <v>0.0613192662</v>
      </c>
      <c r="T15" s="4">
        <f>0.06689827977/2+0.1361879561/2+0.05006785909</f>
        <v>0.151610977</v>
      </c>
      <c r="U15" s="6">
        <f>0.08624366059/2+0.1108162551/2+0.04035600736/2+0.2181853204+0.0813524876/2</f>
        <v>0.3775695257</v>
      </c>
      <c r="V15" s="29">
        <f>0.03695405573/2+0.2814178475</f>
        <v>0.2998948754</v>
      </c>
      <c r="W15" s="29">
        <f>0.1480520873/3+0.03722091931/2+0.1287119444</f>
        <v>0.1966730998</v>
      </c>
      <c r="X15" s="29">
        <f>0.1299662676/2</f>
        <v>0.0649831338</v>
      </c>
      <c r="Y15" s="29">
        <f>0.09747336616+0.07654593628+0.2275709541</f>
        <v>0.4015902565</v>
      </c>
      <c r="Z15" s="29">
        <f>0.101415583/2</f>
        <v>0.0507077915</v>
      </c>
      <c r="AA15" s="29">
        <f>0.105241295+0.042132653</f>
        <v>0.147373948</v>
      </c>
      <c r="AB15" s="29">
        <f>0.18145717+0.037432899+0.045297386/3</f>
        <v>0.2339891977</v>
      </c>
      <c r="AC15" s="29">
        <f>0.042800351+0.200590495+0.128172347+0.177253832</f>
        <v>0.548817025</v>
      </c>
      <c r="AD15" s="29">
        <f>0.108505311+0.287626589+0.049829938+0.021792974+0.037115432</f>
        <v>0.504870244</v>
      </c>
      <c r="AE15" s="29">
        <f>0.070194705+0.107179322/2+0.042824963</f>
        <v>0.166609329</v>
      </c>
      <c r="AF15" s="29">
        <f>0.043616938+0.039369245</f>
        <v>0.082986183</v>
      </c>
      <c r="AG15" s="29">
        <f>0.06685713+0.038220895+0.025130693+0.0833366+0.117253138+0.095163176+0.075169667/2</f>
        <v>0.4635464655</v>
      </c>
      <c r="AH15" s="29">
        <f>0.031301763+0.150365692+0.066948409</f>
        <v>0.248615864</v>
      </c>
      <c r="AI15" s="29">
        <f>0.155432668+0.041592622+0.101215999</f>
        <v>0.298241289</v>
      </c>
      <c r="AJ15" s="29"/>
      <c r="AK15" s="29">
        <f>0.07899860218+0.05612575627</f>
        <v>0.1351243585</v>
      </c>
      <c r="AL15" s="29"/>
      <c r="AM15" s="29">
        <f>0.07070219512</f>
        <v>0.07070219512</v>
      </c>
      <c r="AN15" s="29">
        <f>0.1169078806</f>
        <v>0.1169078806</v>
      </c>
      <c r="AO15" s="29"/>
      <c r="AP15" s="29">
        <f>0.09531540334</f>
        <v>0.09531540334</v>
      </c>
      <c r="AQ15" s="29"/>
      <c r="AR15" s="29"/>
      <c r="AS15" s="29">
        <f>0.1697776884+0.08900151146</f>
        <v>0.2587791999</v>
      </c>
      <c r="AT15" s="29">
        <f>0.06058499349</f>
        <v>0.06058499349</v>
      </c>
      <c r="AU15" s="29"/>
      <c r="AV15" s="29"/>
      <c r="AW15" s="29"/>
      <c r="AX15" s="29"/>
      <c r="AY15" s="29"/>
      <c r="AZ15" s="29"/>
      <c r="BA15" s="29">
        <f>0.0562447858</f>
        <v>0.0562447858</v>
      </c>
      <c r="BB15" s="29">
        <f>0.06781924333</f>
        <v>0.06781924333</v>
      </c>
      <c r="BC15" s="29"/>
      <c r="BD15" s="29">
        <f>0.09664252768</f>
        <v>0.09664252768</v>
      </c>
      <c r="BE15" s="29">
        <f>0.09894442924</f>
        <v>0.09894442924</v>
      </c>
      <c r="BF15" s="29"/>
      <c r="BG15" s="29">
        <f>0.06703781033</f>
        <v>0.06703781033</v>
      </c>
    </row>
    <row r="16" ht="15.75" customHeight="1">
      <c r="A16" s="2">
        <v>102.0</v>
      </c>
      <c r="B16" s="3" t="s">
        <v>83</v>
      </c>
      <c r="C16" s="30"/>
      <c r="D16" s="4"/>
      <c r="E16" s="4"/>
      <c r="F16" s="4">
        <v>0.07392532289</v>
      </c>
      <c r="G16" s="4"/>
      <c r="H16" s="4">
        <f>0.1288996171/2+0.1423163859/3</f>
        <v>0.1118886039</v>
      </c>
      <c r="I16" s="4">
        <v>0.1178798114</v>
      </c>
      <c r="J16" s="4"/>
      <c r="K16" s="4"/>
      <c r="L16" s="4"/>
      <c r="M16" s="4"/>
      <c r="N16" s="4">
        <f>0.05145357155/3</f>
        <v>0.01715119052</v>
      </c>
      <c r="O16" s="4">
        <f>0.05867544997/3</f>
        <v>0.01955848332</v>
      </c>
      <c r="P16" s="4">
        <f>0.1143660943/2+0.05026031276/2</f>
        <v>0.08231320353</v>
      </c>
      <c r="Q16" s="4"/>
      <c r="R16" s="4">
        <f>0.1192702473+0.05815021826/2+0.03385770115/2</f>
        <v>0.165274207</v>
      </c>
      <c r="S16" s="4">
        <f>0.05800539953/2+0.1103923912</f>
        <v>0.139395091</v>
      </c>
      <c r="T16" s="4"/>
      <c r="U16" s="6">
        <f>0.04035600736/2</f>
        <v>0.02017800368</v>
      </c>
      <c r="V16" s="29">
        <f>0.1014892608+0.03695405573/2+0.0779554112</f>
        <v>0.1979216999</v>
      </c>
      <c r="W16" s="29">
        <f>0.03722091931/2+0.14648173</f>
        <v>0.1650921897</v>
      </c>
      <c r="X16" s="29">
        <f>0.0919793345/2+0.1299662676/2</f>
        <v>0.1109728011</v>
      </c>
      <c r="Y16" s="29"/>
      <c r="Z16" s="29">
        <f>0.131977704/2+0.101415583/2</f>
        <v>0.1166966435</v>
      </c>
      <c r="AA16" s="29">
        <f>0.107267677/2</f>
        <v>0.0536338385</v>
      </c>
      <c r="AB16" s="29"/>
      <c r="AC16" s="29">
        <f>0.037600571/3</f>
        <v>0.01253352367</v>
      </c>
      <c r="AD16" s="29"/>
      <c r="AE16" s="29"/>
      <c r="AF16" s="29">
        <f>0.098492637</f>
        <v>0.098492637</v>
      </c>
      <c r="AG16" s="29"/>
      <c r="AH16" s="29"/>
      <c r="AI16" s="29"/>
      <c r="AJ16" s="29">
        <f>0.1231183919+0.1030465288</f>
        <v>0.2261649207</v>
      </c>
      <c r="AK16" s="29">
        <f>0.11290322</f>
        <v>0.11290322</v>
      </c>
      <c r="AL16" s="29">
        <f>0.08455181381</f>
        <v>0.08455181381</v>
      </c>
      <c r="AM16" s="29"/>
      <c r="AN16" s="29"/>
      <c r="AO16" s="29"/>
      <c r="AP16" s="29"/>
      <c r="AQ16" s="29"/>
      <c r="AR16" s="29">
        <f>0.06921941096+0.09685004338</f>
        <v>0.1660694543</v>
      </c>
      <c r="AS16" s="29">
        <f>0.05195273037+0.05624697022</f>
        <v>0.1081997006</v>
      </c>
      <c r="AT16" s="29">
        <f>0.05501429468</f>
        <v>0.05501429468</v>
      </c>
      <c r="AU16" s="29"/>
      <c r="AV16" s="29"/>
      <c r="AW16" s="29"/>
      <c r="AX16" s="29">
        <f>0.09900732864</f>
        <v>0.09900732864</v>
      </c>
      <c r="AY16" s="29">
        <f>0.1267353748</f>
        <v>0.1267353748</v>
      </c>
      <c r="AZ16" s="29">
        <f>0.09147611446</f>
        <v>0.09147611446</v>
      </c>
      <c r="BA16" s="29"/>
      <c r="BB16" s="29"/>
      <c r="BC16" s="29">
        <f>0.0774486334</f>
        <v>0.0774486334</v>
      </c>
      <c r="BD16" s="29">
        <f>0.1237012542</f>
        <v>0.1237012542</v>
      </c>
      <c r="BE16" s="29">
        <f>0.05238690766</f>
        <v>0.05238690766</v>
      </c>
      <c r="BF16" s="29"/>
      <c r="BG16" s="29">
        <f>0.08176159101</f>
        <v>0.08176159101</v>
      </c>
    </row>
    <row r="17" ht="15.75" customHeight="1">
      <c r="A17" s="2">
        <v>103.0</v>
      </c>
      <c r="B17" s="3" t="s">
        <v>85</v>
      </c>
      <c r="C17" s="30"/>
      <c r="D17" s="4"/>
      <c r="E17" s="5"/>
      <c r="F17" s="5">
        <f>0.1138270731/2</f>
        <v>0.05691353655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4"/>
      <c r="S17" s="4"/>
      <c r="T17" s="5"/>
      <c r="U17" s="6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</row>
    <row r="18" ht="15.75" customHeight="1">
      <c r="A18" s="2">
        <v>104.0</v>
      </c>
      <c r="B18" s="3" t="s">
        <v>87</v>
      </c>
      <c r="C18" s="30"/>
      <c r="D18" s="4"/>
      <c r="E18" s="4"/>
      <c r="F18" s="5"/>
      <c r="G18" s="5"/>
      <c r="H18" s="5"/>
      <c r="I18" s="4"/>
      <c r="J18" s="4"/>
      <c r="K18" s="5"/>
      <c r="L18" s="5"/>
      <c r="M18" s="4"/>
      <c r="N18" s="5"/>
      <c r="O18" s="4"/>
      <c r="P18" s="4"/>
      <c r="Q18" s="4"/>
      <c r="R18" s="4"/>
      <c r="S18" s="4">
        <v>0.05656411606</v>
      </c>
      <c r="T18" s="4"/>
      <c r="U18" s="6"/>
      <c r="V18" s="29"/>
      <c r="W18" s="29"/>
      <c r="X18" s="29"/>
      <c r="Y18" s="29"/>
      <c r="Z18" s="29"/>
      <c r="AA18" s="29"/>
      <c r="AB18" s="29"/>
      <c r="AC18" s="29"/>
      <c r="AD18" s="29"/>
      <c r="AE18" s="29">
        <f>0.107179322/2</f>
        <v>0.053589661</v>
      </c>
      <c r="AF18" s="29">
        <f>0.109959017</f>
        <v>0.109959017</v>
      </c>
      <c r="AG18" s="29"/>
      <c r="AH18" s="29"/>
      <c r="AI18" s="29"/>
      <c r="AJ18" s="29"/>
      <c r="AK18" s="29"/>
      <c r="AL18" s="29"/>
      <c r="AM18" s="29"/>
      <c r="AN18" s="29"/>
      <c r="AO18" s="29">
        <f>0.0751842815</f>
        <v>0.0751842815</v>
      </c>
      <c r="AP18" s="29"/>
      <c r="AQ18" s="29"/>
      <c r="AR18" s="29">
        <f>0.05773261345</f>
        <v>0.05773261345</v>
      </c>
      <c r="AS18" s="29">
        <f>0.07590156738</f>
        <v>0.07590156738</v>
      </c>
      <c r="AT18" s="29">
        <f>0.08531065722</f>
        <v>0.08531065722</v>
      </c>
      <c r="AU18" s="29"/>
      <c r="AV18" s="29"/>
      <c r="AW18" s="29">
        <f>0.04837319795+0.09568416538</f>
        <v>0.1440573633</v>
      </c>
      <c r="AX18" s="29"/>
      <c r="AY18" s="29"/>
      <c r="AZ18" s="29"/>
      <c r="BA18" s="29">
        <f>0.1181190809</f>
        <v>0.1181190809</v>
      </c>
      <c r="BB18" s="29">
        <f>0.08603956232</f>
        <v>0.08603956232</v>
      </c>
      <c r="BC18" s="29"/>
      <c r="BD18" s="29"/>
      <c r="BE18" s="29"/>
      <c r="BF18" s="29">
        <f>0.05455573396</f>
        <v>0.05455573396</v>
      </c>
      <c r="BG18" s="29"/>
    </row>
    <row r="19" ht="15.75" customHeight="1">
      <c r="A19" s="2">
        <v>105.0</v>
      </c>
      <c r="B19" s="3" t="s">
        <v>89</v>
      </c>
      <c r="C19" s="30"/>
      <c r="D19" s="5">
        <f>0.08600214757+0.22655615/2+0.07496812521+0.05105382231+0.1152758229+0.1039356161+0.1376124358</f>
        <v>0.6821260449</v>
      </c>
      <c r="E19" s="5">
        <f>0.1175597512+0.243121831+0.09273112403/2+0.09503303531+0.07864113275/2+0.1584190446/2</f>
        <v>0.6206102682</v>
      </c>
      <c r="F19" s="5">
        <f>0.1263384028+0.04706963443/2+0.1530804234/2+0.08567268206/2+0.07107539099/2+0.1432197175/2</f>
        <v>0.376397327</v>
      </c>
      <c r="G19" s="5">
        <f>0.09826558967+0.1290232855</f>
        <v>0.2272888752</v>
      </c>
      <c r="H19" s="5">
        <f>0.1112044377/3+0.06477143964+0.05779825376/2+0.1288996171/2+0.1423163859/3+0.09968013472</f>
        <v>0.342307451</v>
      </c>
      <c r="I19" s="5">
        <f>0.06968751884/2+0.04744482189/2+0.1041207024+0.06566924488+0.1498280887</f>
        <v>0.3781842063</v>
      </c>
      <c r="J19" s="5">
        <f>0.1597229621+0.06664613251/2+0.02113371878</f>
        <v>0.2141797471</v>
      </c>
      <c r="K19" s="4">
        <f>0.13264402/2</f>
        <v>0.06632201</v>
      </c>
      <c r="L19" s="4">
        <f>0.1467564629/2</f>
        <v>0.07337823145</v>
      </c>
      <c r="M19" s="4"/>
      <c r="N19" s="4">
        <f>0.1283203472/2</f>
        <v>0.0641601736</v>
      </c>
      <c r="O19" s="4">
        <f>0.06877464482/3+0.1707904439/2</f>
        <v>0.1083201036</v>
      </c>
      <c r="P19" s="4"/>
      <c r="Q19" s="4">
        <f>0.1279678481/2</f>
        <v>0.06398392405</v>
      </c>
      <c r="R19" s="5">
        <f>0.1209144203/2</f>
        <v>0.06045721015</v>
      </c>
      <c r="S19" s="4"/>
      <c r="T19" s="4">
        <f>0.1361879561/2</f>
        <v>0.06809397805</v>
      </c>
      <c r="U19" s="6">
        <f>0.1108162551/2+0.0813524876/2</f>
        <v>0.09608437135</v>
      </c>
      <c r="V19" s="29"/>
      <c r="W19" s="29"/>
      <c r="X19" s="29"/>
      <c r="Y19" s="29"/>
      <c r="Z19" s="29">
        <f>0.051022767/2</f>
        <v>0.0255113835</v>
      </c>
      <c r="AA19" s="29">
        <f>0.123006636/2</f>
        <v>0.061503318</v>
      </c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>
        <f>0.1236128244</f>
        <v>0.1236128244</v>
      </c>
      <c r="AO19" s="29"/>
      <c r="AP19" s="29">
        <f>0.07251352849</f>
        <v>0.07251352849</v>
      </c>
      <c r="AQ19" s="29">
        <f>0.1153940857</f>
        <v>0.1153940857</v>
      </c>
      <c r="AR19" s="29"/>
      <c r="AS19" s="29"/>
      <c r="AT19" s="29"/>
      <c r="AU19" s="29"/>
      <c r="AV19" s="29"/>
      <c r="AW19" s="29"/>
      <c r="AX19" s="29">
        <f>0.05837017814</f>
        <v>0.05837017814</v>
      </c>
      <c r="AY19" s="29"/>
      <c r="AZ19" s="29"/>
      <c r="BA19" s="29"/>
      <c r="BB19" s="29"/>
      <c r="BC19" s="29">
        <f>0.1029049955</f>
        <v>0.1029049955</v>
      </c>
      <c r="BD19" s="29"/>
      <c r="BE19" s="29"/>
      <c r="BF19" s="29"/>
      <c r="BG19" s="29"/>
    </row>
    <row r="20" ht="15.75" customHeight="1">
      <c r="A20" s="2">
        <v>106.0</v>
      </c>
      <c r="B20" s="3" t="s">
        <v>91</v>
      </c>
      <c r="C20" s="30"/>
      <c r="D20" s="4"/>
      <c r="E20" s="4"/>
      <c r="F20" s="5"/>
      <c r="G20" s="5">
        <v>0.09764859173</v>
      </c>
      <c r="H20" s="5"/>
      <c r="I20" s="5">
        <v>0.05607601891</v>
      </c>
      <c r="J20" s="5"/>
      <c r="K20" s="5"/>
      <c r="L20" s="5"/>
      <c r="M20" s="5"/>
      <c r="N20" s="5"/>
      <c r="O20" s="5">
        <f>0.06877464482/3</f>
        <v>0.02292488161</v>
      </c>
      <c r="P20" s="5">
        <f>0.05227226562/3</f>
        <v>0.01742408854</v>
      </c>
      <c r="Q20" s="5"/>
      <c r="R20" s="5"/>
      <c r="S20" s="5"/>
      <c r="T20" s="5"/>
      <c r="U20" s="6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</row>
    <row r="21" ht="15.75" customHeight="1">
      <c r="A21" s="7">
        <v>107.0</v>
      </c>
      <c r="B21" s="7" t="s">
        <v>93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0"/>
      <c r="V21" s="31"/>
      <c r="W21" s="31">
        <f>0.05797097546/2</f>
        <v>0.02898548773</v>
      </c>
      <c r="X21" s="31">
        <f>0.0919793345/2</f>
        <v>0.04598966725</v>
      </c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</row>
    <row r="22" ht="15.75" customHeight="1">
      <c r="A22" s="2">
        <v>108.0</v>
      </c>
      <c r="B22" s="2" t="s">
        <v>95</v>
      </c>
      <c r="C22" s="30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6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>
        <f>0.06119432342</f>
        <v>0.06119432342</v>
      </c>
      <c r="AV22" s="29">
        <f>0.05365114397</f>
        <v>0.05365114397</v>
      </c>
      <c r="AW22" s="29">
        <f>0.07404855417/2</f>
        <v>0.03702427709</v>
      </c>
      <c r="AX22" s="29">
        <f>0.0805955655</f>
        <v>0.0805955655</v>
      </c>
      <c r="AY22" s="29"/>
      <c r="AZ22" s="29"/>
      <c r="BA22" s="29"/>
      <c r="BB22" s="29"/>
      <c r="BC22" s="29"/>
      <c r="BD22" s="29"/>
      <c r="BE22" s="29"/>
      <c r="BF22" s="29">
        <f>0.127005178</f>
        <v>0.127005178</v>
      </c>
      <c r="BG22" s="29"/>
    </row>
    <row r="23" ht="15.75" customHeight="1">
      <c r="A23" s="2">
        <v>99.0</v>
      </c>
      <c r="B23" s="3" t="s">
        <v>97</v>
      </c>
      <c r="C23" s="30"/>
      <c r="D23" s="14">
        <f>0.05774829157+0.05766800099</f>
        <v>0.1154162926</v>
      </c>
      <c r="E23" s="14"/>
      <c r="F23" s="14"/>
      <c r="G23" s="14">
        <f>0.1990798336+0.04548310899</f>
        <v>0.2445629426</v>
      </c>
      <c r="H23" s="14"/>
      <c r="I23" s="14"/>
      <c r="J23" s="14"/>
      <c r="K23" s="14">
        <v>0.1201332633</v>
      </c>
      <c r="L23" s="14"/>
      <c r="M23" s="14">
        <v>0.1384913163</v>
      </c>
      <c r="N23" s="14">
        <f>0.1446294912+0.138579264</f>
        <v>0.2832087552</v>
      </c>
      <c r="O23" s="14"/>
      <c r="P23" s="14"/>
      <c r="Q23" s="14">
        <f>0.01637541264+0.2156332263</f>
        <v>0.2320086389</v>
      </c>
      <c r="R23" s="14">
        <f>0.1269798196+0.1116409122</f>
        <v>0.2386207318</v>
      </c>
      <c r="S23" s="14">
        <f>0.1229368182+0.09532197213</f>
        <v>0.2182587903</v>
      </c>
      <c r="T23" s="14">
        <v>0.05360631728</v>
      </c>
      <c r="U23" s="6"/>
      <c r="V23" s="29">
        <v>0.04363913611</v>
      </c>
      <c r="W23" s="29"/>
      <c r="X23" s="29">
        <f>0.3190888895+0.07295821266</f>
        <v>0.3920471022</v>
      </c>
      <c r="Y23" s="29"/>
      <c r="Z23" s="29">
        <f>0.144718222</f>
        <v>0.144718222</v>
      </c>
      <c r="AA23" s="29"/>
      <c r="AB23" s="29"/>
      <c r="AC23" s="29"/>
      <c r="AD23" s="29"/>
      <c r="AE23" s="29">
        <f>0.048753381</f>
        <v>0.048753381</v>
      </c>
      <c r="AF23" s="29"/>
      <c r="AG23" s="29"/>
      <c r="AH23" s="29"/>
      <c r="AI23" s="29">
        <f>0.03896056</f>
        <v>0.03896056</v>
      </c>
      <c r="AJ23" s="29">
        <f>0.1520120828</f>
        <v>0.1520120828</v>
      </c>
      <c r="AK23" s="29"/>
      <c r="AL23" s="29">
        <f>0.1145076924+0.08276822032</f>
        <v>0.1972759127</v>
      </c>
      <c r="AM23" s="29">
        <f>0.098723234</f>
        <v>0.098723234</v>
      </c>
      <c r="AN23" s="29">
        <f>0.1112670182</f>
        <v>0.1112670182</v>
      </c>
      <c r="AO23" s="29"/>
      <c r="AP23" s="29">
        <f>0.02597143992+0.07001042649</f>
        <v>0.09598186641</v>
      </c>
      <c r="AQ23" s="29"/>
      <c r="AR23" s="29">
        <f>0.08014794985</f>
        <v>0.08014794985</v>
      </c>
      <c r="AS23" s="29"/>
      <c r="AT23" s="29">
        <f>0.1031012731+0.1394496074</f>
        <v>0.2425508805</v>
      </c>
      <c r="AU23" s="29">
        <f>0.1214422519+0.1188836755+0.09441352964+0.1578628872</f>
        <v>0.4926023442</v>
      </c>
      <c r="AV23" s="29">
        <f>0.1279889783</f>
        <v>0.1279889783</v>
      </c>
      <c r="AW23" s="29">
        <f>0.08073531603</f>
        <v>0.08073531603</v>
      </c>
      <c r="AX23" s="29">
        <f>0.1272774007+0.08719488608</f>
        <v>0.2144722868</v>
      </c>
      <c r="AY23" s="29"/>
      <c r="AZ23" s="29">
        <f>0.09202301401+0.0596370248+0.07364049437+0.1036835374</f>
        <v>0.3289840706</v>
      </c>
      <c r="BA23" s="29">
        <f>0.1034008296</f>
        <v>0.1034008296</v>
      </c>
      <c r="BB23" s="29">
        <f>0.09791443355+0.06991775574+0.1051261686</f>
        <v>0.2729583579</v>
      </c>
      <c r="BC23" s="29">
        <f>0.05206652129+0.088684948</f>
        <v>0.1407514693</v>
      </c>
      <c r="BD23" s="29">
        <f>0.1047145848+0.1097371016</f>
        <v>0.2144516864</v>
      </c>
      <c r="BE23" s="29">
        <f>0.09531606271+0.1292451436</f>
        <v>0.2245612063</v>
      </c>
      <c r="BF23" s="29">
        <f>0.06917848471</f>
        <v>0.06917848471</v>
      </c>
      <c r="BG23" s="29">
        <f>0.07519562866+0.1205463411+0.1196991875</f>
        <v>0.3154411573</v>
      </c>
    </row>
    <row r="24" ht="15.75" customHeight="1">
      <c r="A24" s="15" t="s">
        <v>99</v>
      </c>
      <c r="B24" s="16"/>
      <c r="C24" s="19"/>
      <c r="D24" s="18">
        <f t="shared" ref="D24:BG24" si="2">SUM(D2:D23)</f>
        <v>1</v>
      </c>
      <c r="E24" s="18">
        <f t="shared" si="2"/>
        <v>1</v>
      </c>
      <c r="F24" s="18">
        <f t="shared" si="2"/>
        <v>0.9999999999</v>
      </c>
      <c r="G24" s="18">
        <f t="shared" si="2"/>
        <v>1</v>
      </c>
      <c r="H24" s="18">
        <f t="shared" si="2"/>
        <v>1</v>
      </c>
      <c r="I24" s="18">
        <f t="shared" si="2"/>
        <v>0.9999999995</v>
      </c>
      <c r="J24" s="18">
        <f t="shared" si="2"/>
        <v>0.9999999999</v>
      </c>
      <c r="K24" s="18">
        <f t="shared" si="2"/>
        <v>1</v>
      </c>
      <c r="L24" s="18">
        <f t="shared" si="2"/>
        <v>1</v>
      </c>
      <c r="M24" s="18">
        <f t="shared" si="2"/>
        <v>1</v>
      </c>
      <c r="N24" s="18">
        <f t="shared" si="2"/>
        <v>1</v>
      </c>
      <c r="O24" s="18">
        <f t="shared" si="2"/>
        <v>1</v>
      </c>
      <c r="P24" s="18">
        <f t="shared" si="2"/>
        <v>1</v>
      </c>
      <c r="Q24" s="18">
        <f t="shared" si="2"/>
        <v>1</v>
      </c>
      <c r="R24" s="18">
        <f t="shared" si="2"/>
        <v>1</v>
      </c>
      <c r="S24" s="18">
        <f t="shared" si="2"/>
        <v>1</v>
      </c>
      <c r="T24" s="18">
        <f t="shared" si="2"/>
        <v>1</v>
      </c>
      <c r="U24" s="18">
        <f t="shared" si="2"/>
        <v>1</v>
      </c>
      <c r="V24" s="18">
        <f t="shared" si="2"/>
        <v>0.9999999999</v>
      </c>
      <c r="W24" s="18">
        <f t="shared" si="2"/>
        <v>1</v>
      </c>
      <c r="X24" s="18">
        <f t="shared" si="2"/>
        <v>1</v>
      </c>
      <c r="Y24" s="18">
        <f t="shared" si="2"/>
        <v>1</v>
      </c>
      <c r="Z24" s="18">
        <f t="shared" si="2"/>
        <v>1</v>
      </c>
      <c r="AA24" s="18">
        <f t="shared" si="2"/>
        <v>0.999999998</v>
      </c>
      <c r="AB24" s="18">
        <f t="shared" si="2"/>
        <v>1</v>
      </c>
      <c r="AC24" s="18">
        <f t="shared" si="2"/>
        <v>1.000000001</v>
      </c>
      <c r="AD24" s="18">
        <f t="shared" si="2"/>
        <v>1.000000001</v>
      </c>
      <c r="AE24" s="18">
        <f t="shared" si="2"/>
        <v>1</v>
      </c>
      <c r="AF24" s="18">
        <f t="shared" si="2"/>
        <v>0.999999999</v>
      </c>
      <c r="AG24" s="18">
        <f t="shared" si="2"/>
        <v>0.999999999</v>
      </c>
      <c r="AH24" s="18">
        <f t="shared" si="2"/>
        <v>0.999999999</v>
      </c>
      <c r="AI24" s="18">
        <f t="shared" si="2"/>
        <v>0.999999999</v>
      </c>
      <c r="AJ24" s="18">
        <f t="shared" si="2"/>
        <v>0.9999999999</v>
      </c>
      <c r="AK24" s="18">
        <f t="shared" si="2"/>
        <v>0.9999999999</v>
      </c>
      <c r="AL24" s="18">
        <f t="shared" si="2"/>
        <v>0.9999999999</v>
      </c>
      <c r="AM24" s="18">
        <f t="shared" si="2"/>
        <v>1</v>
      </c>
      <c r="AN24" s="18">
        <f t="shared" si="2"/>
        <v>0.9999999999</v>
      </c>
      <c r="AO24" s="18">
        <f t="shared" si="2"/>
        <v>1</v>
      </c>
      <c r="AP24" s="18">
        <f t="shared" si="2"/>
        <v>0.9999999999</v>
      </c>
      <c r="AQ24" s="18">
        <f t="shared" si="2"/>
        <v>1</v>
      </c>
      <c r="AR24" s="18">
        <f t="shared" si="2"/>
        <v>1</v>
      </c>
      <c r="AS24" s="18">
        <f t="shared" si="2"/>
        <v>1</v>
      </c>
      <c r="AT24" s="18">
        <f t="shared" si="2"/>
        <v>1</v>
      </c>
      <c r="AU24" s="18">
        <f t="shared" si="2"/>
        <v>1</v>
      </c>
      <c r="AV24" s="18">
        <f t="shared" si="2"/>
        <v>1</v>
      </c>
      <c r="AW24" s="18">
        <f t="shared" si="2"/>
        <v>1</v>
      </c>
      <c r="AX24" s="18">
        <f t="shared" si="2"/>
        <v>1</v>
      </c>
      <c r="AY24" s="18">
        <f t="shared" si="2"/>
        <v>1</v>
      </c>
      <c r="AZ24" s="18">
        <f t="shared" si="2"/>
        <v>0.9999999999</v>
      </c>
      <c r="BA24" s="18">
        <f t="shared" si="2"/>
        <v>1</v>
      </c>
      <c r="BB24" s="18">
        <f t="shared" si="2"/>
        <v>1</v>
      </c>
      <c r="BC24" s="18">
        <f t="shared" si="2"/>
        <v>1</v>
      </c>
      <c r="BD24" s="18">
        <f t="shared" si="2"/>
        <v>1</v>
      </c>
      <c r="BE24" s="18">
        <f t="shared" si="2"/>
        <v>1</v>
      </c>
      <c r="BF24" s="18">
        <f t="shared" si="2"/>
        <v>0.9999999999</v>
      </c>
      <c r="BG24" s="18">
        <f t="shared" si="2"/>
        <v>1</v>
      </c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</row>
    <row r="25" ht="15.75" customHeight="1">
      <c r="B25" s="24"/>
    </row>
    <row r="26" ht="15.75" customHeight="1">
      <c r="B26" s="24"/>
    </row>
    <row r="27" ht="15.75" customHeight="1">
      <c r="B27" s="24"/>
    </row>
    <row r="28" ht="15.75" customHeight="1">
      <c r="B28" s="24"/>
    </row>
    <row r="29" ht="15.75" customHeight="1">
      <c r="B29" s="24"/>
    </row>
    <row r="30" ht="15.75" customHeight="1">
      <c r="B30" s="24"/>
    </row>
    <row r="31" ht="15.75" customHeight="1">
      <c r="B31" s="24"/>
    </row>
    <row r="32" ht="15.75" customHeight="1">
      <c r="B32" s="24"/>
    </row>
    <row r="33" ht="15.75" customHeight="1">
      <c r="B33" s="24"/>
    </row>
    <row r="34" ht="15.75" customHeight="1">
      <c r="B34" s="24"/>
    </row>
    <row r="35" ht="15.75" customHeight="1">
      <c r="B35" s="24"/>
    </row>
    <row r="36" ht="15.75" customHeight="1">
      <c r="B36" s="24"/>
    </row>
    <row r="37" ht="15.75" customHeight="1">
      <c r="B37" s="24"/>
    </row>
    <row r="38" ht="15.75" customHeight="1">
      <c r="B38" s="24"/>
    </row>
    <row r="39" ht="15.75" customHeight="1">
      <c r="B39" s="24"/>
    </row>
    <row r="40" ht="15.75" customHeight="1">
      <c r="B40" s="24"/>
    </row>
    <row r="41" ht="15.75" customHeight="1">
      <c r="B41" s="24"/>
    </row>
    <row r="42" ht="15.75" customHeight="1">
      <c r="B42" s="24"/>
    </row>
    <row r="43" ht="15.75" customHeight="1">
      <c r="B43" s="24"/>
    </row>
    <row r="44" ht="15.75" customHeight="1">
      <c r="B44" s="24"/>
    </row>
    <row r="45" ht="15.75" customHeight="1">
      <c r="B45" s="24"/>
    </row>
    <row r="46" ht="15.75" customHeight="1">
      <c r="B46" s="24"/>
    </row>
    <row r="47" ht="15.75" customHeight="1">
      <c r="B47" s="24"/>
    </row>
    <row r="48" ht="15.75" customHeight="1">
      <c r="B48" s="24"/>
    </row>
    <row r="49" ht="15.75" customHeight="1">
      <c r="B49" s="24"/>
    </row>
    <row r="50" ht="15.75" customHeight="1">
      <c r="B50" s="24"/>
    </row>
    <row r="51" ht="15.75" customHeight="1">
      <c r="B51" s="24"/>
    </row>
    <row r="52" ht="15.75" customHeight="1">
      <c r="B52" s="24"/>
    </row>
    <row r="53" ht="15.75" customHeight="1">
      <c r="B53" s="24"/>
    </row>
    <row r="54" ht="15.75" customHeight="1">
      <c r="B54" s="24"/>
    </row>
    <row r="55" ht="15.75" customHeight="1">
      <c r="B55" s="24"/>
    </row>
    <row r="56" ht="15.75" customHeight="1">
      <c r="B56" s="24"/>
    </row>
    <row r="57" ht="15.75" customHeight="1">
      <c r="B57" s="24"/>
    </row>
    <row r="58" ht="15.75" customHeight="1">
      <c r="B58" s="24"/>
    </row>
    <row r="59" ht="15.75" customHeight="1">
      <c r="B59" s="24"/>
    </row>
    <row r="60" ht="15.75" customHeight="1">
      <c r="B60" s="24"/>
    </row>
    <row r="61" ht="15.75" customHeight="1">
      <c r="B61" s="24"/>
    </row>
    <row r="62" ht="15.75" customHeight="1">
      <c r="B62" s="24"/>
    </row>
    <row r="63" ht="15.75" customHeight="1">
      <c r="B63" s="24"/>
    </row>
    <row r="64" ht="15.75" customHeight="1">
      <c r="B64" s="24"/>
    </row>
    <row r="65" ht="15.75" customHeight="1">
      <c r="B65" s="24"/>
    </row>
    <row r="66" ht="15.75" customHeight="1">
      <c r="B66" s="24"/>
    </row>
    <row r="67" ht="15.75" customHeight="1">
      <c r="B67" s="24"/>
    </row>
    <row r="68" ht="15.75" customHeight="1">
      <c r="B68" s="24"/>
    </row>
    <row r="69" ht="15.75" customHeight="1">
      <c r="B69" s="24"/>
    </row>
    <row r="70" ht="15.75" customHeight="1">
      <c r="B70" s="24"/>
    </row>
    <row r="71" ht="15.75" customHeight="1">
      <c r="B71" s="24"/>
    </row>
    <row r="72" ht="15.75" customHeight="1">
      <c r="B72" s="24"/>
    </row>
    <row r="73" ht="15.75" customHeight="1">
      <c r="B73" s="24"/>
    </row>
    <row r="74" ht="15.75" customHeight="1">
      <c r="B74" s="24"/>
    </row>
    <row r="75" ht="15.75" customHeight="1">
      <c r="B75" s="24"/>
    </row>
    <row r="76" ht="15.75" customHeight="1">
      <c r="B76" s="24"/>
    </row>
    <row r="77" ht="15.75" customHeight="1">
      <c r="B77" s="24"/>
    </row>
    <row r="78" ht="15.75" customHeight="1">
      <c r="B78" s="24"/>
    </row>
    <row r="79" ht="15.75" customHeight="1">
      <c r="B79" s="24"/>
    </row>
    <row r="80" ht="15.75" customHeight="1">
      <c r="B80" s="24"/>
    </row>
    <row r="81" ht="15.75" customHeight="1">
      <c r="B81" s="24"/>
    </row>
    <row r="82" ht="15.75" customHeight="1">
      <c r="B82" s="24"/>
    </row>
    <row r="83" ht="15.75" customHeight="1">
      <c r="B83" s="24"/>
    </row>
    <row r="84" ht="15.75" customHeight="1">
      <c r="B84" s="24"/>
    </row>
    <row r="85" ht="15.75" customHeight="1">
      <c r="B85" s="24"/>
    </row>
    <row r="86" ht="15.75" customHeight="1">
      <c r="B86" s="24"/>
    </row>
    <row r="87" ht="15.75" customHeight="1">
      <c r="B87" s="24"/>
    </row>
    <row r="88" ht="15.75" customHeight="1">
      <c r="B88" s="24"/>
    </row>
    <row r="89" ht="15.75" customHeight="1">
      <c r="B89" s="24"/>
    </row>
    <row r="90" ht="15.75" customHeight="1">
      <c r="B90" s="24"/>
    </row>
    <row r="91" ht="15.75" customHeight="1">
      <c r="B91" s="24"/>
    </row>
    <row r="92" ht="15.75" customHeight="1">
      <c r="B92" s="24"/>
    </row>
    <row r="93" ht="15.75" customHeight="1">
      <c r="B93" s="24"/>
    </row>
    <row r="94" ht="15.75" customHeight="1">
      <c r="B94" s="24"/>
    </row>
    <row r="95" ht="15.75" customHeight="1">
      <c r="B95" s="24"/>
    </row>
    <row r="96" ht="15.75" customHeight="1">
      <c r="B96" s="24"/>
    </row>
    <row r="97" ht="15.75" customHeight="1">
      <c r="B97" s="24"/>
    </row>
    <row r="98" ht="15.75" customHeight="1">
      <c r="B98" s="24"/>
    </row>
    <row r="99" ht="15.75" customHeight="1">
      <c r="B99" s="24"/>
    </row>
    <row r="100" ht="15.75" customHeight="1">
      <c r="B100" s="24"/>
    </row>
    <row r="101" ht="15.75" customHeight="1">
      <c r="B101" s="24"/>
    </row>
    <row r="102" ht="15.75" customHeight="1">
      <c r="B102" s="24"/>
    </row>
    <row r="103" ht="15.75" customHeight="1">
      <c r="B103" s="24"/>
    </row>
    <row r="104" ht="15.75" customHeight="1">
      <c r="B104" s="24"/>
    </row>
    <row r="105" ht="15.75" customHeight="1">
      <c r="B105" s="24"/>
    </row>
    <row r="106" ht="15.75" customHeight="1">
      <c r="B106" s="24"/>
    </row>
    <row r="107" ht="15.75" customHeight="1">
      <c r="B107" s="24"/>
    </row>
    <row r="108" ht="15.75" customHeight="1">
      <c r="B108" s="24"/>
    </row>
    <row r="109" ht="15.75" customHeight="1">
      <c r="B109" s="24"/>
    </row>
    <row r="110" ht="15.75" customHeight="1">
      <c r="B110" s="24"/>
    </row>
    <row r="111" ht="15.75" customHeight="1">
      <c r="B111" s="24"/>
    </row>
    <row r="112" ht="15.75" customHeight="1">
      <c r="B112" s="24"/>
    </row>
    <row r="113" ht="15.75" customHeight="1">
      <c r="B113" s="24"/>
    </row>
    <row r="114" ht="15.75" customHeight="1">
      <c r="B114" s="24"/>
    </row>
    <row r="115" ht="15.75" customHeight="1">
      <c r="B115" s="24"/>
    </row>
    <row r="116" ht="15.75" customHeight="1">
      <c r="B116" s="24"/>
    </row>
    <row r="117" ht="15.75" customHeight="1">
      <c r="B117" s="24"/>
    </row>
    <row r="118" ht="15.75" customHeight="1">
      <c r="B118" s="24"/>
    </row>
    <row r="119" ht="15.75" customHeight="1">
      <c r="B119" s="24"/>
    </row>
    <row r="120" ht="15.75" customHeight="1">
      <c r="B120" s="24"/>
    </row>
    <row r="121" ht="15.75" customHeight="1">
      <c r="B121" s="24"/>
    </row>
    <row r="122" ht="15.75" customHeight="1">
      <c r="B122" s="24"/>
    </row>
    <row r="123" ht="15.75" customHeight="1">
      <c r="B123" s="24"/>
    </row>
    <row r="124" ht="15.75" customHeight="1">
      <c r="B124" s="24"/>
    </row>
    <row r="125" ht="15.75" customHeight="1">
      <c r="B125" s="24"/>
    </row>
    <row r="126" ht="15.75" customHeight="1">
      <c r="B126" s="24"/>
    </row>
    <row r="127" ht="15.75" customHeight="1">
      <c r="B127" s="24"/>
    </row>
    <row r="128" ht="15.75" customHeight="1">
      <c r="B128" s="24"/>
    </row>
    <row r="129" ht="15.75" customHeight="1">
      <c r="B129" s="24"/>
    </row>
    <row r="130" ht="15.75" customHeight="1">
      <c r="B130" s="24"/>
    </row>
    <row r="131" ht="15.75" customHeight="1">
      <c r="B131" s="24"/>
    </row>
    <row r="132" ht="15.75" customHeight="1">
      <c r="B132" s="24"/>
    </row>
    <row r="133" ht="15.75" customHeight="1">
      <c r="B133" s="24"/>
    </row>
    <row r="134" ht="15.75" customHeight="1">
      <c r="B134" s="24"/>
    </row>
    <row r="135" ht="15.75" customHeight="1">
      <c r="B135" s="24"/>
    </row>
    <row r="136" ht="15.75" customHeight="1">
      <c r="B136" s="24"/>
    </row>
    <row r="137" ht="15.75" customHeight="1">
      <c r="B137" s="24"/>
    </row>
    <row r="138" ht="15.75" customHeight="1">
      <c r="B138" s="24"/>
    </row>
    <row r="139" ht="15.75" customHeight="1">
      <c r="B139" s="24"/>
    </row>
    <row r="140" ht="15.75" customHeight="1">
      <c r="B140" s="24"/>
    </row>
    <row r="141" ht="15.75" customHeight="1">
      <c r="B141" s="24"/>
    </row>
    <row r="142" ht="15.75" customHeight="1">
      <c r="B142" s="24"/>
    </row>
    <row r="143" ht="15.75" customHeight="1">
      <c r="B143" s="24"/>
    </row>
    <row r="144" ht="15.75" customHeight="1">
      <c r="B144" s="24"/>
    </row>
    <row r="145" ht="15.75" customHeight="1">
      <c r="B145" s="24"/>
    </row>
    <row r="146" ht="15.75" customHeight="1">
      <c r="B146" s="24"/>
    </row>
    <row r="147" ht="15.75" customHeight="1">
      <c r="B147" s="24"/>
    </row>
    <row r="148" ht="15.75" customHeight="1">
      <c r="B148" s="24"/>
    </row>
    <row r="149" ht="15.75" customHeight="1">
      <c r="B149" s="24"/>
    </row>
    <row r="150" ht="15.75" customHeight="1">
      <c r="B150" s="24"/>
    </row>
    <row r="151" ht="15.75" customHeight="1">
      <c r="B151" s="24"/>
    </row>
    <row r="152" ht="15.75" customHeight="1">
      <c r="B152" s="24"/>
    </row>
    <row r="153" ht="15.75" customHeight="1">
      <c r="B153" s="24"/>
    </row>
    <row r="154" ht="15.75" customHeight="1">
      <c r="B154" s="24"/>
    </row>
    <row r="155" ht="15.75" customHeight="1">
      <c r="B155" s="24"/>
    </row>
    <row r="156" ht="15.75" customHeight="1">
      <c r="B156" s="24"/>
    </row>
    <row r="157" ht="15.75" customHeight="1">
      <c r="B157" s="24"/>
    </row>
    <row r="158" ht="15.75" customHeight="1">
      <c r="B158" s="24"/>
    </row>
    <row r="159" ht="15.75" customHeight="1">
      <c r="B159" s="24"/>
    </row>
    <row r="160" ht="15.75" customHeight="1">
      <c r="B160" s="24"/>
    </row>
    <row r="161" ht="15.75" customHeight="1">
      <c r="B161" s="24"/>
    </row>
    <row r="162" ht="15.75" customHeight="1">
      <c r="B162" s="24"/>
    </row>
    <row r="163" ht="15.75" customHeight="1">
      <c r="B163" s="24"/>
    </row>
    <row r="164" ht="15.75" customHeight="1">
      <c r="B164" s="24"/>
    </row>
    <row r="165" ht="15.75" customHeight="1">
      <c r="B165" s="24"/>
    </row>
    <row r="166" ht="15.75" customHeight="1">
      <c r="B166" s="24"/>
    </row>
    <row r="167" ht="15.75" customHeight="1">
      <c r="B167" s="24"/>
    </row>
    <row r="168" ht="15.75" customHeight="1">
      <c r="B168" s="24"/>
    </row>
    <row r="169" ht="15.75" customHeight="1">
      <c r="B169" s="24"/>
    </row>
    <row r="170" ht="15.75" customHeight="1">
      <c r="B170" s="24"/>
    </row>
    <row r="171" ht="15.75" customHeight="1">
      <c r="B171" s="24"/>
    </row>
    <row r="172" ht="15.75" customHeight="1">
      <c r="B172" s="24"/>
    </row>
    <row r="173" ht="15.75" customHeight="1">
      <c r="B173" s="24"/>
    </row>
    <row r="174" ht="15.75" customHeight="1">
      <c r="B174" s="24"/>
    </row>
    <row r="175" ht="15.75" customHeight="1">
      <c r="B175" s="24"/>
    </row>
    <row r="176" ht="15.75" customHeight="1">
      <c r="B176" s="24"/>
    </row>
    <row r="177" ht="15.75" customHeight="1">
      <c r="B177" s="24"/>
    </row>
    <row r="178" ht="15.75" customHeight="1">
      <c r="B178" s="24"/>
    </row>
    <row r="179" ht="15.75" customHeight="1">
      <c r="B179" s="24"/>
    </row>
    <row r="180" ht="15.75" customHeight="1">
      <c r="B180" s="24"/>
    </row>
    <row r="181" ht="15.75" customHeight="1">
      <c r="B181" s="24"/>
    </row>
    <row r="182" ht="15.75" customHeight="1">
      <c r="B182" s="24"/>
    </row>
    <row r="183" ht="15.75" customHeight="1">
      <c r="B183" s="24"/>
    </row>
    <row r="184" ht="15.75" customHeight="1">
      <c r="B184" s="24"/>
    </row>
    <row r="185" ht="15.75" customHeight="1">
      <c r="B185" s="24"/>
    </row>
    <row r="186" ht="15.75" customHeight="1">
      <c r="B186" s="24"/>
    </row>
    <row r="187" ht="15.75" customHeight="1">
      <c r="B187" s="24"/>
    </row>
    <row r="188" ht="15.75" customHeight="1">
      <c r="B188" s="24"/>
    </row>
    <row r="189" ht="15.75" customHeight="1">
      <c r="B189" s="24"/>
    </row>
    <row r="190" ht="15.75" customHeight="1">
      <c r="B190" s="24"/>
    </row>
    <row r="191" ht="15.75" customHeight="1">
      <c r="B191" s="24"/>
    </row>
    <row r="192" ht="15.75" customHeight="1">
      <c r="B192" s="24"/>
    </row>
    <row r="193" ht="15.75" customHeight="1">
      <c r="B193" s="24"/>
    </row>
    <row r="194" ht="15.75" customHeight="1">
      <c r="B194" s="24"/>
    </row>
    <row r="195" ht="15.75" customHeight="1">
      <c r="B195" s="24"/>
    </row>
    <row r="196" ht="15.75" customHeight="1">
      <c r="B196" s="24"/>
    </row>
    <row r="197" ht="15.75" customHeight="1">
      <c r="B197" s="24"/>
    </row>
    <row r="198" ht="15.75" customHeight="1">
      <c r="B198" s="24"/>
    </row>
    <row r="199" ht="15.75" customHeight="1">
      <c r="B199" s="24"/>
    </row>
    <row r="200" ht="15.75" customHeight="1">
      <c r="B200" s="24"/>
    </row>
    <row r="201" ht="15.75" customHeight="1">
      <c r="B201" s="24"/>
    </row>
    <row r="202" ht="15.75" customHeight="1">
      <c r="B202" s="24"/>
    </row>
    <row r="203" ht="15.75" customHeight="1">
      <c r="B203" s="24"/>
    </row>
    <row r="204" ht="15.75" customHeight="1">
      <c r="B204" s="24"/>
    </row>
    <row r="205" ht="15.75" customHeight="1">
      <c r="B205" s="24"/>
    </row>
    <row r="206" ht="15.75" customHeight="1">
      <c r="B206" s="24"/>
    </row>
    <row r="207" ht="15.75" customHeight="1">
      <c r="B207" s="24"/>
    </row>
    <row r="208" ht="15.75" customHeight="1">
      <c r="B208" s="24"/>
    </row>
    <row r="209" ht="15.75" customHeight="1">
      <c r="B209" s="24"/>
    </row>
    <row r="210" ht="15.75" customHeight="1">
      <c r="B210" s="24"/>
    </row>
    <row r="211" ht="15.75" customHeight="1">
      <c r="B211" s="24"/>
    </row>
    <row r="212" ht="15.75" customHeight="1">
      <c r="B212" s="24"/>
    </row>
    <row r="213" ht="15.75" customHeight="1">
      <c r="B213" s="24"/>
    </row>
    <row r="214" ht="15.75" customHeight="1">
      <c r="B214" s="24"/>
    </row>
    <row r="215" ht="15.75" customHeight="1">
      <c r="B215" s="24"/>
    </row>
    <row r="216" ht="15.75" customHeight="1">
      <c r="B216" s="24"/>
    </row>
    <row r="217" ht="15.75" customHeight="1">
      <c r="B217" s="24"/>
    </row>
    <row r="218" ht="15.75" customHeight="1">
      <c r="B218" s="24"/>
    </row>
    <row r="219" ht="15.75" customHeight="1">
      <c r="B219" s="24"/>
    </row>
    <row r="220" ht="15.75" customHeight="1">
      <c r="B220" s="24"/>
    </row>
    <row r="221" ht="15.75" customHeight="1">
      <c r="B221" s="24"/>
    </row>
    <row r="222" ht="15.75" customHeight="1">
      <c r="B222" s="24"/>
    </row>
    <row r="223" ht="15.75" customHeight="1">
      <c r="B223" s="24"/>
    </row>
    <row r="224" ht="15.75" customHeight="1">
      <c r="B224" s="24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9.29"/>
    <col customWidth="1" min="2" max="2" width="40.29"/>
    <col customWidth="1" min="3" max="6" width="14.43"/>
  </cols>
  <sheetData>
    <row r="1" ht="15.75" customHeight="1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/>
      <c r="AA1" s="1"/>
      <c r="AB1" s="1"/>
    </row>
    <row r="2" ht="15.75" customHeight="1">
      <c r="A2" s="2">
        <v>1.0</v>
      </c>
      <c r="B2" s="3" t="s">
        <v>56</v>
      </c>
      <c r="C2" s="4">
        <f>0.05215050355</f>
        <v>0.05215050355</v>
      </c>
      <c r="D2" s="4">
        <f>0.1135676655/2</f>
        <v>0.05678383275</v>
      </c>
      <c r="E2" s="4"/>
      <c r="F2" s="5"/>
      <c r="G2" s="5">
        <f>0.1325536734/3</f>
        <v>0.0441845578</v>
      </c>
      <c r="H2" s="5"/>
      <c r="I2" s="5"/>
      <c r="J2" s="5">
        <f>0.2483607834/2+0.145308585+0.103841984/3</f>
        <v>0.3041029714</v>
      </c>
      <c r="K2" s="5">
        <f>0.09034318529/2+0.1235308722/3+0.0939964371/3+0.0687053078/3</f>
        <v>0.140582465</v>
      </c>
      <c r="L2" s="5">
        <f>0.1742492174/3+0.1003845409/2</f>
        <v>0.1082753429</v>
      </c>
      <c r="M2" s="5">
        <f>0.06401789984/2+0.112261143+0.05247428089/2</f>
        <v>0.1705072334</v>
      </c>
      <c r="N2" s="5">
        <f>0.1778119012/2</f>
        <v>0.0889059506</v>
      </c>
      <c r="O2" s="5">
        <f>0.1415089681/2</f>
        <v>0.07075448405</v>
      </c>
      <c r="P2" s="6">
        <f>0.1281177756/2</f>
        <v>0.0640588878</v>
      </c>
      <c r="Q2" s="6">
        <f>0.146418357/2+0.05384886922/2</f>
        <v>0.1001336131</v>
      </c>
      <c r="R2" s="6">
        <f>0.163489411/2+0.06765138752/3</f>
        <v>0.104295168</v>
      </c>
      <c r="S2" s="6">
        <f>0.1299219878/2</f>
        <v>0.0649609939</v>
      </c>
      <c r="T2" s="6">
        <f>0.04459222149/2+0.09852579563+0.05431291627</f>
        <v>0.1751348226</v>
      </c>
      <c r="U2" s="6">
        <f>0.03662657294+0.113045291</f>
        <v>0.1496718639</v>
      </c>
      <c r="V2" s="6">
        <f>0.1027709468</f>
        <v>0.1027709468</v>
      </c>
      <c r="W2" s="6">
        <f>0.09079368254</f>
        <v>0.09079368254</v>
      </c>
      <c r="X2" s="6"/>
      <c r="Y2" s="6"/>
      <c r="Z2" s="19"/>
      <c r="AA2" s="19"/>
      <c r="AB2" s="19"/>
    </row>
    <row r="3" ht="15.75" customHeight="1">
      <c r="A3" s="2">
        <v>2.0</v>
      </c>
      <c r="B3" s="3" t="s">
        <v>58</v>
      </c>
      <c r="C3" s="4"/>
      <c r="D3" s="4"/>
      <c r="E3" s="4"/>
      <c r="F3" s="4"/>
      <c r="G3" s="4"/>
      <c r="H3" s="4"/>
      <c r="I3" s="5"/>
      <c r="J3" s="5">
        <f>0.07510652285</f>
        <v>0.07510652285</v>
      </c>
      <c r="K3" s="5">
        <f>0.09034318529/2</f>
        <v>0.04517159265</v>
      </c>
      <c r="L3" s="5">
        <f>0.06301907488/2+0.1003845409/2</f>
        <v>0.08170180789</v>
      </c>
      <c r="M3" s="5">
        <f>0.0716501177</f>
        <v>0.0716501177</v>
      </c>
      <c r="N3" s="5">
        <f>0.06391922658</f>
        <v>0.06391922658</v>
      </c>
      <c r="O3" s="4">
        <f>0.06713334972</f>
        <v>0.06713334972</v>
      </c>
      <c r="P3" s="6">
        <f>0.1185005809</f>
        <v>0.1185005809</v>
      </c>
      <c r="Q3" s="6">
        <f>0.08655332526/2</f>
        <v>0.04327666263</v>
      </c>
      <c r="R3" s="6">
        <f>0.06447112882</f>
        <v>0.06447112882</v>
      </c>
      <c r="S3" s="6">
        <f>0.06704469247</f>
        <v>0.06704469247</v>
      </c>
      <c r="T3" s="6">
        <f>0.04459222149/2+0.07783490167</f>
        <v>0.1001310124</v>
      </c>
      <c r="U3" s="6">
        <f>0.09287653745</f>
        <v>0.09287653745</v>
      </c>
      <c r="V3" s="6">
        <f>0.08075117179</f>
        <v>0.08075117179</v>
      </c>
      <c r="W3" s="6"/>
      <c r="X3" s="6"/>
      <c r="Y3" s="6"/>
      <c r="Z3" s="19"/>
      <c r="AA3" s="19"/>
      <c r="AB3" s="19"/>
    </row>
    <row r="4" ht="15.75" customHeight="1">
      <c r="A4" s="2">
        <v>3.0</v>
      </c>
      <c r="B4" s="3" t="s">
        <v>60</v>
      </c>
      <c r="C4" s="4">
        <f>0.05779437707/2</f>
        <v>0.02889718854</v>
      </c>
      <c r="D4" s="4">
        <f>0.07517704556+0.07652610297</f>
        <v>0.1517031485</v>
      </c>
      <c r="E4" s="4"/>
      <c r="F4" s="4"/>
      <c r="G4" s="4"/>
      <c r="H4" s="4"/>
      <c r="I4" s="4">
        <f>0.07035983658</f>
        <v>0.07035983658</v>
      </c>
      <c r="J4" s="4"/>
      <c r="K4" s="4"/>
      <c r="L4" s="4"/>
      <c r="M4" s="4"/>
      <c r="N4" s="4">
        <f>0.04299192391</f>
        <v>0.04299192391</v>
      </c>
      <c r="O4" s="4"/>
      <c r="P4" s="6"/>
      <c r="Q4" s="6">
        <f>0.05384886922/2</f>
        <v>0.02692443461</v>
      </c>
      <c r="R4" s="6"/>
      <c r="S4" s="6"/>
      <c r="T4" s="6"/>
      <c r="U4" s="6"/>
      <c r="V4" s="6"/>
      <c r="W4" s="6"/>
      <c r="X4" s="6"/>
      <c r="Y4" s="6"/>
      <c r="Z4" s="19"/>
      <c r="AA4" s="19"/>
      <c r="AB4" s="19"/>
    </row>
    <row r="5" ht="15.75" customHeight="1">
      <c r="A5" s="2">
        <v>4.0</v>
      </c>
      <c r="B5" s="3" t="s">
        <v>62</v>
      </c>
      <c r="C5" s="4">
        <f>0.09202127308+0.0962333669/2+0.2197936753</f>
        <v>0.3599316318</v>
      </c>
      <c r="D5" s="5">
        <f>0.1761642438+0.03287559211</f>
        <v>0.2090398359</v>
      </c>
      <c r="E5" s="5">
        <f>0.1173882262+0.1180674129</f>
        <v>0.2354556391</v>
      </c>
      <c r="F5" s="5">
        <f>0.108776484/2+0.1521645877/2+0.04964242597/2</f>
        <v>0.1552917488</v>
      </c>
      <c r="G5" s="4">
        <f>0.1325536734/3+0.06304079867/3+0.1788857985/2</f>
        <v>0.1546410566</v>
      </c>
      <c r="H5" s="5">
        <f>0.08492812263</f>
        <v>0.08492812263</v>
      </c>
      <c r="I5" s="5">
        <f>0.08630249757+0.1068539657+0.06226687649</f>
        <v>0.2554233398</v>
      </c>
      <c r="J5" s="5">
        <f>0.2483607834/2+0.103841984/3+0.08753167269+0.06327743079/2+0.06445665877</f>
        <v>0.3424214332</v>
      </c>
      <c r="K5" s="5">
        <f>0.05383406663/2+0.08875997534/2+0.1077072124/2+0.0573028837+0.1235308722/3+0.0939964371/3+0.142981157+0.0687053078/3</f>
        <v>0.4208455403</v>
      </c>
      <c r="L5" s="5">
        <f>0.1742492174/3+0.06301907488/2+0.1012296961+0.07337870186/2+0.1407910286/2+0.06966207221+0.144564039+0.06855372631/2</f>
        <v>0.5464101456</v>
      </c>
      <c r="M5" s="5">
        <f>0.06660668706+0.1169088213/2+0.1620606599+0.1140381352/2</f>
        <v>0.3441408252</v>
      </c>
      <c r="N5" s="5">
        <f>0.07553678636/2+0.06905633495+0.1200047376/2+0.1212946531/2+0.1778119012/2+0.07088212612</f>
        <v>0.3872625002</v>
      </c>
      <c r="O5" s="5">
        <f>0.08198075987/2+0.1191049272/2+0.1517725268+0.1254514549/2</f>
        <v>0.3150410978</v>
      </c>
      <c r="P5" s="6">
        <f>0.1320553683+0.05364649307/2+0.05781724557/2+0.1120504927+0.08456068481/2+0.1601634925</f>
        <v>0.5022815652</v>
      </c>
      <c r="Q5" s="6">
        <f>0.0660485815+0.03810635879/2+0.1671526709+0.1160454188/3</f>
        <v>0.2909362381</v>
      </c>
      <c r="R5" s="6">
        <f>0.1012488343+0.06765138752/3+0.1368686731+0.07637569394</f>
        <v>0.3370436638</v>
      </c>
      <c r="S5" s="6">
        <f>0.0677956902/2+0.08536025556/2+0.09514871277+0.0607506912+0.1659730557+0.09729532022</f>
        <v>0.4957457528</v>
      </c>
      <c r="T5" s="6">
        <f>0.07912823986+0.1428092431+0.108838632/2</f>
        <v>0.276356799</v>
      </c>
      <c r="U5" s="6">
        <f>0.1134118765/2+0.0638447871+0.06963665789/2+0.1676146755+0.1142732883/2</f>
        <v>0.3801203739</v>
      </c>
      <c r="V5" s="6">
        <f>0.1592762623+0.1256795097/2+0.09890682914</f>
        <v>0.3210228463</v>
      </c>
      <c r="W5" s="6">
        <f>0.08386822951/2+0.1248594145+0.05173058649/2+0.09703549275</f>
        <v>0.2896943153</v>
      </c>
      <c r="X5" s="6"/>
      <c r="Y5" s="6"/>
      <c r="Z5" s="19"/>
      <c r="AA5" s="19"/>
      <c r="AB5" s="19"/>
    </row>
    <row r="6" ht="15.75" customHeight="1">
      <c r="A6" s="2">
        <v>5.0</v>
      </c>
      <c r="B6" s="3" t="s">
        <v>64</v>
      </c>
      <c r="C6" s="4"/>
      <c r="D6" s="4"/>
      <c r="E6" s="4"/>
      <c r="F6" s="4"/>
      <c r="G6" s="4"/>
      <c r="H6" s="4"/>
      <c r="I6" s="5"/>
      <c r="J6" s="5"/>
      <c r="K6" s="5"/>
      <c r="L6" s="5"/>
      <c r="M6" s="5"/>
      <c r="N6" s="4"/>
      <c r="O6" s="5"/>
      <c r="P6" s="6"/>
      <c r="Q6" s="6"/>
      <c r="R6" s="6"/>
      <c r="S6" s="6"/>
      <c r="T6" s="6"/>
      <c r="U6" s="6"/>
      <c r="V6" s="6"/>
      <c r="W6" s="6"/>
      <c r="X6" s="6"/>
      <c r="Y6" s="6"/>
      <c r="Z6" s="19"/>
      <c r="AA6" s="19"/>
      <c r="AB6" s="19"/>
    </row>
    <row r="7" ht="15.75" customHeight="1">
      <c r="A7" s="2">
        <v>6.0</v>
      </c>
      <c r="B7" s="3" t="s">
        <v>66</v>
      </c>
      <c r="C7" s="4">
        <f>0.09395945153</f>
        <v>0.09395945153</v>
      </c>
      <c r="D7" s="4">
        <f>0.07682754592+0.06812883703</f>
        <v>0.144956383</v>
      </c>
      <c r="E7" s="4">
        <f>0.05883733235+0.05920500281/2</f>
        <v>0.08843983376</v>
      </c>
      <c r="F7" s="4"/>
      <c r="G7" s="4"/>
      <c r="H7" s="4"/>
      <c r="I7" s="5">
        <f>0.0975299539</f>
        <v>0.0975299539</v>
      </c>
      <c r="J7" s="5">
        <f>0.04075334081</f>
        <v>0.04075334081</v>
      </c>
      <c r="K7" s="5">
        <f>0.08875997534/2</f>
        <v>0.04437998767</v>
      </c>
      <c r="L7" s="5">
        <f>0.06855372631/2</f>
        <v>0.03427686316</v>
      </c>
      <c r="M7" s="5">
        <f>0.06401789984/2+0.06444337474</f>
        <v>0.09645232466</v>
      </c>
      <c r="N7" s="5">
        <f>0.07553678636/2</f>
        <v>0.03776839318</v>
      </c>
      <c r="O7" s="5">
        <f>0.1088585141+0.07666751512</f>
        <v>0.1855260292</v>
      </c>
      <c r="P7" s="6">
        <f>0.08556432691+0.06752353962</f>
        <v>0.1530878665</v>
      </c>
      <c r="Q7" s="6">
        <f>0.08812602298+0.1552641532/3</f>
        <v>0.1398807407</v>
      </c>
      <c r="R7" s="6">
        <f>0.1474016001/2</f>
        <v>0.07370080005</v>
      </c>
      <c r="S7" s="6">
        <f>0.06927019871/2</f>
        <v>0.03463509936</v>
      </c>
      <c r="T7" s="6"/>
      <c r="U7" s="6">
        <f>0.06963665789/2</f>
        <v>0.03481832895</v>
      </c>
      <c r="V7" s="6">
        <f>0.1223121044</f>
        <v>0.1223121044</v>
      </c>
      <c r="W7" s="6">
        <f>0.08386822951/2</f>
        <v>0.04193411476</v>
      </c>
      <c r="X7" s="6"/>
      <c r="Y7" s="6"/>
      <c r="Z7" s="19"/>
      <c r="AA7" s="19"/>
      <c r="AB7" s="19"/>
    </row>
    <row r="8" ht="15.75" customHeight="1">
      <c r="A8" s="2">
        <v>7.0</v>
      </c>
      <c r="B8" s="3" t="s">
        <v>68</v>
      </c>
      <c r="C8" s="4">
        <f>0.05779437707/2</f>
        <v>0.02889718854</v>
      </c>
      <c r="D8" s="4">
        <f>0.0192312195</f>
        <v>0.0192312195</v>
      </c>
      <c r="E8" s="4">
        <f>0.05879411952</f>
        <v>0.05879411952</v>
      </c>
      <c r="F8" s="4">
        <f>0.0582286558/2</f>
        <v>0.0291143279</v>
      </c>
      <c r="G8" s="5"/>
      <c r="H8" s="5">
        <f>0.1325064971</f>
        <v>0.1325064971</v>
      </c>
      <c r="I8" s="4">
        <f>0.1924973571</f>
        <v>0.1924973571</v>
      </c>
      <c r="J8" s="4"/>
      <c r="K8" s="4">
        <f>0.0939964371/3</f>
        <v>0.0313321457</v>
      </c>
      <c r="L8" s="4">
        <f>0.06416790288/2</f>
        <v>0.03208395144</v>
      </c>
      <c r="M8" s="4"/>
      <c r="N8" s="4"/>
      <c r="O8" s="5">
        <f>0.1254514549/2</f>
        <v>0.06272572745</v>
      </c>
      <c r="P8" s="6"/>
      <c r="Q8" s="6">
        <f>0.08243624244</f>
        <v>0.08243624244</v>
      </c>
      <c r="R8" s="6">
        <f>0.07077680779</f>
        <v>0.07077680779</v>
      </c>
      <c r="S8" s="6">
        <f>0.0677956902/2</f>
        <v>0.0338978451</v>
      </c>
      <c r="T8" s="6">
        <f>0.06614349676</f>
        <v>0.06614349676</v>
      </c>
      <c r="U8" s="6">
        <f>0.1166232281</f>
        <v>0.1166232281</v>
      </c>
      <c r="V8" s="6">
        <f>0.08663245805</f>
        <v>0.08663245805</v>
      </c>
      <c r="W8" s="6">
        <f>0.06583887017</f>
        <v>0.06583887017</v>
      </c>
      <c r="X8" s="6"/>
      <c r="Y8" s="6"/>
      <c r="Z8" s="19"/>
      <c r="AA8" s="19"/>
      <c r="AB8" s="19"/>
    </row>
    <row r="9" ht="15.75" customHeight="1">
      <c r="A9" s="2">
        <v>8.0</v>
      </c>
      <c r="B9" s="3" t="s">
        <v>70</v>
      </c>
      <c r="C9" s="4"/>
      <c r="D9" s="4"/>
      <c r="E9" s="4"/>
      <c r="F9" s="4"/>
      <c r="G9" s="4"/>
      <c r="H9" s="4"/>
      <c r="I9" s="4"/>
      <c r="J9" s="4"/>
      <c r="K9" s="5">
        <f>0.05383406663/2</f>
        <v>0.02691703332</v>
      </c>
      <c r="L9" s="4">
        <f>0.07337870186/2</f>
        <v>0.03668935093</v>
      </c>
      <c r="M9" s="4">
        <f>0.1140381352/2</f>
        <v>0.0570190676</v>
      </c>
      <c r="N9" s="4">
        <f>0.1212946531/2</f>
        <v>0.06064732655</v>
      </c>
      <c r="O9" s="4">
        <f>0.1191049272/2</f>
        <v>0.0595524636</v>
      </c>
      <c r="P9" s="6">
        <f>0.08456068481/2</f>
        <v>0.04228034241</v>
      </c>
      <c r="Q9" s="6">
        <f>0.1160454188/3</f>
        <v>0.03868180627</v>
      </c>
      <c r="R9" s="6">
        <f t="shared" ref="R9:R10" si="1">0.1086898548/2</f>
        <v>0.0543449274</v>
      </c>
      <c r="S9" s="6"/>
      <c r="T9" s="6"/>
      <c r="U9" s="6"/>
      <c r="V9" s="6"/>
      <c r="W9" s="6"/>
      <c r="X9" s="6"/>
      <c r="Y9" s="6"/>
      <c r="Z9" s="19"/>
      <c r="AA9" s="19"/>
      <c r="AB9" s="19"/>
    </row>
    <row r="10" ht="15.75" customHeight="1">
      <c r="A10" s="2">
        <v>9.0</v>
      </c>
      <c r="B10" s="3" t="s">
        <v>72</v>
      </c>
      <c r="C10" s="4">
        <f>0.03646644612</f>
        <v>0.03646644612</v>
      </c>
      <c r="D10" s="4"/>
      <c r="E10" s="4"/>
      <c r="F10" s="4">
        <f>0.04135366622+0.08120217544</f>
        <v>0.1225558417</v>
      </c>
      <c r="G10" s="4">
        <f>0.05661622301</f>
        <v>0.05661622301</v>
      </c>
      <c r="H10" s="4">
        <f>0.1204054449</f>
        <v>0.1204054449</v>
      </c>
      <c r="I10" s="4">
        <f>0.0641387711</f>
        <v>0.0641387711</v>
      </c>
      <c r="J10" s="4"/>
      <c r="K10" s="4"/>
      <c r="L10" s="4">
        <f>0.06416790288/2</f>
        <v>0.03208395144</v>
      </c>
      <c r="M10" s="4"/>
      <c r="N10" s="4"/>
      <c r="O10" s="4"/>
      <c r="P10" s="6"/>
      <c r="Q10" s="6"/>
      <c r="R10" s="6">
        <f t="shared" si="1"/>
        <v>0.0543449274</v>
      </c>
      <c r="S10" s="6"/>
      <c r="T10" s="6"/>
      <c r="U10" s="6"/>
      <c r="V10" s="6">
        <f>0.09764882961</f>
        <v>0.09764882961</v>
      </c>
      <c r="W10" s="6">
        <f>0.1207583004</f>
        <v>0.1207583004</v>
      </c>
      <c r="X10" s="6"/>
      <c r="Y10" s="6"/>
      <c r="Z10" s="19"/>
      <c r="AA10" s="19"/>
      <c r="AB10" s="19"/>
    </row>
    <row r="11" ht="15.75" customHeight="1">
      <c r="A11" s="2">
        <v>10.0</v>
      </c>
      <c r="B11" s="3" t="s">
        <v>74</v>
      </c>
      <c r="C11" s="5"/>
      <c r="D11" s="5"/>
      <c r="E11" s="5"/>
      <c r="F11" s="5"/>
      <c r="G11" s="5">
        <f>0.1325536734/3+0.06304079867/3</f>
        <v>0.06519815736</v>
      </c>
      <c r="H11" s="5">
        <f>0.07017108749/2</f>
        <v>0.03508554375</v>
      </c>
      <c r="I11" s="5"/>
      <c r="J11" s="5"/>
      <c r="K11" s="4"/>
      <c r="L11" s="4"/>
      <c r="M11" s="4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19"/>
      <c r="AA11" s="19"/>
      <c r="AB11" s="19"/>
    </row>
    <row r="12" ht="15.75" customHeight="1">
      <c r="A12" s="2">
        <v>11.0</v>
      </c>
      <c r="B12" s="3" t="s">
        <v>76</v>
      </c>
      <c r="C12" s="5"/>
      <c r="D12" s="5"/>
      <c r="E12" s="5"/>
      <c r="F12" s="5"/>
      <c r="G12" s="5"/>
      <c r="H12" s="5">
        <f>0.05736537656/2</f>
        <v>0.02868268828</v>
      </c>
      <c r="I12" s="4"/>
      <c r="J12" s="5"/>
      <c r="K12" s="5"/>
      <c r="L12" s="4"/>
      <c r="M12" s="4"/>
      <c r="N12" s="4"/>
      <c r="O12" s="4"/>
      <c r="P12" s="6"/>
      <c r="Q12" s="6"/>
      <c r="R12" s="6"/>
      <c r="S12" s="6">
        <f>0.06927019871/2</f>
        <v>0.03463509936</v>
      </c>
      <c r="T12" s="6"/>
      <c r="U12" s="6">
        <f>0.1134118765/2</f>
        <v>0.05670593825</v>
      </c>
      <c r="V12" s="6">
        <f>0.04608226069+0.07993962743</f>
        <v>0.1260218881</v>
      </c>
      <c r="W12" s="6">
        <f>0.1251684741</f>
        <v>0.1251684741</v>
      </c>
      <c r="X12" s="6"/>
      <c r="Y12" s="6"/>
      <c r="Z12" s="19"/>
      <c r="AA12" s="19"/>
      <c r="AB12" s="19"/>
    </row>
    <row r="13" ht="15.75" customHeight="1">
      <c r="A13" s="2">
        <v>12.0</v>
      </c>
      <c r="B13" s="30" t="s">
        <v>78</v>
      </c>
      <c r="C13" s="4"/>
      <c r="D13" s="4"/>
      <c r="E13" s="4"/>
      <c r="F13" s="4">
        <f>0.1521645877/2+0.04964242597/2</f>
        <v>0.1009035068</v>
      </c>
      <c r="G13" s="4">
        <f>0.09481871466/3</f>
        <v>0.03160623822</v>
      </c>
      <c r="H13" s="4"/>
      <c r="I13" s="4"/>
      <c r="J13" s="4"/>
      <c r="K13" s="4"/>
      <c r="L13" s="4"/>
      <c r="M13" s="4"/>
      <c r="N13" s="4"/>
      <c r="O13" s="4"/>
      <c r="P13" s="6"/>
      <c r="Q13" s="6"/>
      <c r="R13" s="6"/>
      <c r="S13" s="6"/>
      <c r="T13" s="6"/>
      <c r="U13" s="6"/>
      <c r="V13" s="6"/>
      <c r="W13" s="6"/>
      <c r="X13" s="6"/>
      <c r="Y13" s="6"/>
      <c r="Z13" s="19"/>
      <c r="AA13" s="19"/>
      <c r="AB13" s="19"/>
    </row>
    <row r="14" ht="15.75" customHeight="1">
      <c r="A14" s="2">
        <v>13.0</v>
      </c>
      <c r="B14" s="3" t="s">
        <v>80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6"/>
      <c r="Q14" s="6"/>
      <c r="R14" s="6"/>
      <c r="S14" s="6"/>
      <c r="T14" s="6"/>
      <c r="U14" s="6"/>
      <c r="V14" s="6"/>
      <c r="W14" s="6"/>
      <c r="X14" s="6"/>
      <c r="Y14" s="6"/>
      <c r="Z14" s="19"/>
      <c r="AA14" s="19"/>
      <c r="AB14" s="19"/>
    </row>
    <row r="15" ht="15.75" customHeight="1">
      <c r="A15" s="2">
        <v>101.0</v>
      </c>
      <c r="B15" s="3" t="s">
        <v>81</v>
      </c>
      <c r="C15" s="4">
        <f>0.07137269852</f>
        <v>0.07137269852</v>
      </c>
      <c r="D15" s="4"/>
      <c r="E15" s="4">
        <f>0.1763210092/2+0.3521813968+0.0219606069/2+0.02373375854/2</f>
        <v>0.4631890841</v>
      </c>
      <c r="F15" s="4">
        <f>0.153158641+0.09181490304/2</f>
        <v>0.1990660925</v>
      </c>
      <c r="G15" s="4">
        <f>0.1694875958/2+0.1216624097+0.01578464418+0.09481871466/3+0.1788857985/2+0.05878003079</f>
        <v>0.40202002</v>
      </c>
      <c r="H15" s="4">
        <f>0.07017108749/2+0.07283125769+0.1548373514/2+0.1033871116+0.1415360873/2</f>
        <v>0.3594906324</v>
      </c>
      <c r="I15" s="4">
        <f>0.1142020486+0.1339937579</f>
        <v>0.2481958065</v>
      </c>
      <c r="J15" s="4">
        <f>0.103841984/3+0.08665606152</f>
        <v>0.1212700562</v>
      </c>
      <c r="K15" s="4">
        <f>0.1235308722/3+0.1728389026+0.0687053078/3</f>
        <v>0.2369176293</v>
      </c>
      <c r="L15" s="4">
        <f>0.1742492174/3</f>
        <v>0.05808307247</v>
      </c>
      <c r="M15" s="4">
        <f>0.1755388805+0.05247428089/2</f>
        <v>0.2017760209</v>
      </c>
      <c r="N15" s="4">
        <f>0.1313003643</f>
        <v>0.1313003643</v>
      </c>
      <c r="O15" s="4">
        <f>0.1415089681/2+0.09079683811</f>
        <v>0.1615513222</v>
      </c>
      <c r="P15" s="6">
        <f>0.1281177756/2</f>
        <v>0.0640588878</v>
      </c>
      <c r="Q15" s="6">
        <f>0.08655332526/2+0.146418357/2+0.03810635879/2</f>
        <v>0.1355390205</v>
      </c>
      <c r="R15" s="6">
        <f>0.163489411/2</f>
        <v>0.0817447055</v>
      </c>
      <c r="S15" s="6">
        <f>0.1299219878/2</f>
        <v>0.0649609939</v>
      </c>
      <c r="T15" s="6">
        <f t="shared" ref="T15:T16" si="2">0.2670117946/2</f>
        <v>0.1335058973</v>
      </c>
      <c r="U15" s="6"/>
      <c r="V15" s="6">
        <f>0.1256795097/2</f>
        <v>0.06283975485</v>
      </c>
      <c r="W15" s="6"/>
      <c r="X15" s="6"/>
      <c r="Y15" s="6"/>
      <c r="Z15" s="19"/>
      <c r="AA15" s="19"/>
      <c r="AB15" s="19"/>
    </row>
    <row r="16" ht="15.75" customHeight="1">
      <c r="A16" s="2">
        <v>102.0</v>
      </c>
      <c r="B16" s="3" t="s">
        <v>83</v>
      </c>
      <c r="C16" s="4"/>
      <c r="D16" s="4"/>
      <c r="E16" s="4">
        <f>0.0135111348+0.1763210092/2+0.0219606069/2+0.02373375854/2</f>
        <v>0.1245188221</v>
      </c>
      <c r="F16" s="4"/>
      <c r="G16" s="4">
        <f>0.1694875958/2</f>
        <v>0.0847437979</v>
      </c>
      <c r="H16" s="4">
        <f>0.1548373514/2</f>
        <v>0.0774186757</v>
      </c>
      <c r="I16" s="4"/>
      <c r="J16" s="4"/>
      <c r="K16" s="4"/>
      <c r="L16" s="4"/>
      <c r="M16" s="4"/>
      <c r="N16" s="4">
        <f>0.1272019459</f>
        <v>0.1272019459</v>
      </c>
      <c r="O16" s="4">
        <f>0.03672514605</f>
        <v>0.03672514605</v>
      </c>
      <c r="P16" s="6"/>
      <c r="Q16" s="6">
        <f>0.1552641532/3</f>
        <v>0.05175471773</v>
      </c>
      <c r="R16" s="6">
        <f>0.1474016001/2+0.06302660862</f>
        <v>0.1367274087</v>
      </c>
      <c r="S16" s="6">
        <f>0.1614393954</f>
        <v>0.1614393954</v>
      </c>
      <c r="T16" s="6">
        <f t="shared" si="2"/>
        <v>0.1335058973</v>
      </c>
      <c r="U16" s="6">
        <f>0.1120470851</f>
        <v>0.1120470851</v>
      </c>
      <c r="V16" s="6"/>
      <c r="W16" s="6">
        <f>0.1630929137</f>
        <v>0.1630929137</v>
      </c>
      <c r="X16" s="6"/>
      <c r="Y16" s="6"/>
      <c r="Z16" s="19"/>
      <c r="AA16" s="19"/>
      <c r="AB16" s="19"/>
    </row>
    <row r="17" ht="15.75" customHeight="1">
      <c r="A17" s="2">
        <v>103.0</v>
      </c>
      <c r="B17" s="3" t="s">
        <v>85</v>
      </c>
      <c r="C17" s="5"/>
      <c r="D17" s="5">
        <f>0.1135676655/2</f>
        <v>0.05678383275</v>
      </c>
      <c r="E17" s="5"/>
      <c r="F17" s="5"/>
      <c r="G17" s="5">
        <f>0.09481871466/3</f>
        <v>0.03160623822</v>
      </c>
      <c r="H17" s="5">
        <f>0.1415360873/2</f>
        <v>0.07076804365</v>
      </c>
      <c r="I17" s="5"/>
      <c r="J17" s="5"/>
      <c r="K17" s="5"/>
      <c r="L17" s="5"/>
      <c r="M17" s="4"/>
      <c r="N17" s="4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  <c r="Z17" s="19"/>
      <c r="AA17" s="19"/>
      <c r="AB17" s="19"/>
    </row>
    <row r="18" ht="15.75" customHeight="1">
      <c r="A18" s="2">
        <v>104.0</v>
      </c>
      <c r="B18" s="3" t="s">
        <v>87</v>
      </c>
      <c r="C18" s="5"/>
      <c r="D18" s="4"/>
      <c r="E18" s="4"/>
      <c r="F18" s="5"/>
      <c r="G18" s="5"/>
      <c r="H18" s="4"/>
      <c r="I18" s="5"/>
      <c r="J18" s="4">
        <f>0.0847069601/2</f>
        <v>0.04235348005</v>
      </c>
      <c r="K18" s="4"/>
      <c r="L18" s="4"/>
      <c r="M18" s="4"/>
      <c r="N18" s="4"/>
      <c r="O18" s="4"/>
      <c r="P18" s="6"/>
      <c r="Q18" s="6">
        <f>0.1552641532/3</f>
        <v>0.05175471773</v>
      </c>
      <c r="R18" s="6"/>
      <c r="S18" s="6"/>
      <c r="T18" s="6"/>
      <c r="U18" s="6"/>
      <c r="V18" s="6"/>
      <c r="W18" s="6"/>
      <c r="X18" s="6"/>
      <c r="Y18" s="6"/>
      <c r="Z18" s="19"/>
      <c r="AA18" s="19"/>
      <c r="AB18" s="19"/>
    </row>
    <row r="19" ht="15.75" customHeight="1">
      <c r="A19" s="2">
        <v>105.0</v>
      </c>
      <c r="B19" s="3" t="s">
        <v>89</v>
      </c>
      <c r="C19" s="5">
        <f>0.0962333669/2+0.1963070772</f>
        <v>0.2444237607</v>
      </c>
      <c r="D19" s="5"/>
      <c r="E19" s="5"/>
      <c r="F19" s="4">
        <f>0.09181490304/2+0.0582286558/2</f>
        <v>0.07502177942</v>
      </c>
      <c r="G19" s="4"/>
      <c r="H19" s="4"/>
      <c r="I19" s="4"/>
      <c r="J19" s="4"/>
      <c r="K19" s="4"/>
      <c r="L19" s="4"/>
      <c r="M19" s="5"/>
      <c r="N19" s="4"/>
      <c r="O19" s="4"/>
      <c r="P19" s="6"/>
      <c r="Q19" s="6"/>
      <c r="R19" s="6"/>
      <c r="S19" s="6"/>
      <c r="T19" s="6"/>
      <c r="U19" s="6"/>
      <c r="V19" s="6"/>
      <c r="W19" s="6"/>
      <c r="X19" s="6"/>
      <c r="Y19" s="6"/>
      <c r="Z19" s="19"/>
      <c r="AA19" s="19"/>
      <c r="AB19" s="19"/>
    </row>
    <row r="20" ht="15.75" customHeight="1">
      <c r="A20" s="2">
        <v>106.0</v>
      </c>
      <c r="B20" s="3" t="s">
        <v>91</v>
      </c>
      <c r="C20" s="5"/>
      <c r="D20" s="5">
        <f>0.3230889527</f>
        <v>0.3230889527</v>
      </c>
      <c r="E20" s="5"/>
      <c r="F20" s="5">
        <f>0.2018797244</f>
        <v>0.2018797244</v>
      </c>
      <c r="G20" s="5">
        <f>0.1083701113</f>
        <v>0.1083701113</v>
      </c>
      <c r="H20" s="5">
        <f>0.06203166338</f>
        <v>0.06203166338</v>
      </c>
      <c r="I20" s="5"/>
      <c r="J20" s="5"/>
      <c r="K20" s="5"/>
      <c r="L20" s="5"/>
      <c r="M20" s="5"/>
      <c r="N20" s="5"/>
      <c r="O20" s="5"/>
      <c r="P20" s="6"/>
      <c r="Q20" s="6"/>
      <c r="R20" s="6"/>
      <c r="S20" s="6"/>
      <c r="T20" s="6"/>
      <c r="U20" s="6"/>
      <c r="V20" s="6"/>
      <c r="W20" s="6">
        <f>0.07685403585</f>
        <v>0.07685403585</v>
      </c>
      <c r="X20" s="6"/>
      <c r="Y20" s="6"/>
      <c r="Z20" s="19"/>
      <c r="AA20" s="19"/>
      <c r="AB20" s="19"/>
    </row>
    <row r="21" ht="15.75" customHeight="1">
      <c r="A21" s="2">
        <v>107.0</v>
      </c>
      <c r="B21" s="3" t="s">
        <v>93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  <c r="Z21" s="19"/>
      <c r="AA21" s="19"/>
      <c r="AB21" s="19"/>
    </row>
    <row r="22" ht="15.75" customHeight="1">
      <c r="A22" s="2">
        <v>108.0</v>
      </c>
      <c r="B22" s="3" t="s">
        <v>95</v>
      </c>
      <c r="C22" s="5"/>
      <c r="D22" s="5"/>
      <c r="E22" s="5"/>
      <c r="F22" s="5"/>
      <c r="G22" s="5"/>
      <c r="H22" s="5"/>
      <c r="I22" s="5"/>
      <c r="J22" s="5">
        <f>0.0847069601/2</f>
        <v>0.04235348005</v>
      </c>
      <c r="K22" s="5"/>
      <c r="L22" s="5"/>
      <c r="M22" s="5"/>
      <c r="N22" s="5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  <c r="Z22" s="19"/>
      <c r="AA22" s="19"/>
      <c r="AB22" s="19"/>
    </row>
    <row r="23" ht="15.75" customHeight="1">
      <c r="A23" s="2">
        <v>99.0</v>
      </c>
      <c r="B23" s="3" t="s">
        <v>97</v>
      </c>
      <c r="C23" s="5">
        <f>0.0839011307</f>
        <v>0.0839011307</v>
      </c>
      <c r="D23" s="5">
        <f>0.03841279489</f>
        <v>0.03841279489</v>
      </c>
      <c r="E23" s="5">
        <f>0.05920500281/2</f>
        <v>0.02960250141</v>
      </c>
      <c r="F23" s="5">
        <f>0.06177873679+0.108776484/2</f>
        <v>0.1161669788</v>
      </c>
      <c r="G23" s="5">
        <f>0.06304079867/3</f>
        <v>0.02101359956</v>
      </c>
      <c r="H23" s="5">
        <f>0.05736537656/2</f>
        <v>0.02868268828</v>
      </c>
      <c r="I23" s="5">
        <f>0.07185493501</f>
        <v>0.07185493501</v>
      </c>
      <c r="J23" s="5">
        <f>0.06327743079/2</f>
        <v>0.0316387154</v>
      </c>
      <c r="K23" s="5">
        <f>0.1077072124/2</f>
        <v>0.0538536062</v>
      </c>
      <c r="L23" s="5">
        <f>0.1407910286/2</f>
        <v>0.0703955143</v>
      </c>
      <c r="M23" s="5">
        <f>0.1169088213/2</f>
        <v>0.05845441065</v>
      </c>
      <c r="N23" s="5">
        <f>0.1200047376/2</f>
        <v>0.0600023688</v>
      </c>
      <c r="O23" s="5">
        <f>0.08198075987/2</f>
        <v>0.04099037994</v>
      </c>
      <c r="P23" s="6">
        <f>0.05364649307/2+0.05781724557/2</f>
        <v>0.05573186932</v>
      </c>
      <c r="Q23" s="6">
        <f>0.1160454188/3</f>
        <v>0.03868180627</v>
      </c>
      <c r="R23" s="6">
        <f>0.06765138752/3</f>
        <v>0.02255046251</v>
      </c>
      <c r="S23" s="6">
        <f>0.08536025556/2</f>
        <v>0.04268012778</v>
      </c>
      <c r="T23" s="6">
        <f>0.06080275864+0.108838632/2</f>
        <v>0.1152220746</v>
      </c>
      <c r="U23" s="6">
        <f>0.1142732883/2</f>
        <v>0.05713664415</v>
      </c>
      <c r="V23" s="6"/>
      <c r="W23" s="6">
        <f>0.05173058649/2</f>
        <v>0.02586529325</v>
      </c>
      <c r="X23" s="6"/>
      <c r="Y23" s="6"/>
      <c r="Z23" s="19"/>
      <c r="AA23" s="19"/>
      <c r="AB23" s="19"/>
    </row>
    <row r="24" ht="15.75" customHeight="1">
      <c r="A24" s="15" t="s">
        <v>99</v>
      </c>
      <c r="B24" s="16"/>
      <c r="C24" s="18">
        <f t="shared" ref="C24:Y24" si="3">SUM(C2:C23)</f>
        <v>1</v>
      </c>
      <c r="D24" s="18">
        <f t="shared" si="3"/>
        <v>1</v>
      </c>
      <c r="E24" s="18">
        <f t="shared" si="3"/>
        <v>1</v>
      </c>
      <c r="F24" s="18">
        <f t="shared" si="3"/>
        <v>1</v>
      </c>
      <c r="G24" s="18">
        <f t="shared" si="3"/>
        <v>1</v>
      </c>
      <c r="H24" s="18">
        <f t="shared" si="3"/>
        <v>1</v>
      </c>
      <c r="I24" s="18">
        <f t="shared" si="3"/>
        <v>1</v>
      </c>
      <c r="J24" s="18">
        <f t="shared" si="3"/>
        <v>0.9999999999</v>
      </c>
      <c r="K24" s="18">
        <f t="shared" si="3"/>
        <v>1</v>
      </c>
      <c r="L24" s="18">
        <f t="shared" si="3"/>
        <v>1</v>
      </c>
      <c r="M24" s="18">
        <f t="shared" si="3"/>
        <v>1</v>
      </c>
      <c r="N24" s="18">
        <f t="shared" si="3"/>
        <v>1</v>
      </c>
      <c r="O24" s="18">
        <f t="shared" si="3"/>
        <v>1</v>
      </c>
      <c r="P24" s="18">
        <f t="shared" si="3"/>
        <v>1</v>
      </c>
      <c r="Q24" s="18">
        <f t="shared" si="3"/>
        <v>1</v>
      </c>
      <c r="R24" s="18">
        <f t="shared" si="3"/>
        <v>1</v>
      </c>
      <c r="S24" s="18">
        <f t="shared" si="3"/>
        <v>1</v>
      </c>
      <c r="T24" s="18">
        <f t="shared" si="3"/>
        <v>1</v>
      </c>
      <c r="U24" s="18">
        <f t="shared" si="3"/>
        <v>0.9999999999</v>
      </c>
      <c r="V24" s="18">
        <f t="shared" si="3"/>
        <v>0.9999999999</v>
      </c>
      <c r="W24" s="18">
        <f t="shared" si="3"/>
        <v>1</v>
      </c>
      <c r="X24" s="18">
        <f t="shared" si="3"/>
        <v>0</v>
      </c>
      <c r="Y24" s="18">
        <f t="shared" si="3"/>
        <v>0</v>
      </c>
      <c r="Z24" s="19"/>
      <c r="AA24" s="19"/>
      <c r="AB24" s="19"/>
    </row>
    <row r="25" ht="15.75" customHeight="1">
      <c r="A25" s="19"/>
      <c r="B25" s="1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ht="15.75" customHeight="1">
      <c r="A26" s="19"/>
      <c r="B26" s="1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ht="15.75" customHeight="1">
      <c r="A27" s="19"/>
      <c r="B27" s="1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ht="15.75" customHeight="1">
      <c r="A28" s="19"/>
      <c r="B28" s="1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ht="15.75" customHeight="1">
      <c r="A29" s="19"/>
      <c r="B29" s="1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ht="15.75" customHeight="1">
      <c r="A30" s="19"/>
      <c r="B30" s="1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ht="15.75" customHeight="1">
      <c r="A31" s="19"/>
      <c r="B31" s="1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ht="15.75" customHeight="1">
      <c r="A32" s="19"/>
      <c r="B32" s="1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ht="15.75" customHeight="1">
      <c r="A33" s="19"/>
      <c r="B33" s="1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ht="15.75" customHeight="1">
      <c r="A34" s="19"/>
      <c r="B34" s="1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ht="15.75" customHeight="1">
      <c r="A35" s="19"/>
      <c r="B35" s="17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ht="15.75" customHeight="1">
      <c r="A36" s="19"/>
      <c r="B36" s="1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ht="15.75" customHeight="1">
      <c r="A37" s="19"/>
      <c r="B37" s="17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ht="15.75" customHeight="1">
      <c r="A38" s="19"/>
      <c r="B38" s="1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ht="15.75" customHeight="1">
      <c r="A39" s="19"/>
      <c r="B39" s="17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ht="15.75" customHeight="1">
      <c r="A40" s="19"/>
      <c r="B40" s="17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ht="15.75" customHeight="1">
      <c r="A41" s="19"/>
      <c r="B41" s="17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ht="15.75" customHeight="1">
      <c r="A42" s="19"/>
      <c r="B42" s="17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ht="15.75" customHeight="1">
      <c r="A43" s="19"/>
      <c r="B43" s="17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ht="15.75" customHeight="1">
      <c r="A44" s="19"/>
      <c r="B44" s="17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ht="15.75" customHeight="1">
      <c r="A45" s="19"/>
      <c r="B45" s="17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ht="15.75" customHeight="1">
      <c r="A46" s="19"/>
      <c r="B46" s="17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ht="15.75" customHeight="1">
      <c r="A47" s="19"/>
      <c r="B47" s="17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ht="15.75" customHeight="1">
      <c r="A48" s="19"/>
      <c r="B48" s="17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ht="15.75" customHeight="1">
      <c r="A49" s="19"/>
      <c r="B49" s="17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ht="15.75" customHeight="1">
      <c r="A50" s="19"/>
      <c r="B50" s="17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ht="15.75" customHeight="1">
      <c r="A51" s="19"/>
      <c r="B51" s="17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ht="15.75" customHeight="1">
      <c r="A52" s="19"/>
      <c r="B52" s="17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ht="15.75" customHeight="1">
      <c r="A53" s="19"/>
      <c r="B53" s="17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ht="15.75" customHeight="1">
      <c r="A54" s="19"/>
      <c r="B54" s="17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ht="15.75" customHeight="1">
      <c r="A55" s="19"/>
      <c r="B55" s="17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ht="15.75" customHeight="1">
      <c r="A56" s="19"/>
      <c r="B56" s="17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ht="15.75" customHeight="1">
      <c r="A57" s="19"/>
      <c r="B57" s="17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ht="15.75" customHeight="1">
      <c r="A58" s="19"/>
      <c r="B58" s="17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ht="15.75" customHeight="1">
      <c r="A59" s="19"/>
      <c r="B59" s="17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ht="15.75" customHeight="1">
      <c r="A60" s="19"/>
      <c r="B60" s="17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ht="15.75" customHeight="1">
      <c r="A61" s="19"/>
      <c r="B61" s="17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ht="15.75" customHeight="1">
      <c r="A62" s="19"/>
      <c r="B62" s="17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ht="15.75" customHeight="1">
      <c r="A63" s="19"/>
      <c r="B63" s="17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ht="15.75" customHeight="1">
      <c r="A64" s="19"/>
      <c r="B64" s="17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ht="15.75" customHeight="1">
      <c r="A65" s="19"/>
      <c r="B65" s="17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ht="15.75" customHeight="1">
      <c r="A66" s="19"/>
      <c r="B66" s="17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ht="15.75" customHeight="1">
      <c r="A67" s="19"/>
      <c r="B67" s="17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ht="15.75" customHeight="1">
      <c r="A68" s="19"/>
      <c r="B68" s="17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ht="15.75" customHeight="1">
      <c r="A69" s="19"/>
      <c r="B69" s="17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ht="15.75" customHeight="1">
      <c r="A70" s="19"/>
      <c r="B70" s="17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ht="15.75" customHeight="1">
      <c r="A71" s="19"/>
      <c r="B71" s="17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ht="15.75" customHeight="1">
      <c r="A72" s="19"/>
      <c r="B72" s="17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ht="15.75" customHeight="1">
      <c r="A73" s="19"/>
      <c r="B73" s="17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ht="15.75" customHeight="1">
      <c r="A74" s="19"/>
      <c r="B74" s="17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ht="15.75" customHeight="1">
      <c r="A75" s="19"/>
      <c r="B75" s="17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ht="15.75" customHeight="1">
      <c r="A76" s="19"/>
      <c r="B76" s="17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ht="15.75" customHeight="1">
      <c r="A77" s="19"/>
      <c r="B77" s="17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ht="15.75" customHeight="1">
      <c r="A78" s="19"/>
      <c r="B78" s="17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ht="15.75" customHeight="1">
      <c r="A79" s="19"/>
      <c r="B79" s="17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ht="15.75" customHeight="1">
      <c r="A80" s="19"/>
      <c r="B80" s="17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ht="15.75" customHeight="1">
      <c r="A81" s="19"/>
      <c r="B81" s="17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ht="15.75" customHeight="1">
      <c r="A82" s="19"/>
      <c r="B82" s="17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ht="15.75" customHeight="1">
      <c r="A83" s="19"/>
      <c r="B83" s="17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ht="15.75" customHeight="1">
      <c r="A84" s="19"/>
      <c r="B84" s="17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ht="15.75" customHeight="1">
      <c r="A85" s="19"/>
      <c r="B85" s="17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ht="15.75" customHeight="1">
      <c r="A86" s="19"/>
      <c r="B86" s="17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ht="15.75" customHeight="1">
      <c r="A87" s="19"/>
      <c r="B87" s="17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ht="15.75" customHeight="1">
      <c r="A88" s="19"/>
      <c r="B88" s="17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ht="15.75" customHeight="1">
      <c r="A89" s="19"/>
      <c r="B89" s="17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ht="15.75" customHeight="1">
      <c r="A90" s="19"/>
      <c r="B90" s="17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ht="15.75" customHeight="1">
      <c r="A91" s="19"/>
      <c r="B91" s="17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ht="15.75" customHeight="1">
      <c r="A92" s="19"/>
      <c r="B92" s="17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ht="15.75" customHeight="1">
      <c r="A93" s="19"/>
      <c r="B93" s="17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ht="15.75" customHeight="1">
      <c r="A94" s="19"/>
      <c r="B94" s="17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ht="15.75" customHeight="1">
      <c r="A95" s="19"/>
      <c r="B95" s="17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 ht="15.75" customHeight="1">
      <c r="A96" s="19"/>
      <c r="B96" s="17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ht="15.75" customHeight="1">
      <c r="A97" s="19"/>
      <c r="B97" s="17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ht="15.75" customHeight="1">
      <c r="A98" s="19"/>
      <c r="B98" s="17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 ht="15.75" customHeight="1">
      <c r="A99" s="19"/>
      <c r="B99" s="17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 ht="15.75" customHeight="1">
      <c r="A100" s="19"/>
      <c r="B100" s="17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 ht="15.75" customHeight="1">
      <c r="A101" s="19"/>
      <c r="B101" s="17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 ht="15.75" customHeight="1">
      <c r="A102" s="19"/>
      <c r="B102" s="17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ht="15.75" customHeight="1">
      <c r="A103" s="19"/>
      <c r="B103" s="17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ht="15.75" customHeight="1">
      <c r="A104" s="19"/>
      <c r="B104" s="17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 ht="15.75" customHeight="1">
      <c r="A105" s="19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 ht="15.75" customHeight="1">
      <c r="A106" s="19"/>
      <c r="B106" s="17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 ht="15.75" customHeight="1">
      <c r="A107" s="19"/>
      <c r="B107" s="17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 ht="15.75" customHeight="1">
      <c r="A108" s="19"/>
      <c r="B108" s="17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 ht="15.75" customHeight="1">
      <c r="A109" s="19"/>
      <c r="B109" s="17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 ht="15.75" customHeight="1">
      <c r="A110" s="19"/>
      <c r="B110" s="17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ht="15.75" customHeight="1">
      <c r="A111" s="19"/>
      <c r="B111" s="17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 ht="15.75" customHeight="1">
      <c r="A112" s="19"/>
      <c r="B112" s="17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 ht="15.75" customHeight="1">
      <c r="A113" s="19"/>
      <c r="B113" s="17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 ht="15.75" customHeight="1">
      <c r="A114" s="19"/>
      <c r="B114" s="17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 ht="15.75" customHeight="1">
      <c r="A115" s="19"/>
      <c r="B115" s="17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ht="15.75" customHeight="1">
      <c r="A116" s="19"/>
      <c r="B116" s="17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ht="15.75" customHeight="1">
      <c r="A117" s="19"/>
      <c r="B117" s="17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ht="15.75" customHeight="1">
      <c r="A118" s="19"/>
      <c r="B118" s="17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 ht="15.75" customHeight="1">
      <c r="A119" s="19"/>
      <c r="B119" s="17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ht="15.75" customHeight="1">
      <c r="A120" s="19"/>
      <c r="B120" s="17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 ht="15.75" customHeight="1">
      <c r="A121" s="19"/>
      <c r="B121" s="17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ht="15.75" customHeight="1">
      <c r="A122" s="19"/>
      <c r="B122" s="17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ht="15.75" customHeight="1">
      <c r="A123" s="19"/>
      <c r="B123" s="17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 ht="15.75" customHeight="1">
      <c r="A124" s="19"/>
      <c r="B124" s="17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 ht="15.75" customHeight="1">
      <c r="A125" s="19"/>
      <c r="B125" s="17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 ht="15.75" customHeight="1">
      <c r="A126" s="19"/>
      <c r="B126" s="17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 ht="15.75" customHeight="1">
      <c r="A127" s="19"/>
      <c r="B127" s="17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 ht="15.75" customHeight="1">
      <c r="A128" s="19"/>
      <c r="B128" s="17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 ht="15.75" customHeight="1">
      <c r="A129" s="19"/>
      <c r="B129" s="17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 ht="15.75" customHeight="1">
      <c r="A130" s="19"/>
      <c r="B130" s="17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 ht="15.75" customHeight="1">
      <c r="A131" s="19"/>
      <c r="B131" s="17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 ht="15.75" customHeight="1">
      <c r="A132" s="19"/>
      <c r="B132" s="17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 ht="15.75" customHeight="1">
      <c r="A133" s="19"/>
      <c r="B133" s="17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 ht="15.75" customHeight="1">
      <c r="A134" s="19"/>
      <c r="B134" s="17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 ht="15.75" customHeight="1">
      <c r="A135" s="19"/>
      <c r="B135" s="17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 ht="15.75" customHeight="1">
      <c r="A136" s="19"/>
      <c r="B136" s="17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 ht="15.75" customHeight="1">
      <c r="A137" s="19"/>
      <c r="B137" s="17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 ht="15.75" customHeight="1">
      <c r="A138" s="19"/>
      <c r="B138" s="17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 ht="15.75" customHeight="1">
      <c r="A139" s="19"/>
      <c r="B139" s="17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 ht="15.75" customHeight="1">
      <c r="A140" s="19"/>
      <c r="B140" s="17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 ht="15.75" customHeight="1">
      <c r="A141" s="19"/>
      <c r="B141" s="17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ht="15.75" customHeight="1">
      <c r="A142" s="19"/>
      <c r="B142" s="17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 ht="15.75" customHeight="1">
      <c r="A143" s="19"/>
      <c r="B143" s="17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 ht="15.75" customHeight="1">
      <c r="A144" s="19"/>
      <c r="B144" s="17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 ht="15.75" customHeight="1">
      <c r="A145" s="19"/>
      <c r="B145" s="17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 ht="15.75" customHeight="1">
      <c r="A146" s="19"/>
      <c r="B146" s="17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 ht="15.75" customHeight="1">
      <c r="A147" s="19"/>
      <c r="B147" s="17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 ht="15.75" customHeight="1">
      <c r="A148" s="19"/>
      <c r="B148" s="17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 ht="15.75" customHeight="1">
      <c r="A149" s="19"/>
      <c r="B149" s="17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 ht="15.75" customHeight="1">
      <c r="A150" s="19"/>
      <c r="B150" s="17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 ht="15.75" customHeight="1">
      <c r="A151" s="19"/>
      <c r="B151" s="17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 ht="15.75" customHeight="1">
      <c r="A152" s="19"/>
      <c r="B152" s="17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 ht="15.75" customHeight="1">
      <c r="A153" s="19"/>
      <c r="B153" s="17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 ht="15.75" customHeight="1">
      <c r="A154" s="19"/>
      <c r="B154" s="17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 ht="15.75" customHeight="1">
      <c r="A155" s="19"/>
      <c r="B155" s="17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 ht="15.75" customHeight="1">
      <c r="A156" s="19"/>
      <c r="B156" s="17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 ht="15.75" customHeight="1">
      <c r="A157" s="19"/>
      <c r="B157" s="17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ht="15.75" customHeight="1">
      <c r="A158" s="19"/>
      <c r="B158" s="17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 ht="15.75" customHeight="1">
      <c r="A159" s="19"/>
      <c r="B159" s="17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 ht="15.75" customHeight="1">
      <c r="A160" s="19"/>
      <c r="B160" s="17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 ht="15.75" customHeight="1">
      <c r="A161" s="19"/>
      <c r="B161" s="17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 ht="15.75" customHeight="1">
      <c r="A162" s="19"/>
      <c r="B162" s="17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 ht="15.75" customHeight="1">
      <c r="A163" s="19"/>
      <c r="B163" s="17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 ht="15.75" customHeight="1">
      <c r="A164" s="19"/>
      <c r="B164" s="17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 ht="15.75" customHeight="1">
      <c r="A165" s="19"/>
      <c r="B165" s="17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 ht="15.75" customHeight="1">
      <c r="A166" s="19"/>
      <c r="B166" s="17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 ht="15.75" customHeight="1">
      <c r="A167" s="19"/>
      <c r="B167" s="17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 ht="15.75" customHeight="1">
      <c r="A168" s="19"/>
      <c r="B168" s="17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 ht="15.75" customHeight="1">
      <c r="A169" s="19"/>
      <c r="B169" s="17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 ht="15.75" customHeight="1">
      <c r="A170" s="19"/>
      <c r="B170" s="17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 ht="15.75" customHeight="1">
      <c r="A171" s="19"/>
      <c r="B171" s="17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 ht="15.75" customHeight="1">
      <c r="A172" s="19"/>
      <c r="B172" s="17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 ht="15.75" customHeight="1">
      <c r="A173" s="19"/>
      <c r="B173" s="17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 ht="15.75" customHeight="1">
      <c r="A174" s="19"/>
      <c r="B174" s="17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 ht="15.75" customHeight="1">
      <c r="A175" s="19"/>
      <c r="B175" s="17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ht="15.75" customHeight="1">
      <c r="A176" s="19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 ht="15.75" customHeight="1">
      <c r="A177" s="19"/>
      <c r="B177" s="17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 ht="15.75" customHeight="1">
      <c r="A178" s="19"/>
      <c r="B178" s="17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 ht="15.75" customHeight="1">
      <c r="A179" s="19"/>
      <c r="B179" s="17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 ht="15.75" customHeight="1">
      <c r="A180" s="19"/>
      <c r="B180" s="17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ht="15.75" customHeight="1">
      <c r="A181" s="19"/>
      <c r="B181" s="17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 ht="15.75" customHeight="1">
      <c r="A182" s="19"/>
      <c r="B182" s="17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 ht="15.75" customHeight="1">
      <c r="A183" s="19"/>
      <c r="B183" s="17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 ht="15.75" customHeight="1">
      <c r="A184" s="19"/>
      <c r="B184" s="17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 ht="15.75" customHeight="1">
      <c r="A185" s="19"/>
      <c r="B185" s="17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 ht="15.75" customHeight="1">
      <c r="A186" s="19"/>
      <c r="B186" s="17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 ht="15.75" customHeight="1">
      <c r="A187" s="19"/>
      <c r="B187" s="17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 ht="15.75" customHeight="1">
      <c r="A188" s="19"/>
      <c r="B188" s="17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 ht="15.75" customHeight="1">
      <c r="A189" s="19"/>
      <c r="B189" s="17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 ht="15.75" customHeight="1">
      <c r="A190" s="19"/>
      <c r="B190" s="17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 ht="15.75" customHeight="1">
      <c r="A191" s="19"/>
      <c r="B191" s="17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 ht="15.75" customHeight="1">
      <c r="A192" s="19"/>
      <c r="B192" s="17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 ht="15.75" customHeight="1">
      <c r="A193" s="19"/>
      <c r="B193" s="17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 ht="15.75" customHeight="1">
      <c r="A194" s="19"/>
      <c r="B194" s="17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 ht="15.75" customHeight="1">
      <c r="A195" s="19"/>
      <c r="B195" s="17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 ht="15.75" customHeight="1">
      <c r="A196" s="19"/>
      <c r="B196" s="17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 ht="15.75" customHeight="1">
      <c r="A197" s="19"/>
      <c r="B197" s="17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ht="15.75" customHeight="1">
      <c r="A198" s="19"/>
      <c r="B198" s="17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 ht="15.75" customHeight="1">
      <c r="A199" s="19"/>
      <c r="B199" s="17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 ht="15.75" customHeight="1">
      <c r="A200" s="19"/>
      <c r="B200" s="17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 ht="15.75" customHeight="1">
      <c r="A201" s="19"/>
      <c r="B201" s="17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 ht="15.75" customHeight="1">
      <c r="A202" s="19"/>
      <c r="B202" s="17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 ht="15.75" customHeight="1">
      <c r="A203" s="19"/>
      <c r="B203" s="17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 ht="15.75" customHeight="1">
      <c r="A204" s="19"/>
      <c r="B204" s="17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 ht="15.75" customHeight="1">
      <c r="A205" s="19"/>
      <c r="B205" s="17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 ht="15.75" customHeight="1">
      <c r="A206" s="19"/>
      <c r="B206" s="17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 ht="15.75" customHeight="1">
      <c r="A207" s="19"/>
      <c r="B207" s="17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 ht="15.75" customHeight="1">
      <c r="A208" s="19"/>
      <c r="B208" s="17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 ht="15.75" customHeight="1">
      <c r="A209" s="19"/>
      <c r="B209" s="17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 ht="15.75" customHeight="1">
      <c r="A210" s="19"/>
      <c r="B210" s="17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 ht="15.75" customHeight="1">
      <c r="A211" s="19"/>
      <c r="B211" s="17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 ht="15.75" customHeight="1">
      <c r="A212" s="19"/>
      <c r="B212" s="17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 ht="15.75" customHeight="1">
      <c r="A213" s="19"/>
      <c r="B213" s="17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 ht="15.75" customHeight="1">
      <c r="A214" s="19"/>
      <c r="B214" s="17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 ht="15.75" customHeight="1">
      <c r="A215" s="19"/>
      <c r="B215" s="17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 ht="15.75" customHeight="1">
      <c r="A216" s="19"/>
      <c r="B216" s="17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 ht="15.75" customHeight="1">
      <c r="A217" s="19"/>
      <c r="B217" s="17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ht="15.75" customHeight="1">
      <c r="A218" s="19"/>
      <c r="B218" s="17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 ht="15.75" customHeight="1">
      <c r="A219" s="19"/>
      <c r="B219" s="17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 ht="15.75" customHeight="1">
      <c r="A220" s="19"/>
      <c r="B220" s="17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 ht="15.75" customHeight="1">
      <c r="A221" s="19"/>
      <c r="B221" s="17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 ht="15.75" customHeight="1">
      <c r="A222" s="19"/>
      <c r="B222" s="17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 ht="15.75" customHeight="1">
      <c r="A223" s="19"/>
      <c r="B223" s="17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 ht="15.75" customHeight="1">
      <c r="A224" s="19"/>
      <c r="B224" s="17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ht="15.75" customHeight="1">
      <c r="A2" s="2">
        <v>1.0</v>
      </c>
      <c r="B2" s="3" t="s">
        <v>56</v>
      </c>
      <c r="C2" s="3" t="s">
        <v>103</v>
      </c>
      <c r="D2" s="4">
        <f>0.1097476347/2+0.07624173406</f>
        <v>0.1311155514</v>
      </c>
      <c r="E2" s="4">
        <f>0.1780748557/2+0.09162920591</f>
        <v>0.1806666338</v>
      </c>
      <c r="F2" s="4">
        <f>0.1438285001+0.117998231</f>
        <v>0.2618267311</v>
      </c>
      <c r="G2" s="4"/>
      <c r="H2" s="4"/>
      <c r="I2" s="4">
        <f>0.07540195606</f>
        <v>0.07540195606</v>
      </c>
      <c r="J2" s="4">
        <f>0.06978453997/2+0.07267741594</f>
        <v>0.1075696859</v>
      </c>
      <c r="K2" s="5">
        <f>0.09528765201</f>
        <v>0.09528765201</v>
      </c>
      <c r="L2" s="5">
        <f>0.08185445786/3</f>
        <v>0.02728481929</v>
      </c>
      <c r="M2" s="5">
        <f>0.1423683984</f>
        <v>0.1423683984</v>
      </c>
      <c r="N2" s="5"/>
      <c r="O2" s="5">
        <f>0.07046294074/2</f>
        <v>0.03523147037</v>
      </c>
      <c r="P2" s="5">
        <f>0.0632073353/2</f>
        <v>0.03160366765</v>
      </c>
      <c r="Q2" s="5">
        <f>0.07135082377</f>
        <v>0.07135082377</v>
      </c>
      <c r="R2" s="5">
        <f>0.07621256786/2</f>
        <v>0.03810628393</v>
      </c>
      <c r="S2" s="5">
        <f>0.1240009841/2</f>
        <v>0.06200049205</v>
      </c>
      <c r="T2" s="5">
        <f>0.07163541848/2</f>
        <v>0.03581770924</v>
      </c>
      <c r="U2" s="6">
        <f>0.06207514063/2</f>
        <v>0.03103757032</v>
      </c>
      <c r="V2" s="6"/>
      <c r="W2" s="6">
        <f>0.06760966586</f>
        <v>0.06760966586</v>
      </c>
      <c r="X2" s="6"/>
      <c r="Y2" s="6"/>
      <c r="Z2" s="29"/>
      <c r="AA2" s="29"/>
      <c r="AB2" s="29">
        <f>0.054479/2</f>
        <v>0.0272395</v>
      </c>
      <c r="AC2" s="29">
        <f>0.126792</f>
        <v>0.126792</v>
      </c>
      <c r="AD2" s="29">
        <f>0.081879/2</f>
        <v>0.0409395</v>
      </c>
    </row>
    <row r="3" ht="15.75" customHeight="1">
      <c r="A3" s="2">
        <v>2.0</v>
      </c>
      <c r="B3" s="3" t="s">
        <v>58</v>
      </c>
      <c r="C3" s="3" t="s">
        <v>104</v>
      </c>
      <c r="D3" s="4"/>
      <c r="E3" s="4"/>
      <c r="F3" s="4"/>
      <c r="G3" s="4"/>
      <c r="H3" s="4"/>
      <c r="I3" s="4"/>
      <c r="J3" s="4"/>
      <c r="K3" s="4"/>
      <c r="L3" s="4">
        <f>0.1103426411</f>
        <v>0.1103426411</v>
      </c>
      <c r="M3" s="4">
        <f>0.08954740127/2</f>
        <v>0.04477370064</v>
      </c>
      <c r="N3" s="5">
        <f>0.09723842399</f>
        <v>0.09723842399</v>
      </c>
      <c r="O3" s="5">
        <f>0.1053264179</f>
        <v>0.1053264179</v>
      </c>
      <c r="P3" s="5"/>
      <c r="Q3" s="5"/>
      <c r="R3" s="5"/>
      <c r="S3" s="5">
        <f>0.08343312149</f>
        <v>0.08343312149</v>
      </c>
      <c r="T3" s="4"/>
      <c r="U3" s="6">
        <f t="shared" ref="U3:U4" si="1">0.1010476784/2</f>
        <v>0.0505238392</v>
      </c>
      <c r="V3" s="6"/>
      <c r="W3" s="6"/>
      <c r="X3" s="6"/>
      <c r="Y3" s="6"/>
      <c r="Z3" s="29"/>
      <c r="AA3" s="29"/>
      <c r="AB3" s="29"/>
      <c r="AC3" s="29"/>
      <c r="AD3" s="29"/>
    </row>
    <row r="4" ht="15.75" customHeight="1">
      <c r="A4" s="2">
        <v>3.0</v>
      </c>
      <c r="B4" s="3" t="s">
        <v>60</v>
      </c>
      <c r="C4" s="3" t="s">
        <v>105</v>
      </c>
      <c r="D4" s="4">
        <f>0.1097476347/2+0.1137450824/2</f>
        <v>0.1117463586</v>
      </c>
      <c r="E4" s="4">
        <f>0.1780748557/2+0.0739460054/2</f>
        <v>0.1260104306</v>
      </c>
      <c r="F4" s="4">
        <f>0.1230276267/2</f>
        <v>0.06151381335</v>
      </c>
      <c r="G4" s="4">
        <f>0.09272768965/3</f>
        <v>0.03090922988</v>
      </c>
      <c r="H4" s="4">
        <f>0.1144656708/3</f>
        <v>0.0381552236</v>
      </c>
      <c r="I4" s="4">
        <f>0.1390475101/2</f>
        <v>0.06952375505</v>
      </c>
      <c r="J4" s="4"/>
      <c r="K4" s="4"/>
      <c r="L4" s="4"/>
      <c r="M4" s="4"/>
      <c r="N4" s="4"/>
      <c r="O4" s="4"/>
      <c r="P4" s="4"/>
      <c r="Q4" s="4"/>
      <c r="R4" s="4">
        <f>0.08737699623</f>
        <v>0.08737699623</v>
      </c>
      <c r="S4" s="4">
        <f>0.06326799427</f>
        <v>0.06326799427</v>
      </c>
      <c r="T4" s="4">
        <f>0.09622797987</f>
        <v>0.09622797987</v>
      </c>
      <c r="U4" s="6">
        <f t="shared" si="1"/>
        <v>0.0505238392</v>
      </c>
      <c r="V4" s="6"/>
      <c r="W4" s="6">
        <f>0.08737787399</f>
        <v>0.08737787399</v>
      </c>
      <c r="X4" s="6">
        <f>0.061726</f>
        <v>0.061726</v>
      </c>
      <c r="Y4" s="6">
        <f>0.091374/2</f>
        <v>0.045687</v>
      </c>
      <c r="Z4" s="29">
        <f>0.101569/2</f>
        <v>0.0507845</v>
      </c>
      <c r="AA4" s="29"/>
      <c r="AB4" s="29">
        <f>0.109532</f>
        <v>0.109532</v>
      </c>
      <c r="AC4" s="29">
        <f>0.098429</f>
        <v>0.098429</v>
      </c>
      <c r="AD4" s="29">
        <f>0.180051+0.090947/2</f>
        <v>0.2255245</v>
      </c>
    </row>
    <row r="5" ht="15.75" customHeight="1">
      <c r="A5" s="2">
        <v>4.0</v>
      </c>
      <c r="B5" s="3" t="s">
        <v>62</v>
      </c>
      <c r="C5" s="3" t="s">
        <v>106</v>
      </c>
      <c r="D5" s="4"/>
      <c r="E5" s="4"/>
      <c r="F5" s="4">
        <f>0.09208611082+0.09684127838/2</f>
        <v>0.14050675</v>
      </c>
      <c r="G5" s="4">
        <f>0.136678544/3+0.1024939108/2</f>
        <v>0.09680647007</v>
      </c>
      <c r="H5" s="4"/>
      <c r="I5" s="5">
        <f>0.08981781504/2+0.09693491153/2</f>
        <v>0.09337636329</v>
      </c>
      <c r="J5" s="5">
        <f>0.05762214944</f>
        <v>0.05762214944</v>
      </c>
      <c r="K5" s="5">
        <f>0.1139664705</f>
        <v>0.1139664705</v>
      </c>
      <c r="L5" s="4">
        <f>0.04642649973+0.1551273045/2</f>
        <v>0.123990152</v>
      </c>
      <c r="M5" s="5">
        <f>0.1244343616/2</f>
        <v>0.0622171808</v>
      </c>
      <c r="N5" s="5">
        <f>0.09176377458/2+0.09872318178+0.1378188369+0.06759843241/2</f>
        <v>0.3162231222</v>
      </c>
      <c r="O5" s="5">
        <f>0.07046294074/2+0.1194653773/2+0.09616355627+0.1350071481/2</f>
        <v>0.2586312893</v>
      </c>
      <c r="P5" s="5">
        <f>0.08397292703/2+0.0632073353/2+0.1633539834+0.1062515423/2</f>
        <v>0.2900698857</v>
      </c>
      <c r="Q5" s="5">
        <f>0.1445309301+0.1128108053/2</f>
        <v>0.2009363328</v>
      </c>
      <c r="R5" s="5">
        <f>0.1585427286+0.113900824/2+0.07621256786/2</f>
        <v>0.2535994245</v>
      </c>
      <c r="S5" s="5">
        <f>0.1240009841/2+0.1109821672/2+0.03581390672/2</f>
        <v>0.135398529</v>
      </c>
      <c r="T5" s="5">
        <f>0.1066133883+0.07163541848/2+0.1259232682/2</f>
        <v>0.2053927316</v>
      </c>
      <c r="U5" s="6">
        <f>0.06747661228/2+0.06207514063/2+0.05342263572/2</f>
        <v>0.09148719432</v>
      </c>
      <c r="V5" s="6">
        <f>0.1123213257/2+0.07051100886/2</f>
        <v>0.09141616728</v>
      </c>
      <c r="W5" s="6">
        <f t="shared" ref="W5:W6" si="2">0.1256010502/2</f>
        <v>0.0628005251</v>
      </c>
      <c r="X5" s="6">
        <f>0.101845+0.102735/2</f>
        <v>0.1532125</v>
      </c>
      <c r="Y5" s="6">
        <f>0.07601</f>
        <v>0.07601</v>
      </c>
      <c r="Z5" s="29">
        <f>0.118924</f>
        <v>0.118924</v>
      </c>
      <c r="AA5" s="29">
        <f>0.0735</f>
        <v>0.0735</v>
      </c>
      <c r="AB5" s="29">
        <f>0.067562</f>
        <v>0.067562</v>
      </c>
      <c r="AC5" s="29">
        <f>0.048543+0.068648+0.179877</f>
        <v>0.297068</v>
      </c>
      <c r="AD5" s="29">
        <f>0.081879/2</f>
        <v>0.0409395</v>
      </c>
    </row>
    <row r="6" ht="15.75" customHeight="1">
      <c r="A6" s="2">
        <v>5.0</v>
      </c>
      <c r="B6" s="3" t="s">
        <v>64</v>
      </c>
      <c r="C6" s="3" t="s">
        <v>107</v>
      </c>
      <c r="D6" s="4"/>
      <c r="E6" s="4"/>
      <c r="F6" s="4">
        <f>0.09684127838/2</f>
        <v>0.04842063919</v>
      </c>
      <c r="G6" s="4">
        <f>0.136678544/3</f>
        <v>0.04555951467</v>
      </c>
      <c r="H6" s="4">
        <f>0.1406233672/2</f>
        <v>0.0703116836</v>
      </c>
      <c r="I6" s="4">
        <f>0.08981781504/2</f>
        <v>0.04490890752</v>
      </c>
      <c r="J6" s="4">
        <f>0.1595412407/2</f>
        <v>0.07977062035</v>
      </c>
      <c r="K6" s="4">
        <f>0.1361063149/2</f>
        <v>0.06805315745</v>
      </c>
      <c r="L6" s="4"/>
      <c r="M6" s="4">
        <f>0.08954740127/2+0.1244343616/2</f>
        <v>0.1069908814</v>
      </c>
      <c r="N6" s="5">
        <f>0.09176377458/2</f>
        <v>0.04588188729</v>
      </c>
      <c r="O6" s="5">
        <f>0.1194653773/2</f>
        <v>0.05973268865</v>
      </c>
      <c r="P6" s="5">
        <f>0.08397292703/2+0.05292476263/2</f>
        <v>0.06844884483</v>
      </c>
      <c r="Q6" s="5">
        <f>0.1128108053/2</f>
        <v>0.05640540265</v>
      </c>
      <c r="R6" s="5">
        <f>0.113900824/2</f>
        <v>0.056950412</v>
      </c>
      <c r="S6" s="4"/>
      <c r="T6" s="5">
        <f>0.1259232682/2</f>
        <v>0.0629616341</v>
      </c>
      <c r="U6" s="6"/>
      <c r="V6" s="6"/>
      <c r="W6" s="6">
        <f t="shared" si="2"/>
        <v>0.0628005251</v>
      </c>
      <c r="X6" s="6"/>
      <c r="Y6" s="6">
        <f>0.094998/2</f>
        <v>0.047499</v>
      </c>
      <c r="Z6" s="29"/>
      <c r="AA6" s="29"/>
      <c r="AB6" s="29">
        <f>0.115365/2</f>
        <v>0.0576825</v>
      </c>
      <c r="AC6" s="29"/>
      <c r="AD6" s="29"/>
    </row>
    <row r="7" ht="15.75" customHeight="1">
      <c r="A7" s="2">
        <v>6.0</v>
      </c>
      <c r="B7" s="3" t="s">
        <v>66</v>
      </c>
      <c r="C7" s="3" t="s">
        <v>108</v>
      </c>
      <c r="D7" s="4">
        <f>0.08371371166/2</f>
        <v>0.04185685583</v>
      </c>
      <c r="E7" s="4"/>
      <c r="F7" s="4">
        <f>0.08819427891/2</f>
        <v>0.04409713946</v>
      </c>
      <c r="G7" s="4">
        <f>0.09394316813/2</f>
        <v>0.04697158407</v>
      </c>
      <c r="H7" s="4">
        <f>0.1247693625+0.06201667411/2</f>
        <v>0.1557776996</v>
      </c>
      <c r="I7" s="4"/>
      <c r="J7" s="4"/>
      <c r="K7" s="4">
        <f>0.1125570485/2</f>
        <v>0.05627852425</v>
      </c>
      <c r="L7" s="4">
        <f>0.09038071594</f>
        <v>0.09038071594</v>
      </c>
      <c r="M7" s="4">
        <f>0.06513221909/2</f>
        <v>0.03256610955</v>
      </c>
      <c r="N7" s="5">
        <f>0.1157311908/2</f>
        <v>0.0578655954</v>
      </c>
      <c r="O7" s="5"/>
      <c r="P7" s="5">
        <f>0.1062515423/2</f>
        <v>0.05312577115</v>
      </c>
      <c r="Q7" s="5"/>
      <c r="R7" s="5">
        <f>0.1295238153/2</f>
        <v>0.06476190765</v>
      </c>
      <c r="S7" s="5">
        <f>0.03581390672/2+0.1109821672/2</f>
        <v>0.07339803696</v>
      </c>
      <c r="T7" s="5">
        <f>0.07307319786</f>
        <v>0.07307319786</v>
      </c>
      <c r="U7" s="6">
        <f>0.06747661228/2</f>
        <v>0.03373830614</v>
      </c>
      <c r="V7" s="6">
        <f>0.1123213257/2</f>
        <v>0.05616066285</v>
      </c>
      <c r="W7" s="6">
        <f>0.09935225147/2</f>
        <v>0.04967612574</v>
      </c>
      <c r="X7" s="6">
        <f>0.135419/2</f>
        <v>0.0677095</v>
      </c>
      <c r="Y7" s="6"/>
      <c r="Z7" s="29"/>
      <c r="AA7" s="29">
        <f>0.126981/2</f>
        <v>0.0634905</v>
      </c>
      <c r="AB7" s="29">
        <f>0.122354</f>
        <v>0.122354</v>
      </c>
      <c r="AC7" s="29">
        <f>0.127764</f>
        <v>0.127764</v>
      </c>
      <c r="AD7" s="29">
        <f>0.154847</f>
        <v>0.154847</v>
      </c>
    </row>
    <row r="8" ht="15.75" customHeight="1">
      <c r="A8" s="2">
        <v>7.0</v>
      </c>
      <c r="B8" s="3" t="s">
        <v>68</v>
      </c>
      <c r="C8" s="3" t="s">
        <v>109</v>
      </c>
      <c r="D8" s="4"/>
      <c r="E8" s="4"/>
      <c r="F8" s="5"/>
      <c r="G8" s="5"/>
      <c r="H8" s="4">
        <f>0.1406233672/2</f>
        <v>0.0703116836</v>
      </c>
      <c r="I8" s="4">
        <f>0.09560955532/2</f>
        <v>0.04780477766</v>
      </c>
      <c r="J8" s="4">
        <f>0.1595412407/2</f>
        <v>0.07977062035</v>
      </c>
      <c r="K8" s="4">
        <f>0.1361063149/2</f>
        <v>0.06805315745</v>
      </c>
      <c r="L8" s="5">
        <f>0.1551273045/2</f>
        <v>0.07756365225</v>
      </c>
      <c r="M8" s="5"/>
      <c r="N8" s="4">
        <f>0.06759843241/2</f>
        <v>0.03379921621</v>
      </c>
      <c r="O8" s="4"/>
      <c r="P8" s="4"/>
      <c r="Q8" s="4"/>
      <c r="R8" s="4"/>
      <c r="S8" s="4"/>
      <c r="T8" s="5"/>
      <c r="U8" s="6">
        <f>0.1369458623/2</f>
        <v>0.06847293115</v>
      </c>
      <c r="V8" s="6">
        <f>0.09453575652</f>
        <v>0.09453575652</v>
      </c>
      <c r="W8" s="6">
        <f>0.1061927052</f>
        <v>0.1061927052</v>
      </c>
      <c r="X8" s="6"/>
      <c r="Y8" s="6"/>
      <c r="Z8" s="29">
        <f>0.156567/2</f>
        <v>0.0782835</v>
      </c>
      <c r="AA8" s="29"/>
      <c r="AB8" s="29">
        <f>0.054479/2</f>
        <v>0.0272395</v>
      </c>
      <c r="AC8" s="29"/>
      <c r="AD8" s="29">
        <f>0.125935/2</f>
        <v>0.0629675</v>
      </c>
    </row>
    <row r="9" ht="15.75" customHeight="1">
      <c r="A9" s="2">
        <v>8.0</v>
      </c>
      <c r="B9" s="3" t="s">
        <v>70</v>
      </c>
      <c r="C9" s="3" t="s">
        <v>110</v>
      </c>
      <c r="D9" s="4"/>
      <c r="E9" s="4"/>
      <c r="F9" s="4"/>
      <c r="G9" s="4">
        <f>0.1024939108/2</f>
        <v>0.0512469554</v>
      </c>
      <c r="H9" s="4">
        <f>0.1018757591</f>
        <v>0.1018757591</v>
      </c>
      <c r="I9" s="4">
        <f>0.09693491153/2</f>
        <v>0.04846745577</v>
      </c>
      <c r="J9" s="4"/>
      <c r="K9" s="4"/>
      <c r="L9" s="4"/>
      <c r="M9" s="4"/>
      <c r="N9" s="4"/>
      <c r="O9" s="4">
        <f>0.1350071481/2</f>
        <v>0.06750357405</v>
      </c>
      <c r="P9" s="5">
        <f>0.09950835121/2</f>
        <v>0.04975417561</v>
      </c>
      <c r="Q9" s="4"/>
      <c r="R9" s="4"/>
      <c r="S9" s="4"/>
      <c r="T9" s="4"/>
      <c r="U9" s="6"/>
      <c r="V9" s="6"/>
      <c r="W9" s="6"/>
      <c r="X9" s="6"/>
      <c r="Y9" s="6"/>
      <c r="Z9" s="29"/>
      <c r="AA9" s="29"/>
      <c r="AB9" s="29"/>
      <c r="AC9" s="29"/>
      <c r="AD9" s="29"/>
    </row>
    <row r="10" ht="15.75" customHeight="1">
      <c r="A10" s="2">
        <v>9.0</v>
      </c>
      <c r="B10" s="3" t="s">
        <v>72</v>
      </c>
      <c r="C10" s="3" t="s">
        <v>111</v>
      </c>
      <c r="D10" s="4"/>
      <c r="E10" s="4"/>
      <c r="F10" s="4"/>
      <c r="G10" s="4"/>
      <c r="H10" s="4"/>
      <c r="I10" s="4"/>
      <c r="J10" s="4"/>
      <c r="K10" s="4">
        <f>0.0884958203</f>
        <v>0.0884958203</v>
      </c>
      <c r="L10" s="4"/>
      <c r="M10" s="4"/>
      <c r="N10" s="4"/>
      <c r="O10" s="4"/>
      <c r="P10" s="4"/>
      <c r="Q10" s="4"/>
      <c r="R10" s="4"/>
      <c r="S10" s="4"/>
      <c r="T10" s="4"/>
      <c r="U10" s="6">
        <f>0.05342263572/2</f>
        <v>0.02671131786</v>
      </c>
      <c r="V10" s="6"/>
      <c r="W10" s="6"/>
      <c r="X10" s="6"/>
      <c r="Y10" s="6"/>
      <c r="Z10" s="29"/>
      <c r="AA10" s="29"/>
      <c r="AB10" s="29"/>
      <c r="AC10" s="29">
        <f>0.126786/2</f>
        <v>0.063393</v>
      </c>
      <c r="AD10" s="29"/>
    </row>
    <row r="11" ht="15.75" customHeight="1">
      <c r="A11" s="2">
        <v>10.0</v>
      </c>
      <c r="B11" s="3" t="s">
        <v>74</v>
      </c>
      <c r="C11" s="3" t="s">
        <v>112</v>
      </c>
      <c r="D11" s="4"/>
      <c r="E11" s="4"/>
      <c r="F11" s="4">
        <f>0.06211056456</f>
        <v>0.06211056456</v>
      </c>
      <c r="G11" s="4"/>
      <c r="H11" s="5"/>
      <c r="I11" s="5">
        <f>0.09560955532/2</f>
        <v>0.04780477766</v>
      </c>
      <c r="J11" s="5">
        <f>0.06978453997/2</f>
        <v>0.03489226999</v>
      </c>
      <c r="K11" s="5"/>
      <c r="L11" s="5"/>
      <c r="M11" s="5"/>
      <c r="N11" s="5"/>
      <c r="O11" s="5"/>
      <c r="P11" s="4"/>
      <c r="Q11" s="4"/>
      <c r="R11" s="4"/>
      <c r="S11" s="5"/>
      <c r="T11" s="4"/>
      <c r="U11" s="6"/>
      <c r="V11" s="6">
        <f>0.07051100886/2</f>
        <v>0.03525550443</v>
      </c>
      <c r="W11" s="6"/>
      <c r="X11" s="6">
        <f>0.102735/2</f>
        <v>0.0513675</v>
      </c>
      <c r="Y11" s="6">
        <f>0.173724</f>
        <v>0.173724</v>
      </c>
      <c r="Z11" s="29">
        <f>0.087225</f>
        <v>0.087225</v>
      </c>
      <c r="AA11" s="29">
        <f>0.129574</f>
        <v>0.129574</v>
      </c>
      <c r="AB11" s="29">
        <f>0.115365/2</f>
        <v>0.0576825</v>
      </c>
      <c r="AC11" s="29"/>
      <c r="AD11" s="29"/>
    </row>
    <row r="12" ht="15.75" customHeight="1">
      <c r="A12" s="2">
        <v>11.0</v>
      </c>
      <c r="B12" s="3" t="s">
        <v>76</v>
      </c>
      <c r="C12" s="3" t="s">
        <v>113</v>
      </c>
      <c r="D12" s="4"/>
      <c r="E12" s="4">
        <f>0.1041496564/2</f>
        <v>0.0520748282</v>
      </c>
      <c r="F12" s="5"/>
      <c r="G12" s="5"/>
      <c r="H12" s="5"/>
      <c r="I12" s="5"/>
      <c r="J12" s="5"/>
      <c r="K12" s="5"/>
      <c r="L12" s="5"/>
      <c r="M12" s="5"/>
      <c r="N12" s="4"/>
      <c r="O12" s="5"/>
      <c r="P12" s="5"/>
      <c r="Q12" s="4"/>
      <c r="R12" s="4"/>
      <c r="S12" s="4"/>
      <c r="T12" s="4"/>
      <c r="U12" s="6"/>
      <c r="V12" s="6"/>
      <c r="W12" s="6">
        <f>0.07925205719</f>
        <v>0.07925205719</v>
      </c>
      <c r="X12" s="6"/>
      <c r="Y12" s="6"/>
      <c r="Z12" s="29">
        <f>0.156567/2</f>
        <v>0.0782835</v>
      </c>
      <c r="AA12" s="29">
        <f>0.126025</f>
        <v>0.126025</v>
      </c>
      <c r="AB12" s="29">
        <f>0.167891</f>
        <v>0.167891</v>
      </c>
      <c r="AC12" s="29">
        <f>0.122214</f>
        <v>0.122214</v>
      </c>
      <c r="AD12" s="29"/>
    </row>
    <row r="13" ht="15.75" customHeight="1">
      <c r="A13" s="2">
        <v>12.0</v>
      </c>
      <c r="B13" s="30" t="s">
        <v>78</v>
      </c>
      <c r="C13" s="3" t="s">
        <v>114</v>
      </c>
      <c r="D13" s="4"/>
      <c r="E13" s="4"/>
      <c r="F13" s="4"/>
      <c r="G13" s="4">
        <f>0.09272768965/3</f>
        <v>0.03090922988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/>
      <c r="V13" s="6"/>
      <c r="W13" s="6"/>
      <c r="X13" s="6"/>
      <c r="Y13" s="6"/>
      <c r="Z13" s="29"/>
      <c r="AA13" s="29"/>
      <c r="AB13" s="29"/>
      <c r="AC13" s="29"/>
      <c r="AD13" s="29"/>
    </row>
    <row r="14" ht="15.75" customHeight="1">
      <c r="A14" s="2">
        <v>13.0</v>
      </c>
      <c r="B14" s="3" t="s">
        <v>80</v>
      </c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6"/>
      <c r="W14" s="6"/>
      <c r="X14" s="6"/>
      <c r="Y14" s="6">
        <f>0.056288</f>
        <v>0.056288</v>
      </c>
      <c r="Z14" s="29">
        <v>0.077692</v>
      </c>
      <c r="AA14" s="29"/>
      <c r="AB14" s="29"/>
      <c r="AC14" s="29"/>
      <c r="AD14" s="29"/>
    </row>
    <row r="15" ht="15.75" customHeight="1">
      <c r="A15" s="2">
        <v>101.0</v>
      </c>
      <c r="B15" s="3" t="s">
        <v>81</v>
      </c>
      <c r="C15" s="3" t="s">
        <v>82</v>
      </c>
      <c r="D15" s="4">
        <f>0.09980338839+0.1080044849</f>
        <v>0.2078078733</v>
      </c>
      <c r="E15" s="4">
        <f>0.1293558079+0.03351039205+0.1154864033+0.1041496564/2+0.06795937145</f>
        <v>0.3983868029</v>
      </c>
      <c r="F15" s="4">
        <f>0.1343701029</f>
        <v>0.1343701029</v>
      </c>
      <c r="G15" s="4">
        <f>0.06111417438+0.136678544/3</f>
        <v>0.106673689</v>
      </c>
      <c r="H15" s="4">
        <f>0.1144656708/3+0.05820352866</f>
        <v>0.09635875226</v>
      </c>
      <c r="I15" s="4">
        <f>0.06642568906+0.05615082627/2</f>
        <v>0.0945011022</v>
      </c>
      <c r="J15" s="4">
        <f>0.1006433264+0.08599134713+0.1361458727/2+0.08594273267/2</f>
        <v>0.2976789762</v>
      </c>
      <c r="K15" s="4">
        <f>0.05477457836+0.06962749802+0.1421012998/2+0.06708307382+0.1200002438/2</f>
        <v>0.322535922</v>
      </c>
      <c r="L15" s="4">
        <f>0.1245594665/2+0.09772495041+0.1713723144+0.05680543919/2+0.08185445786/3</f>
        <v>0.3870645369</v>
      </c>
      <c r="M15" s="4">
        <f>0.1098767759/2+0.09101126523+0.1446358222+0.06592970077</f>
        <v>0.3565151762</v>
      </c>
      <c r="N15" s="4">
        <f>0.09667352653+0.1277359087+0.07789902656/2</f>
        <v>0.2633589485</v>
      </c>
      <c r="O15" s="4">
        <f>0.1055140898+0.0934608098+0.05813141596</f>
        <v>0.2571063156</v>
      </c>
      <c r="P15" s="4">
        <f>0.09408336675+0.1141399255+0.1139790697+0.1085787362/2</f>
        <v>0.3764917301</v>
      </c>
      <c r="Q15" s="4">
        <f>0.0996527139+0.0786159184</f>
        <v>0.1782686323</v>
      </c>
      <c r="R15" s="4">
        <f>0.09979092302+0.1044450602/2</f>
        <v>0.1520134531</v>
      </c>
      <c r="S15" s="4">
        <f>0.1605262838/3+0.1038145266+0.1298907541</f>
        <v>0.287214042</v>
      </c>
      <c r="T15" s="4">
        <f>0.08218420694/3+0.1147580568/2+0.0954514881</f>
        <v>0.1802252521</v>
      </c>
      <c r="U15" s="6">
        <f>0.1198126884+0.09665058248+0.1369458623/2</f>
        <v>0.284936202</v>
      </c>
      <c r="V15" s="6">
        <f>0.1221009398+0.104382805+0.1035458228</f>
        <v>0.3300295676</v>
      </c>
      <c r="W15" s="6">
        <f>0.1052363413+0.1024790566</f>
        <v>0.2077153979</v>
      </c>
      <c r="X15" s="6">
        <f>0.071264+0.092461+0.098509+0.09681</f>
        <v>0.359044</v>
      </c>
      <c r="Y15" s="6">
        <f>0.088098+0.104603+0.094998/2</f>
        <v>0.2402</v>
      </c>
      <c r="Z15" s="29">
        <v>0.101876</v>
      </c>
      <c r="AA15" s="29">
        <f>0.132834+0.069107/2+0.119781</f>
        <v>0.2871685</v>
      </c>
      <c r="AB15" s="29">
        <f>0.135997+0.064248/2</f>
        <v>0.168121</v>
      </c>
      <c r="AC15" s="29">
        <f>0.126786/2+0.067285</f>
        <v>0.130678</v>
      </c>
      <c r="AD15" s="29">
        <f>0.102262+0.113056</f>
        <v>0.215318</v>
      </c>
    </row>
    <row r="16" ht="15.75" customHeight="1">
      <c r="A16" s="2">
        <v>102.0</v>
      </c>
      <c r="B16" s="3" t="s">
        <v>83</v>
      </c>
      <c r="C16" s="3" t="s">
        <v>115</v>
      </c>
      <c r="D16" s="4">
        <f>0.08371371166/2</f>
        <v>0.04185685583</v>
      </c>
      <c r="E16" s="4"/>
      <c r="F16" s="4"/>
      <c r="G16" s="4">
        <f>0.09394316813/2</f>
        <v>0.04697158407</v>
      </c>
      <c r="H16" s="4">
        <f>0.06201667411/2</f>
        <v>0.03100833706</v>
      </c>
      <c r="I16" s="4">
        <f>0.1340071345</f>
        <v>0.1340071345</v>
      </c>
      <c r="J16" s="4">
        <f>0.1489830518</f>
        <v>0.1489830518</v>
      </c>
      <c r="K16" s="4">
        <f>0.1125570485/2</f>
        <v>0.05627852425</v>
      </c>
      <c r="L16" s="4">
        <f>0.0654062104</f>
        <v>0.0654062104</v>
      </c>
      <c r="M16" s="4">
        <f>0.06513221909/2+0.1061079956</f>
        <v>0.1386741051</v>
      </c>
      <c r="N16" s="4"/>
      <c r="O16" s="4">
        <f>0.1339369222</f>
        <v>0.1339369222</v>
      </c>
      <c r="P16" s="4"/>
      <c r="Q16" s="4">
        <f>0.1226786179+0.1557819838</f>
        <v>0.2784606017</v>
      </c>
      <c r="R16" s="4">
        <f>0.1295238153/2+0.06841517157</f>
        <v>0.1331770792</v>
      </c>
      <c r="S16" s="4">
        <f>0.0941395313</f>
        <v>0.0941395313</v>
      </c>
      <c r="T16" s="4">
        <f>0.1223335511</f>
        <v>0.1223335511</v>
      </c>
      <c r="U16" s="6">
        <f>0.1074067307</f>
        <v>0.1074067307</v>
      </c>
      <c r="V16" s="6">
        <f>0.116288668</f>
        <v>0.116288668</v>
      </c>
      <c r="W16" s="6">
        <f>0.09935225147/2+0.1396663929</f>
        <v>0.1893425186</v>
      </c>
      <c r="X16" s="6">
        <f>0.135419/2</f>
        <v>0.0677095</v>
      </c>
      <c r="Y16" s="6">
        <f>0.095924+0.058596</f>
        <v>0.15452</v>
      </c>
      <c r="Z16" s="29">
        <f>0.098082+0.112657</f>
        <v>0.210739</v>
      </c>
      <c r="AA16" s="29">
        <f>0.126981/2</f>
        <v>0.0634905</v>
      </c>
      <c r="AB16" s="29"/>
      <c r="AC16" s="29"/>
      <c r="AD16" s="29"/>
    </row>
    <row r="17" ht="15.75" customHeight="1">
      <c r="A17" s="2">
        <v>103.0</v>
      </c>
      <c r="B17" s="3" t="s">
        <v>85</v>
      </c>
      <c r="C17" s="3" t="s">
        <v>116</v>
      </c>
      <c r="D17" s="4">
        <f>0.0662555636</f>
        <v>0.0662555636</v>
      </c>
      <c r="E17" s="5">
        <f>0.104398147</f>
        <v>0.104398147</v>
      </c>
      <c r="F17" s="5">
        <f>0.06548409191</f>
        <v>0.06548409191</v>
      </c>
      <c r="G17" s="5">
        <f>0.09416784237</f>
        <v>0.09416784237</v>
      </c>
      <c r="H17" s="5">
        <f>0.09841633412</f>
        <v>0.09841633412</v>
      </c>
      <c r="I17" s="5">
        <f>0.1390475101/2</f>
        <v>0.06952375505</v>
      </c>
      <c r="J17" s="5"/>
      <c r="K17" s="5"/>
      <c r="L17" s="5"/>
      <c r="M17" s="5"/>
      <c r="N17" s="5"/>
      <c r="O17" s="5"/>
      <c r="P17" s="5"/>
      <c r="Q17" s="5">
        <f>0.05919576467</f>
        <v>0.05919576467</v>
      </c>
      <c r="R17" s="4">
        <f>0.0960978462</f>
        <v>0.0960978462</v>
      </c>
      <c r="S17" s="4">
        <f>0.1605262838/3</f>
        <v>0.05350876127</v>
      </c>
      <c r="T17" s="5">
        <f>0.08218420694/3</f>
        <v>0.02739473565</v>
      </c>
      <c r="U17" s="6">
        <f>0.1083350799</f>
        <v>0.1083350799</v>
      </c>
      <c r="V17" s="6">
        <f>0.06156082682</f>
        <v>0.06156082682</v>
      </c>
      <c r="W17" s="6">
        <f>0.08723260534</f>
        <v>0.08723260534</v>
      </c>
      <c r="X17" s="6"/>
      <c r="Y17" s="6"/>
      <c r="Z17" s="29"/>
      <c r="AA17" s="29">
        <f>0.066654</f>
        <v>0.066654</v>
      </c>
      <c r="AB17" s="29"/>
      <c r="AC17" s="29"/>
      <c r="AD17" s="29">
        <f>0.090947/2</f>
        <v>0.0454735</v>
      </c>
    </row>
    <row r="18" ht="15.75" customHeight="1">
      <c r="A18" s="2">
        <v>104.0</v>
      </c>
      <c r="B18" s="3" t="s">
        <v>87</v>
      </c>
      <c r="C18" s="3" t="s">
        <v>117</v>
      </c>
      <c r="D18" s="4"/>
      <c r="E18" s="4"/>
      <c r="F18" s="5"/>
      <c r="G18" s="5"/>
      <c r="H18" s="5"/>
      <c r="I18" s="4"/>
      <c r="J18" s="4"/>
      <c r="K18" s="5"/>
      <c r="L18" s="5"/>
      <c r="M18" s="4"/>
      <c r="N18" s="5">
        <f>0.08881769766</f>
        <v>0.08881769766</v>
      </c>
      <c r="O18" s="4"/>
      <c r="P18" s="4">
        <f>0.09950835121/2</f>
        <v>0.04975417561</v>
      </c>
      <c r="Q18" s="4">
        <f>0.09623679761</f>
        <v>0.09623679761</v>
      </c>
      <c r="R18" s="4">
        <f>0.06569406695</f>
        <v>0.06569406695</v>
      </c>
      <c r="S18" s="4">
        <f>0.0941307305</f>
        <v>0.0941307305</v>
      </c>
      <c r="T18" s="4">
        <f>0.1117994443</f>
        <v>0.1117994443</v>
      </c>
      <c r="U18" s="6"/>
      <c r="V18" s="6">
        <f>0.07647768269</f>
        <v>0.07647768269</v>
      </c>
      <c r="W18" s="6"/>
      <c r="X18" s="6">
        <f>0.131191</f>
        <v>0.131191</v>
      </c>
      <c r="Y18" s="6">
        <f>0.091374/2</f>
        <v>0.045687</v>
      </c>
      <c r="Z18" s="29"/>
      <c r="AA18" s="29"/>
      <c r="AB18" s="29"/>
      <c r="AC18" s="29"/>
      <c r="AD18" s="29">
        <f>0.048729</f>
        <v>0.048729</v>
      </c>
    </row>
    <row r="19" ht="15.75" customHeight="1">
      <c r="A19" s="2">
        <v>105.0</v>
      </c>
      <c r="B19" s="3" t="s">
        <v>89</v>
      </c>
      <c r="C19" s="3" t="s">
        <v>90</v>
      </c>
      <c r="D19" s="5">
        <f>0.1133077386+0.1068347087+0.1223459531+0.1137450824/2</f>
        <v>0.3993609416</v>
      </c>
      <c r="E19" s="5">
        <f>0.1014901549+0.0739460054/2</f>
        <v>0.1384631576</v>
      </c>
      <c r="F19" s="5">
        <f>0.1230276267/2+0.08819427891/2+0.07605921474</f>
        <v>0.1816701675</v>
      </c>
      <c r="G19" s="5">
        <f>0.09272768965/3+0.1067513249+0.1427603174</f>
        <v>0.2804208722</v>
      </c>
      <c r="H19" s="5">
        <f>0.09141361027+0.1144656708/3+0.1290246728</f>
        <v>0.2585935067</v>
      </c>
      <c r="I19" s="5">
        <f>0.05615082627/2+0.1609042973+0.08570030477</f>
        <v>0.2746800152</v>
      </c>
      <c r="J19" s="5">
        <f>0.08594273267/2+0.1361458727/2+0.08266832319</f>
        <v>0.1937126259</v>
      </c>
      <c r="K19" s="4">
        <f>0.1421012998/2+0.1200002438/2</f>
        <v>0.1310507718</v>
      </c>
      <c r="L19" s="4">
        <f>0.1245594665/2+0.05680543919/2+0.08185445786/3</f>
        <v>0.1179672721</v>
      </c>
      <c r="M19" s="4">
        <f>0.1098767759/2+0.06095605995</f>
        <v>0.1158944479</v>
      </c>
      <c r="N19" s="4">
        <f>0.07789902656/2</f>
        <v>0.03894951328</v>
      </c>
      <c r="O19" s="4">
        <f>0.08253132185</f>
        <v>0.08253132185</v>
      </c>
      <c r="P19" s="4">
        <f>0.1085787362/2</f>
        <v>0.0542893681</v>
      </c>
      <c r="Q19" s="4">
        <f>0.05914564447</f>
        <v>0.05914564447</v>
      </c>
      <c r="R19" s="5">
        <f>0.1044450602/2</f>
        <v>0.0522225301</v>
      </c>
      <c r="S19" s="4">
        <f>0.1605262838/3</f>
        <v>0.05350876127</v>
      </c>
      <c r="T19" s="4">
        <f>0.08218420694/3+0.1147580568/2</f>
        <v>0.08477376405</v>
      </c>
      <c r="U19" s="6"/>
      <c r="V19" s="6"/>
      <c r="W19" s="6"/>
      <c r="X19" s="6"/>
      <c r="Y19" s="6"/>
      <c r="Z19" s="29">
        <f>0.101569/2</f>
        <v>0.0507845</v>
      </c>
      <c r="AA19" s="29">
        <f>0.069107/2+0.08748</f>
        <v>0.1220335</v>
      </c>
      <c r="AB19" s="29">
        <f>0.064248/2</f>
        <v>0.032124</v>
      </c>
      <c r="AC19" s="29"/>
      <c r="AD19" s="29">
        <f>0.125935/2</f>
        <v>0.0629675</v>
      </c>
    </row>
    <row r="20" ht="15.75" customHeight="1">
      <c r="A20" s="2">
        <v>106.0</v>
      </c>
      <c r="B20" s="3" t="s">
        <v>91</v>
      </c>
      <c r="C20" s="3" t="s">
        <v>118</v>
      </c>
      <c r="D20" s="4"/>
      <c r="E20" s="4"/>
      <c r="F20" s="5"/>
      <c r="G20" s="5">
        <f>0.08026368987+0.08909933853</f>
        <v>0.1693630284</v>
      </c>
      <c r="H20" s="5">
        <f>0.07919102052</f>
        <v>0.07919102052</v>
      </c>
      <c r="I20" s="5"/>
      <c r="J20" s="5"/>
      <c r="K20" s="5"/>
      <c r="L20" s="5"/>
      <c r="M20" s="5"/>
      <c r="N20" s="5">
        <f>0.1157311908/2</f>
        <v>0.0578655954</v>
      </c>
      <c r="O20" s="5"/>
      <c r="P20" s="5">
        <f>0.05292476263/2</f>
        <v>0.02646238132</v>
      </c>
      <c r="Q20" s="5"/>
      <c r="R20" s="5"/>
      <c r="S20" s="5"/>
      <c r="T20" s="5"/>
      <c r="U20" s="6"/>
      <c r="V20" s="6"/>
      <c r="W20" s="6"/>
      <c r="X20" s="6"/>
      <c r="Y20" s="6"/>
      <c r="Z20" s="29"/>
      <c r="AA20" s="29"/>
      <c r="AB20" s="29"/>
      <c r="AC20" s="29"/>
      <c r="AD20" s="29"/>
    </row>
    <row r="21" ht="15.75" customHeight="1">
      <c r="A21" s="2">
        <v>107.0</v>
      </c>
      <c r="B21" s="2" t="s">
        <v>93</v>
      </c>
      <c r="C21" s="3" t="s">
        <v>119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6">
        <f>0.1468269891</f>
        <v>0.1468269891</v>
      </c>
      <c r="V21" s="6">
        <f>0.1382751638</f>
        <v>0.1382751638</v>
      </c>
      <c r="W21" s="6"/>
      <c r="X21" s="6">
        <f>0.108039</f>
        <v>0.108039</v>
      </c>
      <c r="Y21" s="6">
        <f>0.160386</f>
        <v>0.160386</v>
      </c>
      <c r="Z21" s="29"/>
      <c r="AA21" s="29">
        <f>0.068065</f>
        <v>0.068065</v>
      </c>
      <c r="AB21" s="29">
        <f>0.128111</f>
        <v>0.128111</v>
      </c>
      <c r="AC21" s="29"/>
      <c r="AD21" s="29"/>
    </row>
    <row r="22" ht="15.75" customHeight="1">
      <c r="A22" s="2">
        <v>108.0</v>
      </c>
      <c r="B22" s="2" t="s">
        <v>95</v>
      </c>
      <c r="C22" s="3" t="s">
        <v>120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6"/>
      <c r="V22" s="6"/>
      <c r="W22" s="6"/>
      <c r="X22" s="6"/>
      <c r="Y22" s="6"/>
      <c r="Z22" s="29"/>
      <c r="AA22" s="29"/>
      <c r="AB22" s="29"/>
      <c r="AC22" s="29"/>
      <c r="AD22" s="29">
        <f>0.048657</f>
        <v>0.048657</v>
      </c>
    </row>
    <row r="23" ht="15.75" customHeight="1">
      <c r="A23" s="2">
        <v>99.0</v>
      </c>
      <c r="B23" s="3" t="s">
        <v>97</v>
      </c>
      <c r="C23" s="3" t="s">
        <v>98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6"/>
      <c r="V23" s="6"/>
      <c r="W23" s="6"/>
      <c r="X23" s="6"/>
      <c r="Y23" s="6"/>
      <c r="Z23" s="29">
        <f>0.037632+0.107777</f>
        <v>0.145409</v>
      </c>
      <c r="AA23" s="29"/>
      <c r="AB23" s="29">
        <f>0.034459</f>
        <v>0.034459</v>
      </c>
      <c r="AC23" s="29">
        <f>0.033664</f>
        <v>0.033664</v>
      </c>
      <c r="AD23" s="29">
        <f>0.053636</f>
        <v>0.053636</v>
      </c>
    </row>
    <row r="24" ht="15.75" customHeight="1">
      <c r="A24" s="15" t="s">
        <v>99</v>
      </c>
      <c r="B24" s="16"/>
      <c r="C24" s="17"/>
      <c r="D24" s="18">
        <f t="shared" ref="D24:AD24" si="3">SUM(D2:D23)</f>
        <v>1</v>
      </c>
      <c r="E24" s="18">
        <f t="shared" si="3"/>
        <v>1</v>
      </c>
      <c r="F24" s="18">
        <f t="shared" si="3"/>
        <v>1</v>
      </c>
      <c r="G24" s="18">
        <f t="shared" si="3"/>
        <v>1</v>
      </c>
      <c r="H24" s="18">
        <f t="shared" si="3"/>
        <v>1</v>
      </c>
      <c r="I24" s="18">
        <f t="shared" si="3"/>
        <v>1</v>
      </c>
      <c r="J24" s="18">
        <f t="shared" si="3"/>
        <v>0.9999999999</v>
      </c>
      <c r="K24" s="18">
        <f t="shared" si="3"/>
        <v>1</v>
      </c>
      <c r="L24" s="18">
        <f t="shared" si="3"/>
        <v>1</v>
      </c>
      <c r="M24" s="18">
        <f t="shared" si="3"/>
        <v>1</v>
      </c>
      <c r="N24" s="18">
        <f t="shared" si="3"/>
        <v>0.9999999999</v>
      </c>
      <c r="O24" s="18">
        <f t="shared" si="3"/>
        <v>0.9999999999</v>
      </c>
      <c r="P24" s="18">
        <f t="shared" si="3"/>
        <v>1</v>
      </c>
      <c r="Q24" s="18">
        <f t="shared" si="3"/>
        <v>0.9999999999</v>
      </c>
      <c r="R24" s="18">
        <f t="shared" si="3"/>
        <v>0.9999999999</v>
      </c>
      <c r="S24" s="18">
        <f t="shared" si="3"/>
        <v>1</v>
      </c>
      <c r="T24" s="18">
        <f t="shared" si="3"/>
        <v>1</v>
      </c>
      <c r="U24" s="18">
        <f t="shared" si="3"/>
        <v>0.9999999999</v>
      </c>
      <c r="V24" s="18">
        <f t="shared" si="3"/>
        <v>1</v>
      </c>
      <c r="W24" s="18">
        <f t="shared" si="3"/>
        <v>1</v>
      </c>
      <c r="X24" s="18">
        <f t="shared" si="3"/>
        <v>0.999999</v>
      </c>
      <c r="Y24" s="18">
        <f t="shared" si="3"/>
        <v>1.000001</v>
      </c>
      <c r="Z24" s="18">
        <f t="shared" si="3"/>
        <v>1.000001</v>
      </c>
      <c r="AA24" s="18">
        <f t="shared" si="3"/>
        <v>1.000001</v>
      </c>
      <c r="AB24" s="18">
        <f t="shared" si="3"/>
        <v>0.999998</v>
      </c>
      <c r="AC24" s="18">
        <f t="shared" si="3"/>
        <v>1.000002</v>
      </c>
      <c r="AD24" s="18">
        <f t="shared" si="3"/>
        <v>0.999999</v>
      </c>
    </row>
    <row r="25" ht="15.75" customHeight="1">
      <c r="V25" s="6"/>
      <c r="W25" s="6"/>
      <c r="X25" s="6"/>
      <c r="Y25" s="6"/>
    </row>
    <row r="26" ht="15.75" customHeight="1">
      <c r="V26" s="6"/>
      <c r="W26" s="6"/>
      <c r="X26" s="6"/>
      <c r="Y26" s="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8.29"/>
    <col customWidth="1" min="2" max="2" width="32.71"/>
    <col customWidth="1" min="3" max="6" width="14.43"/>
  </cols>
  <sheetData>
    <row r="1" ht="15.75" customHeight="1">
      <c r="A1" s="20" t="s">
        <v>0</v>
      </c>
      <c r="B1" s="21" t="s">
        <v>1</v>
      </c>
      <c r="C1" s="3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3" t="s">
        <v>8</v>
      </c>
      <c r="I1" s="23" t="s">
        <v>9</v>
      </c>
      <c r="J1" s="23" t="s">
        <v>10</v>
      </c>
      <c r="K1" s="23" t="s">
        <v>11</v>
      </c>
      <c r="L1" s="23" t="s">
        <v>12</v>
      </c>
      <c r="M1" s="23" t="s">
        <v>13</v>
      </c>
      <c r="N1" s="23" t="s">
        <v>14</v>
      </c>
      <c r="O1" s="23" t="s">
        <v>15</v>
      </c>
      <c r="P1" s="23" t="s">
        <v>16</v>
      </c>
      <c r="Q1" s="20" t="s">
        <v>17</v>
      </c>
      <c r="R1" s="20" t="s">
        <v>18</v>
      </c>
      <c r="S1" s="20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/>
      <c r="AE1" s="1"/>
    </row>
    <row r="2" ht="15.75" customHeight="1">
      <c r="A2" s="2">
        <v>1.0</v>
      </c>
      <c r="B2" s="3" t="s">
        <v>56</v>
      </c>
      <c r="C2" s="4"/>
      <c r="D2" s="4"/>
      <c r="E2" s="4">
        <f>0.1062240961/2</f>
        <v>0.05311204805</v>
      </c>
      <c r="F2" s="4">
        <v>0.06170731885</v>
      </c>
      <c r="G2" s="4">
        <v>0.07940291773</v>
      </c>
      <c r="H2" s="4">
        <f>0.1184484616+0.08451017225/2</f>
        <v>0.1607035477</v>
      </c>
      <c r="I2" s="4">
        <v>0.06826009297</v>
      </c>
      <c r="J2" s="5"/>
      <c r="K2" s="5">
        <v>0.1167922378</v>
      </c>
      <c r="L2" s="5">
        <v>0.1139569265</v>
      </c>
      <c r="M2" s="5">
        <v>0.09285181922</v>
      </c>
      <c r="N2" s="5">
        <v>0.07283428352</v>
      </c>
      <c r="O2" s="5">
        <v>0.05790598552</v>
      </c>
      <c r="P2" s="5">
        <v>0.04886126367</v>
      </c>
      <c r="Q2" s="5">
        <v>0.08740775584</v>
      </c>
      <c r="R2" s="5">
        <v>0.05839541595</v>
      </c>
      <c r="S2" s="5">
        <v>0.06267064086</v>
      </c>
      <c r="T2" s="6"/>
      <c r="U2" s="6"/>
      <c r="V2" s="6"/>
      <c r="W2" s="6"/>
      <c r="X2" s="6"/>
      <c r="Y2" s="6"/>
      <c r="Z2" s="6"/>
      <c r="AA2" s="6">
        <f>0.1213252912+0.04968926553</f>
        <v>0.1710145567</v>
      </c>
      <c r="AB2" s="6">
        <f>0.07614706172/2+0.06562199926</f>
        <v>0.1036955301</v>
      </c>
      <c r="AC2" s="19"/>
      <c r="AD2" s="19"/>
      <c r="AE2" s="19"/>
    </row>
    <row r="3" ht="15.75" customHeight="1">
      <c r="A3" s="2">
        <v>2.0</v>
      </c>
      <c r="B3" s="3" t="s">
        <v>58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5">
        <v>0.07973772631</v>
      </c>
      <c r="O3" s="5">
        <v>0.09773879842</v>
      </c>
      <c r="P3" s="5">
        <v>0.1439426917</v>
      </c>
      <c r="Q3" s="5">
        <v>0.121723645</v>
      </c>
      <c r="R3" s="5">
        <v>0.1270471442</v>
      </c>
      <c r="S3" s="4">
        <v>0.109793137</v>
      </c>
      <c r="T3" s="6">
        <v>0.09736478652</v>
      </c>
      <c r="U3" s="6"/>
      <c r="V3" s="6">
        <f>0.1108445519</f>
        <v>0.1108445519</v>
      </c>
      <c r="W3" s="6">
        <f>0.1147414209</f>
        <v>0.1147414209</v>
      </c>
      <c r="X3" s="6">
        <f>0.1081876676</f>
        <v>0.1081876676</v>
      </c>
      <c r="Y3" s="6">
        <f>0.1158516791+0.07122070594</f>
        <v>0.187072385</v>
      </c>
      <c r="Z3" s="6"/>
      <c r="AA3" s="6"/>
      <c r="AB3" s="6"/>
      <c r="AC3" s="19"/>
      <c r="AD3" s="19"/>
      <c r="AE3" s="19"/>
    </row>
    <row r="4" ht="15.75" customHeight="1">
      <c r="A4" s="2">
        <v>3.0</v>
      </c>
      <c r="B4" s="3" t="s">
        <v>60</v>
      </c>
      <c r="C4" s="4">
        <f>0.08060689309/2+0.07611307021+0.08218616552</f>
        <v>0.1986026823</v>
      </c>
      <c r="D4" s="4">
        <v>0.06816660973</v>
      </c>
      <c r="E4" s="4"/>
      <c r="F4" s="4">
        <f>0.1605251437/2</f>
        <v>0.08026257185</v>
      </c>
      <c r="G4" s="4"/>
      <c r="H4" s="4">
        <f>0.1134251366/2</f>
        <v>0.0567125683</v>
      </c>
      <c r="I4" s="4"/>
      <c r="J4" s="4"/>
      <c r="K4" s="4">
        <f>0.1292185291/2</f>
        <v>0.06460926455</v>
      </c>
      <c r="L4" s="4"/>
      <c r="M4" s="4"/>
      <c r="N4" s="4"/>
      <c r="O4" s="4"/>
      <c r="P4" s="4"/>
      <c r="Q4" s="4"/>
      <c r="R4" s="4"/>
      <c r="S4" s="4"/>
      <c r="T4" s="6"/>
      <c r="U4" s="6"/>
      <c r="V4" s="6"/>
      <c r="W4" s="6"/>
      <c r="X4" s="6"/>
      <c r="Y4" s="6"/>
      <c r="Z4" s="6"/>
      <c r="AA4" s="6"/>
      <c r="AB4" s="6"/>
      <c r="AC4" s="19"/>
      <c r="AD4" s="19"/>
      <c r="AE4" s="19"/>
    </row>
    <row r="5" ht="15.75" customHeight="1">
      <c r="A5" s="2">
        <v>4.0</v>
      </c>
      <c r="B5" s="3" t="s">
        <v>62</v>
      </c>
      <c r="C5" s="4"/>
      <c r="D5" s="4"/>
      <c r="E5" s="4"/>
      <c r="F5" s="4">
        <f>0.1617030592/2</f>
        <v>0.0808515296</v>
      </c>
      <c r="G5" s="4">
        <f>0.1241082054/2+0.09461149443/2</f>
        <v>0.1093598499</v>
      </c>
      <c r="H5" s="5"/>
      <c r="I5" s="5"/>
      <c r="J5" s="5">
        <f>0.08243127124/2</f>
        <v>0.04121563562</v>
      </c>
      <c r="K5" s="4">
        <v>0.07059143563</v>
      </c>
      <c r="L5" s="5">
        <v>0.06538558776</v>
      </c>
      <c r="M5" s="5">
        <f>0.06494947869/2</f>
        <v>0.03247473935</v>
      </c>
      <c r="N5" s="5">
        <f>0.1594849097/2+0.0692670097</f>
        <v>0.1490094646</v>
      </c>
      <c r="O5" s="5">
        <f t="shared" ref="O5:O6" si="1">0.1415442644/2</f>
        <v>0.0707721322</v>
      </c>
      <c r="P5" s="5">
        <f>0.1377780968/2+0.1234134081/2</f>
        <v>0.1305957525</v>
      </c>
      <c r="Q5" s="5">
        <f t="shared" ref="Q5:Q6" si="2">0.1713295271/2+0.03266623853/2+0.1213941599/2</f>
        <v>0.1626949628</v>
      </c>
      <c r="R5" s="5">
        <f t="shared" ref="R5:R6" si="3">0.1716222732/2+0.08513318428/2+0.06246979225/2</f>
        <v>0.1596126249</v>
      </c>
      <c r="S5" s="5">
        <f t="shared" ref="S5:S6" si="4">0.07542062173/2+0.1239419358/2+0.08136229457/2</f>
        <v>0.1403624261</v>
      </c>
      <c r="T5" s="6">
        <v>0.07738820706</v>
      </c>
      <c r="U5" s="6">
        <f>0.1704270818/3+0.1264543666+0.06897264356/2</f>
        <v>0.2177497156</v>
      </c>
      <c r="V5" s="6">
        <f>0.1362213715/2+0.04226064715/2+0.09363284757</f>
        <v>0.1828738569</v>
      </c>
      <c r="W5" s="6">
        <f>0.07869763771+0.1059777551/2</f>
        <v>0.1316865153</v>
      </c>
      <c r="X5" s="6">
        <f>0.08009239291/2+0.08738252397/2+0.1254153032/2</f>
        <v>0.14644511</v>
      </c>
      <c r="Y5" s="6">
        <f>0.1133272276/2+0.04154893657/2</f>
        <v>0.07743808209</v>
      </c>
      <c r="Z5" s="6">
        <f>0.1827631759/2+0.1067867499/2</f>
        <v>0.1447749629</v>
      </c>
      <c r="AA5" s="6">
        <f>0.1778200385/2+0.1282616953</f>
        <v>0.2171717146</v>
      </c>
      <c r="AB5" s="6">
        <f>0.1823027807+0.09482208303</f>
        <v>0.2771248637</v>
      </c>
      <c r="AC5" s="19"/>
      <c r="AD5" s="19"/>
      <c r="AE5" s="19"/>
    </row>
    <row r="6" ht="15.75" customHeight="1">
      <c r="A6" s="2">
        <v>5.0</v>
      </c>
      <c r="B6" s="3" t="s">
        <v>64</v>
      </c>
      <c r="C6" s="4"/>
      <c r="D6" s="4"/>
      <c r="E6" s="4"/>
      <c r="F6" s="4"/>
      <c r="G6" s="4"/>
      <c r="H6" s="4"/>
      <c r="I6" s="4"/>
      <c r="J6" s="4"/>
      <c r="K6" s="4">
        <f>0.1292185291/2</f>
        <v>0.06460926455</v>
      </c>
      <c r="L6" s="4">
        <v>0.1521918391</v>
      </c>
      <c r="M6" s="5">
        <v>0.141132062</v>
      </c>
      <c r="N6" s="5">
        <f>0.1594849097/2</f>
        <v>0.07974245485</v>
      </c>
      <c r="O6" s="5">
        <f t="shared" si="1"/>
        <v>0.0707721322</v>
      </c>
      <c r="P6" s="5">
        <v>0.1306</v>
      </c>
      <c r="Q6" s="5">
        <f t="shared" si="2"/>
        <v>0.1626949628</v>
      </c>
      <c r="R6" s="5">
        <f t="shared" si="3"/>
        <v>0.1596126249</v>
      </c>
      <c r="S6" s="5">
        <f t="shared" si="4"/>
        <v>0.1403624261</v>
      </c>
      <c r="T6" s="6">
        <v>0.1007356285</v>
      </c>
      <c r="U6" s="6">
        <f>0.06897264356/2+0.1628941821</f>
        <v>0.1973805039</v>
      </c>
      <c r="V6" s="6">
        <f>0.1362213715/2+0.140688265</f>
        <v>0.2087989508</v>
      </c>
      <c r="W6" s="6">
        <f>0.1336370642+0.09368555142</f>
        <v>0.2273226156</v>
      </c>
      <c r="X6" s="6">
        <f>0.1409604215+0.1254153032/2</f>
        <v>0.2036680731</v>
      </c>
      <c r="Y6" s="6">
        <f>0.04154893657/2+0.1412127005</f>
        <v>0.1619871688</v>
      </c>
      <c r="Z6" s="6">
        <f>0.07437353381</f>
        <v>0.07437353381</v>
      </c>
      <c r="AA6" s="6">
        <f>0.1252806116</f>
        <v>0.1252806116</v>
      </c>
      <c r="AB6" s="6"/>
      <c r="AC6" s="19"/>
      <c r="AD6" s="19"/>
      <c r="AE6" s="19"/>
    </row>
    <row r="7" ht="15.75" customHeight="1">
      <c r="A7" s="2">
        <v>6.0</v>
      </c>
      <c r="B7" s="3" t="s">
        <v>66</v>
      </c>
      <c r="C7" s="4"/>
      <c r="D7" s="4"/>
      <c r="E7" s="4"/>
      <c r="F7" s="4"/>
      <c r="G7" s="4"/>
      <c r="H7" s="4"/>
      <c r="I7" s="4"/>
      <c r="J7" s="4"/>
      <c r="K7" s="4">
        <v>0.07219149894</v>
      </c>
      <c r="L7" s="4">
        <v>0.06034043982</v>
      </c>
      <c r="M7" s="5">
        <f>0.06494947869/2+0.066596210722/2+0.1276949358</f>
        <v>0.1934677805</v>
      </c>
      <c r="N7" s="5"/>
      <c r="O7" s="5"/>
      <c r="P7" s="5"/>
      <c r="Q7" s="5"/>
      <c r="R7" s="5">
        <v>0.155399501</v>
      </c>
      <c r="S7" s="5"/>
      <c r="T7" s="6">
        <f>0.08061025358/2+0.2319936978/2</f>
        <v>0.1563019757</v>
      </c>
      <c r="U7" s="6">
        <f t="shared" ref="U7:U8" si="5">0.1704270818/3</f>
        <v>0.05680902727</v>
      </c>
      <c r="V7" s="6"/>
      <c r="W7" s="6"/>
      <c r="X7" s="6"/>
      <c r="Y7" s="6"/>
      <c r="Z7" s="6">
        <f>0.1827631759/2</f>
        <v>0.09138158795</v>
      </c>
      <c r="AA7" s="6">
        <f>0.1778200385/2</f>
        <v>0.08891001925</v>
      </c>
      <c r="AB7" s="6"/>
      <c r="AC7" s="19"/>
      <c r="AD7" s="19"/>
      <c r="AE7" s="19"/>
    </row>
    <row r="8" ht="15.75" customHeight="1">
      <c r="A8" s="2">
        <v>7.0</v>
      </c>
      <c r="B8" s="3" t="s">
        <v>68</v>
      </c>
      <c r="C8" s="4"/>
      <c r="D8" s="4"/>
      <c r="E8" s="5">
        <v>0.0613562601</v>
      </c>
      <c r="F8" s="5"/>
      <c r="G8" s="4"/>
      <c r="H8" s="4">
        <f>0.08451017225/2</f>
        <v>0.04225508613</v>
      </c>
      <c r="I8" s="4"/>
      <c r="J8" s="4"/>
      <c r="K8" s="5"/>
      <c r="L8" s="5">
        <v>0.1370441419</v>
      </c>
      <c r="M8" s="4">
        <f>0.06659621072/2</f>
        <v>0.03329810536</v>
      </c>
      <c r="N8" s="4"/>
      <c r="O8" s="4"/>
      <c r="P8" s="4"/>
      <c r="Q8" s="4"/>
      <c r="R8" s="4"/>
      <c r="S8" s="5"/>
      <c r="T8" s="6">
        <f>0.2319936978/2</f>
        <v>0.1159968489</v>
      </c>
      <c r="U8" s="6">
        <f t="shared" si="5"/>
        <v>0.05680902727</v>
      </c>
      <c r="V8" s="6">
        <f>0.04226064715/2</f>
        <v>0.02113032358</v>
      </c>
      <c r="W8" s="6">
        <f>0.1059777551/2</f>
        <v>0.05298887755</v>
      </c>
      <c r="X8" s="6">
        <f>0.08738252397/2</f>
        <v>0.04369126199</v>
      </c>
      <c r="Y8" s="6">
        <f>0.05364082272</f>
        <v>0.05364082272</v>
      </c>
      <c r="Z8" s="6">
        <f>0.1067867499/2</f>
        <v>0.05339337495</v>
      </c>
      <c r="AA8" s="6"/>
      <c r="AB8" s="6">
        <f>0.07614706172/2</f>
        <v>0.03807353086</v>
      </c>
      <c r="AC8" s="19"/>
      <c r="AD8" s="19"/>
      <c r="AE8" s="19"/>
    </row>
    <row r="9" ht="15.75" customHeight="1">
      <c r="A9" s="2">
        <v>8.0</v>
      </c>
      <c r="B9" s="3" t="s">
        <v>70</v>
      </c>
      <c r="C9" s="4"/>
      <c r="D9" s="4"/>
      <c r="E9" s="4"/>
      <c r="F9" s="4"/>
      <c r="G9" s="4"/>
      <c r="H9" s="4"/>
      <c r="I9" s="4"/>
      <c r="J9" s="4"/>
      <c r="K9" s="4">
        <v>0.05696472646</v>
      </c>
      <c r="L9" s="4"/>
      <c r="M9" s="4"/>
      <c r="N9" s="4"/>
      <c r="O9" s="5"/>
      <c r="P9" s="4"/>
      <c r="Q9" s="4"/>
      <c r="R9" s="4"/>
      <c r="S9" s="4"/>
      <c r="T9" s="6"/>
      <c r="U9" s="6"/>
      <c r="V9" s="6"/>
      <c r="W9" s="6"/>
      <c r="X9" s="6"/>
      <c r="Y9" s="6"/>
      <c r="Z9" s="6"/>
      <c r="AA9" s="6"/>
      <c r="AB9" s="6">
        <f>0.09879283907</f>
        <v>0.09879283907</v>
      </c>
      <c r="AC9" s="19"/>
      <c r="AD9" s="19"/>
      <c r="AE9" s="19"/>
    </row>
    <row r="10" ht="15.75" customHeight="1">
      <c r="A10" s="2">
        <v>9.0</v>
      </c>
      <c r="B10" s="3" t="s">
        <v>72</v>
      </c>
      <c r="C10" s="4"/>
      <c r="D10" s="4"/>
      <c r="E10" s="4"/>
      <c r="F10" s="4"/>
      <c r="G10" s="4"/>
      <c r="H10" s="4"/>
      <c r="I10" s="4"/>
      <c r="J10" s="4"/>
      <c r="K10" s="4">
        <v>0.1108723666</v>
      </c>
      <c r="L10" s="4">
        <v>0.1140339812</v>
      </c>
      <c r="M10" s="4">
        <v>0.1180844229</v>
      </c>
      <c r="N10" s="4">
        <v>0.08703166634</v>
      </c>
      <c r="O10" s="4">
        <v>0.1076353366</v>
      </c>
      <c r="P10" s="4">
        <v>0.08330373948</v>
      </c>
      <c r="Q10" s="4">
        <v>0.08492958936</v>
      </c>
      <c r="R10" s="4">
        <v>0.08818576181</v>
      </c>
      <c r="S10" s="4">
        <v>0.08978658413</v>
      </c>
      <c r="T10" s="6">
        <v>0.1067363261</v>
      </c>
      <c r="U10" s="6">
        <v>0.09884927035</v>
      </c>
      <c r="V10" s="6">
        <f>0.04529100874+0.07922001631</f>
        <v>0.1245110251</v>
      </c>
      <c r="W10" s="6">
        <f>0.1219991541</f>
        <v>0.1219991541</v>
      </c>
      <c r="X10" s="6">
        <f>0.09376429327</f>
        <v>0.09376429327</v>
      </c>
      <c r="Y10" s="6">
        <f>0.1180925816</f>
        <v>0.1180925816</v>
      </c>
      <c r="Z10" s="6">
        <f>0.1249860616</f>
        <v>0.1249860616</v>
      </c>
      <c r="AA10" s="6">
        <f>0.08613303811</f>
        <v>0.08613303811</v>
      </c>
      <c r="AB10" s="6"/>
      <c r="AC10" s="19"/>
      <c r="AD10" s="19"/>
      <c r="AE10" s="19"/>
    </row>
    <row r="11" ht="15.75" customHeight="1">
      <c r="A11" s="7">
        <v>10.0</v>
      </c>
      <c r="B11" s="8" t="s">
        <v>74</v>
      </c>
      <c r="C11" s="9"/>
      <c r="D11" s="9"/>
      <c r="E11" s="9"/>
      <c r="F11" s="9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11"/>
      <c r="S11" s="9"/>
      <c r="T11" s="10"/>
      <c r="U11" s="10"/>
      <c r="V11" s="10"/>
      <c r="W11" s="10"/>
      <c r="X11" s="10">
        <f>0.08009239291/2</f>
        <v>0.04004619646</v>
      </c>
      <c r="Y11" s="10">
        <f>0.1133272276/2</f>
        <v>0.0566636138</v>
      </c>
      <c r="Z11" s="10">
        <f>0.08149396953</f>
        <v>0.08149396953</v>
      </c>
      <c r="AA11" s="10"/>
      <c r="AB11" s="10">
        <f>0.1080244042</f>
        <v>0.1080244042</v>
      </c>
      <c r="AC11" s="28"/>
      <c r="AD11" s="28"/>
      <c r="AE11" s="28"/>
    </row>
    <row r="12" ht="15.75" customHeight="1">
      <c r="A12" s="7">
        <v>11.0</v>
      </c>
      <c r="B12" s="8" t="s">
        <v>76</v>
      </c>
      <c r="C12" s="9"/>
      <c r="D12" s="9"/>
      <c r="E12" s="11"/>
      <c r="F12" s="11"/>
      <c r="G12" s="11"/>
      <c r="H12" s="11"/>
      <c r="I12" s="11"/>
      <c r="J12" s="11"/>
      <c r="K12" s="11"/>
      <c r="L12" s="11"/>
      <c r="M12" s="9"/>
      <c r="N12" s="11"/>
      <c r="O12" s="11"/>
      <c r="P12" s="9"/>
      <c r="Q12" s="9"/>
      <c r="R12" s="9"/>
      <c r="S12" s="9"/>
      <c r="T12" s="10"/>
      <c r="U12" s="10"/>
      <c r="V12" s="10"/>
      <c r="W12" s="10"/>
      <c r="X12" s="10"/>
      <c r="Y12" s="10"/>
      <c r="Z12" s="10"/>
      <c r="AA12" s="10"/>
      <c r="AB12" s="10"/>
      <c r="AC12" s="28"/>
      <c r="AD12" s="28"/>
      <c r="AE12" s="28"/>
    </row>
    <row r="13" ht="15.75" customHeight="1">
      <c r="A13" s="7">
        <v>12.0</v>
      </c>
      <c r="B13" s="12" t="s">
        <v>78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10"/>
      <c r="U13" s="10"/>
      <c r="V13" s="10"/>
      <c r="W13" s="10"/>
      <c r="X13" s="10"/>
      <c r="Y13" s="10"/>
      <c r="Z13" s="10"/>
      <c r="AA13" s="10"/>
      <c r="AB13" s="10"/>
      <c r="AC13" s="28"/>
      <c r="AD13" s="28"/>
      <c r="AE13" s="28"/>
    </row>
    <row r="14" ht="15.75" customHeight="1">
      <c r="A14" s="2">
        <v>13.0</v>
      </c>
      <c r="B14" s="3" t="s">
        <v>80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6"/>
      <c r="U14" s="6"/>
      <c r="V14" s="6"/>
      <c r="W14" s="6"/>
      <c r="X14" s="6">
        <f>0.08584967551</f>
        <v>0.08584967551</v>
      </c>
      <c r="Y14" s="6">
        <f>0.1106221076</f>
        <v>0.1106221076</v>
      </c>
      <c r="Z14" s="6">
        <f>0.07557892872</f>
        <v>0.07557892872</v>
      </c>
      <c r="AA14" s="6">
        <f>0.07358376944</f>
        <v>0.07358376944</v>
      </c>
      <c r="AB14" s="6"/>
      <c r="AC14" s="19"/>
      <c r="AD14" s="19"/>
      <c r="AE14" s="19"/>
    </row>
    <row r="15" ht="15.75" customHeight="1">
      <c r="A15" s="2">
        <v>101.0</v>
      </c>
      <c r="B15" s="3" t="s">
        <v>81</v>
      </c>
      <c r="C15" s="4"/>
      <c r="D15" s="4">
        <f>0.07084065407+0.1524711526+0.07005381103+0.07662414162+0.09437174321+0.1071184131</f>
        <v>0.5714799156</v>
      </c>
      <c r="E15" s="4"/>
      <c r="F15" s="4"/>
      <c r="G15" s="4">
        <f>0.07291557807+0.1241082054/2</f>
        <v>0.1349696808</v>
      </c>
      <c r="H15" s="4">
        <f>0.1134251366/2+0.06162443604</f>
        <v>0.1183370043</v>
      </c>
      <c r="I15" s="4">
        <f>0.09010302684/2+0.1252563453/2+0.1411936392</f>
        <v>0.2488733253</v>
      </c>
      <c r="J15" s="4">
        <f>0.1277964178+0.09673696481+0.08073124511+0.09682606818+0.08243127124/2</f>
        <v>0.4433063315</v>
      </c>
      <c r="K15" s="4">
        <f>0.1214432078/2+0.08800413651</f>
        <v>0.1487257404</v>
      </c>
      <c r="L15" s="4">
        <f>0.1167247011+0.1207740869</f>
        <v>0.237498788</v>
      </c>
      <c r="M15" s="4">
        <v>0.1271906426</v>
      </c>
      <c r="N15" s="4">
        <f>10.64006053%/2</f>
        <v>0.05320030265</v>
      </c>
      <c r="O15" s="4">
        <f>0.2238351645+0.11901284352075</f>
        <v>0.342848008</v>
      </c>
      <c r="P15" s="4">
        <v>0.2460051748</v>
      </c>
      <c r="Q15" s="4">
        <v>0.2179235506</v>
      </c>
      <c r="R15" s="4">
        <f>12.84103581%/2</f>
        <v>0.06420517905</v>
      </c>
      <c r="S15" s="4">
        <f>12.13433392%/2</f>
        <v>0.0606716696</v>
      </c>
      <c r="T15" s="6">
        <f>0.1242198655/2</f>
        <v>0.06210993275</v>
      </c>
      <c r="U15" s="6">
        <v>0.150126766</v>
      </c>
      <c r="V15" s="6">
        <f>0.1850086642</f>
        <v>0.1850086642</v>
      </c>
      <c r="W15" s="6"/>
      <c r="X15" s="6">
        <f>0.1460789564/2</f>
        <v>0.0730394782</v>
      </c>
      <c r="Y15" s="6"/>
      <c r="Z15" s="6"/>
      <c r="AA15" s="6">
        <f>0.07566321458</f>
        <v>0.07566321458</v>
      </c>
      <c r="AB15" s="6">
        <f>0.1216349151/2</f>
        <v>0.06081745755</v>
      </c>
      <c r="AC15" s="19"/>
      <c r="AD15" s="19"/>
      <c r="AE15" s="19"/>
    </row>
    <row r="16" ht="15.75" customHeight="1">
      <c r="A16" s="2">
        <v>102.0</v>
      </c>
      <c r="B16" s="3" t="s">
        <v>83</v>
      </c>
      <c r="C16" s="4"/>
      <c r="D16" s="4"/>
      <c r="E16" s="4"/>
      <c r="F16" s="4"/>
      <c r="G16" s="4">
        <v>0.1584501189</v>
      </c>
      <c r="H16" s="4">
        <v>0.1786574761</v>
      </c>
      <c r="I16" s="4">
        <f>0.1029542673+0.1253562196</f>
        <v>0.2283104869</v>
      </c>
      <c r="J16" s="4">
        <v>0.1573137469</v>
      </c>
      <c r="K16" s="4">
        <v>0.1284397766</v>
      </c>
      <c r="L16" s="4"/>
      <c r="M16" s="4"/>
      <c r="N16" s="4"/>
      <c r="O16" s="4"/>
      <c r="P16" s="4"/>
      <c r="Q16" s="4"/>
      <c r="R16" s="4"/>
      <c r="S16" s="4">
        <v>0.188349717</v>
      </c>
      <c r="T16" s="6">
        <f>0.08061025358/2</f>
        <v>0.04030512679</v>
      </c>
      <c r="U16" s="6"/>
      <c r="V16" s="6"/>
      <c r="W16" s="6"/>
      <c r="X16" s="6"/>
      <c r="Y16" s="6">
        <f>0.1847264195</f>
        <v>0.1847264195</v>
      </c>
      <c r="Z16" s="6"/>
      <c r="AA16" s="6"/>
      <c r="AB16" s="6"/>
      <c r="AC16" s="19"/>
      <c r="AD16" s="19"/>
      <c r="AE16" s="19"/>
    </row>
    <row r="17" ht="15.75" customHeight="1">
      <c r="A17" s="2">
        <v>103.0</v>
      </c>
      <c r="B17" s="3" t="s">
        <v>85</v>
      </c>
      <c r="C17" s="4"/>
      <c r="D17" s="5"/>
      <c r="E17" s="5">
        <v>0.06417610917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4"/>
      <c r="R17" s="4"/>
      <c r="S17" s="5"/>
      <c r="T17" s="6"/>
      <c r="U17" s="6"/>
      <c r="V17" s="6"/>
      <c r="W17" s="6"/>
      <c r="X17" s="6"/>
      <c r="Y17" s="6"/>
      <c r="Z17" s="6"/>
      <c r="AA17" s="6"/>
      <c r="AB17" s="6"/>
      <c r="AC17" s="19"/>
      <c r="AD17" s="19"/>
      <c r="AE17" s="19"/>
    </row>
    <row r="18" ht="15.75" customHeight="1">
      <c r="A18" s="2">
        <v>104.0</v>
      </c>
      <c r="B18" s="3" t="s">
        <v>87</v>
      </c>
      <c r="C18" s="4"/>
      <c r="D18" s="4"/>
      <c r="E18" s="5"/>
      <c r="F18" s="5">
        <v>0.05465924901</v>
      </c>
      <c r="G18" s="5"/>
      <c r="H18" s="4"/>
      <c r="I18" s="4"/>
      <c r="J18" s="5"/>
      <c r="K18" s="5"/>
      <c r="L18" s="4"/>
      <c r="M18" s="5"/>
      <c r="N18" s="4"/>
      <c r="O18" s="4"/>
      <c r="P18" s="4"/>
      <c r="Q18" s="4"/>
      <c r="R18" s="4"/>
      <c r="S18" s="4"/>
      <c r="T18" s="6"/>
      <c r="U18" s="6"/>
      <c r="V18" s="6"/>
      <c r="W18" s="6"/>
      <c r="X18" s="6"/>
      <c r="Y18" s="6"/>
      <c r="Z18" s="6"/>
      <c r="AA18" s="6"/>
      <c r="AB18" s="6"/>
      <c r="AC18" s="19"/>
      <c r="AD18" s="19"/>
      <c r="AE18" s="19"/>
    </row>
    <row r="19" ht="15.75" customHeight="1">
      <c r="A19" s="2">
        <v>105.0</v>
      </c>
      <c r="B19" s="3" t="s">
        <v>89</v>
      </c>
      <c r="C19" s="5">
        <f>0.07999604553+0.08060689309/2+0.2551182093+0.09085543717+0.0776494406+0.09048401788</f>
        <v>0.634406597</v>
      </c>
      <c r="D19" s="5">
        <f>0.1926836784+0.1337243187</f>
        <v>0.3264079971</v>
      </c>
      <c r="E19" s="5">
        <f>0.1469559228+0.1575542357+0.1062240961/2+0.1175573207+0.1159984187+0.05373210705</f>
        <v>0.644910053</v>
      </c>
      <c r="F19" s="5">
        <f>0.0820342353+0.07957083262+0.1617030592/2+0.09216338091+0.1193973039+0.1605251437/2</f>
        <v>0.5342798542</v>
      </c>
      <c r="G19" s="5">
        <f>0.1382305377+0.05088356666+0.09461149443/2+0.09378159462+0.1378493665</f>
        <v>0.4680508127</v>
      </c>
      <c r="H19" s="5">
        <f>0.09394106585+0.1054120911+0.08258569634</f>
        <v>0.2819388533</v>
      </c>
      <c r="I19" s="5">
        <f>0.09010302684/2+0.1252563453/2+9.876727758%</f>
        <v>0.2064469637</v>
      </c>
      <c r="J19" s="4">
        <v>0.145086729</v>
      </c>
      <c r="K19" s="4">
        <f>0.1214432078/2</f>
        <v>0.0607216039</v>
      </c>
      <c r="L19" s="4"/>
      <c r="M19" s="4"/>
      <c r="N19" s="4">
        <f>10.64006053%/2</f>
        <v>0.05320030265</v>
      </c>
      <c r="O19" s="4">
        <v>0.08666719435</v>
      </c>
      <c r="P19" s="4"/>
      <c r="Q19" s="5"/>
      <c r="R19" s="4">
        <f>12.84103581%/2</f>
        <v>0.06420517905</v>
      </c>
      <c r="S19" s="4">
        <f>12.13433392%/2</f>
        <v>0.0606716696</v>
      </c>
      <c r="T19" s="6">
        <f>0.1242198655/2</f>
        <v>0.06210993275</v>
      </c>
      <c r="U19" s="6"/>
      <c r="V19" s="6"/>
      <c r="W19" s="6"/>
      <c r="X19" s="6">
        <f>0.1460789564/2</f>
        <v>0.0730394782</v>
      </c>
      <c r="Y19" s="6"/>
      <c r="Z19" s="6">
        <f>0.1191681904</f>
        <v>0.1191681904</v>
      </c>
      <c r="AA19" s="6"/>
      <c r="AB19" s="6">
        <f>0.1216349151/2</f>
        <v>0.06081745755</v>
      </c>
      <c r="AC19" s="19"/>
      <c r="AD19" s="19"/>
      <c r="AE19" s="19"/>
    </row>
    <row r="20" ht="15.75" customHeight="1">
      <c r="A20" s="2">
        <v>106.0</v>
      </c>
      <c r="B20" s="3" t="s">
        <v>91</v>
      </c>
      <c r="C20" s="4"/>
      <c r="D20" s="4"/>
      <c r="E20" s="5"/>
      <c r="F20" s="5"/>
      <c r="G20" s="5"/>
      <c r="H20" s="5">
        <v>0.06078683926</v>
      </c>
      <c r="I20" s="5">
        <v>0.03248043034</v>
      </c>
      <c r="J20" s="5">
        <v>0.06016647167</v>
      </c>
      <c r="K20" s="5"/>
      <c r="L20" s="5"/>
      <c r="M20" s="5"/>
      <c r="N20" s="5"/>
      <c r="O20" s="5"/>
      <c r="P20" s="5"/>
      <c r="Q20" s="5"/>
      <c r="R20" s="5"/>
      <c r="S20" s="5"/>
      <c r="T20" s="6"/>
      <c r="U20" s="6"/>
      <c r="V20" s="6"/>
      <c r="W20" s="6"/>
      <c r="X20" s="6"/>
      <c r="Y20" s="6"/>
      <c r="Z20" s="6"/>
      <c r="AA20" s="6"/>
      <c r="AB20" s="6"/>
      <c r="AC20" s="19"/>
      <c r="AD20" s="19"/>
      <c r="AE20" s="19"/>
    </row>
    <row r="21" ht="15.75" customHeight="1">
      <c r="A21" s="7">
        <v>107.0</v>
      </c>
      <c r="B21" s="8" t="s">
        <v>93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0"/>
      <c r="U21" s="10"/>
      <c r="V21" s="10"/>
      <c r="W21" s="10">
        <f>0.1930642587</f>
        <v>0.1930642587</v>
      </c>
      <c r="X21" s="10"/>
      <c r="Y21" s="10"/>
      <c r="Z21" s="10"/>
      <c r="AA21" s="10"/>
      <c r="AB21" s="10"/>
      <c r="AC21" s="28"/>
      <c r="AD21" s="28"/>
      <c r="AE21" s="28"/>
    </row>
    <row r="22" ht="15.75" customHeight="1">
      <c r="A22" s="2">
        <v>108.0</v>
      </c>
      <c r="B22" s="3" t="s">
        <v>95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6"/>
      <c r="U22" s="6"/>
      <c r="V22" s="6"/>
      <c r="W22" s="6"/>
      <c r="X22" s="6"/>
      <c r="Y22" s="6"/>
      <c r="Z22" s="6"/>
      <c r="AA22" s="6"/>
      <c r="AB22" s="6"/>
      <c r="AC22" s="19"/>
      <c r="AD22" s="19"/>
      <c r="AE22" s="19"/>
    </row>
    <row r="23" ht="15.75" customHeight="1">
      <c r="A23" s="2">
        <v>99.0</v>
      </c>
      <c r="B23" s="3" t="s">
        <v>97</v>
      </c>
      <c r="C23" s="14">
        <f>0.08895962532+0.07803109537</f>
        <v>0.1669907207</v>
      </c>
      <c r="D23" s="14">
        <v>0.03394547751</v>
      </c>
      <c r="E23" s="14">
        <f>0.1059709351+0.07047459453</f>
        <v>0.1764455296</v>
      </c>
      <c r="F23" s="14">
        <f>0.1133322332+0.07490724327</f>
        <v>0.1882394765</v>
      </c>
      <c r="G23" s="14">
        <v>0.04976661997</v>
      </c>
      <c r="H23" s="14">
        <v>0.1006086248</v>
      </c>
      <c r="I23" s="14">
        <f>0.1072687209+0.10835998</f>
        <v>0.2156287009</v>
      </c>
      <c r="J23" s="14">
        <f>0.03563162212+0.1172794632</f>
        <v>0.1529110853</v>
      </c>
      <c r="K23" s="14">
        <v>0.1054820846</v>
      </c>
      <c r="L23" s="14">
        <f>0.06093551276+0.05861278287</f>
        <v>0.1195482956</v>
      </c>
      <c r="M23" s="14">
        <f>0.1124456823+0.05741115702+0.09164358873</f>
        <v>0.2615004281</v>
      </c>
      <c r="N23" s="14">
        <f>0.1267988785+0.0751710552+0.05863121926+0.1646426461</f>
        <v>0.4252437991</v>
      </c>
      <c r="O23" s="14">
        <f>0.05040580432+0.06730801957+0.04794658876</f>
        <v>0.1656604127</v>
      </c>
      <c r="P23" s="14">
        <f>0.05007992648+0.04144425809+0.0653906491791784+0.05978079176</f>
        <v>0.2166956255</v>
      </c>
      <c r="Q23" s="14">
        <f>0.04093479351+0.06838010027+0.05331063987</f>
        <v>0.1626255337</v>
      </c>
      <c r="R23" s="14">
        <f>0.06094824783+0.06238832133</f>
        <v>0.1233365692</v>
      </c>
      <c r="S23" s="14">
        <f>0.05956194911+0.08776978063</f>
        <v>0.1473317297</v>
      </c>
      <c r="T23" s="6">
        <f>0.050539447+0.09757652959+0.0328352584</f>
        <v>0.180951235</v>
      </c>
      <c r="U23" s="6">
        <f>0.05366314853+0.03545527862+0.04583121182+0.08732605059</f>
        <v>0.2222756896</v>
      </c>
      <c r="V23" s="6">
        <f>0.1205394136+0.04629321399</f>
        <v>0.1668326276</v>
      </c>
      <c r="W23" s="6">
        <f>0.02986059374+0.03379825006+0.09453831402</f>
        <v>0.1581971578</v>
      </c>
      <c r="X23" s="6">
        <f>0.07017711095+0.0620916546</f>
        <v>0.1322687656</v>
      </c>
      <c r="Y23" s="6">
        <f>0.04975681895</f>
        <v>0.04975681895</v>
      </c>
      <c r="Z23" s="6">
        <f>0.05486193768+0.1372864828+0.04270096971</f>
        <v>0.2348493902</v>
      </c>
      <c r="AA23" s="6">
        <f>0.08621517826+0.07602789741</f>
        <v>0.1622430757</v>
      </c>
      <c r="AB23" s="6">
        <f>0.1356612119+0.05143679476+0.06555591016</f>
        <v>0.2526539168</v>
      </c>
      <c r="AC23" s="19"/>
      <c r="AD23" s="19"/>
      <c r="AE23" s="19"/>
    </row>
    <row r="24" ht="15.75" customHeight="1">
      <c r="A24" s="15" t="s">
        <v>99</v>
      </c>
      <c r="B24" s="16"/>
      <c r="C24" s="18">
        <f t="shared" ref="C24:AC24" si="6">SUM(C2:C23)</f>
        <v>1</v>
      </c>
      <c r="D24" s="18">
        <f t="shared" si="6"/>
        <v>1</v>
      </c>
      <c r="E24" s="18">
        <f t="shared" si="6"/>
        <v>1</v>
      </c>
      <c r="F24" s="18">
        <f t="shared" si="6"/>
        <v>1</v>
      </c>
      <c r="G24" s="18">
        <f t="shared" si="6"/>
        <v>1</v>
      </c>
      <c r="H24" s="18">
        <f t="shared" si="6"/>
        <v>0.9999999999</v>
      </c>
      <c r="I24" s="18">
        <f t="shared" si="6"/>
        <v>1</v>
      </c>
      <c r="J24" s="18">
        <f t="shared" si="6"/>
        <v>1</v>
      </c>
      <c r="K24" s="18">
        <f t="shared" si="6"/>
        <v>1</v>
      </c>
      <c r="L24" s="18">
        <f t="shared" si="6"/>
        <v>0.9999999999</v>
      </c>
      <c r="M24" s="18">
        <f t="shared" si="6"/>
        <v>1</v>
      </c>
      <c r="N24" s="18">
        <f t="shared" si="6"/>
        <v>0.9999999999</v>
      </c>
      <c r="O24" s="18">
        <f t="shared" si="6"/>
        <v>1</v>
      </c>
      <c r="P24" s="18">
        <f t="shared" si="6"/>
        <v>1.000004248</v>
      </c>
      <c r="Q24" s="18">
        <f t="shared" si="6"/>
        <v>1</v>
      </c>
      <c r="R24" s="18">
        <f t="shared" si="6"/>
        <v>1</v>
      </c>
      <c r="S24" s="18">
        <f t="shared" si="6"/>
        <v>1</v>
      </c>
      <c r="T24" s="18">
        <f t="shared" si="6"/>
        <v>1</v>
      </c>
      <c r="U24" s="18">
        <f t="shared" si="6"/>
        <v>1</v>
      </c>
      <c r="V24" s="18">
        <f t="shared" si="6"/>
        <v>1</v>
      </c>
      <c r="W24" s="18">
        <f t="shared" si="6"/>
        <v>1</v>
      </c>
      <c r="X24" s="18">
        <f t="shared" si="6"/>
        <v>0.9999999999</v>
      </c>
      <c r="Y24" s="18">
        <f t="shared" si="6"/>
        <v>1</v>
      </c>
      <c r="Z24" s="18">
        <f t="shared" si="6"/>
        <v>1</v>
      </c>
      <c r="AA24" s="18">
        <f t="shared" si="6"/>
        <v>0.9999999999</v>
      </c>
      <c r="AB24" s="18">
        <f t="shared" si="6"/>
        <v>0.9999999999</v>
      </c>
      <c r="AC24" s="18">
        <f t="shared" si="6"/>
        <v>0</v>
      </c>
      <c r="AD24" s="18"/>
      <c r="AE24" s="18"/>
    </row>
    <row r="25" ht="15.75" customHeight="1">
      <c r="A25" s="19"/>
      <c r="B25" s="1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ht="15.75" customHeight="1">
      <c r="A26" s="19"/>
      <c r="B26" s="1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ht="15.75" customHeight="1">
      <c r="A27" s="19"/>
      <c r="B27" s="1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 ht="15.75" customHeight="1">
      <c r="A28" s="19"/>
      <c r="B28" s="1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ht="15.75" customHeight="1">
      <c r="A29" s="19"/>
      <c r="B29" s="1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ht="15.75" customHeight="1">
      <c r="A30" s="19"/>
      <c r="B30" s="1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ht="15.75" customHeight="1">
      <c r="A31" s="19"/>
      <c r="B31" s="1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 ht="15.75" customHeight="1">
      <c r="A32" s="19"/>
      <c r="B32" s="1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ht="15.75" customHeight="1">
      <c r="A33" s="19"/>
      <c r="B33" s="1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ht="15.75" customHeight="1">
      <c r="A34" s="19"/>
      <c r="B34" s="1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ht="15.75" customHeight="1">
      <c r="A35" s="19"/>
      <c r="B35" s="17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ht="15.75" customHeight="1">
      <c r="A36" s="19"/>
      <c r="B36" s="1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ht="15.75" customHeight="1">
      <c r="A37" s="19"/>
      <c r="B37" s="17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 ht="15.75" customHeight="1">
      <c r="A38" s="19"/>
      <c r="B38" s="1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 ht="15.75" customHeight="1">
      <c r="A39" s="19"/>
      <c r="B39" s="17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 ht="15.75" customHeight="1">
      <c r="A40" s="19"/>
      <c r="B40" s="17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ht="15.75" customHeight="1">
      <c r="A41" s="19"/>
      <c r="B41" s="17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ht="15.75" customHeight="1">
      <c r="A42" s="19"/>
      <c r="B42" s="17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ht="15.75" customHeight="1">
      <c r="A43" s="19"/>
      <c r="B43" s="17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ht="15.75" customHeight="1">
      <c r="A44" s="19"/>
      <c r="B44" s="17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ht="15.75" customHeight="1">
      <c r="A45" s="19"/>
      <c r="B45" s="17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ht="15.75" customHeight="1">
      <c r="A46" s="19"/>
      <c r="B46" s="17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ht="15.75" customHeight="1">
      <c r="A47" s="19"/>
      <c r="B47" s="17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ht="15.75" customHeight="1">
      <c r="A48" s="19"/>
      <c r="B48" s="17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ht="15.75" customHeight="1">
      <c r="A49" s="19"/>
      <c r="B49" s="17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ht="15.75" customHeight="1">
      <c r="A50" s="19"/>
      <c r="B50" s="17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ht="15.75" customHeight="1">
      <c r="A51" s="19"/>
      <c r="B51" s="17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ht="15.75" customHeight="1">
      <c r="A52" s="19"/>
      <c r="B52" s="17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ht="15.75" customHeight="1">
      <c r="A53" s="19"/>
      <c r="B53" s="17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ht="15.75" customHeight="1">
      <c r="A54" s="19"/>
      <c r="B54" s="17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ht="15.75" customHeight="1">
      <c r="A55" s="19"/>
      <c r="B55" s="17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ht="15.75" customHeight="1">
      <c r="A56" s="19"/>
      <c r="B56" s="17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ht="15.75" customHeight="1">
      <c r="A57" s="19"/>
      <c r="B57" s="17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ht="15.75" customHeight="1">
      <c r="A58" s="19"/>
      <c r="B58" s="17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ht="15.75" customHeight="1">
      <c r="A59" s="19"/>
      <c r="B59" s="17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ht="15.75" customHeight="1">
      <c r="A60" s="19"/>
      <c r="B60" s="17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ht="15.75" customHeight="1">
      <c r="A61" s="19"/>
      <c r="B61" s="17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ht="15.75" customHeight="1">
      <c r="A62" s="19"/>
      <c r="B62" s="17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</row>
    <row r="63" ht="15.75" customHeight="1">
      <c r="A63" s="19"/>
      <c r="B63" s="17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 ht="15.75" customHeight="1">
      <c r="A64" s="19"/>
      <c r="B64" s="17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 ht="15.75" customHeight="1">
      <c r="A65" s="19"/>
      <c r="B65" s="17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 ht="15.75" customHeight="1">
      <c r="A66" s="19"/>
      <c r="B66" s="17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r="67" ht="15.75" customHeight="1">
      <c r="A67" s="19"/>
      <c r="B67" s="17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</row>
    <row r="68" ht="15.75" customHeight="1">
      <c r="A68" s="19"/>
      <c r="B68" s="17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</row>
    <row r="69" ht="15.75" customHeight="1">
      <c r="A69" s="19"/>
      <c r="B69" s="17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 ht="15.75" customHeight="1">
      <c r="A70" s="19"/>
      <c r="B70" s="17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</row>
    <row r="71" ht="15.75" customHeight="1">
      <c r="A71" s="19"/>
      <c r="B71" s="17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 ht="15.75" customHeight="1">
      <c r="A72" s="19"/>
      <c r="B72" s="17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</row>
    <row r="73" ht="15.75" customHeight="1">
      <c r="A73" s="19"/>
      <c r="B73" s="17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</row>
    <row r="74" ht="15.75" customHeight="1">
      <c r="A74" s="19"/>
      <c r="B74" s="17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</row>
    <row r="75" ht="15.75" customHeight="1">
      <c r="A75" s="19"/>
      <c r="B75" s="17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</row>
    <row r="76" ht="15.75" customHeight="1">
      <c r="A76" s="19"/>
      <c r="B76" s="17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</row>
    <row r="77" ht="15.75" customHeight="1">
      <c r="A77" s="19"/>
      <c r="B77" s="17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</row>
    <row r="78" ht="15.75" customHeight="1">
      <c r="A78" s="19"/>
      <c r="B78" s="17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</row>
    <row r="79" ht="15.75" customHeight="1">
      <c r="A79" s="19"/>
      <c r="B79" s="17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</row>
    <row r="80" ht="15.75" customHeight="1">
      <c r="A80" s="19"/>
      <c r="B80" s="17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</row>
    <row r="81" ht="15.75" customHeight="1">
      <c r="A81" s="19"/>
      <c r="B81" s="17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</row>
    <row r="82" ht="15.75" customHeight="1">
      <c r="A82" s="19"/>
      <c r="B82" s="17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</row>
    <row r="83" ht="15.75" customHeight="1">
      <c r="A83" s="19"/>
      <c r="B83" s="17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</row>
    <row r="84" ht="15.75" customHeight="1">
      <c r="A84" s="19"/>
      <c r="B84" s="17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</row>
    <row r="85" ht="15.75" customHeight="1">
      <c r="A85" s="19"/>
      <c r="B85" s="17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</row>
    <row r="86" ht="15.75" customHeight="1">
      <c r="A86" s="19"/>
      <c r="B86" s="17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</row>
    <row r="87" ht="15.75" customHeight="1">
      <c r="A87" s="19"/>
      <c r="B87" s="17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r="88" ht="15.75" customHeight="1">
      <c r="A88" s="19"/>
      <c r="B88" s="17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</row>
    <row r="89" ht="15.75" customHeight="1">
      <c r="A89" s="19"/>
      <c r="B89" s="17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</row>
    <row r="90" ht="15.75" customHeight="1">
      <c r="A90" s="19"/>
      <c r="B90" s="17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</row>
    <row r="91" ht="15.75" customHeight="1">
      <c r="A91" s="19"/>
      <c r="B91" s="17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</row>
    <row r="92" ht="15.75" customHeight="1">
      <c r="A92" s="19"/>
      <c r="B92" s="17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</row>
    <row r="93" ht="15.75" customHeight="1">
      <c r="A93" s="19"/>
      <c r="B93" s="17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  <row r="94" ht="15.75" customHeight="1">
      <c r="A94" s="19"/>
      <c r="B94" s="17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</row>
    <row r="95" ht="15.75" customHeight="1">
      <c r="A95" s="19"/>
      <c r="B95" s="17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r="96" ht="15.75" customHeight="1">
      <c r="A96" s="19"/>
      <c r="B96" s="17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</row>
    <row r="97" ht="15.75" customHeight="1">
      <c r="A97" s="19"/>
      <c r="B97" s="17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r="98" ht="15.75" customHeight="1">
      <c r="A98" s="19"/>
      <c r="B98" s="17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 ht="15.75" customHeight="1">
      <c r="A99" s="19"/>
      <c r="B99" s="17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 ht="15.75" customHeight="1">
      <c r="A100" s="19"/>
      <c r="B100" s="17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r="101" ht="15.75" customHeight="1">
      <c r="A101" s="19"/>
      <c r="B101" s="17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 ht="15.75" customHeight="1">
      <c r="A102" s="19"/>
      <c r="B102" s="17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r="103" ht="15.75" customHeight="1">
      <c r="A103" s="19"/>
      <c r="B103" s="17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 ht="15.75" customHeight="1">
      <c r="A104" s="19"/>
      <c r="B104" s="17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</row>
    <row r="105" ht="15.75" customHeight="1">
      <c r="A105" s="19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r="106" ht="15.75" customHeight="1">
      <c r="A106" s="19"/>
      <c r="B106" s="17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</row>
    <row r="107" ht="15.75" customHeight="1">
      <c r="A107" s="19"/>
      <c r="B107" s="17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r="108" ht="15.75" customHeight="1">
      <c r="A108" s="19"/>
      <c r="B108" s="17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09" ht="15.75" customHeight="1">
      <c r="A109" s="19"/>
      <c r="B109" s="17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r="110" ht="15.75" customHeight="1">
      <c r="A110" s="19"/>
      <c r="B110" s="17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r="111" ht="15.75" customHeight="1">
      <c r="A111" s="19"/>
      <c r="B111" s="17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r="112" ht="15.75" customHeight="1">
      <c r="A112" s="19"/>
      <c r="B112" s="17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</row>
    <row r="113" ht="15.75" customHeight="1">
      <c r="A113" s="19"/>
      <c r="B113" s="17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r="114" ht="15.75" customHeight="1">
      <c r="A114" s="19"/>
      <c r="B114" s="17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</row>
    <row r="115" ht="15.75" customHeight="1">
      <c r="A115" s="19"/>
      <c r="B115" s="17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</row>
    <row r="116" ht="15.75" customHeight="1">
      <c r="A116" s="19"/>
      <c r="B116" s="17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</row>
    <row r="117" ht="15.75" customHeight="1">
      <c r="A117" s="19"/>
      <c r="B117" s="17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r="118" ht="15.75" customHeight="1">
      <c r="A118" s="19"/>
      <c r="B118" s="17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</row>
    <row r="119" ht="15.75" customHeight="1">
      <c r="A119" s="19"/>
      <c r="B119" s="17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r="120" ht="15.75" customHeight="1">
      <c r="A120" s="19"/>
      <c r="B120" s="17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</row>
    <row r="121" ht="15.75" customHeight="1">
      <c r="A121" s="19"/>
      <c r="B121" s="17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</row>
    <row r="122" ht="15.75" customHeight="1">
      <c r="A122" s="19"/>
      <c r="B122" s="17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</row>
    <row r="123" ht="15.75" customHeight="1">
      <c r="A123" s="19"/>
      <c r="B123" s="17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</row>
    <row r="124" ht="15.75" customHeight="1">
      <c r="A124" s="19"/>
      <c r="B124" s="17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</row>
    <row r="125" ht="15.75" customHeight="1">
      <c r="A125" s="19"/>
      <c r="B125" s="17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r="126" ht="15.75" customHeight="1">
      <c r="A126" s="19"/>
      <c r="B126" s="17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</row>
    <row r="127" ht="15.75" customHeight="1">
      <c r="A127" s="19"/>
      <c r="B127" s="17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</row>
    <row r="128" ht="15.75" customHeight="1">
      <c r="A128" s="19"/>
      <c r="B128" s="17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</row>
    <row r="129" ht="15.75" customHeight="1">
      <c r="A129" s="19"/>
      <c r="B129" s="17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r="130" ht="15.75" customHeight="1">
      <c r="A130" s="19"/>
      <c r="B130" s="17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</row>
    <row r="131" ht="15.75" customHeight="1">
      <c r="A131" s="19"/>
      <c r="B131" s="17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r="132" ht="15.75" customHeight="1">
      <c r="A132" s="19"/>
      <c r="B132" s="17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</row>
    <row r="133" ht="15.75" customHeight="1">
      <c r="A133" s="19"/>
      <c r="B133" s="17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r="134" ht="15.75" customHeight="1">
      <c r="A134" s="19"/>
      <c r="B134" s="17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</row>
    <row r="135" ht="15.75" customHeight="1">
      <c r="A135" s="19"/>
      <c r="B135" s="17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r="136" ht="15.75" customHeight="1">
      <c r="A136" s="19"/>
      <c r="B136" s="17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</row>
    <row r="137" ht="15.75" customHeight="1">
      <c r="A137" s="19"/>
      <c r="B137" s="17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r="138" ht="15.75" customHeight="1">
      <c r="A138" s="19"/>
      <c r="B138" s="17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r="139" ht="15.75" customHeight="1">
      <c r="A139" s="19"/>
      <c r="B139" s="17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r="140" ht="15.75" customHeight="1">
      <c r="A140" s="19"/>
      <c r="B140" s="17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</row>
    <row r="141" ht="15.75" customHeight="1">
      <c r="A141" s="19"/>
      <c r="B141" s="17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</row>
    <row r="142" ht="15.75" customHeight="1">
      <c r="A142" s="19"/>
      <c r="B142" s="17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</row>
    <row r="143" ht="15.75" customHeight="1">
      <c r="A143" s="19"/>
      <c r="B143" s="17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</row>
    <row r="144" ht="15.75" customHeight="1">
      <c r="A144" s="19"/>
      <c r="B144" s="17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</row>
    <row r="145" ht="15.75" customHeight="1">
      <c r="A145" s="19"/>
      <c r="B145" s="17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</row>
    <row r="146" ht="15.75" customHeight="1">
      <c r="A146" s="19"/>
      <c r="B146" s="17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</row>
    <row r="147" ht="15.75" customHeight="1">
      <c r="A147" s="19"/>
      <c r="B147" s="17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</row>
    <row r="148" ht="15.75" customHeight="1">
      <c r="A148" s="19"/>
      <c r="B148" s="17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</row>
    <row r="149" ht="15.75" customHeight="1">
      <c r="A149" s="19"/>
      <c r="B149" s="17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</row>
    <row r="150" ht="15.75" customHeight="1">
      <c r="A150" s="19"/>
      <c r="B150" s="17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</row>
    <row r="151" ht="15.75" customHeight="1">
      <c r="A151" s="19"/>
      <c r="B151" s="17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</row>
    <row r="152" ht="15.75" customHeight="1">
      <c r="A152" s="19"/>
      <c r="B152" s="17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</row>
    <row r="153" ht="15.75" customHeight="1">
      <c r="A153" s="19"/>
      <c r="B153" s="17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</row>
    <row r="154" ht="15.75" customHeight="1">
      <c r="A154" s="19"/>
      <c r="B154" s="17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</row>
    <row r="155" ht="15.75" customHeight="1">
      <c r="A155" s="19"/>
      <c r="B155" s="17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</row>
    <row r="156" ht="15.75" customHeight="1">
      <c r="A156" s="19"/>
      <c r="B156" s="17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</row>
    <row r="157" ht="15.75" customHeight="1">
      <c r="A157" s="19"/>
      <c r="B157" s="17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</row>
    <row r="158" ht="15.75" customHeight="1">
      <c r="A158" s="19"/>
      <c r="B158" s="17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</row>
    <row r="159" ht="15.75" customHeight="1">
      <c r="A159" s="19"/>
      <c r="B159" s="17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</row>
    <row r="160" ht="15.75" customHeight="1">
      <c r="A160" s="19"/>
      <c r="B160" s="17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</row>
    <row r="161" ht="15.75" customHeight="1">
      <c r="A161" s="19"/>
      <c r="B161" s="17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</row>
    <row r="162" ht="15.75" customHeight="1">
      <c r="A162" s="19"/>
      <c r="B162" s="17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</row>
    <row r="163" ht="15.75" customHeight="1">
      <c r="A163" s="19"/>
      <c r="B163" s="17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</row>
    <row r="164" ht="15.75" customHeight="1">
      <c r="A164" s="19"/>
      <c r="B164" s="17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</row>
    <row r="165" ht="15.75" customHeight="1">
      <c r="A165" s="19"/>
      <c r="B165" s="17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</row>
    <row r="166" ht="15.75" customHeight="1">
      <c r="A166" s="19"/>
      <c r="B166" s="17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</row>
    <row r="167" ht="15.75" customHeight="1">
      <c r="A167" s="19"/>
      <c r="B167" s="17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</row>
    <row r="168" ht="15.75" customHeight="1">
      <c r="A168" s="19"/>
      <c r="B168" s="17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</row>
    <row r="169" ht="15.75" customHeight="1">
      <c r="A169" s="19"/>
      <c r="B169" s="17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</row>
    <row r="170" ht="15.75" customHeight="1">
      <c r="A170" s="19"/>
      <c r="B170" s="17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</row>
    <row r="171" ht="15.75" customHeight="1">
      <c r="A171" s="19"/>
      <c r="B171" s="17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</row>
    <row r="172" ht="15.75" customHeight="1">
      <c r="A172" s="19"/>
      <c r="B172" s="17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</row>
    <row r="173" ht="15.75" customHeight="1">
      <c r="A173" s="19"/>
      <c r="B173" s="17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</row>
    <row r="174" ht="15.75" customHeight="1">
      <c r="A174" s="19"/>
      <c r="B174" s="17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</row>
    <row r="175" ht="15.75" customHeight="1">
      <c r="A175" s="19"/>
      <c r="B175" s="17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</row>
    <row r="176" ht="15.75" customHeight="1">
      <c r="A176" s="19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</row>
    <row r="177" ht="15.75" customHeight="1">
      <c r="A177" s="19"/>
      <c r="B177" s="17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</row>
    <row r="178" ht="15.75" customHeight="1">
      <c r="A178" s="19"/>
      <c r="B178" s="17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</row>
    <row r="179" ht="15.75" customHeight="1">
      <c r="A179" s="19"/>
      <c r="B179" s="17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</row>
    <row r="180" ht="15.75" customHeight="1">
      <c r="A180" s="19"/>
      <c r="B180" s="17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</row>
    <row r="181" ht="15.75" customHeight="1">
      <c r="A181" s="19"/>
      <c r="B181" s="17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</row>
    <row r="182" ht="15.75" customHeight="1">
      <c r="A182" s="19"/>
      <c r="B182" s="17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</row>
    <row r="183" ht="15.75" customHeight="1">
      <c r="A183" s="19"/>
      <c r="B183" s="17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r="184" ht="15.75" customHeight="1">
      <c r="A184" s="19"/>
      <c r="B184" s="17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</row>
    <row r="185" ht="15.75" customHeight="1">
      <c r="A185" s="19"/>
      <c r="B185" s="17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</row>
    <row r="186" ht="15.75" customHeight="1">
      <c r="A186" s="19"/>
      <c r="B186" s="17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</row>
    <row r="187" ht="15.75" customHeight="1">
      <c r="A187" s="19"/>
      <c r="B187" s="17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</row>
    <row r="188" ht="15.75" customHeight="1">
      <c r="A188" s="19"/>
      <c r="B188" s="17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</row>
    <row r="189" ht="15.75" customHeight="1">
      <c r="A189" s="19"/>
      <c r="B189" s="17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</row>
    <row r="190" ht="15.75" customHeight="1">
      <c r="A190" s="19"/>
      <c r="B190" s="17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</row>
    <row r="191" ht="15.75" customHeight="1">
      <c r="A191" s="19"/>
      <c r="B191" s="17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</row>
    <row r="192" ht="15.75" customHeight="1">
      <c r="A192" s="19"/>
      <c r="B192" s="17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</row>
    <row r="193" ht="15.75" customHeight="1">
      <c r="A193" s="19"/>
      <c r="B193" s="17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</row>
    <row r="194" ht="15.75" customHeight="1">
      <c r="A194" s="19"/>
      <c r="B194" s="17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</row>
    <row r="195" ht="15.75" customHeight="1">
      <c r="A195" s="19"/>
      <c r="B195" s="17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</row>
    <row r="196" ht="15.75" customHeight="1">
      <c r="A196" s="19"/>
      <c r="B196" s="17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</row>
    <row r="197" ht="15.75" customHeight="1">
      <c r="A197" s="19"/>
      <c r="B197" s="17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</row>
    <row r="198" ht="15.75" customHeight="1">
      <c r="A198" s="19"/>
      <c r="B198" s="17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</row>
    <row r="199" ht="15.75" customHeight="1">
      <c r="A199" s="19"/>
      <c r="B199" s="17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r="200" ht="15.75" customHeight="1">
      <c r="A200" s="19"/>
      <c r="B200" s="17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</row>
    <row r="201" ht="15.75" customHeight="1">
      <c r="A201" s="19"/>
      <c r="B201" s="17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</row>
    <row r="202" ht="15.75" customHeight="1">
      <c r="A202" s="19"/>
      <c r="B202" s="17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</row>
    <row r="203" ht="15.75" customHeight="1">
      <c r="A203" s="19"/>
      <c r="B203" s="17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</row>
    <row r="204" ht="15.75" customHeight="1">
      <c r="A204" s="19"/>
      <c r="B204" s="17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</row>
    <row r="205" ht="15.75" customHeight="1">
      <c r="A205" s="19"/>
      <c r="B205" s="17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</row>
    <row r="206" ht="15.75" customHeight="1">
      <c r="A206" s="19"/>
      <c r="B206" s="17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</row>
    <row r="207" ht="15.75" customHeight="1">
      <c r="A207" s="19"/>
      <c r="B207" s="17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</row>
    <row r="208" ht="15.75" customHeight="1">
      <c r="A208" s="19"/>
      <c r="B208" s="17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</row>
    <row r="209" ht="15.75" customHeight="1">
      <c r="A209" s="19"/>
      <c r="B209" s="17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</row>
    <row r="210" ht="15.75" customHeight="1">
      <c r="A210" s="19"/>
      <c r="B210" s="17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</row>
    <row r="211" ht="15.75" customHeight="1">
      <c r="A211" s="19"/>
      <c r="B211" s="17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</row>
    <row r="212" ht="15.75" customHeight="1">
      <c r="A212" s="19"/>
      <c r="B212" s="17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</row>
    <row r="213" ht="15.75" customHeight="1">
      <c r="A213" s="19"/>
      <c r="B213" s="17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</row>
    <row r="214" ht="15.75" customHeight="1">
      <c r="A214" s="19"/>
      <c r="B214" s="17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</row>
    <row r="215" ht="15.75" customHeight="1">
      <c r="A215" s="19"/>
      <c r="B215" s="17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</row>
    <row r="216" ht="15.75" customHeight="1">
      <c r="A216" s="19"/>
      <c r="B216" s="17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</row>
    <row r="217" ht="15.75" customHeight="1">
      <c r="A217" s="19"/>
      <c r="B217" s="17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</row>
    <row r="218" ht="15.75" customHeight="1">
      <c r="A218" s="19"/>
      <c r="B218" s="17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</row>
    <row r="219" ht="15.75" customHeight="1">
      <c r="A219" s="19"/>
      <c r="B219" s="17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</row>
    <row r="220" ht="15.75" customHeight="1">
      <c r="A220" s="19"/>
      <c r="B220" s="17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</row>
    <row r="221" ht="15.75" customHeight="1">
      <c r="A221" s="19"/>
      <c r="B221" s="17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</row>
    <row r="222" ht="15.75" customHeight="1">
      <c r="A222" s="19"/>
      <c r="B222" s="17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</row>
    <row r="223" ht="15.75" customHeight="1">
      <c r="A223" s="19"/>
      <c r="B223" s="17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</row>
    <row r="224" ht="15.75" customHeight="1">
      <c r="A224" s="19"/>
      <c r="B224" s="17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9.14"/>
    <col customWidth="1" min="2" max="2" width="25.86"/>
    <col customWidth="1" min="3" max="3" width="34.0"/>
    <col customWidth="1" min="4" max="6" width="14.43"/>
  </cols>
  <sheetData>
    <row r="1" ht="15.75" customHeight="1">
      <c r="A1" s="1" t="s">
        <v>0</v>
      </c>
      <c r="B1" s="1" t="s">
        <v>1</v>
      </c>
      <c r="C1" s="34" t="s">
        <v>125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ht="15.75" customHeight="1">
      <c r="A2" s="2">
        <v>1.0</v>
      </c>
      <c r="B2" s="3" t="s">
        <v>56</v>
      </c>
      <c r="C2" s="35" t="s">
        <v>126</v>
      </c>
      <c r="D2" s="4"/>
      <c r="E2" s="4"/>
      <c r="F2" s="4"/>
      <c r="G2" s="4"/>
      <c r="H2" s="4"/>
      <c r="I2" s="4"/>
      <c r="J2" s="4"/>
      <c r="K2" s="5">
        <v>0.1086717129</v>
      </c>
      <c r="L2" s="5">
        <f>0.1380671073+0.03253893002/2</f>
        <v>0.1543365723</v>
      </c>
      <c r="M2" s="5">
        <f>0.1205639707+0.04759738274+0.05969081533</f>
        <v>0.2278521688</v>
      </c>
      <c r="N2" s="5"/>
      <c r="O2" s="5">
        <v>0.05985266171</v>
      </c>
      <c r="P2" s="5">
        <f>0.044521079+0.08851383243</f>
        <v>0.1330349114</v>
      </c>
      <c r="Q2" s="5">
        <v>0.1034929824</v>
      </c>
      <c r="R2" s="5">
        <v>0.09132211126</v>
      </c>
      <c r="S2" s="5">
        <v>0.1209725931</v>
      </c>
      <c r="T2" s="5">
        <v>0.08162123668</v>
      </c>
      <c r="U2" s="6">
        <f>0.08967256674+0.1090970161/2</f>
        <v>0.1442210748</v>
      </c>
      <c r="V2" s="29">
        <v>0.1130092367</v>
      </c>
      <c r="W2" s="29">
        <f>0.08011282251</f>
        <v>0.08011282251</v>
      </c>
      <c r="X2" s="29">
        <f>0.114053782</f>
        <v>0.114053782</v>
      </c>
      <c r="Y2" s="29"/>
      <c r="Z2" s="29">
        <f>0.102760187</f>
        <v>0.102760187</v>
      </c>
      <c r="AA2" s="29">
        <f>0.07086845259/2</f>
        <v>0.0354342263</v>
      </c>
      <c r="AB2" s="29">
        <f>0.1179803965+0.05476376904/2</f>
        <v>0.145362281</v>
      </c>
      <c r="AC2" s="29">
        <f>0.1012567345/2+0.08036591339</f>
        <v>0.1309942806</v>
      </c>
      <c r="AD2" s="29">
        <f>0.04689643579/2+0.09236298955+0.07086347502</f>
        <v>0.1866746825</v>
      </c>
      <c r="AE2" s="29">
        <f>0.05116134154/2+0.1179688641</f>
        <v>0.1435495349</v>
      </c>
      <c r="AF2" s="29">
        <f>0.1174097884+0.07625029203/2</f>
        <v>0.1555349344</v>
      </c>
      <c r="AG2" s="29">
        <f>0.1138536809+0.0501091997/2</f>
        <v>0.1389082808</v>
      </c>
      <c r="AH2" s="29">
        <f>0.04417832812/2+0.1164387569</f>
        <v>0.138527921</v>
      </c>
      <c r="AI2" s="29"/>
      <c r="AJ2" s="29"/>
      <c r="AK2" s="29"/>
      <c r="AL2" s="29"/>
      <c r="AM2" s="29">
        <f>0.1675588747/2</f>
        <v>0.08377943735</v>
      </c>
      <c r="AN2" s="29">
        <f>0.1622733036/2</f>
        <v>0.0811366518</v>
      </c>
      <c r="AO2" s="29">
        <f>0.02549936754/2+0.132686097</f>
        <v>0.1454357808</v>
      </c>
      <c r="AP2" s="29">
        <f>0.05082161719/2</f>
        <v>0.0254108086</v>
      </c>
      <c r="AQ2" s="29"/>
      <c r="AR2" s="29">
        <f>0.0601021416/2+0.0324553193/2+0.1087895916</f>
        <v>0.1550683221</v>
      </c>
      <c r="AS2" s="29">
        <f>0.1861368351/3</f>
        <v>0.0620456117</v>
      </c>
      <c r="AT2" s="29">
        <f>0.1376021177</f>
        <v>0.1376021177</v>
      </c>
      <c r="AU2" s="29">
        <f>0.1889221578/2+0.09046889112/2</f>
        <v>0.1396955245</v>
      </c>
      <c r="AV2" s="29">
        <f>0.121044031/2+0.07424019848/2+0.04931806775</f>
        <v>0.1469601825</v>
      </c>
      <c r="AW2" s="29">
        <f>0.1037447723/2</f>
        <v>0.05187238615</v>
      </c>
      <c r="AX2" s="29">
        <f>0.1753184558</f>
        <v>0.1753184558</v>
      </c>
      <c r="AY2" s="29"/>
      <c r="AZ2" s="29">
        <f>0.1803371219/2</f>
        <v>0.09016856095</v>
      </c>
      <c r="BA2" s="29">
        <f>0.05161404415/2</f>
        <v>0.02580702208</v>
      </c>
      <c r="BB2" s="29">
        <f>0.06534103108/2</f>
        <v>0.03267051554</v>
      </c>
      <c r="BC2" s="29"/>
      <c r="BD2" s="29">
        <f>0.05780211672/2+0.09286688237</f>
        <v>0.1217679407</v>
      </c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</row>
    <row r="3" ht="15.75" customHeight="1">
      <c r="A3" s="2">
        <v>2.0</v>
      </c>
      <c r="B3" s="3" t="s">
        <v>58</v>
      </c>
      <c r="C3" s="35" t="s">
        <v>127</v>
      </c>
      <c r="D3" s="4"/>
      <c r="E3" s="4"/>
      <c r="F3" s="4"/>
      <c r="G3" s="4"/>
      <c r="H3" s="4"/>
      <c r="I3" s="4"/>
      <c r="J3" s="4"/>
      <c r="K3" s="4"/>
      <c r="L3" s="4"/>
      <c r="M3" s="4"/>
      <c r="N3" s="5">
        <v>0.07242030345</v>
      </c>
      <c r="O3" s="5">
        <v>0.1142106992</v>
      </c>
      <c r="P3" s="5">
        <v>0.09047675372</v>
      </c>
      <c r="Q3" s="5">
        <v>0.1126762742</v>
      </c>
      <c r="R3" s="5">
        <v>0.08848448419</v>
      </c>
      <c r="S3" s="5">
        <v>0.06940818106</v>
      </c>
      <c r="T3" s="4">
        <v>0.1045298413</v>
      </c>
      <c r="U3" s="6">
        <v>0.1052511615</v>
      </c>
      <c r="V3" s="29"/>
      <c r="W3" s="29">
        <f>0.1108393223</f>
        <v>0.1108393223</v>
      </c>
      <c r="X3" s="29"/>
      <c r="Y3" s="29"/>
      <c r="Z3" s="29"/>
      <c r="AA3" s="29"/>
      <c r="AB3" s="29">
        <f>0.1071581873/2</f>
        <v>0.05357909365</v>
      </c>
      <c r="AC3" s="29">
        <f>0.1080808209</f>
        <v>0.1080808209</v>
      </c>
      <c r="AD3" s="29"/>
      <c r="AE3" s="29">
        <f>0.07268698971</f>
        <v>0.07268698971</v>
      </c>
      <c r="AF3" s="29"/>
      <c r="AG3" s="29"/>
      <c r="AH3" s="29"/>
      <c r="AI3" s="29"/>
      <c r="AJ3" s="29"/>
      <c r="AK3" s="29"/>
      <c r="AL3" s="29"/>
      <c r="AM3" s="29"/>
      <c r="AN3" s="29">
        <f t="shared" ref="AN3:AN4" si="1">0.08385296295/2</f>
        <v>0.04192648148</v>
      </c>
      <c r="AO3" s="29"/>
      <c r="AP3" s="29">
        <f>0.1205701061/2</f>
        <v>0.06028505305</v>
      </c>
      <c r="AQ3" s="29"/>
      <c r="AR3" s="29"/>
      <c r="AS3" s="29"/>
      <c r="AT3" s="29"/>
      <c r="AU3" s="29"/>
      <c r="AV3" s="29">
        <f>0.121044031/2</f>
        <v>0.0605220155</v>
      </c>
      <c r="AW3" s="29">
        <f>0.09458582075</f>
        <v>0.09458582075</v>
      </c>
      <c r="AX3" s="29">
        <f>0.0378768972/2</f>
        <v>0.0189384486</v>
      </c>
      <c r="AY3" s="29">
        <f>0.1865663723/2</f>
        <v>0.09328318615</v>
      </c>
      <c r="AZ3" s="29"/>
      <c r="BA3" s="29">
        <f>0.1307836904/2</f>
        <v>0.0653918452</v>
      </c>
      <c r="BB3" s="29">
        <f>0.04353309706/2</f>
        <v>0.02176654853</v>
      </c>
      <c r="BC3" s="29">
        <f>0.07391391372/2</f>
        <v>0.03695695686</v>
      </c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</row>
    <row r="4" ht="15.75" customHeight="1">
      <c r="A4" s="2">
        <v>3.0</v>
      </c>
      <c r="B4" s="3" t="s">
        <v>60</v>
      </c>
      <c r="C4" s="35" t="s">
        <v>128</v>
      </c>
      <c r="D4" s="4">
        <f>0.1258136057+0.1880091047</f>
        <v>0.3138227104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/>
      <c r="V4" s="29"/>
      <c r="W4" s="29">
        <f>0.04797751484</f>
        <v>0.04797751484</v>
      </c>
      <c r="X4" s="29"/>
      <c r="Y4" s="29"/>
      <c r="Z4" s="29"/>
      <c r="AA4" s="29"/>
      <c r="AB4" s="29"/>
      <c r="AC4" s="29"/>
      <c r="AD4" s="29">
        <f>0.1002420469/2</f>
        <v>0.05012102345</v>
      </c>
      <c r="AE4" s="29">
        <f>0.05116134154/2</f>
        <v>0.02558067077</v>
      </c>
      <c r="AF4" s="29">
        <f>0.0660060074/3</f>
        <v>0.02200200247</v>
      </c>
      <c r="AG4" s="29">
        <f>0.04685285417/2</f>
        <v>0.02342642709</v>
      </c>
      <c r="AH4" s="29"/>
      <c r="AI4" s="29"/>
      <c r="AJ4" s="29">
        <v>0.07925058067</v>
      </c>
      <c r="AK4" s="29">
        <v>0.04517298821</v>
      </c>
      <c r="AL4" s="29">
        <v>0.1100788576</v>
      </c>
      <c r="AM4" s="29">
        <f>0.08866270601+0.03628274167</f>
        <v>0.1249454477</v>
      </c>
      <c r="AN4" s="29">
        <f t="shared" si="1"/>
        <v>0.04192648148</v>
      </c>
      <c r="AO4" s="29">
        <f>0.1154922802/2</f>
        <v>0.0577461401</v>
      </c>
      <c r="AP4" s="29">
        <f>0.06254699314/2</f>
        <v>0.03127349657</v>
      </c>
      <c r="AQ4" s="29">
        <f>0.1866071933</f>
        <v>0.1866071933</v>
      </c>
      <c r="AR4" s="29"/>
      <c r="AS4" s="29">
        <f>0.08613353915+0.07691765655/2</f>
        <v>0.1245923674</v>
      </c>
      <c r="AT4" s="29">
        <f>0.01395075785+0.03060175609+0.07549797706</f>
        <v>0.120050491</v>
      </c>
      <c r="AU4" s="29">
        <f>0.07796526765+0.02157849112/2</f>
        <v>0.08875451321</v>
      </c>
      <c r="AV4" s="29">
        <f>0.104867201</f>
        <v>0.104867201</v>
      </c>
      <c r="AW4" s="29">
        <f>0.1330841736+0.02024979948/2</f>
        <v>0.1432090733</v>
      </c>
      <c r="AX4" s="29">
        <f>0.1495237626+0.0378768972/2+0.03318505394/2</f>
        <v>0.1850547382</v>
      </c>
      <c r="AY4" s="29">
        <f>0.0267531527/2+0.01705842225/2+0.1865663723/2+0.02227541154/2</f>
        <v>0.1263266794</v>
      </c>
      <c r="AZ4" s="29">
        <f>0.0263013448+0.1803371219/2+0.05496547492</f>
        <v>0.1714353807</v>
      </c>
      <c r="BA4" s="29">
        <f>0.05161404415/2+0.1307836904/2+0.04074040616/2+0.1323363395</f>
        <v>0.2439054099</v>
      </c>
      <c r="BB4" s="29">
        <f>0.07019016561/2+0.03508586403/2+0.1209337909+0.04353309706/2+0.06534103108/2</f>
        <v>0.2280088698</v>
      </c>
      <c r="BC4" s="29">
        <f>0.04210081881/2+0.07391391372/2+0.07558591477/3+0.07713596435</f>
        <v>0.1603386355</v>
      </c>
      <c r="BD4" s="29">
        <f>0.05780211672/2+0.06404792942/2+0.03849669999/2+0.07091764638/2+0.1610317401/2</f>
        <v>0.1961480663</v>
      </c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</row>
    <row r="5" ht="15.75" customHeight="1">
      <c r="A5" s="2">
        <v>4.0</v>
      </c>
      <c r="B5" s="3" t="s">
        <v>62</v>
      </c>
      <c r="C5" s="35" t="s">
        <v>129</v>
      </c>
      <c r="D5" s="4"/>
      <c r="E5" s="4">
        <v>0.2128335636</v>
      </c>
      <c r="F5" s="4"/>
      <c r="G5" s="4">
        <v>0.09373996189</v>
      </c>
      <c r="H5" s="4">
        <v>0.1140398278</v>
      </c>
      <c r="I5" s="5">
        <f>0.04640260818+0.0709036058914848/2</f>
        <v>0.08185441113</v>
      </c>
      <c r="J5" s="5">
        <v>0.100688047</v>
      </c>
      <c r="K5" s="5">
        <f>0.06708139232+0.1191804199</f>
        <v>0.1862618122</v>
      </c>
      <c r="L5" s="4">
        <v>0.1056810828</v>
      </c>
      <c r="M5" s="5">
        <f>0.1108310728+0.06376635781</f>
        <v>0.1745974306</v>
      </c>
      <c r="N5" s="5">
        <v>0.1195658826</v>
      </c>
      <c r="O5" s="5">
        <f>0.06513027822/2+0.1879100566/2+0.08933461315</f>
        <v>0.2158547806</v>
      </c>
      <c r="P5" s="5">
        <f>0.1488661248/2+0.1003890641</f>
        <v>0.1748221265</v>
      </c>
      <c r="Q5" s="5">
        <f>0.077921032/2+0.08012908317+0.1971329682/2</f>
        <v>0.2176560833</v>
      </c>
      <c r="R5" s="5">
        <f>0.06541376425/2+0.1064531127/2</f>
        <v>0.08593343848</v>
      </c>
      <c r="S5" s="5">
        <f>0.09362818119/2+0.08302610678</f>
        <v>0.1298401974</v>
      </c>
      <c r="T5" s="5">
        <f>0.1841210391/2+0.09448147617/2+0.09282768636/2</f>
        <v>0.1857151008</v>
      </c>
      <c r="U5" s="6">
        <f>0.09907238264/2+0.1090970161/2</f>
        <v>0.1040846994</v>
      </c>
      <c r="V5" s="29">
        <f>0.0976561984+0.09624498732/3</f>
        <v>0.1297378608</v>
      </c>
      <c r="W5" s="29">
        <f>0.1093378686/2+0.08665892539</f>
        <v>0.1413278597</v>
      </c>
      <c r="X5" s="29">
        <f>0.2111602903/3+0.1070098701/2</f>
        <v>0.1238916985</v>
      </c>
      <c r="Y5" s="29">
        <f>0.09455241416/2</f>
        <v>0.04727620708</v>
      </c>
      <c r="Z5" s="29"/>
      <c r="AA5" s="29">
        <f>0.1987191493/2</f>
        <v>0.09935957465</v>
      </c>
      <c r="AB5" s="29">
        <f>0.1195075149/2+0.1572189956/2</f>
        <v>0.1383632553</v>
      </c>
      <c r="AC5" s="29">
        <f>0.08840031508+0.1766943108/2</f>
        <v>0.1767474705</v>
      </c>
      <c r="AD5" s="29">
        <f>0.1130179669/2+0.1292340209/2</f>
        <v>0.1211259939</v>
      </c>
      <c r="AE5" s="29">
        <f t="shared" ref="AE5:AE6" si="2">0.06056658907/2</f>
        <v>0.03028329454</v>
      </c>
      <c r="AF5" s="29"/>
      <c r="AG5" s="29"/>
      <c r="AH5" s="29"/>
      <c r="AI5" s="29"/>
      <c r="AJ5" s="29">
        <f>0.1138764312/2</f>
        <v>0.0569382156</v>
      </c>
      <c r="AK5" s="29">
        <f>0.1233060768/2</f>
        <v>0.0616530384</v>
      </c>
      <c r="AL5" s="29">
        <f>0.1108319146/2</f>
        <v>0.0554159573</v>
      </c>
      <c r="AM5" s="29">
        <f>0.1289022768</f>
        <v>0.1289022768</v>
      </c>
      <c r="AN5" s="29">
        <f>0.1008381887/2+0.08719638343/2</f>
        <v>0.09401728607</v>
      </c>
      <c r="AO5" s="29">
        <f>0.09894034931/2</f>
        <v>0.04947017466</v>
      </c>
      <c r="AP5" s="29">
        <f>0.09655995703/2+0.1223884922+0.05082161719/2</f>
        <v>0.1960792793</v>
      </c>
      <c r="AQ5" s="29">
        <f>0.05099571446/2+0.0722594864</f>
        <v>0.09775734363</v>
      </c>
      <c r="AR5" s="29">
        <f>0.0601021416/2+0.1626061031+0.0324553193/2</f>
        <v>0.2088848336</v>
      </c>
      <c r="AS5" s="29">
        <f>0.07207619313</f>
        <v>0.07207619313</v>
      </c>
      <c r="AT5" s="29">
        <f>0.1250827524/2</f>
        <v>0.0625413762</v>
      </c>
      <c r="AU5" s="29">
        <f>0.02157849112/2</f>
        <v>0.01078924556</v>
      </c>
      <c r="AV5" s="29"/>
      <c r="AW5" s="29">
        <f>0.06474108453/2+0.1212124045/2+0.1037447723/2</f>
        <v>0.1448491307</v>
      </c>
      <c r="AX5" s="29">
        <f>0.06985942474+0.03318505394/2+0.1039595688</f>
        <v>0.1904115205</v>
      </c>
      <c r="AY5" s="29">
        <f>0.0267531527/2+0.01705842225/2+0.02227541154/2+0.1127920266/2</f>
        <v>0.08943950655</v>
      </c>
      <c r="AZ5" s="29">
        <f>0.1179472428/2+0.07800496033</f>
        <v>0.1369785817</v>
      </c>
      <c r="BA5" s="29"/>
      <c r="BB5" s="29">
        <f>0.1258266588+0.1376413814/2</f>
        <v>0.1946473495</v>
      </c>
      <c r="BC5" s="29">
        <f>0.04210081881/2+0.09868587865</f>
        <v>0.1197362881</v>
      </c>
      <c r="BD5" s="29">
        <f>0.06404792942/2+0.1092915106</f>
        <v>0.1413154753</v>
      </c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</row>
    <row r="6" ht="15.75" customHeight="1">
      <c r="A6" s="2">
        <v>5.0</v>
      </c>
      <c r="B6" s="3" t="s">
        <v>64</v>
      </c>
      <c r="C6" s="35" t="s">
        <v>130</v>
      </c>
      <c r="D6" s="4"/>
      <c r="E6" s="4"/>
      <c r="F6" s="4"/>
      <c r="G6" s="4"/>
      <c r="H6" s="4"/>
      <c r="I6" s="4"/>
      <c r="J6" s="4"/>
      <c r="K6" s="4"/>
      <c r="L6" s="4"/>
      <c r="M6" s="4"/>
      <c r="N6" s="5">
        <v>0.1117794499</v>
      </c>
      <c r="O6" s="5">
        <v>0.1327614925</v>
      </c>
      <c r="P6" s="5">
        <f>0.1488661248/2+0.1531098814</f>
        <v>0.2275429438</v>
      </c>
      <c r="Q6" s="5">
        <v>0.1744524942</v>
      </c>
      <c r="R6" s="5">
        <f>0.1040776335+0.06541376425/2</f>
        <v>0.1367845156</v>
      </c>
      <c r="S6" s="4">
        <v>0.1881440616</v>
      </c>
      <c r="T6" s="5">
        <f>0.152615352/2</f>
        <v>0.076307676</v>
      </c>
      <c r="U6" s="6">
        <v>0.06617468712</v>
      </c>
      <c r="V6" s="29">
        <f>0.09624498732/3+0.1584523374</f>
        <v>0.1905339998</v>
      </c>
      <c r="W6" s="29">
        <f>0.1284014498</f>
        <v>0.1284014498</v>
      </c>
      <c r="X6" s="29">
        <f>0.13053829/2+0.05379047411</f>
        <v>0.1190596191</v>
      </c>
      <c r="Y6" s="29">
        <f>0.1960046836/2</f>
        <v>0.0980023418</v>
      </c>
      <c r="Z6" s="29">
        <f>0.1595319116</f>
        <v>0.1595319116</v>
      </c>
      <c r="AA6" s="29">
        <f>0.1252375602</f>
        <v>0.1252375602</v>
      </c>
      <c r="AB6" s="29">
        <f>0.1071581873/2</f>
        <v>0.05357909365</v>
      </c>
      <c r="AC6" s="29">
        <f>0.1099998025/2</f>
        <v>0.05499990125</v>
      </c>
      <c r="AD6" s="29">
        <f>0.1368150512+0.1002420469/2</f>
        <v>0.1869360747</v>
      </c>
      <c r="AE6" s="29">
        <f t="shared" si="2"/>
        <v>0.03028329454</v>
      </c>
      <c r="AF6" s="29">
        <f>0.07625029203/2</f>
        <v>0.03812514602</v>
      </c>
      <c r="AG6" s="29">
        <f>0.1792214583</f>
        <v>0.1792214583</v>
      </c>
      <c r="AH6" s="29"/>
      <c r="AI6" s="29"/>
      <c r="AJ6" s="29">
        <f>0.1355795524/2+0.1835018693</f>
        <v>0.2512916455</v>
      </c>
      <c r="AK6" s="29">
        <f>0.1233060768/2+0.1752026214</f>
        <v>0.2368556598</v>
      </c>
      <c r="AL6" s="29">
        <f>0.1787082273/2</f>
        <v>0.08935411365</v>
      </c>
      <c r="AM6" s="29">
        <f>0.1675588747/2+0.1832469885</f>
        <v>0.2670264259</v>
      </c>
      <c r="AN6" s="29">
        <f>0.1622733036/2+0.02432216037/2+0.1920783932</f>
        <v>0.2853761252</v>
      </c>
      <c r="AO6" s="29">
        <f>0.1778628787/2+0.1154922802/2</f>
        <v>0.1466775795</v>
      </c>
      <c r="AP6" s="29">
        <f>0.1205701061/2+0.1739810924/2</f>
        <v>0.1472755993</v>
      </c>
      <c r="AQ6" s="29">
        <f>0.1823155316</f>
        <v>0.1823155316</v>
      </c>
      <c r="AR6" s="29"/>
      <c r="AS6" s="29">
        <f>0.1861368351/3+0.1818621592</f>
        <v>0.2439077709</v>
      </c>
      <c r="AT6" s="29">
        <f>0.1673616456/2+0.2009954983</f>
        <v>0.2846763211</v>
      </c>
      <c r="AU6" s="29">
        <f>0.2345695762</f>
        <v>0.2345695762</v>
      </c>
      <c r="AV6" s="29">
        <f>0.1966631823</f>
        <v>0.1966631823</v>
      </c>
      <c r="AW6" s="29">
        <f>0.2014085424</f>
        <v>0.2014085424</v>
      </c>
      <c r="AX6" s="29">
        <f>0.1803228636/2</f>
        <v>0.0901614318</v>
      </c>
      <c r="AY6" s="29">
        <f>0.2185701326/2</f>
        <v>0.1092850663</v>
      </c>
      <c r="AZ6" s="29">
        <f>0.1563614868</f>
        <v>0.1563614868</v>
      </c>
      <c r="BA6" s="29">
        <f>0.2122396691</f>
        <v>0.2122396691</v>
      </c>
      <c r="BB6" s="29">
        <f>0.2205261016</f>
        <v>0.2205261016</v>
      </c>
      <c r="BC6" s="29">
        <f>0.07558591477/3+0.173876759</f>
        <v>0.1990720639</v>
      </c>
      <c r="BD6" s="29">
        <f>0.239181979</f>
        <v>0.239181979</v>
      </c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</row>
    <row r="7" ht="15.75" customHeight="1">
      <c r="A7" s="2">
        <v>6.0</v>
      </c>
      <c r="B7" s="3" t="s">
        <v>66</v>
      </c>
      <c r="C7" s="35" t="s">
        <v>131</v>
      </c>
      <c r="D7" s="4"/>
      <c r="E7" s="4"/>
      <c r="F7" s="4"/>
      <c r="G7" s="4"/>
      <c r="H7" s="4"/>
      <c r="I7" s="4"/>
      <c r="J7" s="4"/>
      <c r="K7" s="4"/>
      <c r="L7" s="4"/>
      <c r="M7" s="4">
        <f>0.09979401892/2</f>
        <v>0.04989700946</v>
      </c>
      <c r="N7" s="5">
        <f>0.101450617+0.1166021105/2+0.09866935456</f>
        <v>0.2584210268</v>
      </c>
      <c r="O7" s="5">
        <f>0.1168759764/2+0.06513027822/2+0.1879100566/2</f>
        <v>0.1849581556</v>
      </c>
      <c r="P7" s="5">
        <v>0.1546331104</v>
      </c>
      <c r="Q7" s="5"/>
      <c r="R7" s="5">
        <f>0.1078805737+0.1064531127/2</f>
        <v>0.1611071301</v>
      </c>
      <c r="S7" s="5">
        <f>0.09362818119/2+0.1514501995/2+0.08062991068</f>
        <v>0.203169101</v>
      </c>
      <c r="T7" s="5">
        <f>0.1841210391/2+0.09448147617/2</f>
        <v>0.1393012576</v>
      </c>
      <c r="U7" s="6">
        <f>0.0467012518+0.1679473097+0.09907238264/2</f>
        <v>0.2641847528</v>
      </c>
      <c r="V7" s="29">
        <f>0.1524946775+0.09624498732/3</f>
        <v>0.1845763399</v>
      </c>
      <c r="W7" s="29">
        <f>0.1093378686/2+0.2047681472/2</f>
        <v>0.1570530079</v>
      </c>
      <c r="X7" s="29">
        <f>0.2111602903/3+0.1070098701/2</f>
        <v>0.1238916985</v>
      </c>
      <c r="Y7" s="29">
        <f>0.08365939297+0.09910241947/2</f>
        <v>0.1332106027</v>
      </c>
      <c r="Z7" s="29">
        <f>0.07434990843</f>
        <v>0.07434990843</v>
      </c>
      <c r="AA7" s="29">
        <f>0.1987191493/2</f>
        <v>0.09935957465</v>
      </c>
      <c r="AB7" s="29">
        <f>0.1572189956/2</f>
        <v>0.0786094978</v>
      </c>
      <c r="AC7" s="29">
        <f>0.1766943108/2</f>
        <v>0.0883471554</v>
      </c>
      <c r="AD7" s="29">
        <f>0.1130179669/2</f>
        <v>0.05650898345</v>
      </c>
      <c r="AE7" s="29">
        <f>0.1878707416/2</f>
        <v>0.0939353708</v>
      </c>
      <c r="AF7" s="29">
        <f>0.0660060074/3+0.1548069038</f>
        <v>0.1768089063</v>
      </c>
      <c r="AG7" s="29">
        <f>0.1038296592</f>
        <v>0.1038296592</v>
      </c>
      <c r="AH7" s="29">
        <f>0.1426815368</f>
        <v>0.1426815368</v>
      </c>
      <c r="AI7" s="29"/>
      <c r="AJ7" s="29">
        <f>0.1138764312/2</f>
        <v>0.0569382156</v>
      </c>
      <c r="AK7" s="29">
        <v>0.1313074815</v>
      </c>
      <c r="AL7" s="29">
        <f>0.1108319146/2</f>
        <v>0.0554159573</v>
      </c>
      <c r="AM7" s="29">
        <f>0.09756868418</f>
        <v>0.09756868418</v>
      </c>
      <c r="AN7" s="29">
        <f>0.1008381887/2</f>
        <v>0.05041909435</v>
      </c>
      <c r="AO7" s="29">
        <f>0.09894034931/2</f>
        <v>0.04947017466</v>
      </c>
      <c r="AP7" s="29">
        <f>0.09655995703/2</f>
        <v>0.04827997852</v>
      </c>
      <c r="AQ7" s="29">
        <f>0.09049593152</f>
        <v>0.09049593152</v>
      </c>
      <c r="AR7" s="29">
        <f>0.09735119429</f>
        <v>0.09735119429</v>
      </c>
      <c r="AS7" s="29">
        <f>0.07691765655/2</f>
        <v>0.03845882828</v>
      </c>
      <c r="AT7" s="29">
        <f>0.1250827524/2</f>
        <v>0.0625413762</v>
      </c>
      <c r="AU7" s="29">
        <f>0.1123015269/2</f>
        <v>0.05615076345</v>
      </c>
      <c r="AV7" s="29">
        <f>0.07424019848/2+0.1077326985</f>
        <v>0.1448527977</v>
      </c>
      <c r="AW7" s="29">
        <f>0.1212124045/2</f>
        <v>0.06060620225</v>
      </c>
      <c r="AX7" s="29">
        <f>0.1100401589</f>
        <v>0.1100401589</v>
      </c>
      <c r="AY7" s="29">
        <f>0.1037080687+0.1127920266/2</f>
        <v>0.160104082</v>
      </c>
      <c r="AZ7" s="29">
        <f t="shared" ref="AZ7:AZ8" si="3">0.1201500781/2</f>
        <v>0.06007503905</v>
      </c>
      <c r="BA7" s="29">
        <f>0.1152338212</f>
        <v>0.1152338212</v>
      </c>
      <c r="BB7" s="29">
        <f>0.1376413814/2</f>
        <v>0.0688206907</v>
      </c>
      <c r="BC7" s="29">
        <f>0.1601339881/2</f>
        <v>0.08006699405</v>
      </c>
      <c r="BD7" s="29">
        <f>0.1128381729</f>
        <v>0.1128381729</v>
      </c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</row>
    <row r="8" ht="15.75" customHeight="1">
      <c r="A8" s="2">
        <v>7.0</v>
      </c>
      <c r="B8" s="3" t="s">
        <v>68</v>
      </c>
      <c r="C8" s="35" t="s">
        <v>132</v>
      </c>
      <c r="D8" s="4"/>
      <c r="E8" s="4"/>
      <c r="F8" s="5"/>
      <c r="G8" s="5"/>
      <c r="H8" s="4"/>
      <c r="I8" s="4"/>
      <c r="J8" s="4"/>
      <c r="K8" s="4"/>
      <c r="L8" s="5"/>
      <c r="M8" s="5">
        <v>0.09966215644</v>
      </c>
      <c r="N8" s="4">
        <f>0.1166021105/2</f>
        <v>0.05830105525</v>
      </c>
      <c r="O8" s="4">
        <f>0.1168759764/2</f>
        <v>0.0584379882</v>
      </c>
      <c r="P8" s="4"/>
      <c r="Q8" s="4"/>
      <c r="R8" s="4">
        <f>0.1376465223/2</f>
        <v>0.06882326115</v>
      </c>
      <c r="S8" s="4"/>
      <c r="T8" s="5">
        <f>0.152615352/2</f>
        <v>0.076307676</v>
      </c>
      <c r="U8" s="6">
        <v>0.1832086757</v>
      </c>
      <c r="V8" s="29">
        <v>0.07925480825</v>
      </c>
      <c r="W8" s="29">
        <f>0.1244991167</f>
        <v>0.1244991167</v>
      </c>
      <c r="X8" s="29">
        <f>0.13053829/2</f>
        <v>0.065269145</v>
      </c>
      <c r="Y8" s="29">
        <f>0.09910241947/2</f>
        <v>0.04955120974</v>
      </c>
      <c r="Z8" s="29"/>
      <c r="AA8" s="29">
        <f>0.05260290285</f>
        <v>0.05260290285</v>
      </c>
      <c r="AB8" s="29">
        <f>0.1245749794/2</f>
        <v>0.0622874897</v>
      </c>
      <c r="AC8" s="29">
        <f>0.09608449497/2</f>
        <v>0.04804224749</v>
      </c>
      <c r="AD8" s="29">
        <f>0.1292340209/2</f>
        <v>0.06461701045</v>
      </c>
      <c r="AE8" s="29">
        <f>0.05872841125</f>
        <v>0.05872841125</v>
      </c>
      <c r="AF8" s="29">
        <f>0.06082235729</f>
        <v>0.06082235729</v>
      </c>
      <c r="AG8" s="29">
        <f>0.09426605635</f>
        <v>0.09426605635</v>
      </c>
      <c r="AH8" s="29">
        <f>0.07070081713</f>
        <v>0.07070081713</v>
      </c>
      <c r="AI8" s="29"/>
      <c r="AJ8" s="29">
        <f>0.1355795524/2</f>
        <v>0.0677897762</v>
      </c>
      <c r="AK8" s="29">
        <v>0.1658561002</v>
      </c>
      <c r="AL8" s="29">
        <f>0.1787082273/2+0.1414810343</f>
        <v>0.230835148</v>
      </c>
      <c r="AM8" s="29">
        <f>0.08050464405</f>
        <v>0.08050464405</v>
      </c>
      <c r="AN8" s="29">
        <f>0.08719638343/2+0.02432216037/2</f>
        <v>0.0557592719</v>
      </c>
      <c r="AO8" s="29">
        <f>0.1778628787/2+0.02549936754/2</f>
        <v>0.1016811231</v>
      </c>
      <c r="AP8" s="29">
        <f>0.06254699314/2+0.1739810924/2</f>
        <v>0.1182640428</v>
      </c>
      <c r="AQ8" s="29">
        <f>0.05099571446/2</f>
        <v>0.02549785723</v>
      </c>
      <c r="AR8" s="29"/>
      <c r="AS8" s="29">
        <f>0.02233748581+0.1861368351/3</f>
        <v>0.08438309751</v>
      </c>
      <c r="AT8" s="29">
        <f>0.01858391519+0.1673616456/2</f>
        <v>0.102264738</v>
      </c>
      <c r="AU8" s="29">
        <f>0.03100926138</f>
        <v>0.03100926138</v>
      </c>
      <c r="AV8" s="29">
        <f>0.04319436665</f>
        <v>0.04319436665</v>
      </c>
      <c r="AW8" s="29"/>
      <c r="AX8" s="29">
        <f>0.1803228636/2</f>
        <v>0.0901614318</v>
      </c>
      <c r="AY8" s="29">
        <f>0.2185701326/2</f>
        <v>0.1092850663</v>
      </c>
      <c r="AZ8" s="29">
        <f t="shared" si="3"/>
        <v>0.06007503905</v>
      </c>
      <c r="BA8" s="29"/>
      <c r="BB8" s="29">
        <f>0.07019016561/2</f>
        <v>0.03509508281</v>
      </c>
      <c r="BC8" s="29">
        <f>0.07558591477/3</f>
        <v>0.02519530492</v>
      </c>
      <c r="BD8" s="29">
        <f>0.07091764638/2</f>
        <v>0.03545882319</v>
      </c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</row>
    <row r="9" ht="15.75" customHeight="1">
      <c r="A9" s="7">
        <v>8.0</v>
      </c>
      <c r="B9" s="8" t="s">
        <v>70</v>
      </c>
      <c r="C9" s="36" t="s">
        <v>133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1"/>
      <c r="Q9" s="9"/>
      <c r="R9" s="9"/>
      <c r="S9" s="9"/>
      <c r="T9" s="9"/>
      <c r="U9" s="10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>
        <f>0.1610317401/2</f>
        <v>0.08051587005</v>
      </c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</row>
    <row r="10" ht="15.75" customHeight="1">
      <c r="A10" s="2">
        <v>9.0</v>
      </c>
      <c r="B10" s="3" t="s">
        <v>72</v>
      </c>
      <c r="C10" s="35" t="s">
        <v>134</v>
      </c>
      <c r="D10" s="4"/>
      <c r="E10" s="4"/>
      <c r="F10" s="4"/>
      <c r="G10" s="4"/>
      <c r="H10" s="4"/>
      <c r="I10" s="4"/>
      <c r="J10" s="4"/>
      <c r="K10" s="4"/>
      <c r="L10" s="4"/>
      <c r="M10" s="4">
        <v>0.1260666619</v>
      </c>
      <c r="N10" s="4">
        <v>0.1008077057</v>
      </c>
      <c r="O10" s="4"/>
      <c r="P10" s="4"/>
      <c r="Q10" s="4"/>
      <c r="R10" s="4">
        <f>0.1376465223/2</f>
        <v>0.06882326115</v>
      </c>
      <c r="S10" s="4">
        <v>0.08603513284</v>
      </c>
      <c r="T10" s="4">
        <v>0.09396876141</v>
      </c>
      <c r="U10" s="6">
        <v>0.07942478557</v>
      </c>
      <c r="V10" s="29">
        <v>0.06937762552</v>
      </c>
      <c r="W10" s="29"/>
      <c r="X10" s="29">
        <f>0.08582208822</f>
        <v>0.08582208822</v>
      </c>
      <c r="Y10" s="29">
        <f>0.07356416123</f>
        <v>0.07356416123</v>
      </c>
      <c r="Z10" s="29">
        <f>0.08993070837</f>
        <v>0.08993070837</v>
      </c>
      <c r="AA10" s="29">
        <f>0.07086845259/2+0.1495125704</f>
        <v>0.1849467967</v>
      </c>
      <c r="AB10" s="29">
        <f>0.0830537732+0.1180903269</f>
        <v>0.2011441001</v>
      </c>
      <c r="AC10" s="29">
        <f>0.1012567345/2+0.09608449497/2</f>
        <v>0.09867061474</v>
      </c>
      <c r="AD10" s="29">
        <f>0.04689643579/2+0.1031320269</f>
        <v>0.1265802448</v>
      </c>
      <c r="AE10" s="29">
        <f>0.1181374342</f>
        <v>0.1181374342</v>
      </c>
      <c r="AF10" s="29">
        <f>0.1148052606</f>
        <v>0.1148052606</v>
      </c>
      <c r="AG10" s="29">
        <f>0.1294236022+0.0501091997/2</f>
        <v>0.1544782021</v>
      </c>
      <c r="AH10" s="29">
        <f>0.07296933339+0.1285220684+0.04417832812/2</f>
        <v>0.2235805659</v>
      </c>
      <c r="AI10" s="29"/>
      <c r="AJ10" s="29">
        <v>0.08505967655</v>
      </c>
      <c r="AK10" s="29">
        <v>0.08021984901</v>
      </c>
      <c r="AL10" s="29">
        <v>0.0982267047</v>
      </c>
      <c r="AM10" s="29">
        <f>0.06722424779</f>
        <v>0.06722424779</v>
      </c>
      <c r="AN10" s="29">
        <f>0.08030586201</f>
        <v>0.08030586201</v>
      </c>
      <c r="AO10" s="29">
        <f>0.0978728528</f>
        <v>0.0978728528</v>
      </c>
      <c r="AP10" s="29">
        <f>0.07841916879</f>
        <v>0.07841916879</v>
      </c>
      <c r="AQ10" s="29">
        <f>0.07577762643</f>
        <v>0.07577762643</v>
      </c>
      <c r="AR10" s="29">
        <f>0.1995921503</f>
        <v>0.1995921503</v>
      </c>
      <c r="AS10" s="29">
        <f>0.08305597551</f>
        <v>0.08305597551</v>
      </c>
      <c r="AT10" s="29">
        <f>0.08258249271</f>
        <v>0.08258249271</v>
      </c>
      <c r="AU10" s="29">
        <f>0.09046889112/2</f>
        <v>0.04523444556</v>
      </c>
      <c r="AV10" s="29">
        <f>0.08740939475</f>
        <v>0.08740939475</v>
      </c>
      <c r="AW10" s="29">
        <f>0.08122933941</f>
        <v>0.08122933941</v>
      </c>
      <c r="AX10" s="29">
        <f>0.06631746393</f>
        <v>0.06631746393</v>
      </c>
      <c r="AY10" s="29">
        <f>0.08252684512</f>
        <v>0.08252684512</v>
      </c>
      <c r="AZ10" s="29">
        <f>0.07276911676</f>
        <v>0.07276911676</v>
      </c>
      <c r="BA10" s="29">
        <f>0.07847705714</f>
        <v>0.07847705714</v>
      </c>
      <c r="BB10" s="29">
        <f>0.06383069738</f>
        <v>0.06383069738</v>
      </c>
      <c r="BC10" s="29">
        <f>0.08792028718</f>
        <v>0.08792028718</v>
      </c>
      <c r="BD10" s="29">
        <f>0.05352532246</f>
        <v>0.05352532246</v>
      </c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</row>
    <row r="11" ht="15.75" customHeight="1">
      <c r="A11" s="7">
        <v>10.0</v>
      </c>
      <c r="B11" s="8" t="s">
        <v>74</v>
      </c>
      <c r="C11" s="36" t="s">
        <v>135</v>
      </c>
      <c r="D11" s="9"/>
      <c r="E11" s="9"/>
      <c r="F11" s="9"/>
      <c r="G11" s="9"/>
      <c r="H11" s="11"/>
      <c r="I11" s="11"/>
      <c r="J11" s="11"/>
      <c r="K11" s="11"/>
      <c r="L11" s="11"/>
      <c r="M11" s="11"/>
      <c r="N11" s="11"/>
      <c r="O11" s="11"/>
      <c r="P11" s="9"/>
      <c r="Q11" s="9"/>
      <c r="R11" s="9"/>
      <c r="S11" s="11"/>
      <c r="T11" s="9"/>
      <c r="U11" s="10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>
        <f>0.1889221578/2</f>
        <v>0.0944610789</v>
      </c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</row>
    <row r="12" ht="15.75" customHeight="1">
      <c r="A12" s="2">
        <v>11.0</v>
      </c>
      <c r="B12" s="3" t="s">
        <v>76</v>
      </c>
      <c r="C12" s="35" t="s">
        <v>136</v>
      </c>
      <c r="D12" s="4"/>
      <c r="E12" s="4"/>
      <c r="F12" s="5"/>
      <c r="G12" s="5"/>
      <c r="H12" s="5"/>
      <c r="I12" s="5"/>
      <c r="J12" s="5"/>
      <c r="K12" s="5"/>
      <c r="L12" s="5"/>
      <c r="M12" s="5">
        <v>0.09464998648</v>
      </c>
      <c r="N12" s="4">
        <v>0.06771353439</v>
      </c>
      <c r="O12" s="5"/>
      <c r="P12" s="5"/>
      <c r="Q12" s="4"/>
      <c r="R12" s="4"/>
      <c r="S12" s="4"/>
      <c r="T12" s="4"/>
      <c r="U12" s="6"/>
      <c r="V12" s="29">
        <v>0.06714921746</v>
      </c>
      <c r="W12" s="29"/>
      <c r="X12" s="29">
        <f>0.1020936692</f>
        <v>0.1020936692</v>
      </c>
      <c r="Y12" s="29">
        <f>0.06570755905</f>
        <v>0.06570755905</v>
      </c>
      <c r="Z12" s="29">
        <f>0.08253787078+0.1075451862</f>
        <v>0.190083057</v>
      </c>
      <c r="AA12" s="29">
        <f>0.09683392358</f>
        <v>0.09683392358</v>
      </c>
      <c r="AB12" s="29">
        <f>0.1195075149/2+0.05476376904/2</f>
        <v>0.08713564197</v>
      </c>
      <c r="AC12" s="29">
        <f>0.1099998025/2</f>
        <v>0.05499990125</v>
      </c>
      <c r="AD12" s="29"/>
      <c r="AE12" s="29">
        <f>0.1174598139</f>
        <v>0.1174598139</v>
      </c>
      <c r="AF12" s="29">
        <f>0.1308706637</f>
        <v>0.1308706637</v>
      </c>
      <c r="AG12" s="29">
        <f>0.1470925874</f>
        <v>0.1470925874</v>
      </c>
      <c r="AH12" s="29">
        <f>0.1463428499</f>
        <v>0.1463428499</v>
      </c>
      <c r="AI12" s="29"/>
      <c r="AJ12" s="29">
        <f>0.08890627335+0.08841115301</f>
        <v>0.1773174264</v>
      </c>
      <c r="AK12" s="29">
        <f>0.07977320518+0.03814600431</f>
        <v>0.1179192095</v>
      </c>
      <c r="AL12" s="29">
        <f>0.07857746256+0.06704298776+0.03105156991</f>
        <v>0.1766720202</v>
      </c>
      <c r="AM12" s="29">
        <f>0.07355687952+0.07649195671</f>
        <v>0.1500488362</v>
      </c>
      <c r="AN12" s="29">
        <f>0.05216046749+0.1039392957</f>
        <v>0.1560997632</v>
      </c>
      <c r="AO12" s="29">
        <f>0.08395073787+0.05888819305+0.1030398815</f>
        <v>0.2458788124</v>
      </c>
      <c r="AP12" s="29">
        <f>0.1187966891+0.09926420865</f>
        <v>0.2180608978</v>
      </c>
      <c r="AQ12" s="29">
        <f>0.1140680882+0.1106655805+0.07364757174</f>
        <v>0.2983812404</v>
      </c>
      <c r="AR12" s="29">
        <f>0.09024569913+0.02094685349+0.1355443873+0.09236655996</f>
        <v>0.3391034999</v>
      </c>
      <c r="AS12" s="29">
        <f>0.09531901362+0.1032151373</f>
        <v>0.1985341509</v>
      </c>
      <c r="AT12" s="29">
        <f>0.1477410872</f>
        <v>0.1477410872</v>
      </c>
      <c r="AU12" s="29">
        <f>0.111345167</f>
        <v>0.111345167</v>
      </c>
      <c r="AV12" s="29">
        <f>0.1151018986</f>
        <v>0.1151018986</v>
      </c>
      <c r="AW12" s="29">
        <f>0.06474108453/2+0.1043871716</f>
        <v>0.1367577139</v>
      </c>
      <c r="AX12" s="29">
        <f>0.07359635052</f>
        <v>0.07359635052</v>
      </c>
      <c r="AY12" s="29">
        <f>0.1154315722</f>
        <v>0.1154315722</v>
      </c>
      <c r="AZ12" s="29">
        <f>0.1179472428/2</f>
        <v>0.0589736214</v>
      </c>
      <c r="BA12" s="29">
        <f>0.0863131771+0.07626311301</f>
        <v>0.1625762901</v>
      </c>
      <c r="BB12" s="29">
        <f>0.1170912121</f>
        <v>0.1170912121</v>
      </c>
      <c r="BC12" s="29">
        <f>0.1205188267+0.09012764873</f>
        <v>0.2106464754</v>
      </c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</row>
    <row r="13" ht="15.75" customHeight="1">
      <c r="A13" s="7">
        <v>12.0</v>
      </c>
      <c r="B13" s="12" t="s">
        <v>78</v>
      </c>
      <c r="C13" s="37" t="s">
        <v>137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0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</row>
    <row r="14" ht="15.75" customHeight="1">
      <c r="A14" s="2">
        <v>13.0</v>
      </c>
      <c r="B14" s="3" t="s">
        <v>80</v>
      </c>
      <c r="C14" s="3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29"/>
      <c r="W14" s="29"/>
      <c r="X14" s="29">
        <f>0.05168506523</f>
        <v>0.05168506523</v>
      </c>
      <c r="Y14" s="29">
        <f>0.09455241416/2+0.06845994367+0.1298548527</f>
        <v>0.2455910035</v>
      </c>
      <c r="Z14" s="29">
        <f>0.08094868606+0.1097010912</f>
        <v>0.1906497773</v>
      </c>
      <c r="AA14" s="29">
        <f>0.1220542668</f>
        <v>0.1220542668</v>
      </c>
      <c r="AB14" s="29">
        <f>0.1245749794/2</f>
        <v>0.0622874897</v>
      </c>
      <c r="AC14" s="29">
        <f>0.1072408501</f>
        <v>0.1072408501</v>
      </c>
      <c r="AD14" s="29">
        <f>0.09629387262</f>
        <v>0.09629387262</v>
      </c>
      <c r="AE14" s="29"/>
      <c r="AF14" s="29">
        <f>0.1141621405</f>
        <v>0.1141621405</v>
      </c>
      <c r="AG14" s="29">
        <f>0.04685285417/2</f>
        <v>0.02342642709</v>
      </c>
      <c r="AH14" s="29"/>
      <c r="AI14" s="29"/>
      <c r="AJ14" s="29">
        <v>0.08806077906</v>
      </c>
      <c r="AK14" s="29"/>
      <c r="AL14" s="29">
        <v>0.08422694377</v>
      </c>
      <c r="AM14" s="29"/>
      <c r="AN14" s="29"/>
      <c r="AO14" s="29"/>
      <c r="AP14" s="29"/>
      <c r="AQ14" s="29"/>
      <c r="AR14" s="29"/>
      <c r="AS14" s="29"/>
      <c r="AT14" s="29"/>
      <c r="AU14" s="29">
        <f>0.1123015269/2</f>
        <v>0.05615076345</v>
      </c>
      <c r="AV14" s="29"/>
      <c r="AW14" s="29">
        <f>0.07535689151</f>
        <v>0.07535689151</v>
      </c>
      <c r="AX14" s="29"/>
      <c r="AY14" s="29"/>
      <c r="AZ14" s="29"/>
      <c r="BA14" s="29">
        <f>0.07599868213</f>
        <v>0.07599868213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</row>
    <row r="15" ht="15.75" customHeight="1">
      <c r="A15" s="2">
        <v>101.0</v>
      </c>
      <c r="B15" s="3" t="s">
        <v>81</v>
      </c>
      <c r="C15" s="35" t="s">
        <v>138</v>
      </c>
      <c r="D15" s="4"/>
      <c r="E15" s="4">
        <f>0.1107525426/2+0.0635725755+0.05782090178/2+0.06628172963+0.05788311064</f>
        <v>0.272024138</v>
      </c>
      <c r="F15" s="4">
        <f>9.824301416%/2</f>
        <v>0.04912150708</v>
      </c>
      <c r="G15" s="4"/>
      <c r="H15" s="4">
        <f>0.0541368435+0.1689494567/2</f>
        <v>0.1386115719</v>
      </c>
      <c r="I15" s="4">
        <v>0.0798543563</v>
      </c>
      <c r="J15" s="4">
        <f>0.1532837094+0.05937826209+0.1330263909/2</f>
        <v>0.2791751669</v>
      </c>
      <c r="K15" s="4">
        <f>0.08452807994+0.1282797905</f>
        <v>0.2128078704</v>
      </c>
      <c r="L15" s="4">
        <f>0.1559883601/2+0.03253893002/2</f>
        <v>0.09426364506</v>
      </c>
      <c r="M15" s="4">
        <f>0.1773775769/2</f>
        <v>0.08868878845</v>
      </c>
      <c r="N15" s="4">
        <f>12.88862676%/2</f>
        <v>0.0644431338</v>
      </c>
      <c r="O15" s="4">
        <f>0.08460593069/2+0.07392831782</f>
        <v>0.1162312832</v>
      </c>
      <c r="P15" s="4"/>
      <c r="Q15" s="4">
        <f>0.04048588149+0.1971329682/2</f>
        <v>0.1390523656</v>
      </c>
      <c r="R15" s="4">
        <f>14.28133678%/2</f>
        <v>0.0714066839</v>
      </c>
      <c r="S15" s="4"/>
      <c r="T15" s="4"/>
      <c r="U15" s="6"/>
      <c r="V15" s="29"/>
      <c r="W15" s="29"/>
      <c r="X15" s="29"/>
      <c r="Y15" s="29">
        <f>0.1960046836/2</f>
        <v>0.0980023418</v>
      </c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>
        <f>0.02024979948/2</f>
        <v>0.01012489974</v>
      </c>
      <c r="AX15" s="29"/>
      <c r="AY15" s="29">
        <f>0.114317996</f>
        <v>0.114317996</v>
      </c>
      <c r="AZ15" s="29">
        <f>0.06201860836</f>
        <v>0.06201860836</v>
      </c>
      <c r="BA15" s="29">
        <f>0.04074040616/2</f>
        <v>0.02037020308</v>
      </c>
      <c r="BB15" s="29">
        <f>0.03508586403/2</f>
        <v>0.01754293202</v>
      </c>
      <c r="BC15" s="29"/>
      <c r="BD15" s="29">
        <f>0.03849669999/2</f>
        <v>0.01924835</v>
      </c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</row>
    <row r="16" ht="15.75" customHeight="1">
      <c r="A16" s="2">
        <v>102.0</v>
      </c>
      <c r="B16" s="3" t="s">
        <v>83</v>
      </c>
      <c r="C16" s="35" t="s">
        <v>139</v>
      </c>
      <c r="D16" s="4"/>
      <c r="E16" s="4"/>
      <c r="F16" s="4">
        <v>0.07411408744</v>
      </c>
      <c r="G16" s="4">
        <v>0.1060968506</v>
      </c>
      <c r="H16" s="4">
        <v>0.1347288634</v>
      </c>
      <c r="I16" s="4">
        <f>0.1498864667+0.0954099736</f>
        <v>0.2452964403</v>
      </c>
      <c r="J16" s="4">
        <f>0.09575869008+0.115582136889123</f>
        <v>0.211340827</v>
      </c>
      <c r="K16" s="4">
        <f>0.1200976816+0.1409836442</f>
        <v>0.2610813258</v>
      </c>
      <c r="L16" s="4">
        <v>0.1071406211</v>
      </c>
      <c r="M16" s="4">
        <f>0.09979401892/2</f>
        <v>0.04989700946</v>
      </c>
      <c r="N16" s="4"/>
      <c r="O16" s="4"/>
      <c r="P16" s="4"/>
      <c r="Q16" s="4"/>
      <c r="R16" s="4"/>
      <c r="S16" s="4">
        <f>0.1514501995/2</f>
        <v>0.07572509975</v>
      </c>
      <c r="T16" s="4"/>
      <c r="U16" s="6"/>
      <c r="V16" s="29"/>
      <c r="W16" s="29">
        <f>0.2047681472/2</f>
        <v>0.1023840736</v>
      </c>
      <c r="X16" s="29">
        <f>0.2111602903/3</f>
        <v>0.07038676343</v>
      </c>
      <c r="Y16" s="29"/>
      <c r="Z16" s="29">
        <f>0.1620871345</f>
        <v>0.1620871345</v>
      </c>
      <c r="AA16" s="29"/>
      <c r="AB16" s="29"/>
      <c r="AC16" s="29"/>
      <c r="AD16" s="29"/>
      <c r="AE16" s="29">
        <f>0.1878707416/2</f>
        <v>0.0939353708</v>
      </c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>
        <f>0.1601339881/2</f>
        <v>0.08006699405</v>
      </c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</row>
    <row r="17" ht="15.75" customHeight="1">
      <c r="A17" s="7">
        <v>103.0</v>
      </c>
      <c r="B17" s="8" t="s">
        <v>85</v>
      </c>
      <c r="C17" s="36" t="s">
        <v>140</v>
      </c>
      <c r="D17" s="9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9"/>
      <c r="S17" s="9"/>
      <c r="T17" s="11"/>
      <c r="U17" s="10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</row>
    <row r="18" ht="15.75" customHeight="1">
      <c r="A18" s="2">
        <v>104.0</v>
      </c>
      <c r="B18" s="3" t="s">
        <v>87</v>
      </c>
      <c r="C18" s="35" t="s">
        <v>87</v>
      </c>
      <c r="D18" s="4"/>
      <c r="E18" s="4"/>
      <c r="F18" s="5"/>
      <c r="G18" s="5"/>
      <c r="H18" s="5"/>
      <c r="I18" s="4"/>
      <c r="J18" s="4"/>
      <c r="K18" s="5"/>
      <c r="L18" s="5"/>
      <c r="M18" s="4"/>
      <c r="N18" s="5"/>
      <c r="O18" s="4"/>
      <c r="P18" s="4"/>
      <c r="Q18" s="4"/>
      <c r="R18" s="4"/>
      <c r="S18" s="4"/>
      <c r="T18" s="4"/>
      <c r="U18" s="6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</row>
    <row r="19" ht="15.75" customHeight="1">
      <c r="A19" s="2">
        <v>105.0</v>
      </c>
      <c r="B19" s="3" t="s">
        <v>89</v>
      </c>
      <c r="C19" s="35" t="s">
        <v>141</v>
      </c>
      <c r="D19" s="5">
        <f>0.07577320368+0.02749431767+0.2129250128+0.2209286664+0.04676488748</f>
        <v>0.583886088</v>
      </c>
      <c r="E19" s="5">
        <f>0.06556973045+0.1107525426/2+0.1445011597+0.1241678927+0.09661679344+0.05782090178/2</f>
        <v>0.5151422985</v>
      </c>
      <c r="F19" s="5">
        <f>0.1325814522+0.1400384443+0.1431299922+0.06603982328+0.09824301416/2</f>
        <v>0.5309112191</v>
      </c>
      <c r="G19" s="5">
        <f>0.1628490109+0.1625431537+0.07645605071+0.06957704046</f>
        <v>0.4714252558</v>
      </c>
      <c r="H19" s="5">
        <f>0.1731965309+0.09322790498+0.02918700233+0.1689494567/2+0.0729104883</f>
        <v>0.4529966549</v>
      </c>
      <c r="I19" s="5">
        <f>0.1691802138+0.124536139899638</f>
        <v>0.2937163537</v>
      </c>
      <c r="J19" s="5">
        <f>0.09967054149+0.1382414643+0.1330263909/2</f>
        <v>0.3044252012</v>
      </c>
      <c r="K19" s="4"/>
      <c r="L19" s="4">
        <f>0.1559883601/2</f>
        <v>0.07799418005</v>
      </c>
      <c r="M19" s="4">
        <f>0.1773775769/2</f>
        <v>0.08868878845</v>
      </c>
      <c r="N19" s="4">
        <f>12.88862676%/2</f>
        <v>0.0644431338</v>
      </c>
      <c r="O19" s="4">
        <f>0.08460593069/2</f>
        <v>0.04230296535</v>
      </c>
      <c r="P19" s="4"/>
      <c r="Q19" s="4">
        <f>0.077921032/2</f>
        <v>0.038960516</v>
      </c>
      <c r="R19" s="5">
        <f>14.28133678%/2</f>
        <v>0.0714066839</v>
      </c>
      <c r="S19" s="4"/>
      <c r="T19" s="4">
        <f>0.09282768636/2</f>
        <v>0.04641384318</v>
      </c>
      <c r="U19" s="6"/>
      <c r="V19" s="29">
        <v>0.127414041</v>
      </c>
      <c r="W19" s="29"/>
      <c r="X19" s="29">
        <f>0.05780912643</f>
        <v>0.05780912643</v>
      </c>
      <c r="Y19" s="29">
        <f>0.1028091458</f>
        <v>0.1028091458</v>
      </c>
      <c r="Z19" s="29"/>
      <c r="AA19" s="29">
        <f>0.1074196176</f>
        <v>0.1074196176</v>
      </c>
      <c r="AB19" s="29"/>
      <c r="AC19" s="29"/>
      <c r="AD19" s="29">
        <f>0.1111421143</f>
        <v>0.1111421143</v>
      </c>
      <c r="AE19" s="29"/>
      <c r="AF19" s="29">
        <f>0.0660060074/3</f>
        <v>0.02200200247</v>
      </c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</row>
    <row r="20" ht="15.75" customHeight="1">
      <c r="A20" s="2">
        <v>106.0</v>
      </c>
      <c r="B20" s="3" t="s">
        <v>91</v>
      </c>
      <c r="C20" s="35" t="s">
        <v>142</v>
      </c>
      <c r="D20" s="4"/>
      <c r="E20" s="4"/>
      <c r="F20" s="5"/>
      <c r="G20" s="5"/>
      <c r="H20" s="5"/>
      <c r="I20" s="5">
        <f>0.07090360589/2</f>
        <v>0.03545180295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</row>
    <row r="21" ht="15.75" customHeight="1">
      <c r="A21" s="7">
        <v>107.0</v>
      </c>
      <c r="B21" s="8" t="s">
        <v>93</v>
      </c>
      <c r="C21" s="37" t="s">
        <v>143</v>
      </c>
      <c r="D21" s="13"/>
      <c r="E21" s="13"/>
      <c r="F21" s="13"/>
      <c r="G21" s="13"/>
      <c r="H21" s="10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0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>
        <v>0.1139865263</v>
      </c>
      <c r="AL21" s="31"/>
      <c r="AM21" s="31"/>
      <c r="AN21" s="31"/>
      <c r="AO21" s="31">
        <f>0.1057673621</f>
        <v>0.1057673621</v>
      </c>
      <c r="AP21" s="31"/>
      <c r="AQ21" s="31"/>
      <c r="AR21" s="31"/>
      <c r="AS21" s="31"/>
      <c r="AT21" s="31"/>
      <c r="AU21" s="31">
        <f>0.1173461003</f>
        <v>0.1173461003</v>
      </c>
      <c r="AV21" s="31">
        <f>0.100428961</f>
        <v>0.100428961</v>
      </c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</row>
    <row r="22" ht="15.75" customHeight="1">
      <c r="A22" s="2">
        <v>108.0</v>
      </c>
      <c r="B22" s="3" t="s">
        <v>95</v>
      </c>
      <c r="C22" s="35"/>
      <c r="D22" s="14"/>
      <c r="E22" s="14"/>
      <c r="F22" s="14"/>
      <c r="G22" s="14"/>
      <c r="H22" s="6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6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>
        <v>0.09698664459</v>
      </c>
      <c r="AK22" s="29"/>
      <c r="AL22" s="29">
        <v>0.09977429744</v>
      </c>
      <c r="AM22" s="29"/>
      <c r="AN22" s="29">
        <v>0.1130329826</v>
      </c>
      <c r="AO22" s="29"/>
      <c r="AP22" s="29"/>
      <c r="AQ22" s="29"/>
      <c r="AR22" s="29"/>
      <c r="AS22" s="29">
        <f>0.09294600466</f>
        <v>0.09294600466</v>
      </c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</row>
    <row r="23" ht="15.75" customHeight="1">
      <c r="A23" s="2">
        <v>99.0</v>
      </c>
      <c r="B23" s="3" t="s">
        <v>97</v>
      </c>
      <c r="C23" s="35" t="s">
        <v>97</v>
      </c>
      <c r="D23" s="14">
        <f>0.02818979275+0.04631464678+0.02778676199</f>
        <v>0.1022912015</v>
      </c>
      <c r="E23" s="14"/>
      <c r="F23" s="14">
        <f>0.1226758813+0.1058679214+0.08971321078+0.02759617297</f>
        <v>0.3458531865</v>
      </c>
      <c r="G23" s="14">
        <f>0.1369522989+0.07382970726+0.0697060676+0.04824985798</f>
        <v>0.3287379317</v>
      </c>
      <c r="H23" s="6">
        <f>0.1138860609+0.04573702127</f>
        <v>0.1596230822</v>
      </c>
      <c r="I23" s="14">
        <f>0.0555653362+0.1268619533+0.0813993461236341</f>
        <v>0.2638266356</v>
      </c>
      <c r="J23" s="14">
        <f>0.04406917601+0.06030158193</f>
        <v>0.1043707579</v>
      </c>
      <c r="K23" s="14">
        <f>0.118390914+0.0706130387+0.04217332604</f>
        <v>0.2311772787</v>
      </c>
      <c r="L23" s="14">
        <f>0.08732716345+0.1352826517+0.1458451837+0.03131685753+0.0608120423768151</f>
        <v>0.4605838988</v>
      </c>
      <c r="M23" s="14"/>
      <c r="N23" s="14">
        <v>0.08210477435</v>
      </c>
      <c r="O23" s="14">
        <v>0.07538997374</v>
      </c>
      <c r="P23" s="14">
        <f>0.07452470751+0.07266619293+0.07229925363</f>
        <v>0.2194901541</v>
      </c>
      <c r="Q23" s="14">
        <f>0.08138413012+0.09156849128+0.04075666289</f>
        <v>0.2137092843</v>
      </c>
      <c r="R23" s="14">
        <f>0.06580565435+0.09010277593</f>
        <v>0.1559084303</v>
      </c>
      <c r="S23" s="14">
        <f>0.06075850274+0.06594713057</f>
        <v>0.1267056333</v>
      </c>
      <c r="T23" s="14">
        <f>0.04163137434+0.07726021702+0.07694301561</f>
        <v>0.195834607</v>
      </c>
      <c r="U23" s="6">
        <v>0.05345016318</v>
      </c>
      <c r="V23" s="29">
        <v>0.03894687043</v>
      </c>
      <c r="W23" s="29">
        <f>0.06446733902+0.04293749366</f>
        <v>0.1074048327</v>
      </c>
      <c r="X23" s="29">
        <f>0.08603734441</f>
        <v>0.08603734441</v>
      </c>
      <c r="Y23" s="29">
        <f>0.08628542732</f>
        <v>0.08628542732</v>
      </c>
      <c r="Z23" s="29">
        <f>0.03060731575</f>
        <v>0.03060731575</v>
      </c>
      <c r="AA23" s="29">
        <f>0.0269539768+0.0497975799</f>
        <v>0.0767515567</v>
      </c>
      <c r="AB23" s="29">
        <f>0.07553775486+0.0421143023</f>
        <v>0.1176520572</v>
      </c>
      <c r="AC23" s="29">
        <f>0.08643172608+0.0454450318</f>
        <v>0.1318767579</v>
      </c>
      <c r="AD23" s="29"/>
      <c r="AE23" s="29">
        <f>0.1121408967+0.1032789179</f>
        <v>0.2154198146</v>
      </c>
      <c r="AF23" s="29">
        <f>0.0666831138+0.09818347232</f>
        <v>0.1648665861</v>
      </c>
      <c r="AG23" s="29">
        <f>0.0652076256+0.07014327619</f>
        <v>0.1353509018</v>
      </c>
      <c r="AH23" s="29">
        <f>0.04629948787+0.1779114848+0.053955336734806</f>
        <v>0.2781663094</v>
      </c>
      <c r="AI23" s="29"/>
      <c r="AJ23" s="29">
        <v>0.04036703998</v>
      </c>
      <c r="AK23" s="29">
        <v>0.04702914706</v>
      </c>
      <c r="AL23" s="29"/>
      <c r="AM23" s="29"/>
      <c r="AN23" s="29"/>
      <c r="AO23" s="29"/>
      <c r="AP23" s="29">
        <f>0.0766516754</f>
        <v>0.0766516754</v>
      </c>
      <c r="AQ23" s="29">
        <f>0.0431672759</f>
        <v>0.0431672759</v>
      </c>
      <c r="AR23" s="29"/>
      <c r="AS23" s="29"/>
      <c r="AT23" s="29"/>
      <c r="AU23" s="29">
        <f>0.0144935606</f>
        <v>0.0144935606</v>
      </c>
      <c r="AV23" s="29"/>
      <c r="AW23" s="29"/>
      <c r="AX23" s="29"/>
      <c r="AY23" s="29"/>
      <c r="AZ23" s="29">
        <f>0.1311445652</f>
        <v>0.1311445652</v>
      </c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</row>
    <row r="24" ht="15.75" customHeight="1">
      <c r="A24" s="15" t="s">
        <v>99</v>
      </c>
      <c r="B24" s="16"/>
      <c r="C24" s="39"/>
      <c r="D24" s="18">
        <f t="shared" ref="D24:G24" si="4">SUM(D3:D23)</f>
        <v>1</v>
      </c>
      <c r="E24" s="18">
        <f t="shared" si="4"/>
        <v>1</v>
      </c>
      <c r="F24" s="18">
        <f t="shared" si="4"/>
        <v>1</v>
      </c>
      <c r="G24" s="18">
        <f t="shared" si="4"/>
        <v>1</v>
      </c>
      <c r="H24" s="18">
        <f t="shared" ref="H24:AH24" si="5">SUM(H2:H23)</f>
        <v>1</v>
      </c>
      <c r="I24" s="18">
        <f t="shared" si="5"/>
        <v>1</v>
      </c>
      <c r="J24" s="18">
        <f t="shared" si="5"/>
        <v>1</v>
      </c>
      <c r="K24" s="18">
        <f t="shared" si="5"/>
        <v>1</v>
      </c>
      <c r="L24" s="18">
        <f t="shared" si="5"/>
        <v>1</v>
      </c>
      <c r="M24" s="18">
        <f t="shared" si="5"/>
        <v>1</v>
      </c>
      <c r="N24" s="18">
        <f t="shared" si="5"/>
        <v>1</v>
      </c>
      <c r="O24" s="18">
        <f t="shared" si="5"/>
        <v>1</v>
      </c>
      <c r="P24" s="18">
        <f t="shared" si="5"/>
        <v>0.9999999999</v>
      </c>
      <c r="Q24" s="18">
        <f t="shared" si="5"/>
        <v>1</v>
      </c>
      <c r="R24" s="18">
        <f t="shared" si="5"/>
        <v>1</v>
      </c>
      <c r="S24" s="18">
        <f t="shared" si="5"/>
        <v>1</v>
      </c>
      <c r="T24" s="18">
        <f t="shared" si="5"/>
        <v>1</v>
      </c>
      <c r="U24" s="18">
        <f t="shared" si="5"/>
        <v>1</v>
      </c>
      <c r="V24" s="18">
        <f t="shared" si="5"/>
        <v>1</v>
      </c>
      <c r="W24" s="18">
        <f t="shared" si="5"/>
        <v>1</v>
      </c>
      <c r="X24" s="18">
        <f t="shared" si="5"/>
        <v>1</v>
      </c>
      <c r="Y24" s="18">
        <f t="shared" si="5"/>
        <v>1</v>
      </c>
      <c r="Z24" s="18">
        <f t="shared" si="5"/>
        <v>0.9999999999</v>
      </c>
      <c r="AA24" s="18">
        <f t="shared" si="5"/>
        <v>1</v>
      </c>
      <c r="AB24" s="18">
        <f t="shared" si="5"/>
        <v>1</v>
      </c>
      <c r="AC24" s="18">
        <f t="shared" si="5"/>
        <v>1</v>
      </c>
      <c r="AD24" s="18">
        <f t="shared" si="5"/>
        <v>1</v>
      </c>
      <c r="AE24" s="18">
        <f t="shared" si="5"/>
        <v>1</v>
      </c>
      <c r="AF24" s="18">
        <f t="shared" si="5"/>
        <v>0.9999999998</v>
      </c>
      <c r="AG24" s="18">
        <f t="shared" si="5"/>
        <v>1</v>
      </c>
      <c r="AH24" s="18">
        <f t="shared" si="5"/>
        <v>1</v>
      </c>
      <c r="AI24" s="18"/>
      <c r="AJ24" s="18">
        <f t="shared" ref="AJ24:BD24" si="6">SUM(AJ2:AJ23)</f>
        <v>1</v>
      </c>
      <c r="AK24" s="18">
        <f t="shared" si="6"/>
        <v>1</v>
      </c>
      <c r="AL24" s="18">
        <f t="shared" si="6"/>
        <v>0.9999999999</v>
      </c>
      <c r="AM24" s="18">
        <f t="shared" si="6"/>
        <v>0.9999999999</v>
      </c>
      <c r="AN24" s="18">
        <f t="shared" si="6"/>
        <v>1</v>
      </c>
      <c r="AO24" s="18">
        <f t="shared" si="6"/>
        <v>1</v>
      </c>
      <c r="AP24" s="18">
        <f t="shared" si="6"/>
        <v>1</v>
      </c>
      <c r="AQ24" s="18">
        <f t="shared" si="6"/>
        <v>1</v>
      </c>
      <c r="AR24" s="18">
        <f t="shared" si="6"/>
        <v>1</v>
      </c>
      <c r="AS24" s="18">
        <f t="shared" si="6"/>
        <v>1</v>
      </c>
      <c r="AT24" s="18">
        <f t="shared" si="6"/>
        <v>1</v>
      </c>
      <c r="AU24" s="18">
        <f t="shared" si="6"/>
        <v>1</v>
      </c>
      <c r="AV24" s="18">
        <f t="shared" si="6"/>
        <v>1</v>
      </c>
      <c r="AW24" s="18">
        <f t="shared" si="6"/>
        <v>1</v>
      </c>
      <c r="AX24" s="18">
        <f t="shared" si="6"/>
        <v>1</v>
      </c>
      <c r="AY24" s="18">
        <f t="shared" si="6"/>
        <v>1</v>
      </c>
      <c r="AZ24" s="18">
        <f t="shared" si="6"/>
        <v>1</v>
      </c>
      <c r="BA24" s="18">
        <f t="shared" si="6"/>
        <v>0.9999999999</v>
      </c>
      <c r="BB24" s="18">
        <f t="shared" si="6"/>
        <v>1</v>
      </c>
      <c r="BC24" s="18">
        <f t="shared" si="6"/>
        <v>1</v>
      </c>
      <c r="BD24" s="18">
        <f t="shared" si="6"/>
        <v>0.9999999999</v>
      </c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</row>
    <row r="25" ht="15.75" customHeight="1">
      <c r="B25" s="24"/>
      <c r="C25" s="40"/>
    </row>
    <row r="26" ht="15.75" customHeight="1">
      <c r="B26" s="24"/>
      <c r="C26" s="40"/>
    </row>
    <row r="27" ht="15.75" customHeight="1">
      <c r="B27" s="24"/>
      <c r="C27" s="40"/>
    </row>
    <row r="28" ht="15.75" customHeight="1">
      <c r="B28" s="24"/>
      <c r="C28" s="40"/>
    </row>
    <row r="29" ht="15.75" customHeight="1">
      <c r="B29" s="24"/>
      <c r="C29" s="40"/>
    </row>
    <row r="30" ht="15.75" customHeight="1">
      <c r="B30" s="24"/>
      <c r="C30" s="40"/>
    </row>
    <row r="31" ht="15.75" customHeight="1">
      <c r="B31" s="24"/>
      <c r="C31" s="40"/>
    </row>
    <row r="32" ht="15.75" customHeight="1">
      <c r="B32" s="24"/>
      <c r="C32" s="40"/>
    </row>
    <row r="33" ht="15.75" customHeight="1">
      <c r="B33" s="24"/>
      <c r="C33" s="40"/>
    </row>
    <row r="34" ht="15.75" customHeight="1">
      <c r="B34" s="24"/>
      <c r="C34" s="40"/>
    </row>
    <row r="35" ht="15.75" customHeight="1">
      <c r="B35" s="24"/>
      <c r="C35" s="40"/>
    </row>
    <row r="36" ht="15.75" customHeight="1">
      <c r="B36" s="24"/>
      <c r="C36" s="40"/>
    </row>
    <row r="37" ht="15.75" customHeight="1">
      <c r="B37" s="24"/>
      <c r="C37" s="40"/>
    </row>
    <row r="38" ht="15.75" customHeight="1">
      <c r="B38" s="24"/>
      <c r="C38" s="40"/>
    </row>
    <row r="39" ht="15.75" customHeight="1">
      <c r="B39" s="24"/>
      <c r="C39" s="40"/>
    </row>
    <row r="40" ht="15.75" customHeight="1">
      <c r="B40" s="24"/>
      <c r="C40" s="40"/>
    </row>
    <row r="41" ht="15.75" customHeight="1">
      <c r="B41" s="24"/>
      <c r="C41" s="40"/>
    </row>
    <row r="42" ht="15.75" customHeight="1">
      <c r="B42" s="24"/>
      <c r="C42" s="40"/>
    </row>
    <row r="43" ht="15.75" customHeight="1">
      <c r="B43" s="24"/>
      <c r="C43" s="40"/>
    </row>
    <row r="44" ht="15.75" customHeight="1">
      <c r="B44" s="24"/>
      <c r="C44" s="40"/>
    </row>
    <row r="45" ht="15.75" customHeight="1">
      <c r="B45" s="24"/>
      <c r="C45" s="40"/>
    </row>
    <row r="46" ht="15.75" customHeight="1">
      <c r="B46" s="24"/>
      <c r="C46" s="40"/>
    </row>
    <row r="47" ht="15.75" customHeight="1">
      <c r="B47" s="24"/>
      <c r="C47" s="40"/>
    </row>
    <row r="48" ht="15.75" customHeight="1">
      <c r="B48" s="24"/>
      <c r="C48" s="40"/>
    </row>
    <row r="49" ht="15.75" customHeight="1">
      <c r="B49" s="24"/>
      <c r="C49" s="40"/>
    </row>
    <row r="50" ht="15.75" customHeight="1">
      <c r="B50" s="24"/>
      <c r="C50" s="40"/>
    </row>
    <row r="51" ht="15.75" customHeight="1">
      <c r="B51" s="24"/>
      <c r="C51" s="40"/>
    </row>
    <row r="52" ht="15.75" customHeight="1">
      <c r="B52" s="24"/>
      <c r="C52" s="40"/>
    </row>
    <row r="53" ht="15.75" customHeight="1">
      <c r="B53" s="24"/>
      <c r="C53" s="40"/>
    </row>
    <row r="54" ht="15.75" customHeight="1">
      <c r="B54" s="24"/>
      <c r="C54" s="40"/>
    </row>
    <row r="55" ht="15.75" customHeight="1">
      <c r="B55" s="24"/>
      <c r="C55" s="40"/>
    </row>
    <row r="56" ht="15.75" customHeight="1">
      <c r="B56" s="24"/>
      <c r="C56" s="40"/>
    </row>
    <row r="57" ht="15.75" customHeight="1">
      <c r="B57" s="24"/>
      <c r="C57" s="40"/>
    </row>
    <row r="58" ht="15.75" customHeight="1">
      <c r="B58" s="24"/>
      <c r="C58" s="40"/>
    </row>
    <row r="59" ht="15.75" customHeight="1">
      <c r="B59" s="24"/>
      <c r="C59" s="40"/>
    </row>
    <row r="60" ht="15.75" customHeight="1">
      <c r="B60" s="24"/>
      <c r="C60" s="40"/>
    </row>
    <row r="61" ht="15.75" customHeight="1">
      <c r="B61" s="24"/>
      <c r="C61" s="40"/>
    </row>
    <row r="62" ht="15.75" customHeight="1">
      <c r="B62" s="24"/>
      <c r="C62" s="40"/>
    </row>
    <row r="63" ht="15.75" customHeight="1">
      <c r="B63" s="24"/>
      <c r="C63" s="40"/>
    </row>
    <row r="64" ht="15.75" customHeight="1">
      <c r="B64" s="24"/>
      <c r="C64" s="40"/>
    </row>
    <row r="65" ht="15.75" customHeight="1">
      <c r="B65" s="24"/>
      <c r="C65" s="40"/>
    </row>
    <row r="66" ht="15.75" customHeight="1">
      <c r="B66" s="24"/>
      <c r="C66" s="40"/>
    </row>
    <row r="67" ht="15.75" customHeight="1">
      <c r="B67" s="24"/>
      <c r="C67" s="40"/>
    </row>
    <row r="68" ht="15.75" customHeight="1">
      <c r="B68" s="24"/>
      <c r="C68" s="40"/>
    </row>
    <row r="69" ht="15.75" customHeight="1">
      <c r="B69" s="24"/>
      <c r="C69" s="40"/>
    </row>
    <row r="70" ht="15.75" customHeight="1">
      <c r="B70" s="24"/>
      <c r="C70" s="40"/>
    </row>
    <row r="71" ht="15.75" customHeight="1">
      <c r="B71" s="24"/>
      <c r="C71" s="40"/>
    </row>
    <row r="72" ht="15.75" customHeight="1">
      <c r="B72" s="24"/>
      <c r="C72" s="40"/>
    </row>
    <row r="73" ht="15.75" customHeight="1">
      <c r="B73" s="24"/>
      <c r="C73" s="40"/>
    </row>
    <row r="74" ht="15.75" customHeight="1">
      <c r="B74" s="24"/>
      <c r="C74" s="40"/>
    </row>
    <row r="75" ht="15.75" customHeight="1">
      <c r="B75" s="24"/>
      <c r="C75" s="40"/>
    </row>
    <row r="76" ht="15.75" customHeight="1">
      <c r="B76" s="24"/>
      <c r="C76" s="40"/>
    </row>
    <row r="77" ht="15.75" customHeight="1">
      <c r="B77" s="24"/>
      <c r="C77" s="40"/>
    </row>
    <row r="78" ht="15.75" customHeight="1">
      <c r="B78" s="24"/>
      <c r="C78" s="40"/>
    </row>
    <row r="79" ht="15.75" customHeight="1">
      <c r="B79" s="24"/>
      <c r="C79" s="40"/>
    </row>
    <row r="80" ht="15.75" customHeight="1">
      <c r="B80" s="24"/>
      <c r="C80" s="40"/>
    </row>
    <row r="81" ht="15.75" customHeight="1">
      <c r="B81" s="24"/>
      <c r="C81" s="40"/>
    </row>
    <row r="82" ht="15.75" customHeight="1">
      <c r="B82" s="24"/>
      <c r="C82" s="40"/>
    </row>
    <row r="83" ht="15.75" customHeight="1">
      <c r="B83" s="24"/>
      <c r="C83" s="40"/>
    </row>
    <row r="84" ht="15.75" customHeight="1">
      <c r="B84" s="24"/>
      <c r="C84" s="40"/>
    </row>
    <row r="85" ht="15.75" customHeight="1">
      <c r="B85" s="24"/>
      <c r="C85" s="40"/>
    </row>
    <row r="86" ht="15.75" customHeight="1">
      <c r="B86" s="24"/>
      <c r="C86" s="40"/>
    </row>
    <row r="87" ht="15.75" customHeight="1">
      <c r="B87" s="24"/>
      <c r="C87" s="40"/>
    </row>
    <row r="88" ht="15.75" customHeight="1">
      <c r="B88" s="24"/>
      <c r="C88" s="40"/>
    </row>
    <row r="89" ht="15.75" customHeight="1">
      <c r="B89" s="24"/>
      <c r="C89" s="40"/>
    </row>
    <row r="90" ht="15.75" customHeight="1">
      <c r="B90" s="24"/>
      <c r="C90" s="40"/>
    </row>
    <row r="91" ht="15.75" customHeight="1">
      <c r="B91" s="24"/>
      <c r="C91" s="40"/>
    </row>
    <row r="92" ht="15.75" customHeight="1">
      <c r="B92" s="24"/>
      <c r="C92" s="40"/>
    </row>
    <row r="93" ht="15.75" customHeight="1">
      <c r="B93" s="24"/>
      <c r="C93" s="40"/>
    </row>
    <row r="94" ht="15.75" customHeight="1">
      <c r="B94" s="24"/>
      <c r="C94" s="40"/>
    </row>
    <row r="95" ht="15.75" customHeight="1">
      <c r="B95" s="24"/>
      <c r="C95" s="40"/>
    </row>
    <row r="96" ht="15.75" customHeight="1">
      <c r="B96" s="24"/>
      <c r="C96" s="40"/>
    </row>
    <row r="97" ht="15.75" customHeight="1">
      <c r="B97" s="24"/>
      <c r="C97" s="40"/>
    </row>
    <row r="98" ht="15.75" customHeight="1">
      <c r="B98" s="24"/>
      <c r="C98" s="40"/>
    </row>
    <row r="99" ht="15.75" customHeight="1">
      <c r="B99" s="24"/>
      <c r="C99" s="40"/>
    </row>
    <row r="100" ht="15.75" customHeight="1">
      <c r="B100" s="24"/>
      <c r="C100" s="40"/>
    </row>
    <row r="101" ht="15.75" customHeight="1">
      <c r="B101" s="24"/>
      <c r="C101" s="40"/>
    </row>
    <row r="102" ht="15.75" customHeight="1">
      <c r="B102" s="24"/>
      <c r="C102" s="40"/>
    </row>
    <row r="103" ht="15.75" customHeight="1">
      <c r="B103" s="24"/>
      <c r="C103" s="40"/>
    </row>
    <row r="104" ht="15.75" customHeight="1">
      <c r="B104" s="24"/>
      <c r="C104" s="40"/>
    </row>
    <row r="105" ht="15.75" customHeight="1">
      <c r="B105" s="24"/>
      <c r="C105" s="40"/>
    </row>
    <row r="106" ht="15.75" customHeight="1">
      <c r="B106" s="24"/>
      <c r="C106" s="40"/>
    </row>
    <row r="107" ht="15.75" customHeight="1">
      <c r="B107" s="24"/>
      <c r="C107" s="40"/>
    </row>
    <row r="108" ht="15.75" customHeight="1">
      <c r="B108" s="24"/>
      <c r="C108" s="40"/>
    </row>
    <row r="109" ht="15.75" customHeight="1">
      <c r="B109" s="24"/>
      <c r="C109" s="40"/>
    </row>
    <row r="110" ht="15.75" customHeight="1">
      <c r="B110" s="24"/>
      <c r="C110" s="40"/>
    </row>
    <row r="111" ht="15.75" customHeight="1">
      <c r="B111" s="24"/>
      <c r="C111" s="40"/>
    </row>
    <row r="112" ht="15.75" customHeight="1">
      <c r="B112" s="24"/>
      <c r="C112" s="40"/>
    </row>
    <row r="113" ht="15.75" customHeight="1">
      <c r="B113" s="24"/>
      <c r="C113" s="40"/>
    </row>
    <row r="114" ht="15.75" customHeight="1">
      <c r="B114" s="24"/>
      <c r="C114" s="40"/>
    </row>
    <row r="115" ht="15.75" customHeight="1">
      <c r="B115" s="24"/>
      <c r="C115" s="40"/>
    </row>
    <row r="116" ht="15.75" customHeight="1">
      <c r="B116" s="24"/>
      <c r="C116" s="40"/>
    </row>
    <row r="117" ht="15.75" customHeight="1">
      <c r="B117" s="24"/>
      <c r="C117" s="40"/>
    </row>
    <row r="118" ht="15.75" customHeight="1">
      <c r="B118" s="24"/>
      <c r="C118" s="40"/>
    </row>
    <row r="119" ht="15.75" customHeight="1">
      <c r="B119" s="24"/>
      <c r="C119" s="40"/>
    </row>
    <row r="120" ht="15.75" customHeight="1">
      <c r="B120" s="24"/>
      <c r="C120" s="40"/>
    </row>
    <row r="121" ht="15.75" customHeight="1">
      <c r="B121" s="24"/>
      <c r="C121" s="40"/>
    </row>
    <row r="122" ht="15.75" customHeight="1">
      <c r="B122" s="24"/>
      <c r="C122" s="40"/>
    </row>
    <row r="123" ht="15.75" customHeight="1">
      <c r="B123" s="24"/>
      <c r="C123" s="40"/>
    </row>
    <row r="124" ht="15.75" customHeight="1">
      <c r="B124" s="24"/>
      <c r="C124" s="40"/>
    </row>
    <row r="125" ht="15.75" customHeight="1">
      <c r="B125" s="24"/>
      <c r="C125" s="40"/>
    </row>
    <row r="126" ht="15.75" customHeight="1">
      <c r="B126" s="24"/>
      <c r="C126" s="40"/>
    </row>
    <row r="127" ht="15.75" customHeight="1">
      <c r="B127" s="24"/>
      <c r="C127" s="40"/>
    </row>
    <row r="128" ht="15.75" customHeight="1">
      <c r="B128" s="24"/>
      <c r="C128" s="40"/>
    </row>
    <row r="129" ht="15.75" customHeight="1">
      <c r="B129" s="24"/>
      <c r="C129" s="40"/>
    </row>
    <row r="130" ht="15.75" customHeight="1">
      <c r="B130" s="24"/>
      <c r="C130" s="40"/>
    </row>
    <row r="131" ht="15.75" customHeight="1">
      <c r="B131" s="24"/>
      <c r="C131" s="40"/>
    </row>
    <row r="132" ht="15.75" customHeight="1">
      <c r="B132" s="24"/>
      <c r="C132" s="40"/>
    </row>
    <row r="133" ht="15.75" customHeight="1">
      <c r="B133" s="24"/>
      <c r="C133" s="40"/>
    </row>
    <row r="134" ht="15.75" customHeight="1">
      <c r="B134" s="24"/>
      <c r="C134" s="40"/>
    </row>
    <row r="135" ht="15.75" customHeight="1">
      <c r="B135" s="24"/>
      <c r="C135" s="40"/>
    </row>
    <row r="136" ht="15.75" customHeight="1">
      <c r="B136" s="24"/>
      <c r="C136" s="40"/>
    </row>
    <row r="137" ht="15.75" customHeight="1">
      <c r="B137" s="24"/>
      <c r="C137" s="40"/>
    </row>
    <row r="138" ht="15.75" customHeight="1">
      <c r="B138" s="24"/>
      <c r="C138" s="40"/>
    </row>
    <row r="139" ht="15.75" customHeight="1">
      <c r="B139" s="24"/>
      <c r="C139" s="40"/>
    </row>
    <row r="140" ht="15.75" customHeight="1">
      <c r="B140" s="24"/>
      <c r="C140" s="40"/>
    </row>
    <row r="141" ht="15.75" customHeight="1">
      <c r="B141" s="24"/>
      <c r="C141" s="40"/>
    </row>
    <row r="142" ht="15.75" customHeight="1">
      <c r="B142" s="24"/>
      <c r="C142" s="40"/>
    </row>
    <row r="143" ht="15.75" customHeight="1">
      <c r="B143" s="24"/>
      <c r="C143" s="40"/>
    </row>
    <row r="144" ht="15.75" customHeight="1">
      <c r="B144" s="24"/>
      <c r="C144" s="40"/>
    </row>
    <row r="145" ht="15.75" customHeight="1">
      <c r="B145" s="24"/>
      <c r="C145" s="40"/>
    </row>
    <row r="146" ht="15.75" customHeight="1">
      <c r="B146" s="24"/>
      <c r="C146" s="40"/>
    </row>
    <row r="147" ht="15.75" customHeight="1">
      <c r="B147" s="24"/>
      <c r="C147" s="40"/>
    </row>
    <row r="148" ht="15.75" customHeight="1">
      <c r="B148" s="24"/>
      <c r="C148" s="40"/>
    </row>
    <row r="149" ht="15.75" customHeight="1">
      <c r="B149" s="24"/>
      <c r="C149" s="40"/>
    </row>
    <row r="150" ht="15.75" customHeight="1">
      <c r="B150" s="24"/>
      <c r="C150" s="40"/>
    </row>
    <row r="151" ht="15.75" customHeight="1">
      <c r="B151" s="24"/>
      <c r="C151" s="40"/>
    </row>
    <row r="152" ht="15.75" customHeight="1">
      <c r="B152" s="24"/>
      <c r="C152" s="40"/>
    </row>
    <row r="153" ht="15.75" customHeight="1">
      <c r="B153" s="24"/>
      <c r="C153" s="40"/>
    </row>
    <row r="154" ht="15.75" customHeight="1">
      <c r="B154" s="24"/>
      <c r="C154" s="40"/>
    </row>
    <row r="155" ht="15.75" customHeight="1">
      <c r="B155" s="24"/>
      <c r="C155" s="40"/>
    </row>
    <row r="156" ht="15.75" customHeight="1">
      <c r="B156" s="24"/>
      <c r="C156" s="40"/>
    </row>
    <row r="157" ht="15.75" customHeight="1">
      <c r="B157" s="24"/>
      <c r="C157" s="40"/>
    </row>
    <row r="158" ht="15.75" customHeight="1">
      <c r="B158" s="24"/>
      <c r="C158" s="40"/>
    </row>
    <row r="159" ht="15.75" customHeight="1">
      <c r="B159" s="24"/>
      <c r="C159" s="40"/>
    </row>
    <row r="160" ht="15.75" customHeight="1">
      <c r="B160" s="24"/>
      <c r="C160" s="40"/>
    </row>
    <row r="161" ht="15.75" customHeight="1">
      <c r="B161" s="24"/>
      <c r="C161" s="40"/>
    </row>
    <row r="162" ht="15.75" customHeight="1">
      <c r="B162" s="24"/>
      <c r="C162" s="40"/>
    </row>
    <row r="163" ht="15.75" customHeight="1">
      <c r="B163" s="24"/>
      <c r="C163" s="40"/>
    </row>
    <row r="164" ht="15.75" customHeight="1">
      <c r="B164" s="24"/>
      <c r="C164" s="40"/>
    </row>
    <row r="165" ht="15.75" customHeight="1">
      <c r="B165" s="24"/>
      <c r="C165" s="40"/>
    </row>
    <row r="166" ht="15.75" customHeight="1">
      <c r="B166" s="24"/>
      <c r="C166" s="40"/>
    </row>
    <row r="167" ht="15.75" customHeight="1">
      <c r="B167" s="24"/>
      <c r="C167" s="40"/>
    </row>
    <row r="168" ht="15.75" customHeight="1">
      <c r="B168" s="24"/>
      <c r="C168" s="40"/>
    </row>
    <row r="169" ht="15.75" customHeight="1">
      <c r="B169" s="24"/>
      <c r="C169" s="40"/>
    </row>
    <row r="170" ht="15.75" customHeight="1">
      <c r="B170" s="24"/>
      <c r="C170" s="40"/>
    </row>
    <row r="171" ht="15.75" customHeight="1">
      <c r="B171" s="24"/>
      <c r="C171" s="40"/>
    </row>
    <row r="172" ht="15.75" customHeight="1">
      <c r="B172" s="24"/>
      <c r="C172" s="40"/>
    </row>
    <row r="173" ht="15.75" customHeight="1">
      <c r="B173" s="24"/>
      <c r="C173" s="40"/>
    </row>
    <row r="174" ht="15.75" customHeight="1">
      <c r="B174" s="24"/>
      <c r="C174" s="40"/>
    </row>
    <row r="175" ht="15.75" customHeight="1">
      <c r="B175" s="24"/>
      <c r="C175" s="40"/>
    </row>
    <row r="176" ht="15.75" customHeight="1">
      <c r="B176" s="24"/>
      <c r="C176" s="40"/>
    </row>
    <row r="177" ht="15.75" customHeight="1">
      <c r="B177" s="24"/>
      <c r="C177" s="40"/>
    </row>
    <row r="178" ht="15.75" customHeight="1">
      <c r="B178" s="24"/>
      <c r="C178" s="40"/>
    </row>
    <row r="179" ht="15.75" customHeight="1">
      <c r="B179" s="24"/>
      <c r="C179" s="40"/>
    </row>
    <row r="180" ht="15.75" customHeight="1">
      <c r="B180" s="24"/>
      <c r="C180" s="40"/>
    </row>
    <row r="181" ht="15.75" customHeight="1">
      <c r="B181" s="24"/>
      <c r="C181" s="40"/>
    </row>
    <row r="182" ht="15.75" customHeight="1">
      <c r="B182" s="24"/>
      <c r="C182" s="40"/>
    </row>
    <row r="183" ht="15.75" customHeight="1">
      <c r="B183" s="24"/>
      <c r="C183" s="40"/>
    </row>
    <row r="184" ht="15.75" customHeight="1">
      <c r="B184" s="24"/>
      <c r="C184" s="40"/>
    </row>
    <row r="185" ht="15.75" customHeight="1">
      <c r="B185" s="24"/>
      <c r="C185" s="40"/>
    </row>
    <row r="186" ht="15.75" customHeight="1">
      <c r="B186" s="24"/>
      <c r="C186" s="40"/>
    </row>
    <row r="187" ht="15.75" customHeight="1">
      <c r="B187" s="24"/>
      <c r="C187" s="40"/>
    </row>
    <row r="188" ht="15.75" customHeight="1">
      <c r="B188" s="24"/>
      <c r="C188" s="40"/>
    </row>
    <row r="189" ht="15.75" customHeight="1">
      <c r="B189" s="24"/>
      <c r="C189" s="40"/>
    </row>
    <row r="190" ht="15.75" customHeight="1">
      <c r="B190" s="24"/>
      <c r="C190" s="40"/>
    </row>
    <row r="191" ht="15.75" customHeight="1">
      <c r="B191" s="24"/>
      <c r="C191" s="40"/>
    </row>
    <row r="192" ht="15.75" customHeight="1">
      <c r="B192" s="24"/>
      <c r="C192" s="40"/>
    </row>
    <row r="193" ht="15.75" customHeight="1">
      <c r="B193" s="24"/>
      <c r="C193" s="40"/>
    </row>
    <row r="194" ht="15.75" customHeight="1">
      <c r="B194" s="24"/>
      <c r="C194" s="40"/>
    </row>
    <row r="195" ht="15.75" customHeight="1">
      <c r="B195" s="24"/>
      <c r="C195" s="40"/>
    </row>
    <row r="196" ht="15.75" customHeight="1">
      <c r="B196" s="24"/>
      <c r="C196" s="40"/>
    </row>
    <row r="197" ht="15.75" customHeight="1">
      <c r="B197" s="24"/>
      <c r="C197" s="40"/>
    </row>
    <row r="198" ht="15.75" customHeight="1">
      <c r="B198" s="24"/>
      <c r="C198" s="40"/>
    </row>
    <row r="199" ht="15.75" customHeight="1">
      <c r="B199" s="24"/>
      <c r="C199" s="40"/>
    </row>
    <row r="200" ht="15.75" customHeight="1">
      <c r="B200" s="24"/>
      <c r="C200" s="40"/>
    </row>
    <row r="201" ht="15.75" customHeight="1">
      <c r="B201" s="24"/>
      <c r="C201" s="40"/>
    </row>
    <row r="202" ht="15.75" customHeight="1">
      <c r="B202" s="24"/>
      <c r="C202" s="40"/>
    </row>
    <row r="203" ht="15.75" customHeight="1">
      <c r="B203" s="24"/>
      <c r="C203" s="40"/>
    </row>
    <row r="204" ht="15.75" customHeight="1">
      <c r="B204" s="24"/>
      <c r="C204" s="40"/>
    </row>
    <row r="205" ht="15.75" customHeight="1">
      <c r="B205" s="24"/>
      <c r="C205" s="40"/>
    </row>
    <row r="206" ht="15.75" customHeight="1">
      <c r="B206" s="24"/>
      <c r="C206" s="40"/>
    </row>
    <row r="207" ht="15.75" customHeight="1">
      <c r="B207" s="24"/>
      <c r="C207" s="40"/>
    </row>
    <row r="208" ht="15.75" customHeight="1">
      <c r="B208" s="24"/>
      <c r="C208" s="40"/>
    </row>
    <row r="209" ht="15.75" customHeight="1">
      <c r="B209" s="24"/>
      <c r="C209" s="40"/>
    </row>
    <row r="210" ht="15.75" customHeight="1">
      <c r="B210" s="24"/>
      <c r="C210" s="40"/>
    </row>
    <row r="211" ht="15.75" customHeight="1">
      <c r="B211" s="24"/>
      <c r="C211" s="40"/>
    </row>
    <row r="212" ht="15.75" customHeight="1">
      <c r="B212" s="24"/>
      <c r="C212" s="40"/>
    </row>
    <row r="213" ht="15.75" customHeight="1">
      <c r="B213" s="24"/>
      <c r="C213" s="40"/>
    </row>
    <row r="214" ht="15.75" customHeight="1">
      <c r="B214" s="24"/>
      <c r="C214" s="40"/>
    </row>
    <row r="215" ht="15.75" customHeight="1">
      <c r="B215" s="24"/>
      <c r="C215" s="40"/>
    </row>
    <row r="216" ht="15.75" customHeight="1">
      <c r="B216" s="24"/>
      <c r="C216" s="40"/>
    </row>
    <row r="217" ht="15.75" customHeight="1">
      <c r="B217" s="24"/>
      <c r="C217" s="40"/>
    </row>
    <row r="218" ht="15.75" customHeight="1">
      <c r="B218" s="24"/>
      <c r="C218" s="40"/>
    </row>
    <row r="219" ht="15.75" customHeight="1">
      <c r="B219" s="24"/>
      <c r="C219" s="40"/>
    </row>
    <row r="220" ht="15.75" customHeight="1">
      <c r="B220" s="24"/>
      <c r="C220" s="40"/>
    </row>
    <row r="221" ht="15.75" customHeight="1">
      <c r="B221" s="24"/>
      <c r="C221" s="40"/>
    </row>
    <row r="222" ht="15.75" customHeight="1">
      <c r="B222" s="24"/>
      <c r="C222" s="40"/>
    </row>
    <row r="223" ht="15.75" customHeight="1">
      <c r="B223" s="24"/>
      <c r="C223" s="40"/>
    </row>
    <row r="224" ht="15.75" customHeight="1">
      <c r="B224" s="24"/>
      <c r="C224" s="40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