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ression" sheetId="1" r:id="rId4"/>
    <sheet state="visible" name="all_impression" sheetId="2" r:id="rId5"/>
    <sheet state="visible" name="worry get virus" sheetId="3" r:id="rId6"/>
    <sheet state="visible" name="worry financial hardship" sheetId="4" r:id="rId7"/>
    <sheet state="visible" name="isolate" sheetId="5" r:id="rId8"/>
    <sheet state="visible" name="impression on economy" sheetId="6" r:id="rId9"/>
    <sheet state="visible" name="us" sheetId="7" r:id="rId10"/>
    <sheet state="visible" name="china" sheetId="8" r:id="rId11"/>
    <sheet state="visible" name="uk" sheetId="9" r:id="rId12"/>
    <sheet state="visible" name="taiwan" sheetId="10" r:id="rId13"/>
    <sheet state="visible" name="uganda" sheetId="11" r:id="rId14"/>
    <sheet state="visible" name="germany" sheetId="12" r:id="rId15"/>
    <sheet state="visible" name="egypt" sheetId="13" r:id="rId16"/>
    <sheet state="visible" name="us2021" sheetId="14" r:id="rId17"/>
  </sheets>
  <definedNames/>
  <calcPr/>
  <extLst>
    <ext uri="GoogleSheetsCustomDataVersion1">
      <go:sheetsCustomData xmlns:go="http://customooxmlschemas.google.com/" r:id="rId18" roundtripDataSignature="AMtx7mhNYDOTupgLoc+FyARzJaeJGKvQlw=="/>
    </ext>
  </extLst>
</workbook>
</file>

<file path=xl/sharedStrings.xml><?xml version="1.0" encoding="utf-8"?>
<sst xmlns="http://schemas.openxmlformats.org/spreadsheetml/2006/main" count="626" uniqueCount="180">
  <si>
    <t>A lot better</t>
  </si>
  <si>
    <t>A little better</t>
  </si>
  <si>
    <t>Staying about the same</t>
  </si>
  <si>
    <t>A little worse</t>
  </si>
  <si>
    <t>A lot worse</t>
  </si>
  <si>
    <t>2020 Aug 3-9</t>
  </si>
  <si>
    <t>2020 Jul 27-Aug 2</t>
  </si>
  <si>
    <t>2020 Jul 20-26</t>
  </si>
  <si>
    <t>2020 Jul 13-19</t>
  </si>
  <si>
    <t>2020 Jul 6-12</t>
  </si>
  <si>
    <t>2020 Jun 29-Jul 5</t>
  </si>
  <si>
    <t>2020 Jun 22-28</t>
  </si>
  <si>
    <t>2020 Jun 15-21</t>
  </si>
  <si>
    <t>2020 Jun 8-14</t>
  </si>
  <si>
    <t>2020 Jun 1-7</t>
  </si>
  <si>
    <t>2020 May 25-31</t>
  </si>
  <si>
    <t>2020 May 18-24</t>
  </si>
  <si>
    <t>2020 May 11-17</t>
  </si>
  <si>
    <t>2020 May 4-10</t>
  </si>
  <si>
    <t>2020 Apr 27-May 3</t>
  </si>
  <si>
    <t>2020 Apr 20-26</t>
  </si>
  <si>
    <t>2020 Apr 13-19</t>
  </si>
  <si>
    <t>2020 Apr 6-12</t>
  </si>
  <si>
    <t>2021 Jan 25-31</t>
  </si>
  <si>
    <t>2020 Dec 15-2021 Jan 3</t>
  </si>
  <si>
    <t>2020 Nov 16-29</t>
  </si>
  <si>
    <t>2020 Oct 19-Nov 1</t>
  </si>
  <si>
    <t>2020 Sep 14-27</t>
  </si>
  <si>
    <t>2020 Aug 17-30</t>
  </si>
  <si>
    <t>2020 Aug 10-16</t>
  </si>
  <si>
    <t>Very worried</t>
  </si>
  <si>
    <t>Somewhat worried</t>
  </si>
  <si>
    <t>Not too worried</t>
  </si>
  <si>
    <t>Not worried at all</t>
  </si>
  <si>
    <t>Completely
isolated
yourself</t>
  </si>
  <si>
    <t>Mostly
isolated
yourself</t>
  </si>
  <si>
    <t>Partially
isolated
yourself</t>
  </si>
  <si>
    <t>Isolated
a little</t>
  </si>
  <si>
    <t>No attempt
to isolate</t>
  </si>
  <si>
    <t>Growing</t>
  </si>
  <si>
    <t>Slowing down</t>
  </si>
  <si>
    <t>Recession</t>
  </si>
  <si>
    <t>Depression</t>
  </si>
  <si>
    <t>#</t>
  </si>
  <si>
    <t xml:space="preserve">English </t>
  </si>
  <si>
    <t>Abbreviation</t>
  </si>
  <si>
    <t>04/05 - 04/11</t>
  </si>
  <si>
    <t>04/12 - 04/18</t>
  </si>
  <si>
    <t>04/19 - 04/25</t>
  </si>
  <si>
    <t>04/26 - 05/02</t>
  </si>
  <si>
    <t>05/03 - 05/09</t>
  </si>
  <si>
    <t>05/10 - 05/16</t>
  </si>
  <si>
    <t>05/17 - 05/23</t>
  </si>
  <si>
    <t>05/24 - 05/30</t>
  </si>
  <si>
    <t>05/31 - 06/06</t>
  </si>
  <si>
    <t>06/07 - 06/13</t>
  </si>
  <si>
    <t>06/14 - 06/20</t>
  </si>
  <si>
    <t>06/21- 06/27</t>
  </si>
  <si>
    <t>06/28 - 07/04</t>
  </si>
  <si>
    <t>07/05 - 07/11</t>
  </si>
  <si>
    <t>07/12 - 07/18</t>
  </si>
  <si>
    <t>07/19 - 07/25</t>
  </si>
  <si>
    <t>07/26 - 08/01</t>
  </si>
  <si>
    <t>08/02 - 08/08</t>
  </si>
  <si>
    <t>Domestic COVID-19 outbreak</t>
  </si>
  <si>
    <t>Domestic outbreak</t>
  </si>
  <si>
    <t>Frontline healthcare</t>
  </si>
  <si>
    <t>Healthcare</t>
  </si>
  <si>
    <t>Scientific research &amp; opinion</t>
  </si>
  <si>
    <t>Science</t>
  </si>
  <si>
    <t>Government responses and actions</t>
  </si>
  <si>
    <t>Government</t>
  </si>
  <si>
    <t>Personal preventive actions</t>
  </si>
  <si>
    <t>Personal</t>
  </si>
  <si>
    <t>Domestic economic consequences</t>
  </si>
  <si>
    <t>Domestic economy</t>
  </si>
  <si>
    <t xml:space="preserve">Impact on the education sector </t>
  </si>
  <si>
    <t>Education</t>
  </si>
  <si>
    <t xml:space="preserve">Medical and other supplies </t>
  </si>
  <si>
    <t>Supplies</t>
  </si>
  <si>
    <t xml:space="preserve">Impact on entertainment &amp; sports </t>
  </si>
  <si>
    <t>Entertainment &amp; sports</t>
  </si>
  <si>
    <t xml:space="preserve">Impact on tourism </t>
  </si>
  <si>
    <t>Tourism</t>
  </si>
  <si>
    <t xml:space="preserve">Impact on domestic politics </t>
  </si>
  <si>
    <t>Politics</t>
  </si>
  <si>
    <t xml:space="preserve">Online discussion </t>
  </si>
  <si>
    <t>Online</t>
  </si>
  <si>
    <t>Racism &amp; race relations</t>
  </si>
  <si>
    <t>International COVID-19 outbreak</t>
  </si>
  <si>
    <t>International outbreak</t>
  </si>
  <si>
    <t>Global economic consequences</t>
  </si>
  <si>
    <t>Global economy</t>
  </si>
  <si>
    <t xml:space="preserve">Responses from international organizations </t>
  </si>
  <si>
    <t>International organizations</t>
  </si>
  <si>
    <t>International collaboration</t>
  </si>
  <si>
    <t>COVID-19 outbreak in China</t>
  </si>
  <si>
    <t>Outbreak in China</t>
  </si>
  <si>
    <t>Impact on the diaspora</t>
  </si>
  <si>
    <t>Diaspora</t>
  </si>
  <si>
    <t>U.S. - China relationship</t>
  </si>
  <si>
    <t xml:space="preserve"> Sino-US relations</t>
  </si>
  <si>
    <t>International relations</t>
  </si>
  <si>
    <t>Other</t>
  </si>
  <si>
    <t>Total</t>
  </si>
  <si>
    <t>Chinese</t>
  </si>
  <si>
    <t>中国新冠疫情</t>
  </si>
  <si>
    <t>新冠治疗</t>
  </si>
  <si>
    <t>科学研究及意见</t>
  </si>
  <si>
    <t>政府响应及行动</t>
  </si>
  <si>
    <t xml:space="preserve">个人防疫措施 </t>
  </si>
  <si>
    <t>中国经济影响</t>
  </si>
  <si>
    <t>教育系统影响</t>
  </si>
  <si>
    <t>物资供应</t>
  </si>
  <si>
    <t>文体活动影响</t>
  </si>
  <si>
    <t>旅游业影响</t>
  </si>
  <si>
    <t>当地政治活动影响</t>
  </si>
  <si>
    <t>网络讨论</t>
  </si>
  <si>
    <t>全球新冠疫情</t>
  </si>
  <si>
    <t>全球经济影响</t>
  </si>
  <si>
    <t>国际组织响应</t>
  </si>
  <si>
    <t>国际抗疫合作</t>
  </si>
  <si>
    <t>---Countries Other Than China---</t>
  </si>
  <si>
    <t>侨民</t>
  </si>
  <si>
    <t>中美关系</t>
  </si>
  <si>
    <t>国际关系</t>
  </si>
  <si>
    <t>其他</t>
  </si>
  <si>
    <t>01/05 - 01/11</t>
  </si>
  <si>
    <t>01/12 - 01/18</t>
  </si>
  <si>
    <t>01/19 - 01/25</t>
  </si>
  <si>
    <t>01/26 - 02/01</t>
  </si>
  <si>
    <t>02/02 - 02/08</t>
  </si>
  <si>
    <t>02/09 - 02/15</t>
  </si>
  <si>
    <t>02/16 - 02/22</t>
  </si>
  <si>
    <t>02/23 - 02/29</t>
  </si>
  <si>
    <t>03/01 - 03/07</t>
  </si>
  <si>
    <t>03/08 - 03/14</t>
  </si>
  <si>
    <t>03/15 - 03/21</t>
  </si>
  <si>
    <t>03/22 - 03/28</t>
  </si>
  <si>
    <t>03/29 - 04/04</t>
  </si>
  <si>
    <t>本土新冠疫情</t>
  </si>
  <si>
    <t>新冠治療</t>
  </si>
  <si>
    <t>科學研究及意見</t>
  </si>
  <si>
    <t>政府回應及行動</t>
  </si>
  <si>
    <t>個人防疫措施</t>
  </si>
  <si>
    <t>中國經濟影響</t>
  </si>
  <si>
    <t>教育系統影響</t>
  </si>
  <si>
    <t>物資供應</t>
  </si>
  <si>
    <t>文體活動影響</t>
  </si>
  <si>
    <t>旅遊業影響</t>
  </si>
  <si>
    <t>當地政治活動影響</t>
  </si>
  <si>
    <t>網絡討論</t>
  </si>
  <si>
    <t>全球經濟影響</t>
  </si>
  <si>
    <t>國際組織回應</t>
  </si>
  <si>
    <t>國際抗疫合作</t>
  </si>
  <si>
    <t>僑民</t>
  </si>
  <si>
    <t>中美關係</t>
  </si>
  <si>
    <t>國際關係</t>
  </si>
  <si>
    <t>German</t>
  </si>
  <si>
    <t>09/06 - 09/12</t>
  </si>
  <si>
    <t>09/13 - 09/19</t>
  </si>
  <si>
    <t>09/20 - 09/26</t>
  </si>
  <si>
    <t>09/27 - 10/03</t>
  </si>
  <si>
    <t>10/04 - 10/10</t>
  </si>
  <si>
    <t>10/11 - 10/17</t>
  </si>
  <si>
    <t>10/18 - 10/24</t>
  </si>
  <si>
    <t>10/25 - 10/31</t>
  </si>
  <si>
    <t>11/01 - 11/07</t>
  </si>
  <si>
    <t>11/08 - 11/14</t>
  </si>
  <si>
    <t>11/15 - 11/21</t>
  </si>
  <si>
    <t>11/22 - 11/28</t>
  </si>
  <si>
    <t>11/29 - 12/05</t>
  </si>
  <si>
    <t>12/06 - 12/12</t>
  </si>
  <si>
    <t>12/13 - 12/19</t>
  </si>
  <si>
    <t>12/20 - 12/26</t>
  </si>
  <si>
    <t>12/27 - 01/02</t>
  </si>
  <si>
    <t>01/03 - 01/09</t>
  </si>
  <si>
    <t>01/10 - 01/16</t>
  </si>
  <si>
    <t>01/17 - 01/23</t>
  </si>
  <si>
    <t>01/24 - 01/27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</si>
</sst>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rgb="FF000000"/>
      <name val="SimSun"/>
    </font>
    <font>
      <b/>
      <sz val="10.0"/>
      <color rgb="FF333333"/>
      <name val="Arial"/>
    </font>
    <font>
      <color theme="1"/>
      <name val="Calibri"/>
    </font>
    <font>
      <sz val="10.0"/>
      <color rgb="FF333333"/>
      <name val="Arial"/>
    </font>
    <font>
      <sz val="11.0"/>
      <color rgb="FF404040"/>
      <name val="Aktiv-grotesk"/>
    </font>
    <font>
      <sz val="12.0"/>
      <color rgb="FF000000"/>
      <name val="宋体"/>
    </font>
    <font>
      <b/>
      <sz val="11.0"/>
      <color rgb="FF404040"/>
      <name val="Arial"/>
    </font>
    <font>
      <sz val="11.0"/>
      <color rgb="FFFF0000"/>
      <name val="Aktiv-grotesk"/>
    </font>
    <font>
      <b/>
      <sz val="11.0"/>
      <color rgb="FF404040"/>
      <name val="Aktiv-grotesk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color theme="1"/>
      <name val="Arial"/>
    </font>
    <font>
      <b/>
      <sz val="12.0"/>
      <color rgb="FF000000"/>
      <name val="&quot;Times New Roman&quot;"/>
    </font>
    <font>
      <b/>
      <sz val="12.0"/>
      <color rgb="FFFF0000"/>
      <name val="&quot;Times New Roman&quot;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CF4DE"/>
        <bgColor rgb="FFECF4DE"/>
      </patternFill>
    </fill>
    <fill>
      <patternFill patternType="solid">
        <fgColor rgb="FFEFEFEF"/>
        <bgColor rgb="FFEFEFEF"/>
      </patternFill>
    </fill>
  </fills>
  <borders count="4">
    <border/>
    <border>
      <left/>
      <right/>
      <top/>
      <bottom/>
    </border>
    <border>
      <left/>
      <right/>
      <top style="thick">
        <color rgb="FFFFFFF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bottom" wrapText="1"/>
    </xf>
    <xf borderId="0" fillId="3" fontId="2" numFmtId="0" xfId="0" applyAlignment="1" applyFill="1" applyFont="1">
      <alignment vertical="center"/>
    </xf>
    <xf borderId="2" fillId="2" fontId="3" numFmtId="0" xfId="0" applyAlignment="1" applyBorder="1" applyFont="1">
      <alignment horizontal="left" shrinkToFit="0" vertical="bottom" wrapText="1"/>
    </xf>
    <xf borderId="2" fillId="2" fontId="3" numFmtId="0" xfId="0" applyAlignment="1" applyBorder="1" applyFont="1">
      <alignment horizontal="center" shrinkToFit="0" vertical="top" wrapText="1"/>
    </xf>
    <xf borderId="0" fillId="3" fontId="4" numFmtId="0" xfId="0" applyAlignment="1" applyFont="1">
      <alignment horizontal="center" readingOrder="0" vertical="top"/>
    </xf>
    <xf borderId="0" fillId="0" fontId="5" numFmtId="0" xfId="0" applyAlignment="1" applyFont="1">
      <alignment shrinkToFit="0" vertical="center" wrapText="0"/>
    </xf>
    <xf borderId="0" fillId="4" fontId="6" numFmtId="0" xfId="0" applyAlignment="1" applyFill="1" applyFont="1">
      <alignment horizontal="center" readingOrder="0" vertical="bottom"/>
    </xf>
    <xf borderId="0" fillId="4" fontId="7" numFmtId="0" xfId="0" applyAlignment="1" applyFont="1">
      <alignment horizontal="left" readingOrder="0" vertical="bottom"/>
    </xf>
    <xf borderId="0" fillId="4" fontId="7" numFmtId="0" xfId="0" applyAlignment="1" applyFont="1">
      <alignment horizontal="center" readingOrder="0" vertical="top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top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 vertical="top"/>
    </xf>
    <xf borderId="0" fillId="4" fontId="4" numFmtId="0" xfId="0" applyAlignment="1" applyFont="1">
      <alignment horizontal="left" readingOrder="0" vertical="bottom"/>
    </xf>
    <xf borderId="0" fillId="4" fontId="4" numFmtId="0" xfId="0" applyAlignment="1" applyFont="1">
      <alignment horizontal="center" readingOrder="0" vertical="top"/>
    </xf>
    <xf borderId="0" fillId="4" fontId="8" numFmtId="0" xfId="0" applyAlignment="1" applyFont="1">
      <alignment horizontal="center" readingOrder="0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3" fillId="0" fontId="10" numFmtId="0" xfId="0" applyAlignment="1" applyBorder="1" applyFont="1">
      <alignment shrinkToFit="0" vertical="bottom" wrapText="0"/>
    </xf>
    <xf borderId="0" fillId="0" fontId="10" numFmtId="10" xfId="0" applyAlignment="1" applyFont="1" applyNumberFormat="1">
      <alignment horizontal="right" vertical="bottom"/>
    </xf>
    <xf borderId="0" fillId="0" fontId="11" numFmtId="10" xfId="0" applyAlignment="1" applyFont="1" applyNumberFormat="1">
      <alignment horizontal="right" vertical="bottom"/>
    </xf>
    <xf borderId="0" fillId="0" fontId="11" numFmtId="10" xfId="0" applyAlignment="1" applyFont="1" applyNumberFormat="1">
      <alignment vertical="bottom"/>
    </xf>
    <xf borderId="0" fillId="5" fontId="10" numFmtId="0" xfId="0" applyAlignment="1" applyFill="1" applyFont="1">
      <alignment horizontal="right" vertical="bottom"/>
    </xf>
    <xf borderId="0" fillId="5" fontId="10" numFmtId="0" xfId="0" applyAlignment="1" applyFont="1">
      <alignment vertical="bottom"/>
    </xf>
    <xf borderId="3" fillId="5" fontId="10" numFmtId="0" xfId="0" applyAlignment="1" applyBorder="1" applyFont="1">
      <alignment shrinkToFit="0" vertical="bottom" wrapText="0"/>
    </xf>
    <xf borderId="0" fillId="5" fontId="11" numFmtId="10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10" xfId="0" applyAlignment="1" applyFont="1" applyNumberFormat="1">
      <alignment horizontal="right" vertical="bottom"/>
    </xf>
    <xf borderId="0" fillId="5" fontId="10" numFmtId="10" xfId="0" applyAlignment="1" applyFont="1" applyNumberFormat="1">
      <alignment horizontal="right" vertical="bottom"/>
    </xf>
    <xf borderId="0" fillId="0" fontId="12" numFmtId="10" xfId="0" applyAlignment="1" applyFont="1" applyNumberFormat="1">
      <alignment vertical="bottom"/>
    </xf>
    <xf borderId="0" fillId="0" fontId="9" numFmtId="10" xfId="0" applyAlignment="1" applyFont="1" applyNumberFormat="1">
      <alignment vertical="bottom"/>
    </xf>
    <xf borderId="3" fillId="0" fontId="10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0" fillId="0" fontId="14" numFmtId="10" xfId="0" applyAlignment="1" applyFont="1" applyNumberFormat="1">
      <alignment horizontal="right" vertical="bottom"/>
    </xf>
    <xf borderId="0" fillId="0" fontId="14" numFmtId="10" xfId="0" applyAlignment="1" applyFont="1" applyNumberFormat="1">
      <alignment vertical="bottom"/>
    </xf>
    <xf borderId="0" fillId="5" fontId="14" numFmtId="10" xfId="0" applyAlignment="1" applyFont="1" applyNumberFormat="1">
      <alignment vertical="bottom"/>
    </xf>
    <xf borderId="0" fillId="5" fontId="11" numFmtId="10" xfId="0" applyAlignment="1" applyFont="1" applyNumberFormat="1">
      <alignment horizontal="right" vertical="bottom"/>
    </xf>
    <xf borderId="0" fillId="0" fontId="1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0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/>
      <c r="H1" s="2"/>
      <c r="I1" s="2"/>
      <c r="J1" s="2"/>
      <c r="K1" s="2"/>
    </row>
    <row r="2" ht="14.25" customHeight="1">
      <c r="A2" s="3" t="s">
        <v>5</v>
      </c>
      <c r="B2" s="4">
        <v>9.0</v>
      </c>
      <c r="C2" s="4">
        <v>14.0</v>
      </c>
      <c r="D2" s="4">
        <v>17.0</v>
      </c>
      <c r="E2" s="4">
        <v>23.0</v>
      </c>
      <c r="F2" s="4">
        <v>37.0</v>
      </c>
      <c r="G2" s="5"/>
      <c r="H2" s="5"/>
      <c r="I2" s="5"/>
      <c r="J2" s="5"/>
      <c r="K2" s="5"/>
    </row>
    <row r="3" ht="14.25" customHeight="1">
      <c r="A3" s="3" t="s">
        <v>6</v>
      </c>
      <c r="B3" s="4">
        <v>6.0</v>
      </c>
      <c r="C3" s="4">
        <v>14.0</v>
      </c>
      <c r="D3" s="4">
        <v>13.0</v>
      </c>
      <c r="E3" s="4">
        <v>23.0</v>
      </c>
      <c r="F3" s="4">
        <v>44.0</v>
      </c>
      <c r="G3" s="5"/>
      <c r="H3" s="5"/>
      <c r="I3" s="5"/>
      <c r="J3" s="5"/>
      <c r="K3" s="5"/>
    </row>
    <row r="4" ht="14.25" customHeight="1">
      <c r="A4" s="3" t="s">
        <v>7</v>
      </c>
      <c r="B4" s="4">
        <v>4.0</v>
      </c>
      <c r="C4" s="4">
        <v>12.0</v>
      </c>
      <c r="D4" s="4">
        <v>11.0</v>
      </c>
      <c r="E4" s="4">
        <v>22.0</v>
      </c>
      <c r="F4" s="4">
        <v>50.0</v>
      </c>
      <c r="G4" s="5"/>
      <c r="H4" s="5"/>
      <c r="I4" s="5"/>
      <c r="J4" s="5"/>
      <c r="K4" s="5"/>
    </row>
    <row r="5" ht="14.25" customHeight="1">
      <c r="A5" s="3" t="s">
        <v>8</v>
      </c>
      <c r="B5" s="4">
        <v>5.0</v>
      </c>
      <c r="C5" s="4">
        <v>10.0</v>
      </c>
      <c r="D5" s="4">
        <v>12.0</v>
      </c>
      <c r="E5" s="4">
        <v>17.0</v>
      </c>
      <c r="F5" s="4">
        <v>55.0</v>
      </c>
      <c r="G5" s="5"/>
      <c r="H5" s="5"/>
      <c r="I5" s="5"/>
      <c r="J5" s="5"/>
      <c r="K5" s="5"/>
    </row>
    <row r="6" ht="14.25" customHeight="1">
      <c r="A6" s="3" t="s">
        <v>9</v>
      </c>
      <c r="B6" s="4">
        <v>9.0</v>
      </c>
      <c r="C6" s="4">
        <v>13.0</v>
      </c>
      <c r="D6" s="4">
        <v>12.0</v>
      </c>
      <c r="E6" s="4">
        <v>20.0</v>
      </c>
      <c r="F6" s="4">
        <v>46.0</v>
      </c>
      <c r="G6" s="5"/>
      <c r="H6" s="5"/>
      <c r="I6" s="5"/>
      <c r="J6" s="5"/>
      <c r="K6" s="5"/>
    </row>
    <row r="7" ht="14.25" customHeight="1">
      <c r="A7" s="3" t="s">
        <v>10</v>
      </c>
      <c r="B7" s="4">
        <v>8.0</v>
      </c>
      <c r="C7" s="4">
        <v>10.0</v>
      </c>
      <c r="D7" s="4">
        <v>13.0</v>
      </c>
      <c r="E7" s="4">
        <v>24.0</v>
      </c>
      <c r="F7" s="4">
        <v>44.0</v>
      </c>
      <c r="G7" s="5"/>
      <c r="H7" s="5"/>
      <c r="I7" s="5"/>
      <c r="J7" s="5"/>
      <c r="K7" s="5"/>
    </row>
    <row r="8" ht="14.25" customHeight="1">
      <c r="A8" s="3" t="s">
        <v>11</v>
      </c>
      <c r="B8" s="4">
        <v>8.0</v>
      </c>
      <c r="C8" s="4">
        <v>15.0</v>
      </c>
      <c r="D8" s="4">
        <v>12.0</v>
      </c>
      <c r="E8" s="4">
        <v>28.0</v>
      </c>
      <c r="F8" s="4">
        <v>37.0</v>
      </c>
      <c r="G8" s="5"/>
      <c r="H8" s="5"/>
      <c r="I8" s="5"/>
      <c r="J8" s="5"/>
      <c r="K8" s="5"/>
    </row>
    <row r="9" ht="14.25" customHeight="1">
      <c r="A9" s="3" t="s">
        <v>12</v>
      </c>
      <c r="B9" s="4">
        <v>12.0</v>
      </c>
      <c r="C9" s="4">
        <v>23.0</v>
      </c>
      <c r="D9" s="4">
        <v>17.0</v>
      </c>
      <c r="E9" s="4">
        <v>27.0</v>
      </c>
      <c r="F9" s="4">
        <v>21.0</v>
      </c>
      <c r="G9" s="5"/>
      <c r="H9" s="5"/>
      <c r="I9" s="5"/>
      <c r="J9" s="5"/>
      <c r="K9" s="5"/>
    </row>
    <row r="10" ht="14.25" customHeight="1">
      <c r="A10" s="3" t="s">
        <v>13</v>
      </c>
      <c r="B10" s="4">
        <v>14.0</v>
      </c>
      <c r="C10" s="4">
        <v>29.0</v>
      </c>
      <c r="D10" s="4">
        <v>20.0</v>
      </c>
      <c r="E10" s="4">
        <v>24.0</v>
      </c>
      <c r="F10" s="4">
        <v>13.0</v>
      </c>
      <c r="G10" s="5"/>
      <c r="H10" s="5"/>
      <c r="I10" s="5"/>
      <c r="J10" s="5"/>
      <c r="K10" s="5"/>
    </row>
    <row r="11" ht="14.25" customHeight="1">
      <c r="A11" s="3" t="s">
        <v>14</v>
      </c>
      <c r="B11" s="4">
        <v>16.0</v>
      </c>
      <c r="C11" s="4">
        <v>31.0</v>
      </c>
      <c r="D11" s="4">
        <v>22.0</v>
      </c>
      <c r="E11" s="4">
        <v>21.0</v>
      </c>
      <c r="F11" s="4">
        <v>9.0</v>
      </c>
      <c r="G11" s="5"/>
      <c r="H11" s="5"/>
      <c r="I11" s="5"/>
      <c r="J11" s="5"/>
      <c r="K11" s="5"/>
    </row>
    <row r="12" ht="14.25" customHeight="1">
      <c r="A12" s="3" t="s">
        <v>15</v>
      </c>
      <c r="B12" s="4">
        <v>14.0</v>
      </c>
      <c r="C12" s="4">
        <v>28.0</v>
      </c>
      <c r="D12" s="4">
        <v>22.0</v>
      </c>
      <c r="E12" s="4">
        <v>22.0</v>
      </c>
      <c r="F12" s="4">
        <v>13.0</v>
      </c>
      <c r="G12" s="5"/>
      <c r="H12" s="5"/>
      <c r="I12" s="5"/>
      <c r="J12" s="5"/>
      <c r="K12" s="5"/>
    </row>
    <row r="13" ht="14.25" customHeight="1">
      <c r="A13" s="3" t="s">
        <v>16</v>
      </c>
      <c r="B13" s="4">
        <v>12.0</v>
      </c>
      <c r="C13" s="4">
        <v>30.0</v>
      </c>
      <c r="D13" s="4">
        <v>21.0</v>
      </c>
      <c r="E13" s="4">
        <v>23.0</v>
      </c>
      <c r="F13" s="4">
        <v>13.0</v>
      </c>
      <c r="G13" s="5"/>
      <c r="H13" s="5"/>
      <c r="I13" s="5"/>
      <c r="J13" s="5"/>
      <c r="K13" s="5"/>
    </row>
    <row r="14" ht="14.25" customHeight="1">
      <c r="A14" s="3" t="s">
        <v>17</v>
      </c>
      <c r="B14" s="4">
        <v>10.0</v>
      </c>
      <c r="C14" s="4">
        <v>26.0</v>
      </c>
      <c r="D14" s="4">
        <v>22.0</v>
      </c>
      <c r="E14" s="4">
        <v>25.0</v>
      </c>
      <c r="F14" s="4">
        <v>17.0</v>
      </c>
      <c r="G14" s="5"/>
      <c r="H14" s="5"/>
      <c r="I14" s="5"/>
      <c r="J14" s="5"/>
      <c r="K14" s="5"/>
    </row>
    <row r="15" ht="14.25" customHeight="1">
      <c r="A15" s="3" t="s">
        <v>18</v>
      </c>
      <c r="B15" s="4">
        <v>7.0</v>
      </c>
      <c r="C15" s="4">
        <v>28.0</v>
      </c>
      <c r="D15" s="4">
        <v>23.0</v>
      </c>
      <c r="E15" s="4">
        <v>23.0</v>
      </c>
      <c r="F15" s="4">
        <v>19.0</v>
      </c>
      <c r="G15" s="5"/>
      <c r="H15" s="5"/>
      <c r="I15" s="5"/>
      <c r="J15" s="5"/>
      <c r="K15" s="5"/>
    </row>
    <row r="16" ht="14.25" customHeight="1">
      <c r="A16" s="3" t="s">
        <v>19</v>
      </c>
      <c r="B16" s="4">
        <v>11.0</v>
      </c>
      <c r="C16" s="4">
        <v>34.0</v>
      </c>
      <c r="D16" s="4">
        <v>23.0</v>
      </c>
      <c r="E16" s="4">
        <v>21.0</v>
      </c>
      <c r="F16" s="4">
        <v>12.0</v>
      </c>
      <c r="G16" s="5"/>
      <c r="H16" s="5"/>
      <c r="I16" s="5"/>
      <c r="J16" s="5"/>
      <c r="K16" s="5"/>
    </row>
    <row r="17" ht="14.25" customHeight="1">
      <c r="A17" s="3" t="s">
        <v>20</v>
      </c>
      <c r="B17" s="4">
        <v>7.0</v>
      </c>
      <c r="C17" s="4">
        <v>34.0</v>
      </c>
      <c r="D17" s="4">
        <v>21.0</v>
      </c>
      <c r="E17" s="4">
        <v>24.0</v>
      </c>
      <c r="F17" s="4">
        <v>14.0</v>
      </c>
      <c r="G17" s="5"/>
      <c r="H17" s="5"/>
      <c r="I17" s="5"/>
      <c r="J17" s="5"/>
      <c r="K17" s="5"/>
    </row>
    <row r="18" ht="14.25" customHeight="1">
      <c r="A18" s="3" t="s">
        <v>21</v>
      </c>
      <c r="B18" s="4">
        <v>8.0</v>
      </c>
      <c r="C18" s="4">
        <v>32.0</v>
      </c>
      <c r="D18" s="4">
        <v>20.0</v>
      </c>
      <c r="E18" s="4">
        <v>25.0</v>
      </c>
      <c r="F18" s="4">
        <v>15.0</v>
      </c>
      <c r="G18" s="5"/>
      <c r="H18" s="5"/>
      <c r="I18" s="5"/>
      <c r="J18" s="5"/>
      <c r="K18" s="5"/>
    </row>
    <row r="19" ht="14.25" customHeight="1">
      <c r="A19" s="3" t="s">
        <v>22</v>
      </c>
      <c r="B19" s="4">
        <v>4.0</v>
      </c>
      <c r="C19" s="4">
        <v>24.0</v>
      </c>
      <c r="D19" s="4">
        <v>15.0</v>
      </c>
      <c r="E19" s="4">
        <v>31.0</v>
      </c>
      <c r="F19" s="4">
        <v>25.0</v>
      </c>
      <c r="G19" s="5"/>
      <c r="H19" s="5"/>
      <c r="I19" s="5"/>
      <c r="J19" s="5"/>
      <c r="K19" s="5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43</v>
      </c>
      <c r="B1" s="17" t="s">
        <v>44</v>
      </c>
      <c r="C1" s="17" t="s">
        <v>105</v>
      </c>
      <c r="D1" s="17" t="s">
        <v>127</v>
      </c>
      <c r="E1" s="17" t="s">
        <v>128</v>
      </c>
      <c r="F1" s="17" t="s">
        <v>129</v>
      </c>
      <c r="G1" s="17" t="s">
        <v>130</v>
      </c>
      <c r="H1" s="17" t="s">
        <v>131</v>
      </c>
      <c r="I1" s="17" t="s">
        <v>132</v>
      </c>
      <c r="J1" s="17" t="s">
        <v>133</v>
      </c>
      <c r="K1" s="17" t="s">
        <v>134</v>
      </c>
      <c r="L1" s="17" t="s">
        <v>135</v>
      </c>
      <c r="M1" s="17" t="s">
        <v>136</v>
      </c>
      <c r="N1" s="17" t="s">
        <v>137</v>
      </c>
      <c r="O1" s="17" t="s">
        <v>138</v>
      </c>
      <c r="P1" s="17" t="s">
        <v>139</v>
      </c>
      <c r="Q1" s="17" t="s">
        <v>46</v>
      </c>
      <c r="R1" s="17" t="s">
        <v>47</v>
      </c>
      <c r="S1" s="17" t="s">
        <v>48</v>
      </c>
      <c r="T1" s="17" t="s">
        <v>49</v>
      </c>
      <c r="U1" s="17" t="s">
        <v>50</v>
      </c>
      <c r="V1" s="17" t="s">
        <v>51</v>
      </c>
      <c r="W1" s="17" t="s">
        <v>52</v>
      </c>
      <c r="X1" s="17" t="s">
        <v>53</v>
      </c>
      <c r="Y1" s="17" t="s">
        <v>54</v>
      </c>
      <c r="Z1" s="17" t="s">
        <v>55</v>
      </c>
      <c r="AA1" s="17" t="s">
        <v>56</v>
      </c>
      <c r="AB1" s="17" t="s">
        <v>57</v>
      </c>
      <c r="AC1" s="17" t="s">
        <v>58</v>
      </c>
      <c r="AD1" s="17" t="s">
        <v>59</v>
      </c>
    </row>
    <row r="2">
      <c r="A2" s="18">
        <v>1.0</v>
      </c>
      <c r="B2" s="19" t="s">
        <v>64</v>
      </c>
      <c r="C2" s="19" t="s">
        <v>140</v>
      </c>
      <c r="D2" s="21">
        <f>0.1097476347/2+0.07624173406</f>
        <v>0.1311155514</v>
      </c>
      <c r="E2" s="21">
        <f>0.1780748557/2+0.09162920591</f>
        <v>0.1806666338</v>
      </c>
      <c r="F2" s="21">
        <f>0.1438285001+0.117998231</f>
        <v>0.2618267311</v>
      </c>
      <c r="G2" s="23"/>
      <c r="H2" s="23"/>
      <c r="I2" s="21">
        <f>0.07540195606</f>
        <v>0.07540195606</v>
      </c>
      <c r="J2" s="21">
        <f>0.06978453997/2+0.07267741594</f>
        <v>0.1075696859</v>
      </c>
      <c r="K2" s="21">
        <f>0.09528765201</f>
        <v>0.09528765201</v>
      </c>
      <c r="L2" s="21">
        <f>0.08185445786/3</f>
        <v>0.02728481929</v>
      </c>
      <c r="M2" s="21">
        <f>0.1423683984</f>
        <v>0.1423683984</v>
      </c>
      <c r="N2" s="21"/>
      <c r="O2" s="21">
        <f>0.07046294074/2</f>
        <v>0.03523147037</v>
      </c>
      <c r="P2" s="21">
        <f>0.0632073353/2</f>
        <v>0.03160366765</v>
      </c>
      <c r="Q2" s="21">
        <f>0.07135082377</f>
        <v>0.07135082377</v>
      </c>
      <c r="R2" s="21">
        <f>0.07621256786/2</f>
        <v>0.03810628393</v>
      </c>
      <c r="S2" s="21">
        <f>0.1240009841/2</f>
        <v>0.06200049205</v>
      </c>
      <c r="T2" s="21">
        <f>0.07163541848/2</f>
        <v>0.03581770924</v>
      </c>
      <c r="U2" s="21">
        <f>0.06207514063/2</f>
        <v>0.03103757032</v>
      </c>
      <c r="V2" s="23"/>
      <c r="W2" s="21">
        <f>0.06760966586</f>
        <v>0.06760966586</v>
      </c>
      <c r="X2" s="23"/>
      <c r="Y2" s="23"/>
      <c r="Z2" s="23"/>
      <c r="AA2" s="23"/>
      <c r="AB2" s="22">
        <f>0.054479/2</f>
        <v>0.0272395</v>
      </c>
      <c r="AC2" s="22">
        <f>0.126792</f>
        <v>0.126792</v>
      </c>
      <c r="AD2" s="22">
        <f>0.081879/2</f>
        <v>0.0409395</v>
      </c>
    </row>
    <row r="3">
      <c r="A3" s="18">
        <v>2.0</v>
      </c>
      <c r="B3" s="19" t="s">
        <v>66</v>
      </c>
      <c r="C3" s="19" t="s">
        <v>141</v>
      </c>
      <c r="D3" s="23"/>
      <c r="E3" s="23"/>
      <c r="F3" s="23"/>
      <c r="G3" s="23"/>
      <c r="H3" s="23"/>
      <c r="I3" s="23"/>
      <c r="J3" s="23"/>
      <c r="K3" s="23"/>
      <c r="L3" s="21">
        <f>0.1103426411</f>
        <v>0.1103426411</v>
      </c>
      <c r="M3" s="21">
        <f>0.08954740127/2</f>
        <v>0.04477370064</v>
      </c>
      <c r="N3" s="21">
        <f>0.09723842399</f>
        <v>0.09723842399</v>
      </c>
      <c r="O3" s="21">
        <f>0.1053264179</f>
        <v>0.1053264179</v>
      </c>
      <c r="P3" s="21"/>
      <c r="Q3" s="21"/>
      <c r="R3" s="21"/>
      <c r="S3" s="21">
        <f>0.08343312149</f>
        <v>0.08343312149</v>
      </c>
      <c r="T3" s="23"/>
      <c r="U3" s="21">
        <f t="shared" ref="U3:U4" si="1">0.1010476784/2</f>
        <v>0.0505238392</v>
      </c>
      <c r="V3" s="23"/>
      <c r="W3" s="23"/>
      <c r="X3" s="23"/>
      <c r="Y3" s="23"/>
      <c r="Z3" s="23"/>
      <c r="AA3" s="23"/>
      <c r="AB3" s="23"/>
      <c r="AC3" s="23"/>
      <c r="AD3" s="23"/>
    </row>
    <row r="4">
      <c r="A4" s="18">
        <v>3.0</v>
      </c>
      <c r="B4" s="19" t="s">
        <v>68</v>
      </c>
      <c r="C4" s="19" t="s">
        <v>142</v>
      </c>
      <c r="D4" s="21">
        <f>0.1097476347/2+0.1137450824/2</f>
        <v>0.1117463586</v>
      </c>
      <c r="E4" s="21">
        <f>0.1780748557/2+0.0739460054/2</f>
        <v>0.1260104306</v>
      </c>
      <c r="F4" s="21">
        <f>0.1230276267/2</f>
        <v>0.06151381335</v>
      </c>
      <c r="G4" s="21">
        <f>0.09272768965/3</f>
        <v>0.03090922988</v>
      </c>
      <c r="H4" s="21">
        <f>0.1144656708/3</f>
        <v>0.0381552236</v>
      </c>
      <c r="I4" s="21">
        <f>0.1390475101/2</f>
        <v>0.06952375505</v>
      </c>
      <c r="J4" s="23"/>
      <c r="K4" s="23"/>
      <c r="L4" s="23"/>
      <c r="M4" s="23"/>
      <c r="N4" s="23"/>
      <c r="O4" s="23"/>
      <c r="P4" s="23"/>
      <c r="Q4" s="23"/>
      <c r="R4" s="21">
        <f>0.08737699623</f>
        <v>0.08737699623</v>
      </c>
      <c r="S4" s="21">
        <f>0.06326799427</f>
        <v>0.06326799427</v>
      </c>
      <c r="T4" s="21">
        <f>0.09622797987</f>
        <v>0.09622797987</v>
      </c>
      <c r="U4" s="21">
        <f t="shared" si="1"/>
        <v>0.0505238392</v>
      </c>
      <c r="V4" s="23"/>
      <c r="W4" s="21">
        <f>0.08737787399</f>
        <v>0.08737787399</v>
      </c>
      <c r="X4" s="21">
        <f>0.061726</f>
        <v>0.061726</v>
      </c>
      <c r="Y4" s="21">
        <f>0.091374/2</f>
        <v>0.045687</v>
      </c>
      <c r="Z4" s="22">
        <f>0.101569/2</f>
        <v>0.0507845</v>
      </c>
      <c r="AA4" s="23"/>
      <c r="AB4" s="22">
        <f>0.109532</f>
        <v>0.109532</v>
      </c>
      <c r="AC4" s="22">
        <f>0.098429</f>
        <v>0.098429</v>
      </c>
      <c r="AD4" s="22">
        <f>0.180051+0.090947/2</f>
        <v>0.2255245</v>
      </c>
    </row>
    <row r="5">
      <c r="A5" s="18">
        <v>4.0</v>
      </c>
      <c r="B5" s="19" t="s">
        <v>70</v>
      </c>
      <c r="C5" s="20" t="s">
        <v>143</v>
      </c>
      <c r="D5" s="23"/>
      <c r="E5" s="23"/>
      <c r="F5" s="21">
        <f>0.09208611082+0.09684127838/2</f>
        <v>0.14050675</v>
      </c>
      <c r="G5" s="21">
        <f>0.136678544/3+0.1024939108/2</f>
        <v>0.09680647007</v>
      </c>
      <c r="H5" s="23"/>
      <c r="I5" s="21">
        <f>0.08981781504/2+0.09693491153/2</f>
        <v>0.09337636329</v>
      </c>
      <c r="J5" s="21">
        <f>0.05762214944</f>
        <v>0.05762214944</v>
      </c>
      <c r="K5" s="21">
        <f>0.1139664705</f>
        <v>0.1139664705</v>
      </c>
      <c r="L5" s="21">
        <f>0.04642649973+0.1551273045/2</f>
        <v>0.123990152</v>
      </c>
      <c r="M5" s="21">
        <f>0.1244343616/2</f>
        <v>0.0622171808</v>
      </c>
      <c r="N5" s="21">
        <f>0.09176377458/2+0.09872318178+0.1378188369+0.06759843241/2</f>
        <v>0.3162231222</v>
      </c>
      <c r="O5" s="21">
        <f>0.07046294074/2+0.1194653773/2+0.09616355627+0.1350071481/2</f>
        <v>0.2586312893</v>
      </c>
      <c r="P5" s="21">
        <f>0.08397292703/2+0.0632073353/2+0.1633539834+0.1062515423/2</f>
        <v>0.2900698857</v>
      </c>
      <c r="Q5" s="21">
        <f>0.1445309301+0.1128108053/2</f>
        <v>0.2009363328</v>
      </c>
      <c r="R5" s="21">
        <f>0.1585427286+0.113900824/2+0.07621256786/2</f>
        <v>0.2535994245</v>
      </c>
      <c r="S5" s="21">
        <f>0.1240009841/2+0.1109821672/2+0.03581390672/2</f>
        <v>0.135398529</v>
      </c>
      <c r="T5" s="21">
        <f>0.1066133883+0.07163541848/2+0.1259232682/2</f>
        <v>0.2053927316</v>
      </c>
      <c r="U5" s="21">
        <f>0.06747661228/2+0.06207514063/2+0.05342263572/2</f>
        <v>0.09148719432</v>
      </c>
      <c r="V5" s="21">
        <f>0.1123213257/2+0.07051100886/2</f>
        <v>0.09141616728</v>
      </c>
      <c r="W5" s="21">
        <f t="shared" ref="W5:W6" si="2">0.1256010502/2</f>
        <v>0.0628005251</v>
      </c>
      <c r="X5" s="21">
        <f>0.101845+0.102735/2</f>
        <v>0.1532125</v>
      </c>
      <c r="Y5" s="21">
        <f>0.07601</f>
        <v>0.07601</v>
      </c>
      <c r="Z5" s="22">
        <f>0.118924</f>
        <v>0.118924</v>
      </c>
      <c r="AA5" s="22">
        <f>0.0735</f>
        <v>0.0735</v>
      </c>
      <c r="AB5" s="22">
        <f>0.067562</f>
        <v>0.067562</v>
      </c>
      <c r="AC5" s="22">
        <f>0.048543+0.068648+0.179877</f>
        <v>0.297068</v>
      </c>
      <c r="AD5" s="22">
        <f>0.081879/2</f>
        <v>0.0409395</v>
      </c>
    </row>
    <row r="6">
      <c r="A6" s="18">
        <v>5.0</v>
      </c>
      <c r="B6" s="19" t="s">
        <v>72</v>
      </c>
      <c r="C6" s="19" t="s">
        <v>144</v>
      </c>
      <c r="D6" s="23"/>
      <c r="E6" s="23"/>
      <c r="F6" s="21">
        <f>0.09684127838/2</f>
        <v>0.04842063919</v>
      </c>
      <c r="G6" s="21">
        <f>0.136678544/3</f>
        <v>0.04555951467</v>
      </c>
      <c r="H6" s="21">
        <f>0.1406233672/2</f>
        <v>0.0703116836</v>
      </c>
      <c r="I6" s="21">
        <f>0.08981781504/2</f>
        <v>0.04490890752</v>
      </c>
      <c r="J6" s="21">
        <f>0.1595412407/2</f>
        <v>0.07977062035</v>
      </c>
      <c r="K6" s="21">
        <f>0.1361063149/2</f>
        <v>0.06805315745</v>
      </c>
      <c r="L6" s="23"/>
      <c r="M6" s="21">
        <f>0.08954740127/2+0.1244343616/2</f>
        <v>0.1069908814</v>
      </c>
      <c r="N6" s="21">
        <f>0.09176377458/2</f>
        <v>0.04588188729</v>
      </c>
      <c r="O6" s="21">
        <f>0.1194653773/2</f>
        <v>0.05973268865</v>
      </c>
      <c r="P6" s="21">
        <f>0.08397292703/2+0.05292476263/2</f>
        <v>0.06844884483</v>
      </c>
      <c r="Q6" s="21">
        <f>0.1128108053/2</f>
        <v>0.05640540265</v>
      </c>
      <c r="R6" s="21">
        <f>0.113900824/2</f>
        <v>0.056950412</v>
      </c>
      <c r="S6" s="23"/>
      <c r="T6" s="21">
        <f>0.1259232682/2</f>
        <v>0.0629616341</v>
      </c>
      <c r="U6" s="23"/>
      <c r="V6" s="23"/>
      <c r="W6" s="21">
        <f t="shared" si="2"/>
        <v>0.0628005251</v>
      </c>
      <c r="X6" s="23"/>
      <c r="Y6" s="21">
        <f>0.094998/2</f>
        <v>0.047499</v>
      </c>
      <c r="Z6" s="23"/>
      <c r="AA6" s="23"/>
      <c r="AB6" s="22">
        <f>0.115365/2</f>
        <v>0.0576825</v>
      </c>
      <c r="AC6" s="23"/>
      <c r="AD6" s="23"/>
    </row>
    <row r="7">
      <c r="A7" s="18">
        <v>6.0</v>
      </c>
      <c r="B7" s="19" t="s">
        <v>74</v>
      </c>
      <c r="C7" s="19" t="s">
        <v>145</v>
      </c>
      <c r="D7" s="21">
        <f>0.08371371166/2</f>
        <v>0.04185685583</v>
      </c>
      <c r="E7" s="23"/>
      <c r="F7" s="21">
        <f>0.08819427891/2</f>
        <v>0.04409713946</v>
      </c>
      <c r="G7" s="21">
        <f>0.09394316813/2</f>
        <v>0.04697158407</v>
      </c>
      <c r="H7" s="21">
        <f>0.1247693625+0.06201667411/2</f>
        <v>0.1557776996</v>
      </c>
      <c r="I7" s="23"/>
      <c r="J7" s="23"/>
      <c r="K7" s="21">
        <f>0.1125570485/2</f>
        <v>0.05627852425</v>
      </c>
      <c r="L7" s="21">
        <f>0.09038071594</f>
        <v>0.09038071594</v>
      </c>
      <c r="M7" s="21">
        <f>0.06513221909/2</f>
        <v>0.03256610955</v>
      </c>
      <c r="N7" s="21">
        <f>0.1157311908/2</f>
        <v>0.0578655954</v>
      </c>
      <c r="O7" s="21"/>
      <c r="P7" s="21">
        <f>0.1062515423/2</f>
        <v>0.05312577115</v>
      </c>
      <c r="Q7" s="21"/>
      <c r="R7" s="21">
        <f>0.1295238153/2</f>
        <v>0.06476190765</v>
      </c>
      <c r="S7" s="21">
        <f>0.03581390672/2+0.1109821672/2</f>
        <v>0.07339803696</v>
      </c>
      <c r="T7" s="21">
        <f>0.07307319786</f>
        <v>0.07307319786</v>
      </c>
      <c r="U7" s="21">
        <f>0.06747661228/2</f>
        <v>0.03373830614</v>
      </c>
      <c r="V7" s="21">
        <f>0.1123213257/2</f>
        <v>0.05616066285</v>
      </c>
      <c r="W7" s="21">
        <f>0.09935225147/2</f>
        <v>0.04967612574</v>
      </c>
      <c r="X7" s="21">
        <f>0.135419/2</f>
        <v>0.0677095</v>
      </c>
      <c r="Y7" s="23"/>
      <c r="Z7" s="23"/>
      <c r="AA7" s="22">
        <f>0.126981/2</f>
        <v>0.0634905</v>
      </c>
      <c r="AB7" s="22">
        <f>0.122354</f>
        <v>0.122354</v>
      </c>
      <c r="AC7" s="22">
        <f>0.127764</f>
        <v>0.127764</v>
      </c>
      <c r="AD7" s="22">
        <f>0.154847</f>
        <v>0.154847</v>
      </c>
    </row>
    <row r="8">
      <c r="A8" s="18">
        <v>7.0</v>
      </c>
      <c r="B8" s="19" t="s">
        <v>76</v>
      </c>
      <c r="C8" s="19" t="s">
        <v>146</v>
      </c>
      <c r="D8" s="23"/>
      <c r="E8" s="23"/>
      <c r="F8" s="21"/>
      <c r="G8" s="21"/>
      <c r="H8" s="21">
        <f>0.1406233672/2</f>
        <v>0.0703116836</v>
      </c>
      <c r="I8" s="21">
        <f>0.09560955532/2</f>
        <v>0.04780477766</v>
      </c>
      <c r="J8" s="21">
        <f>0.1595412407/2</f>
        <v>0.07977062035</v>
      </c>
      <c r="K8" s="21">
        <f>0.1361063149/2</f>
        <v>0.06805315745</v>
      </c>
      <c r="L8" s="21">
        <f>0.1551273045/2</f>
        <v>0.07756365225</v>
      </c>
      <c r="M8" s="21"/>
      <c r="N8" s="21">
        <f>0.06759843241/2</f>
        <v>0.03379921621</v>
      </c>
      <c r="O8" s="23"/>
      <c r="P8" s="23"/>
      <c r="Q8" s="23"/>
      <c r="R8" s="23"/>
      <c r="S8" s="23"/>
      <c r="T8" s="21"/>
      <c r="U8" s="21">
        <f>0.1369458623/2</f>
        <v>0.06847293115</v>
      </c>
      <c r="V8" s="21">
        <f>0.09453575652</f>
        <v>0.09453575652</v>
      </c>
      <c r="W8" s="21">
        <f>0.1061927052</f>
        <v>0.1061927052</v>
      </c>
      <c r="X8" s="23"/>
      <c r="Y8" s="23"/>
      <c r="Z8" s="22">
        <f>0.156567/2</f>
        <v>0.0782835</v>
      </c>
      <c r="AA8" s="23"/>
      <c r="AB8" s="22">
        <f>0.054479/2</f>
        <v>0.0272395</v>
      </c>
      <c r="AC8" s="23"/>
      <c r="AD8" s="22">
        <f>0.125935/2</f>
        <v>0.0629675</v>
      </c>
    </row>
    <row r="9">
      <c r="A9" s="18">
        <v>8.0</v>
      </c>
      <c r="B9" s="19" t="s">
        <v>78</v>
      </c>
      <c r="C9" s="19" t="s">
        <v>147</v>
      </c>
      <c r="D9" s="23"/>
      <c r="E9" s="23"/>
      <c r="F9" s="23"/>
      <c r="G9" s="21">
        <f>0.1024939108/2</f>
        <v>0.0512469554</v>
      </c>
      <c r="H9" s="21">
        <f>0.1018757591</f>
        <v>0.1018757591</v>
      </c>
      <c r="I9" s="21">
        <f>0.09693491153/2</f>
        <v>0.04846745577</v>
      </c>
      <c r="J9" s="23"/>
      <c r="K9" s="23"/>
      <c r="L9" s="23"/>
      <c r="M9" s="23"/>
      <c r="N9" s="23"/>
      <c r="O9" s="21">
        <f>0.1350071481/2</f>
        <v>0.06750357405</v>
      </c>
      <c r="P9" s="21">
        <f>0.09950835121/2</f>
        <v>0.04975417561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>
      <c r="A10" s="18">
        <v>9.0</v>
      </c>
      <c r="B10" s="19" t="s">
        <v>80</v>
      </c>
      <c r="C10" s="19" t="s">
        <v>148</v>
      </c>
      <c r="D10" s="23"/>
      <c r="E10" s="23"/>
      <c r="F10" s="23"/>
      <c r="G10" s="23"/>
      <c r="H10" s="23"/>
      <c r="I10" s="23"/>
      <c r="J10" s="23"/>
      <c r="K10" s="21">
        <f>0.0884958203</f>
        <v>0.0884958203</v>
      </c>
      <c r="L10" s="23"/>
      <c r="M10" s="23"/>
      <c r="N10" s="23"/>
      <c r="O10" s="23"/>
      <c r="P10" s="23"/>
      <c r="Q10" s="23"/>
      <c r="R10" s="23"/>
      <c r="S10" s="23"/>
      <c r="T10" s="23"/>
      <c r="U10" s="21">
        <f>0.05342263572/2</f>
        <v>0.02671131786</v>
      </c>
      <c r="V10" s="23"/>
      <c r="W10" s="23"/>
      <c r="X10" s="23"/>
      <c r="Y10" s="23"/>
      <c r="Z10" s="23"/>
      <c r="AA10" s="23"/>
      <c r="AB10" s="23"/>
      <c r="AC10" s="22">
        <f>0.126786/2</f>
        <v>0.063393</v>
      </c>
      <c r="AD10" s="23"/>
    </row>
    <row r="11">
      <c r="A11" s="18">
        <v>10.0</v>
      </c>
      <c r="B11" s="19" t="s">
        <v>82</v>
      </c>
      <c r="C11" s="19" t="s">
        <v>149</v>
      </c>
      <c r="D11" s="23"/>
      <c r="E11" s="23"/>
      <c r="F11" s="21">
        <f>0.06211056456</f>
        <v>0.06211056456</v>
      </c>
      <c r="G11" s="23"/>
      <c r="H11" s="21"/>
      <c r="I11" s="21">
        <f>0.09560955532/2</f>
        <v>0.04780477766</v>
      </c>
      <c r="J11" s="21">
        <f>0.06978453997/2</f>
        <v>0.03489226999</v>
      </c>
      <c r="K11" s="21"/>
      <c r="L11" s="21"/>
      <c r="M11" s="21"/>
      <c r="N11" s="21"/>
      <c r="O11" s="21"/>
      <c r="P11" s="23"/>
      <c r="Q11" s="23"/>
      <c r="R11" s="23"/>
      <c r="S11" s="21"/>
      <c r="T11" s="23"/>
      <c r="U11" s="23"/>
      <c r="V11" s="21">
        <f>0.07051100886/2</f>
        <v>0.03525550443</v>
      </c>
      <c r="W11" s="23"/>
      <c r="X11" s="21">
        <f>0.102735/2</f>
        <v>0.0513675</v>
      </c>
      <c r="Y11" s="21">
        <f>0.173724</f>
        <v>0.173724</v>
      </c>
      <c r="Z11" s="22">
        <f>0.087225</f>
        <v>0.087225</v>
      </c>
      <c r="AA11" s="22">
        <f>0.129574</f>
        <v>0.129574</v>
      </c>
      <c r="AB11" s="22">
        <f>0.115365/2</f>
        <v>0.0576825</v>
      </c>
      <c r="AC11" s="23"/>
      <c r="AD11" s="23"/>
    </row>
    <row r="12">
      <c r="A12" s="18">
        <v>11.0</v>
      </c>
      <c r="B12" s="19" t="s">
        <v>84</v>
      </c>
      <c r="C12" s="20" t="s">
        <v>150</v>
      </c>
      <c r="D12" s="23"/>
      <c r="E12" s="21">
        <f>0.1041496564/2</f>
        <v>0.0520748282</v>
      </c>
      <c r="F12" s="21"/>
      <c r="G12" s="21"/>
      <c r="H12" s="21"/>
      <c r="I12" s="21"/>
      <c r="J12" s="21"/>
      <c r="K12" s="21"/>
      <c r="L12" s="21"/>
      <c r="M12" s="21"/>
      <c r="N12" s="23"/>
      <c r="O12" s="21"/>
      <c r="P12" s="21"/>
      <c r="Q12" s="23"/>
      <c r="R12" s="23"/>
      <c r="S12" s="23"/>
      <c r="T12" s="23"/>
      <c r="U12" s="23"/>
      <c r="V12" s="23"/>
      <c r="W12" s="21">
        <f>0.07925205719</f>
        <v>0.07925205719</v>
      </c>
      <c r="X12" s="23"/>
      <c r="Y12" s="23"/>
      <c r="Z12" s="22">
        <f>0.156567/2</f>
        <v>0.0782835</v>
      </c>
      <c r="AA12" s="22">
        <f>0.126025</f>
        <v>0.126025</v>
      </c>
      <c r="AB12" s="22">
        <f>0.167891</f>
        <v>0.167891</v>
      </c>
      <c r="AC12" s="22">
        <f>0.122214</f>
        <v>0.122214</v>
      </c>
      <c r="AD12" s="23"/>
    </row>
    <row r="13">
      <c r="A13" s="18">
        <v>12.0</v>
      </c>
      <c r="B13" s="19" t="s">
        <v>86</v>
      </c>
      <c r="C13" s="19" t="s">
        <v>151</v>
      </c>
      <c r="D13" s="23"/>
      <c r="E13" s="23"/>
      <c r="F13" s="23"/>
      <c r="G13" s="21">
        <f>0.09272768965/3</f>
        <v>0.03090922988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>
      <c r="A14" s="18">
        <v>13.0</v>
      </c>
      <c r="B14" s="20" t="s">
        <v>88</v>
      </c>
      <c r="C14" s="19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1">
        <f>0.056288</f>
        <v>0.056288</v>
      </c>
      <c r="Z14" s="22">
        <v>0.077692</v>
      </c>
      <c r="AA14" s="23"/>
      <c r="AB14" s="23"/>
      <c r="AC14" s="23"/>
      <c r="AD14" s="23"/>
    </row>
    <row r="15">
      <c r="A15" s="18">
        <v>101.0</v>
      </c>
      <c r="B15" s="19" t="s">
        <v>89</v>
      </c>
      <c r="C15" s="19" t="s">
        <v>118</v>
      </c>
      <c r="D15" s="21">
        <f>0.09980338839+0.1080044849</f>
        <v>0.2078078733</v>
      </c>
      <c r="E15" s="21">
        <f>0.1293558079+0.03351039205+0.1154864033+0.1041496564/2+0.06795937145</f>
        <v>0.3983868029</v>
      </c>
      <c r="F15" s="21">
        <f>0.1343701029</f>
        <v>0.1343701029</v>
      </c>
      <c r="G15" s="21">
        <f>0.06111417438+0.136678544/3</f>
        <v>0.106673689</v>
      </c>
      <c r="H15" s="21">
        <f>0.1144656708/3+0.05820352866</f>
        <v>0.09635875226</v>
      </c>
      <c r="I15" s="21">
        <f>0.06642568906+0.05615082627/2</f>
        <v>0.0945011022</v>
      </c>
      <c r="J15" s="21">
        <f>0.1006433264+0.08599134713+0.1361458727/2+0.08594273267/2</f>
        <v>0.2976789762</v>
      </c>
      <c r="K15" s="21">
        <f>0.05477457836+0.06962749802+0.1421012998/2+0.06708307382+0.1200002438/2</f>
        <v>0.322535922</v>
      </c>
      <c r="L15" s="21">
        <f>0.1245594665/2+0.09772495041+0.1713723144+0.05680543919/2+0.08185445786/3</f>
        <v>0.3870645369</v>
      </c>
      <c r="M15" s="21">
        <f>0.1098767759/2+0.09101126523+0.1446358222+0.06592970077</f>
        <v>0.3565151762</v>
      </c>
      <c r="N15" s="21">
        <f>0.09667352653+0.1277359087+0.07789902656/2</f>
        <v>0.2633589485</v>
      </c>
      <c r="O15" s="21">
        <f>0.1055140898+0.0934608098+0.05813141596</f>
        <v>0.2571063156</v>
      </c>
      <c r="P15" s="21">
        <f>0.09408336675+0.1141399255+0.1139790697+0.1085787362/2</f>
        <v>0.3764917301</v>
      </c>
      <c r="Q15" s="21">
        <f>0.0996527139+0.0786159184</f>
        <v>0.1782686323</v>
      </c>
      <c r="R15" s="21">
        <f>0.09979092302+0.1044450602/2</f>
        <v>0.1520134531</v>
      </c>
      <c r="S15" s="21">
        <f>0.1605262838/3+0.1038145266+0.1298907541</f>
        <v>0.287214042</v>
      </c>
      <c r="T15" s="21">
        <f>0.08218420694/3+0.1147580568/2+0.0954514881</f>
        <v>0.1802252521</v>
      </c>
      <c r="U15" s="21">
        <f>0.1198126884+0.09665058248+0.1369458623/2</f>
        <v>0.284936202</v>
      </c>
      <c r="V15" s="21">
        <f>0.1221009398+0.104382805+0.1035458228</f>
        <v>0.3300295676</v>
      </c>
      <c r="W15" s="21">
        <f>0.1052363413+0.1024790566</f>
        <v>0.2077153979</v>
      </c>
      <c r="X15" s="21">
        <f>0.071264+0.092461+0.098509+0.09681</f>
        <v>0.359044</v>
      </c>
      <c r="Y15" s="21">
        <f>0.088098+0.104603+0.094998/2</f>
        <v>0.2402</v>
      </c>
      <c r="Z15" s="22">
        <v>0.101876</v>
      </c>
      <c r="AA15" s="22">
        <f>0.132834+0.069107/2+0.119781</f>
        <v>0.2871685</v>
      </c>
      <c r="AB15" s="22">
        <f>0.135997+0.064248/2</f>
        <v>0.168121</v>
      </c>
      <c r="AC15" s="22">
        <f>0.126786/2+0.067285</f>
        <v>0.130678</v>
      </c>
      <c r="AD15" s="22">
        <f>0.102262+0.113056</f>
        <v>0.215318</v>
      </c>
    </row>
    <row r="16">
      <c r="A16" s="18">
        <v>102.0</v>
      </c>
      <c r="B16" s="19" t="s">
        <v>91</v>
      </c>
      <c r="C16" s="19" t="s">
        <v>152</v>
      </c>
      <c r="D16" s="21">
        <f>0.08371371166/2</f>
        <v>0.04185685583</v>
      </c>
      <c r="E16" s="23"/>
      <c r="F16" s="23"/>
      <c r="G16" s="21">
        <f>0.09394316813/2</f>
        <v>0.04697158407</v>
      </c>
      <c r="H16" s="21">
        <f>0.06201667411/2</f>
        <v>0.03100833706</v>
      </c>
      <c r="I16" s="21">
        <f>0.1340071345</f>
        <v>0.1340071345</v>
      </c>
      <c r="J16" s="21">
        <f>0.1489830518</f>
        <v>0.1489830518</v>
      </c>
      <c r="K16" s="21">
        <f>0.1125570485/2</f>
        <v>0.05627852425</v>
      </c>
      <c r="L16" s="21">
        <f>0.0654062104</f>
        <v>0.0654062104</v>
      </c>
      <c r="M16" s="21">
        <f>0.06513221909/2+0.1061079956</f>
        <v>0.1386741051</v>
      </c>
      <c r="N16" s="23"/>
      <c r="O16" s="21">
        <f>0.1339369222</f>
        <v>0.1339369222</v>
      </c>
      <c r="P16" s="23"/>
      <c r="Q16" s="21">
        <f>0.1226786179+0.1557819838</f>
        <v>0.2784606017</v>
      </c>
      <c r="R16" s="21">
        <f>0.1295238153/2+0.06841517157</f>
        <v>0.1331770792</v>
      </c>
      <c r="S16" s="21">
        <f>0.0941395313</f>
        <v>0.0941395313</v>
      </c>
      <c r="T16" s="21">
        <f>0.1223335511</f>
        <v>0.1223335511</v>
      </c>
      <c r="U16" s="21">
        <f>0.1074067307</f>
        <v>0.1074067307</v>
      </c>
      <c r="V16" s="21">
        <f>0.116288668</f>
        <v>0.116288668</v>
      </c>
      <c r="W16" s="21">
        <f>0.09935225147/2+0.1396663929</f>
        <v>0.1893425186</v>
      </c>
      <c r="X16" s="21">
        <f>0.135419/2</f>
        <v>0.0677095</v>
      </c>
      <c r="Y16" s="21">
        <f>0.095924+0.058596</f>
        <v>0.15452</v>
      </c>
      <c r="Z16" s="22">
        <f>0.098082+0.112657</f>
        <v>0.210739</v>
      </c>
      <c r="AA16" s="22">
        <f>0.126981/2</f>
        <v>0.0634905</v>
      </c>
      <c r="AB16" s="23"/>
      <c r="AC16" s="23"/>
      <c r="AD16" s="23"/>
    </row>
    <row r="17">
      <c r="A17" s="18">
        <v>103.0</v>
      </c>
      <c r="B17" s="19" t="s">
        <v>93</v>
      </c>
      <c r="C17" s="19" t="s">
        <v>153</v>
      </c>
      <c r="D17" s="21">
        <f>0.0662555636</f>
        <v>0.0662555636</v>
      </c>
      <c r="E17" s="21">
        <f>0.104398147</f>
        <v>0.104398147</v>
      </c>
      <c r="F17" s="21">
        <f>0.06548409191</f>
        <v>0.06548409191</v>
      </c>
      <c r="G17" s="21">
        <f>0.09416784237</f>
        <v>0.09416784237</v>
      </c>
      <c r="H17" s="21">
        <f>0.09841633412</f>
        <v>0.09841633412</v>
      </c>
      <c r="I17" s="21">
        <f>0.1390475101/2</f>
        <v>0.06952375505</v>
      </c>
      <c r="J17" s="21"/>
      <c r="K17" s="21"/>
      <c r="L17" s="21"/>
      <c r="M17" s="21"/>
      <c r="N17" s="21"/>
      <c r="O17" s="21"/>
      <c r="P17" s="21"/>
      <c r="Q17" s="21">
        <f>0.05919576467</f>
        <v>0.05919576467</v>
      </c>
      <c r="R17" s="21">
        <f>0.0960978462</f>
        <v>0.0960978462</v>
      </c>
      <c r="S17" s="21">
        <f>0.1605262838/3</f>
        <v>0.05350876127</v>
      </c>
      <c r="T17" s="21">
        <f>0.08218420694/3</f>
        <v>0.02739473565</v>
      </c>
      <c r="U17" s="21">
        <f>0.1083350799</f>
        <v>0.1083350799</v>
      </c>
      <c r="V17" s="21">
        <f>0.06156082682</f>
        <v>0.06156082682</v>
      </c>
      <c r="W17" s="21">
        <f>0.08723260534</f>
        <v>0.08723260534</v>
      </c>
      <c r="X17" s="23"/>
      <c r="Y17" s="23"/>
      <c r="Z17" s="23"/>
      <c r="AA17" s="22">
        <f>0.066654</f>
        <v>0.066654</v>
      </c>
      <c r="AB17" s="23"/>
      <c r="AC17" s="23"/>
      <c r="AD17" s="22">
        <f>0.090947/2</f>
        <v>0.0454735</v>
      </c>
    </row>
    <row r="18">
      <c r="A18" s="18">
        <v>104.0</v>
      </c>
      <c r="B18" s="19" t="s">
        <v>95</v>
      </c>
      <c r="C18" s="19" t="s">
        <v>154</v>
      </c>
      <c r="D18" s="23"/>
      <c r="E18" s="23"/>
      <c r="F18" s="21"/>
      <c r="G18" s="21"/>
      <c r="H18" s="21"/>
      <c r="I18" s="23"/>
      <c r="J18" s="23"/>
      <c r="K18" s="21"/>
      <c r="L18" s="21"/>
      <c r="M18" s="23"/>
      <c r="N18" s="21">
        <f>0.08881769766</f>
        <v>0.08881769766</v>
      </c>
      <c r="O18" s="23"/>
      <c r="P18" s="21">
        <f>0.09950835121/2</f>
        <v>0.04975417561</v>
      </c>
      <c r="Q18" s="21">
        <f>0.09623679761</f>
        <v>0.09623679761</v>
      </c>
      <c r="R18" s="21">
        <f>0.06569406695</f>
        <v>0.06569406695</v>
      </c>
      <c r="S18" s="21">
        <f>0.0941307305</f>
        <v>0.0941307305</v>
      </c>
      <c r="T18" s="21">
        <f>0.1117994443</f>
        <v>0.1117994443</v>
      </c>
      <c r="U18" s="23"/>
      <c r="V18" s="21">
        <f>0.07647768269</f>
        <v>0.07647768269</v>
      </c>
      <c r="W18" s="23"/>
      <c r="X18" s="21">
        <f>0.131191</f>
        <v>0.131191</v>
      </c>
      <c r="Y18" s="21">
        <f>0.091374/2</f>
        <v>0.045687</v>
      </c>
      <c r="Z18" s="23"/>
      <c r="AA18" s="23"/>
      <c r="AB18" s="23"/>
      <c r="AC18" s="23"/>
      <c r="AD18" s="22">
        <f>0.048729</f>
        <v>0.048729</v>
      </c>
    </row>
    <row r="19">
      <c r="A19" s="18">
        <v>105.0</v>
      </c>
      <c r="B19" s="19" t="s">
        <v>96</v>
      </c>
      <c r="C19" s="19" t="s">
        <v>122</v>
      </c>
      <c r="D19" s="21">
        <f>0.1133077386+0.1068347087+0.1223459531+0.1137450824/2</f>
        <v>0.3993609416</v>
      </c>
      <c r="E19" s="21">
        <f>0.1014901549+0.0739460054/2</f>
        <v>0.1384631576</v>
      </c>
      <c r="F19" s="21">
        <f>0.1230276267/2+0.08819427891/2+0.07605921474</f>
        <v>0.1816701675</v>
      </c>
      <c r="G19" s="21">
        <f>0.09272768965/3+0.1067513249+0.1427603174</f>
        <v>0.2804208722</v>
      </c>
      <c r="H19" s="21">
        <f>0.09141361027+0.1144656708/3+0.1290246728</f>
        <v>0.2585935067</v>
      </c>
      <c r="I19" s="21">
        <f>0.05615082627/2+0.1609042973+0.08570030477</f>
        <v>0.2746800152</v>
      </c>
      <c r="J19" s="21">
        <f>0.08594273267/2+0.1361458727/2+0.08266832319</f>
        <v>0.1937126259</v>
      </c>
      <c r="K19" s="21">
        <f>0.1421012998/2+0.1200002438/2</f>
        <v>0.1310507718</v>
      </c>
      <c r="L19" s="21">
        <f>0.1245594665/2+0.05680543919/2+0.08185445786/3</f>
        <v>0.1179672721</v>
      </c>
      <c r="M19" s="21">
        <f>0.1098767759/2+0.06095605995</f>
        <v>0.1158944479</v>
      </c>
      <c r="N19" s="21">
        <f>0.07789902656/2</f>
        <v>0.03894951328</v>
      </c>
      <c r="O19" s="21">
        <f>0.08253132185</f>
        <v>0.08253132185</v>
      </c>
      <c r="P19" s="21">
        <f>0.1085787362/2</f>
        <v>0.0542893681</v>
      </c>
      <c r="Q19" s="21">
        <f>0.05914564447</f>
        <v>0.05914564447</v>
      </c>
      <c r="R19" s="21">
        <f>0.1044450602/2</f>
        <v>0.0522225301</v>
      </c>
      <c r="S19" s="21">
        <f>0.1605262838/3</f>
        <v>0.05350876127</v>
      </c>
      <c r="T19" s="21">
        <f>0.08218420694/3+0.1147580568/2</f>
        <v>0.08477376405</v>
      </c>
      <c r="U19" s="23"/>
      <c r="V19" s="23"/>
      <c r="W19" s="23"/>
      <c r="X19" s="23"/>
      <c r="Y19" s="23"/>
      <c r="Z19" s="22">
        <f>0.101569/2</f>
        <v>0.0507845</v>
      </c>
      <c r="AA19" s="22">
        <f>0.069107/2+0.08748</f>
        <v>0.1220335</v>
      </c>
      <c r="AB19" s="22">
        <f>0.064248/2</f>
        <v>0.032124</v>
      </c>
      <c r="AC19" s="23"/>
      <c r="AD19" s="22">
        <f>0.125935/2</f>
        <v>0.0629675</v>
      </c>
    </row>
    <row r="20">
      <c r="A20" s="18">
        <v>106.0</v>
      </c>
      <c r="B20" s="19" t="s">
        <v>98</v>
      </c>
      <c r="C20" s="19" t="s">
        <v>155</v>
      </c>
      <c r="D20" s="23"/>
      <c r="E20" s="23"/>
      <c r="F20" s="21"/>
      <c r="G20" s="21">
        <f>0.08026368987+0.08909933853</f>
        <v>0.1693630284</v>
      </c>
      <c r="H20" s="21">
        <f>0.07919102052</f>
        <v>0.07919102052</v>
      </c>
      <c r="I20" s="21"/>
      <c r="J20" s="21"/>
      <c r="K20" s="21"/>
      <c r="L20" s="21"/>
      <c r="M20" s="21"/>
      <c r="N20" s="21">
        <f>0.1157311908/2</f>
        <v>0.0578655954</v>
      </c>
      <c r="O20" s="21"/>
      <c r="P20" s="21">
        <f>0.05292476263/2</f>
        <v>0.02646238132</v>
      </c>
      <c r="Q20" s="21"/>
      <c r="R20" s="21"/>
      <c r="S20" s="21"/>
      <c r="T20" s="21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>
      <c r="A21" s="18">
        <v>107.0</v>
      </c>
      <c r="B21" s="18" t="s">
        <v>100</v>
      </c>
      <c r="C21" s="19" t="s">
        <v>156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1">
        <f>0.1468269891</f>
        <v>0.1468269891</v>
      </c>
      <c r="V21" s="21">
        <f>0.1382751638</f>
        <v>0.1382751638</v>
      </c>
      <c r="W21" s="23"/>
      <c r="X21" s="21">
        <f>0.108039</f>
        <v>0.108039</v>
      </c>
      <c r="Y21" s="21">
        <f>0.160386</f>
        <v>0.160386</v>
      </c>
      <c r="Z21" s="23"/>
      <c r="AA21" s="22">
        <f>0.068065</f>
        <v>0.068065</v>
      </c>
      <c r="AB21" s="22">
        <f>0.128111</f>
        <v>0.128111</v>
      </c>
      <c r="AC21" s="23"/>
      <c r="AD21" s="23"/>
    </row>
    <row r="22">
      <c r="A22" s="18">
        <v>108.0</v>
      </c>
      <c r="B22" s="18" t="s">
        <v>102</v>
      </c>
      <c r="C22" s="19" t="s">
        <v>157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2">
        <f>0.048657</f>
        <v>0.048657</v>
      </c>
    </row>
    <row r="23">
      <c r="A23" s="18">
        <v>99.0</v>
      </c>
      <c r="B23" s="19" t="s">
        <v>103</v>
      </c>
      <c r="C23" s="19" t="s">
        <v>126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2">
        <f>0.037632+0.107777</f>
        <v>0.145409</v>
      </c>
      <c r="AA23" s="23"/>
      <c r="AB23" s="22">
        <f>0.034459</f>
        <v>0.034459</v>
      </c>
      <c r="AC23" s="22">
        <f>0.033664</f>
        <v>0.033664</v>
      </c>
      <c r="AD23" s="22">
        <f>0.053636</f>
        <v>0.053636</v>
      </c>
    </row>
    <row r="24">
      <c r="A24" s="29" t="s">
        <v>104</v>
      </c>
      <c r="B24" s="28"/>
      <c r="C24" s="28"/>
      <c r="D24" s="30">
        <f t="shared" ref="D24:AD24" si="3">SUM(D2:D23)</f>
        <v>1</v>
      </c>
      <c r="E24" s="30">
        <f t="shared" si="3"/>
        <v>1</v>
      </c>
      <c r="F24" s="30">
        <f t="shared" si="3"/>
        <v>1</v>
      </c>
      <c r="G24" s="30">
        <f t="shared" si="3"/>
        <v>1</v>
      </c>
      <c r="H24" s="30">
        <f t="shared" si="3"/>
        <v>1</v>
      </c>
      <c r="I24" s="30">
        <f t="shared" si="3"/>
        <v>1</v>
      </c>
      <c r="J24" s="30">
        <f t="shared" si="3"/>
        <v>0.9999999999</v>
      </c>
      <c r="K24" s="30">
        <f t="shared" si="3"/>
        <v>1</v>
      </c>
      <c r="L24" s="30">
        <f t="shared" si="3"/>
        <v>1</v>
      </c>
      <c r="M24" s="30">
        <f t="shared" si="3"/>
        <v>1</v>
      </c>
      <c r="N24" s="30">
        <f t="shared" si="3"/>
        <v>0.9999999999</v>
      </c>
      <c r="O24" s="30">
        <f t="shared" si="3"/>
        <v>0.9999999999</v>
      </c>
      <c r="P24" s="30">
        <f t="shared" si="3"/>
        <v>1</v>
      </c>
      <c r="Q24" s="30">
        <f t="shared" si="3"/>
        <v>0.9999999999</v>
      </c>
      <c r="R24" s="30">
        <f t="shared" si="3"/>
        <v>0.9999999999</v>
      </c>
      <c r="S24" s="30">
        <f t="shared" si="3"/>
        <v>1</v>
      </c>
      <c r="T24" s="30">
        <f t="shared" si="3"/>
        <v>1</v>
      </c>
      <c r="U24" s="30">
        <f t="shared" si="3"/>
        <v>0.9999999999</v>
      </c>
      <c r="V24" s="30">
        <f t="shared" si="3"/>
        <v>1</v>
      </c>
      <c r="W24" s="30">
        <f t="shared" si="3"/>
        <v>1</v>
      </c>
      <c r="X24" s="30">
        <f t="shared" si="3"/>
        <v>0.999999</v>
      </c>
      <c r="Y24" s="30">
        <f t="shared" si="3"/>
        <v>1.000001</v>
      </c>
      <c r="Z24" s="30">
        <f t="shared" si="3"/>
        <v>1.000001</v>
      </c>
      <c r="AA24" s="30">
        <f t="shared" si="3"/>
        <v>1.000001</v>
      </c>
      <c r="AB24" s="30">
        <f t="shared" si="3"/>
        <v>0.999998</v>
      </c>
      <c r="AC24" s="30">
        <f t="shared" si="3"/>
        <v>1.000002</v>
      </c>
      <c r="AD24" s="30">
        <f t="shared" si="3"/>
        <v>0.999999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43</v>
      </c>
      <c r="B1" s="17" t="s">
        <v>44</v>
      </c>
      <c r="C1" s="17" t="s">
        <v>131</v>
      </c>
      <c r="D1" s="17" t="s">
        <v>132</v>
      </c>
      <c r="E1" s="17" t="s">
        <v>133</v>
      </c>
      <c r="F1" s="17" t="s">
        <v>134</v>
      </c>
      <c r="G1" s="17" t="s">
        <v>135</v>
      </c>
      <c r="H1" s="17" t="s">
        <v>136</v>
      </c>
      <c r="I1" s="17" t="s">
        <v>137</v>
      </c>
      <c r="J1" s="17" t="s">
        <v>138</v>
      </c>
      <c r="K1" s="17" t="s">
        <v>139</v>
      </c>
      <c r="L1" s="17" t="s">
        <v>46</v>
      </c>
      <c r="M1" s="17" t="s">
        <v>47</v>
      </c>
      <c r="N1" s="17" t="s">
        <v>48</v>
      </c>
      <c r="O1" s="17" t="s">
        <v>49</v>
      </c>
      <c r="P1" s="17" t="s">
        <v>50</v>
      </c>
      <c r="Q1" s="17" t="s">
        <v>51</v>
      </c>
      <c r="R1" s="17" t="s">
        <v>52</v>
      </c>
      <c r="S1" s="17" t="s">
        <v>53</v>
      </c>
      <c r="T1" s="17" t="s">
        <v>54</v>
      </c>
      <c r="U1" s="17" t="s">
        <v>55</v>
      </c>
      <c r="V1" s="17" t="s">
        <v>56</v>
      </c>
      <c r="W1" s="17" t="s">
        <v>57</v>
      </c>
    </row>
    <row r="2">
      <c r="A2" s="18">
        <v>1.0</v>
      </c>
      <c r="B2" s="19" t="s">
        <v>64</v>
      </c>
      <c r="C2" s="21">
        <f>0.05215050355</f>
        <v>0.05215050355</v>
      </c>
      <c r="D2" s="21">
        <f>0.1135676655/2</f>
        <v>0.05678383275</v>
      </c>
      <c r="E2" s="23"/>
      <c r="F2" s="23"/>
      <c r="G2" s="23">
        <f>0.1325536734/3</f>
        <v>0.0441845578</v>
      </c>
      <c r="H2" s="23"/>
      <c r="I2" s="23"/>
      <c r="J2" s="23">
        <f>0.2483607834/2+0.145308585+0.103841984/3</f>
        <v>0.3041029714</v>
      </c>
      <c r="K2" s="23">
        <f>0.09034318529/2+0.1235308722/3+0.0939964371/3+0.0687053078/3</f>
        <v>0.140582465</v>
      </c>
      <c r="L2" s="23">
        <f>0.1742492174/3+0.1003845409/2</f>
        <v>0.1082753429</v>
      </c>
      <c r="M2" s="23">
        <f>0.06401789984/2+0.112261143+0.05247428089/2</f>
        <v>0.1705072334</v>
      </c>
      <c r="N2" s="23">
        <f>0.1778119012/2</f>
        <v>0.0889059506</v>
      </c>
      <c r="O2" s="23">
        <f>0.1415089681/2</f>
        <v>0.07075448405</v>
      </c>
      <c r="P2" s="21">
        <f>0.1281177756/2</f>
        <v>0.0640588878</v>
      </c>
      <c r="Q2" s="21">
        <f>0.146418357/2+0.05384886922/2</f>
        <v>0.1001336131</v>
      </c>
      <c r="R2" s="21">
        <f>0.163489411/2+0.06765138752/3</f>
        <v>0.104295168</v>
      </c>
      <c r="S2" s="21">
        <f>0.1299219878/2</f>
        <v>0.0649609939</v>
      </c>
      <c r="T2" s="21">
        <f>0.04459222149/2+0.09852579563+0.05431291627</f>
        <v>0.1751348226</v>
      </c>
      <c r="U2" s="21">
        <f>0.03662657294+0.113045291</f>
        <v>0.1496718639</v>
      </c>
      <c r="V2" s="21">
        <f>0.1027709468</f>
        <v>0.1027709468</v>
      </c>
      <c r="W2" s="21">
        <f>0.09079368254</f>
        <v>0.09079368254</v>
      </c>
    </row>
    <row r="3">
      <c r="A3" s="18">
        <v>2.0</v>
      </c>
      <c r="B3" s="19" t="s">
        <v>66</v>
      </c>
      <c r="C3" s="23"/>
      <c r="D3" s="23"/>
      <c r="E3" s="23"/>
      <c r="F3" s="23"/>
      <c r="G3" s="23"/>
      <c r="H3" s="23"/>
      <c r="I3" s="23"/>
      <c r="J3" s="23">
        <f>0.07510652285</f>
        <v>0.07510652285</v>
      </c>
      <c r="K3" s="23">
        <f>0.09034318529/2</f>
        <v>0.04517159265</v>
      </c>
      <c r="L3" s="23">
        <f>0.06301907488/2+0.1003845409/2</f>
        <v>0.08170180789</v>
      </c>
      <c r="M3" s="23">
        <f>0.0716501177</f>
        <v>0.0716501177</v>
      </c>
      <c r="N3" s="23">
        <f>0.06391922658</f>
        <v>0.06391922658</v>
      </c>
      <c r="O3" s="21">
        <f>0.06713334972</f>
        <v>0.06713334972</v>
      </c>
      <c r="P3" s="21">
        <f>0.1185005809</f>
        <v>0.1185005809</v>
      </c>
      <c r="Q3" s="21">
        <f>0.08655332526/2</f>
        <v>0.04327666263</v>
      </c>
      <c r="R3" s="21">
        <f>0.06447112882</f>
        <v>0.06447112882</v>
      </c>
      <c r="S3" s="21">
        <f>0.06704469247</f>
        <v>0.06704469247</v>
      </c>
      <c r="T3" s="21">
        <f>0.04459222149/2+0.07783490167</f>
        <v>0.1001310124</v>
      </c>
      <c r="U3" s="21">
        <f>0.09287653745</f>
        <v>0.09287653745</v>
      </c>
      <c r="V3" s="21">
        <f>0.08075117179</f>
        <v>0.08075117179</v>
      </c>
      <c r="W3" s="23"/>
    </row>
    <row r="4">
      <c r="A4" s="18">
        <v>3.0</v>
      </c>
      <c r="B4" s="19" t="s">
        <v>68</v>
      </c>
      <c r="C4" s="21">
        <f>0.05779437707/2</f>
        <v>0.02889718854</v>
      </c>
      <c r="D4" s="21">
        <f>0.07517704556+0.07652610297</f>
        <v>0.1517031485</v>
      </c>
      <c r="E4" s="23"/>
      <c r="F4" s="23"/>
      <c r="G4" s="23"/>
      <c r="H4" s="23"/>
      <c r="I4" s="21">
        <f>0.07035983658</f>
        <v>0.07035983658</v>
      </c>
      <c r="J4" s="23"/>
      <c r="K4" s="23"/>
      <c r="L4" s="23"/>
      <c r="M4" s="23"/>
      <c r="N4" s="21">
        <f>0.04299192391</f>
        <v>0.04299192391</v>
      </c>
      <c r="O4" s="23"/>
      <c r="P4" s="23"/>
      <c r="Q4" s="21">
        <f>0.05384886922/2</f>
        <v>0.02692443461</v>
      </c>
      <c r="R4" s="23"/>
      <c r="S4" s="23"/>
      <c r="T4" s="23"/>
      <c r="U4" s="23"/>
      <c r="V4" s="23"/>
      <c r="W4" s="23"/>
    </row>
    <row r="5">
      <c r="A5" s="18">
        <v>4.0</v>
      </c>
      <c r="B5" s="19" t="s">
        <v>70</v>
      </c>
      <c r="C5" s="21">
        <f>0.09202127308+0.0962333669/2+0.2197936753</f>
        <v>0.3599316318</v>
      </c>
      <c r="D5" s="23">
        <f>0.1761642438+0.03287559211</f>
        <v>0.2090398359</v>
      </c>
      <c r="E5" s="23">
        <f>0.1173882262+0.1180674129</f>
        <v>0.2354556391</v>
      </c>
      <c r="F5" s="23">
        <f>0.108776484/2+0.1521645877/2+0.04964242597/2</f>
        <v>0.1552917488</v>
      </c>
      <c r="G5" s="21">
        <f>0.1325536734/3+0.06304079867/3+0.1788857985/2</f>
        <v>0.1546410566</v>
      </c>
      <c r="H5" s="23">
        <f>0.08492812263</f>
        <v>0.08492812263</v>
      </c>
      <c r="I5" s="23">
        <f>0.08630249757+0.1068539657+0.06226687649</f>
        <v>0.2554233398</v>
      </c>
      <c r="J5" s="23">
        <f>0.2483607834/2+0.103841984/3+0.08753167269+0.06327743079/2+0.06445665877</f>
        <v>0.3424214332</v>
      </c>
      <c r="K5" s="23">
        <f>0.05383406663/2+0.08875997534/2+0.1077072124/2+0.0573028837+0.1235308722/3+0.0939964371/3+0.142981157+0.0687053078/3</f>
        <v>0.4208455403</v>
      </c>
      <c r="L5" s="23">
        <f>0.1742492174/3+0.06301907488/2+0.1012296961+0.07337870186/2+0.1407910286/2+0.06966207221+0.144564039+0.06855372631/2</f>
        <v>0.5464101456</v>
      </c>
      <c r="M5" s="23">
        <f>0.06660668706+0.1169088213/2+0.1620606599+0.1140381352/2</f>
        <v>0.3441408252</v>
      </c>
      <c r="N5" s="23">
        <f>0.07553678636/2+0.06905633495+0.1200047376/2+0.1212946531/2+0.1778119012/2+0.07088212612</f>
        <v>0.3872625002</v>
      </c>
      <c r="O5" s="23">
        <f>0.08198075987/2+0.1191049272/2+0.1517725268+0.1254514549/2</f>
        <v>0.3150410978</v>
      </c>
      <c r="P5" s="21">
        <f>0.1320553683+0.05364649307/2+0.05781724557/2+0.1120504927+0.08456068481/2+0.1601634925</f>
        <v>0.5022815652</v>
      </c>
      <c r="Q5" s="21">
        <f>0.0660485815+0.03810635879/2+0.1671526709+0.1160454188/3</f>
        <v>0.2909362381</v>
      </c>
      <c r="R5" s="21">
        <f>0.1012488343+0.06765138752/3+0.1368686731+0.07637569394</f>
        <v>0.3370436638</v>
      </c>
      <c r="S5" s="21">
        <f>0.0677956902/2+0.08536025556/2+0.09514871277+0.0607506912+0.1659730557+0.09729532022</f>
        <v>0.4957457528</v>
      </c>
      <c r="T5" s="21">
        <f>0.07912823986+0.1428092431+0.108838632/2</f>
        <v>0.276356799</v>
      </c>
      <c r="U5" s="21">
        <f>0.1134118765/2+0.0638447871+0.06963665789/2+0.1676146755+0.1142732883/2</f>
        <v>0.3801203739</v>
      </c>
      <c r="V5" s="21">
        <f>0.1592762623+0.1256795097/2+0.09890682914</f>
        <v>0.3210228463</v>
      </c>
      <c r="W5" s="21">
        <f>0.08386822951/2+0.1248594145+0.05173058649/2+0.09703549275</f>
        <v>0.2896943153</v>
      </c>
    </row>
    <row r="6">
      <c r="A6" s="18">
        <v>5.0</v>
      </c>
      <c r="B6" s="19" t="s">
        <v>72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>
      <c r="A7" s="18">
        <v>6.0</v>
      </c>
      <c r="B7" s="19" t="s">
        <v>74</v>
      </c>
      <c r="C7" s="21">
        <f>0.09395945153</f>
        <v>0.09395945153</v>
      </c>
      <c r="D7" s="21">
        <f>0.07682754592+0.06812883703</f>
        <v>0.144956383</v>
      </c>
      <c r="E7" s="21">
        <f>0.05883733235+0.05920500281/2</f>
        <v>0.08843983376</v>
      </c>
      <c r="F7" s="23"/>
      <c r="G7" s="23"/>
      <c r="H7" s="23"/>
      <c r="I7" s="23">
        <f>0.0975299539</f>
        <v>0.0975299539</v>
      </c>
      <c r="J7" s="23">
        <f>0.04075334081</f>
        <v>0.04075334081</v>
      </c>
      <c r="K7" s="23">
        <f>0.08875997534/2</f>
        <v>0.04437998767</v>
      </c>
      <c r="L7" s="23">
        <f>0.06855372631/2</f>
        <v>0.03427686316</v>
      </c>
      <c r="M7" s="23">
        <f>0.06401789984/2+0.06444337474</f>
        <v>0.09645232466</v>
      </c>
      <c r="N7" s="23">
        <f>0.07553678636/2</f>
        <v>0.03776839318</v>
      </c>
      <c r="O7" s="23">
        <f>0.1088585141+0.07666751512</f>
        <v>0.1855260292</v>
      </c>
      <c r="P7" s="21">
        <f>0.08556432691+0.06752353962</f>
        <v>0.1530878665</v>
      </c>
      <c r="Q7" s="21">
        <f>0.08812602298+0.1552641532/3</f>
        <v>0.1398807407</v>
      </c>
      <c r="R7" s="21">
        <f>0.1474016001/2</f>
        <v>0.07370080005</v>
      </c>
      <c r="S7" s="21">
        <f>0.06927019871/2</f>
        <v>0.03463509936</v>
      </c>
      <c r="T7" s="23"/>
      <c r="U7" s="21">
        <f>0.06963665789/2</f>
        <v>0.03481832895</v>
      </c>
      <c r="V7" s="21">
        <f>0.1223121044</f>
        <v>0.1223121044</v>
      </c>
      <c r="W7" s="21">
        <f>0.08386822951/2</f>
        <v>0.04193411476</v>
      </c>
    </row>
    <row r="8">
      <c r="A8" s="18">
        <v>7.0</v>
      </c>
      <c r="B8" s="19" t="s">
        <v>76</v>
      </c>
      <c r="C8" s="21">
        <f>0.05779437707/2</f>
        <v>0.02889718854</v>
      </c>
      <c r="D8" s="21">
        <f>0.0192312195</f>
        <v>0.0192312195</v>
      </c>
      <c r="E8" s="21">
        <f>0.05879411952</f>
        <v>0.05879411952</v>
      </c>
      <c r="F8" s="21">
        <f>0.0582286558/2</f>
        <v>0.0291143279</v>
      </c>
      <c r="G8" s="23"/>
      <c r="H8" s="23">
        <f>0.1325064971</f>
        <v>0.1325064971</v>
      </c>
      <c r="I8" s="21">
        <f>0.1924973571</f>
        <v>0.1924973571</v>
      </c>
      <c r="J8" s="23"/>
      <c r="K8" s="21">
        <f>0.0939964371/3</f>
        <v>0.0313321457</v>
      </c>
      <c r="L8" s="21">
        <f>0.06416790288/2</f>
        <v>0.03208395144</v>
      </c>
      <c r="M8" s="23"/>
      <c r="N8" s="23"/>
      <c r="O8" s="23">
        <f>0.1254514549/2</f>
        <v>0.06272572745</v>
      </c>
      <c r="P8" s="23"/>
      <c r="Q8" s="21">
        <f>0.08243624244</f>
        <v>0.08243624244</v>
      </c>
      <c r="R8" s="21">
        <f>0.07077680779</f>
        <v>0.07077680779</v>
      </c>
      <c r="S8" s="21">
        <f>0.0677956902/2</f>
        <v>0.0338978451</v>
      </c>
      <c r="T8" s="21">
        <f>0.06614349676</f>
        <v>0.06614349676</v>
      </c>
      <c r="U8" s="21">
        <f>0.1166232281</f>
        <v>0.1166232281</v>
      </c>
      <c r="V8" s="21">
        <f>0.08663245805</f>
        <v>0.08663245805</v>
      </c>
      <c r="W8" s="21">
        <f>0.06583887017</f>
        <v>0.06583887017</v>
      </c>
    </row>
    <row r="9">
      <c r="A9" s="18">
        <v>8.0</v>
      </c>
      <c r="B9" s="19" t="s">
        <v>78</v>
      </c>
      <c r="C9" s="23"/>
      <c r="D9" s="23"/>
      <c r="E9" s="23"/>
      <c r="F9" s="23"/>
      <c r="G9" s="23"/>
      <c r="H9" s="23"/>
      <c r="I9" s="23"/>
      <c r="J9" s="23"/>
      <c r="K9" s="23">
        <f>0.05383406663/2</f>
        <v>0.02691703332</v>
      </c>
      <c r="L9" s="21">
        <f>0.07337870186/2</f>
        <v>0.03668935093</v>
      </c>
      <c r="M9" s="21">
        <f>0.1140381352/2</f>
        <v>0.0570190676</v>
      </c>
      <c r="N9" s="21">
        <f>0.1212946531/2</f>
        <v>0.06064732655</v>
      </c>
      <c r="O9" s="21">
        <f>0.1191049272/2</f>
        <v>0.0595524636</v>
      </c>
      <c r="P9" s="21">
        <f>0.08456068481/2</f>
        <v>0.04228034241</v>
      </c>
      <c r="Q9" s="21">
        <f>0.1160454188/3</f>
        <v>0.03868180627</v>
      </c>
      <c r="R9" s="21">
        <f t="shared" ref="R9:R10" si="1">0.1086898548/2</f>
        <v>0.0543449274</v>
      </c>
      <c r="S9" s="23"/>
      <c r="T9" s="23"/>
      <c r="U9" s="23"/>
      <c r="V9" s="23"/>
      <c r="W9" s="23"/>
    </row>
    <row r="10">
      <c r="A10" s="18">
        <v>9.0</v>
      </c>
      <c r="B10" s="19" t="s">
        <v>80</v>
      </c>
      <c r="C10" s="21">
        <f>0.03646644612</f>
        <v>0.03646644612</v>
      </c>
      <c r="D10" s="23"/>
      <c r="E10" s="23"/>
      <c r="F10" s="21">
        <f>0.04135366622+0.08120217544</f>
        <v>0.1225558417</v>
      </c>
      <c r="G10" s="21">
        <f>0.05661622301</f>
        <v>0.05661622301</v>
      </c>
      <c r="H10" s="21">
        <f>0.1204054449</f>
        <v>0.1204054449</v>
      </c>
      <c r="I10" s="21">
        <f>0.0641387711</f>
        <v>0.0641387711</v>
      </c>
      <c r="J10" s="23"/>
      <c r="K10" s="23"/>
      <c r="L10" s="21">
        <f>0.06416790288/2</f>
        <v>0.03208395144</v>
      </c>
      <c r="M10" s="23"/>
      <c r="N10" s="23"/>
      <c r="O10" s="23"/>
      <c r="P10" s="23"/>
      <c r="Q10" s="23"/>
      <c r="R10" s="21">
        <f t="shared" si="1"/>
        <v>0.0543449274</v>
      </c>
      <c r="S10" s="23"/>
      <c r="T10" s="23"/>
      <c r="U10" s="23"/>
      <c r="V10" s="21">
        <f>0.09764882961</f>
        <v>0.09764882961</v>
      </c>
      <c r="W10" s="21">
        <f>0.1207583004</f>
        <v>0.1207583004</v>
      </c>
    </row>
    <row r="11">
      <c r="A11" s="18">
        <v>10.0</v>
      </c>
      <c r="B11" s="19" t="s">
        <v>82</v>
      </c>
      <c r="C11" s="23"/>
      <c r="D11" s="23"/>
      <c r="E11" s="23"/>
      <c r="F11" s="23"/>
      <c r="G11" s="23">
        <f>0.1325536734/3+0.06304079867/3</f>
        <v>0.06519815736</v>
      </c>
      <c r="H11" s="23">
        <f>0.07017108749/2</f>
        <v>0.03508554375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>
      <c r="A12" s="18">
        <v>11.0</v>
      </c>
      <c r="B12" s="19" t="s">
        <v>84</v>
      </c>
      <c r="C12" s="23"/>
      <c r="D12" s="23"/>
      <c r="E12" s="23"/>
      <c r="F12" s="23"/>
      <c r="G12" s="23"/>
      <c r="H12" s="23">
        <f>0.05736537656/2</f>
        <v>0.02868268828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1">
        <f>0.06927019871/2</f>
        <v>0.03463509936</v>
      </c>
      <c r="T12" s="23"/>
      <c r="U12" s="21">
        <f>0.1134118765/2</f>
        <v>0.05670593825</v>
      </c>
      <c r="V12" s="21">
        <f>0.04608226069+0.07993962743</f>
        <v>0.1260218881</v>
      </c>
      <c r="W12" s="21">
        <f>0.1251684741</f>
        <v>0.1251684741</v>
      </c>
    </row>
    <row r="13">
      <c r="A13" s="18">
        <v>12.0</v>
      </c>
      <c r="B13" s="19" t="s">
        <v>86</v>
      </c>
      <c r="C13" s="23"/>
      <c r="D13" s="23"/>
      <c r="E13" s="23"/>
      <c r="F13" s="21">
        <f>0.1521645877/2+0.04964242597/2</f>
        <v>0.1009035068</v>
      </c>
      <c r="G13" s="21">
        <f>0.09481871466/3</f>
        <v>0.03160623822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>
      <c r="A14" s="18">
        <v>13.0</v>
      </c>
      <c r="B14" s="19" t="s">
        <v>88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>
      <c r="A15" s="18">
        <v>101.0</v>
      </c>
      <c r="B15" s="19" t="s">
        <v>89</v>
      </c>
      <c r="C15" s="21">
        <f>0.07137269852</f>
        <v>0.07137269852</v>
      </c>
      <c r="D15" s="23"/>
      <c r="E15" s="21">
        <f>0.1763210092/2+0.3521813968+0.0219606069/2+0.02373375854/2</f>
        <v>0.4631890841</v>
      </c>
      <c r="F15" s="21">
        <f>0.153158641+0.09181490304/2</f>
        <v>0.1990660925</v>
      </c>
      <c r="G15" s="21">
        <f>0.1694875958/2+0.1216624097+0.01578464418+0.09481871466/3+0.1788857985/2+0.05878003079</f>
        <v>0.40202002</v>
      </c>
      <c r="H15" s="21">
        <f>0.07017108749/2+0.07283125769+0.1548373514/2+0.1033871116+0.1415360873/2</f>
        <v>0.3594906324</v>
      </c>
      <c r="I15" s="21">
        <f>0.1142020486+0.1339937579</f>
        <v>0.2481958065</v>
      </c>
      <c r="J15" s="21">
        <f>0.103841984/3+0.08665606152</f>
        <v>0.1212700562</v>
      </c>
      <c r="K15" s="21">
        <f>0.1235308722/3+0.1728389026+0.0687053078/3</f>
        <v>0.2369176293</v>
      </c>
      <c r="L15" s="21">
        <f>0.1742492174/3</f>
        <v>0.05808307247</v>
      </c>
      <c r="M15" s="21">
        <f>0.1755388805+0.05247428089/2</f>
        <v>0.2017760209</v>
      </c>
      <c r="N15" s="21">
        <f>0.1313003643</f>
        <v>0.1313003643</v>
      </c>
      <c r="O15" s="21">
        <f>0.1415089681/2+0.09079683811</f>
        <v>0.1615513222</v>
      </c>
      <c r="P15" s="21">
        <f>0.1281177756/2</f>
        <v>0.0640588878</v>
      </c>
      <c r="Q15" s="21">
        <f>0.08655332526/2+0.146418357/2+0.03810635879/2</f>
        <v>0.1355390205</v>
      </c>
      <c r="R15" s="21">
        <f>0.163489411/2</f>
        <v>0.0817447055</v>
      </c>
      <c r="S15" s="21">
        <f>0.1299219878/2</f>
        <v>0.0649609939</v>
      </c>
      <c r="T15" s="21">
        <f t="shared" ref="T15:T16" si="2">0.2670117946/2</f>
        <v>0.1335058973</v>
      </c>
      <c r="U15" s="23"/>
      <c r="V15" s="21">
        <f>0.1256795097/2</f>
        <v>0.06283975485</v>
      </c>
      <c r="W15" s="23"/>
    </row>
    <row r="16">
      <c r="A16" s="18">
        <v>102.0</v>
      </c>
      <c r="B16" s="19" t="s">
        <v>91</v>
      </c>
      <c r="C16" s="23"/>
      <c r="D16" s="23"/>
      <c r="E16" s="21">
        <f>0.0135111348+0.1763210092/2+0.0219606069/2+0.02373375854/2</f>
        <v>0.1245188221</v>
      </c>
      <c r="F16" s="23"/>
      <c r="G16" s="21">
        <f>0.1694875958/2</f>
        <v>0.0847437979</v>
      </c>
      <c r="H16" s="21">
        <f>0.1548373514/2</f>
        <v>0.0774186757</v>
      </c>
      <c r="I16" s="23"/>
      <c r="J16" s="23"/>
      <c r="K16" s="23"/>
      <c r="L16" s="23"/>
      <c r="M16" s="23"/>
      <c r="N16" s="21">
        <f>0.1272019459</f>
        <v>0.1272019459</v>
      </c>
      <c r="O16" s="21">
        <f>0.03672514605</f>
        <v>0.03672514605</v>
      </c>
      <c r="P16" s="23"/>
      <c r="Q16" s="21">
        <f>0.1552641532/3</f>
        <v>0.05175471773</v>
      </c>
      <c r="R16" s="21">
        <f>0.1474016001/2+0.06302660862</f>
        <v>0.1367274087</v>
      </c>
      <c r="S16" s="21">
        <f>0.1614393954</f>
        <v>0.1614393954</v>
      </c>
      <c r="T16" s="21">
        <f t="shared" si="2"/>
        <v>0.1335058973</v>
      </c>
      <c r="U16" s="21">
        <f>0.1120470851</f>
        <v>0.1120470851</v>
      </c>
      <c r="V16" s="23"/>
      <c r="W16" s="21">
        <f>0.1630929137</f>
        <v>0.1630929137</v>
      </c>
    </row>
    <row r="17">
      <c r="A17" s="18">
        <v>103.0</v>
      </c>
      <c r="B17" s="20" t="s">
        <v>93</v>
      </c>
      <c r="C17" s="23"/>
      <c r="D17" s="23">
        <f>0.1135676655/2</f>
        <v>0.05678383275</v>
      </c>
      <c r="E17" s="23"/>
      <c r="F17" s="23"/>
      <c r="G17" s="23">
        <f>0.09481871466/3</f>
        <v>0.03160623822</v>
      </c>
      <c r="H17" s="23">
        <f>0.1415360873/2</f>
        <v>0.07076804365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>
      <c r="A18" s="18">
        <v>104.0</v>
      </c>
      <c r="B18" s="19" t="s">
        <v>95</v>
      </c>
      <c r="C18" s="23"/>
      <c r="D18" s="23"/>
      <c r="E18" s="23"/>
      <c r="F18" s="23"/>
      <c r="G18" s="23"/>
      <c r="H18" s="23"/>
      <c r="I18" s="23"/>
      <c r="J18" s="21">
        <f>0.0847069601/2</f>
        <v>0.04235348005</v>
      </c>
      <c r="K18" s="23"/>
      <c r="L18" s="23"/>
      <c r="M18" s="23"/>
      <c r="N18" s="23"/>
      <c r="O18" s="23"/>
      <c r="P18" s="23"/>
      <c r="Q18" s="21">
        <f>0.1552641532/3</f>
        <v>0.05175471773</v>
      </c>
      <c r="R18" s="23"/>
      <c r="S18" s="23"/>
      <c r="T18" s="23"/>
      <c r="U18" s="23"/>
      <c r="V18" s="23"/>
      <c r="W18" s="23"/>
    </row>
    <row r="19">
      <c r="A19" s="18">
        <v>105.0</v>
      </c>
      <c r="B19" s="19" t="s">
        <v>96</v>
      </c>
      <c r="C19" s="23">
        <f>0.0962333669/2+0.1963070772</f>
        <v>0.2444237607</v>
      </c>
      <c r="D19" s="23"/>
      <c r="E19" s="23"/>
      <c r="F19" s="21">
        <f>0.09181490304/2+0.0582286558/2</f>
        <v>0.07502177942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>
      <c r="A20" s="18">
        <v>106.0</v>
      </c>
      <c r="B20" s="19" t="s">
        <v>98</v>
      </c>
      <c r="C20" s="23"/>
      <c r="D20" s="23">
        <f>0.3230889527</f>
        <v>0.3230889527</v>
      </c>
      <c r="E20" s="23"/>
      <c r="F20" s="23">
        <f>0.2018797244</f>
        <v>0.2018797244</v>
      </c>
      <c r="G20" s="23">
        <f>0.1083701113</f>
        <v>0.1083701113</v>
      </c>
      <c r="H20" s="23">
        <f>0.06203166338</f>
        <v>0.06203166338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1">
        <f>0.07685403585</f>
        <v>0.07685403585</v>
      </c>
    </row>
    <row r="21">
      <c r="A21" s="18">
        <v>107.0</v>
      </c>
      <c r="B21" s="19" t="s">
        <v>100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>
      <c r="A22" s="18">
        <v>108.0</v>
      </c>
      <c r="B22" s="19" t="s">
        <v>102</v>
      </c>
      <c r="C22" s="23"/>
      <c r="D22" s="23"/>
      <c r="E22" s="23"/>
      <c r="F22" s="23"/>
      <c r="G22" s="23"/>
      <c r="H22" s="23"/>
      <c r="I22" s="23"/>
      <c r="J22" s="23">
        <f>0.0847069601/2</f>
        <v>0.04235348005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>
      <c r="A23" s="18">
        <v>99.0</v>
      </c>
      <c r="B23" s="19" t="s">
        <v>103</v>
      </c>
      <c r="C23" s="23">
        <f>0.0839011307</f>
        <v>0.0839011307</v>
      </c>
      <c r="D23" s="23">
        <f>0.03841279489</f>
        <v>0.03841279489</v>
      </c>
      <c r="E23" s="23">
        <f>0.05920500281/2</f>
        <v>0.02960250141</v>
      </c>
      <c r="F23" s="23">
        <f>0.06177873679+0.108776484/2</f>
        <v>0.1161669788</v>
      </c>
      <c r="G23" s="23">
        <f>0.06304079867/3</f>
        <v>0.02101359956</v>
      </c>
      <c r="H23" s="23">
        <f>0.05736537656/2</f>
        <v>0.02868268828</v>
      </c>
      <c r="I23" s="23">
        <f>0.07185493501</f>
        <v>0.07185493501</v>
      </c>
      <c r="J23" s="23">
        <f>0.06327743079/2</f>
        <v>0.0316387154</v>
      </c>
      <c r="K23" s="23">
        <f>0.1077072124/2</f>
        <v>0.0538536062</v>
      </c>
      <c r="L23" s="23">
        <f>0.1407910286/2</f>
        <v>0.0703955143</v>
      </c>
      <c r="M23" s="23">
        <f>0.1169088213/2</f>
        <v>0.05845441065</v>
      </c>
      <c r="N23" s="23">
        <f>0.1200047376/2</f>
        <v>0.0600023688</v>
      </c>
      <c r="O23" s="23">
        <f>0.08198075987/2</f>
        <v>0.04099037994</v>
      </c>
      <c r="P23" s="21">
        <f>0.05364649307/2+0.05781724557/2</f>
        <v>0.05573186932</v>
      </c>
      <c r="Q23" s="21">
        <f>0.1160454188/3</f>
        <v>0.03868180627</v>
      </c>
      <c r="R23" s="21">
        <f>0.06765138752/3</f>
        <v>0.02255046251</v>
      </c>
      <c r="S23" s="21">
        <f>0.08536025556/2</f>
        <v>0.04268012778</v>
      </c>
      <c r="T23" s="21">
        <f>0.06080275864+0.108838632/2</f>
        <v>0.1152220746</v>
      </c>
      <c r="U23" s="21">
        <f>0.1142732883/2</f>
        <v>0.05713664415</v>
      </c>
      <c r="V23" s="23"/>
      <c r="W23" s="21">
        <f>0.05173058649/2</f>
        <v>0.02586529325</v>
      </c>
    </row>
    <row r="24">
      <c r="A24" s="29" t="s">
        <v>104</v>
      </c>
      <c r="B24" s="28"/>
      <c r="C24" s="30">
        <f t="shared" ref="C24:W24" si="3">SUM(C2:C23)</f>
        <v>1</v>
      </c>
      <c r="D24" s="30">
        <f t="shared" si="3"/>
        <v>1</v>
      </c>
      <c r="E24" s="30">
        <f t="shared" si="3"/>
        <v>1</v>
      </c>
      <c r="F24" s="30">
        <f t="shared" si="3"/>
        <v>1</v>
      </c>
      <c r="G24" s="30">
        <f t="shared" si="3"/>
        <v>1</v>
      </c>
      <c r="H24" s="30">
        <f t="shared" si="3"/>
        <v>1</v>
      </c>
      <c r="I24" s="30">
        <f t="shared" si="3"/>
        <v>1</v>
      </c>
      <c r="J24" s="30">
        <f t="shared" si="3"/>
        <v>0.9999999999</v>
      </c>
      <c r="K24" s="30">
        <f t="shared" si="3"/>
        <v>1</v>
      </c>
      <c r="L24" s="30">
        <f t="shared" si="3"/>
        <v>1</v>
      </c>
      <c r="M24" s="30">
        <f t="shared" si="3"/>
        <v>1</v>
      </c>
      <c r="N24" s="30">
        <f t="shared" si="3"/>
        <v>1</v>
      </c>
      <c r="O24" s="30">
        <f t="shared" si="3"/>
        <v>1</v>
      </c>
      <c r="P24" s="30">
        <f t="shared" si="3"/>
        <v>1</v>
      </c>
      <c r="Q24" s="30">
        <f t="shared" si="3"/>
        <v>1</v>
      </c>
      <c r="R24" s="30">
        <f t="shared" si="3"/>
        <v>1</v>
      </c>
      <c r="S24" s="30">
        <f t="shared" si="3"/>
        <v>1</v>
      </c>
      <c r="T24" s="30">
        <f t="shared" si="3"/>
        <v>1</v>
      </c>
      <c r="U24" s="30">
        <f t="shared" si="3"/>
        <v>0.9999999999</v>
      </c>
      <c r="V24" s="30">
        <f t="shared" si="3"/>
        <v>0.9999999999</v>
      </c>
      <c r="W24" s="30">
        <f t="shared" si="3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7" t="s">
        <v>43</v>
      </c>
      <c r="B1" s="17" t="s">
        <v>44</v>
      </c>
      <c r="C1" s="17" t="s">
        <v>158</v>
      </c>
      <c r="D1" s="33" t="s">
        <v>129</v>
      </c>
      <c r="E1" s="33" t="s">
        <v>130</v>
      </c>
      <c r="F1" s="17" t="s">
        <v>131</v>
      </c>
      <c r="G1" s="17" t="s">
        <v>132</v>
      </c>
      <c r="H1" s="17" t="s">
        <v>133</v>
      </c>
      <c r="I1" s="17" t="s">
        <v>134</v>
      </c>
      <c r="J1" s="17" t="s">
        <v>135</v>
      </c>
      <c r="K1" s="17" t="s">
        <v>136</v>
      </c>
      <c r="L1" s="17" t="s">
        <v>137</v>
      </c>
      <c r="M1" s="17" t="s">
        <v>138</v>
      </c>
      <c r="N1" s="17" t="s">
        <v>139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</row>
    <row r="2">
      <c r="A2" s="18">
        <v>1.0</v>
      </c>
      <c r="B2" s="20" t="s">
        <v>64</v>
      </c>
      <c r="C2" s="19"/>
      <c r="D2" s="21">
        <f>0.1257119325</f>
        <v>0.1257119325</v>
      </c>
      <c r="E2" s="21">
        <f>0.09085788054+0.08699477487+0.09361031679+0.1354736741</f>
        <v>0.4069366463</v>
      </c>
      <c r="F2" s="21">
        <f>0.07242903168+0.1043879855/2+0.06533451797/2+0.06726134317/2</f>
        <v>0.190920955</v>
      </c>
      <c r="G2" s="21">
        <f>0.07892673388/2</f>
        <v>0.03946336694</v>
      </c>
      <c r="H2" s="23"/>
      <c r="I2" s="21">
        <f>0.1226004385+0.1808774576+0.09062750648/2+0.07235117564/2+0.07758213864/2</f>
        <v>0.4237583065</v>
      </c>
      <c r="J2" s="21">
        <f>0.03193907247+0.0912055308737773+0.05124323189+0.113178537/2+0.1305144742+0.1452315366</f>
        <v>0.5067231145</v>
      </c>
      <c r="K2" s="21">
        <f>0.03114343868+0.06576396618+0.09022493225+0.1618842367+0.1397159327</f>
        <v>0.4887325065</v>
      </c>
      <c r="L2" s="21">
        <f>0.1437478831+0.1139622498+0.08760600455+0.04190524638+0.06937680105</f>
        <v>0.4565981849</v>
      </c>
      <c r="M2" s="21">
        <f>0.03029980668+0.05807129262/2</f>
        <v>0.05933545299</v>
      </c>
      <c r="N2" s="21">
        <f>0.04725391203+0.09177861482+0.232057363336471</f>
        <v>0.3710898902</v>
      </c>
      <c r="O2" s="21">
        <f>0.02944251041+0.1870869037+0.0855578111662246+0.07058543415</f>
        <v>0.3726726594</v>
      </c>
      <c r="P2" s="21">
        <f>0.222093713+0.08188218083+0.03993271365</f>
        <v>0.3439086075</v>
      </c>
      <c r="Q2" s="21">
        <f>0.08373025641</f>
        <v>0.08373025641</v>
      </c>
      <c r="R2" s="21">
        <f>0.1880788464+0.09472638022+0.08268978104</f>
        <v>0.3654950077</v>
      </c>
      <c r="S2" s="21">
        <f>0.1128220632+0.03836486692</f>
        <v>0.1511869301</v>
      </c>
      <c r="T2" s="21">
        <f>0.134326303+0.03479614651+0.09802897553</f>
        <v>0.267151425</v>
      </c>
      <c r="U2" s="21">
        <f>0.1065825407+0.07679489645</f>
        <v>0.1833774372</v>
      </c>
      <c r="V2" s="21">
        <f>0.1713073043/2+0.09662019432+0.1587020776</f>
        <v>0.3409759241</v>
      </c>
      <c r="W2" s="21">
        <f>0.103574+0.196802+0.069021/2+0.048269+0.110281</f>
        <v>0.4934365</v>
      </c>
      <c r="X2" s="21">
        <f>0.111632+0.056655/2+0.028857+0.094519</f>
        <v>0.2633355</v>
      </c>
    </row>
    <row r="3">
      <c r="A3" s="18">
        <v>2.0</v>
      </c>
      <c r="B3" s="19" t="s">
        <v>66</v>
      </c>
      <c r="C3" s="19"/>
      <c r="D3" s="23"/>
      <c r="E3" s="23"/>
      <c r="F3" s="23"/>
      <c r="G3" s="23"/>
      <c r="H3" s="21">
        <f>0.06182558415</f>
        <v>0.06182558415</v>
      </c>
      <c r="I3" s="23"/>
      <c r="J3" s="23"/>
      <c r="K3" s="23"/>
      <c r="L3" s="21"/>
      <c r="M3" s="21"/>
      <c r="N3" s="21">
        <f>0.08213622981</f>
        <v>0.08213622981</v>
      </c>
      <c r="O3" s="21">
        <f>0.1097055042</f>
        <v>0.1097055042</v>
      </c>
      <c r="P3" s="21">
        <f>0.115116198752291</f>
        <v>0.1151161988</v>
      </c>
      <c r="Q3" s="21"/>
      <c r="R3" s="23"/>
      <c r="S3" s="23"/>
      <c r="T3" s="23"/>
      <c r="U3" s="23"/>
      <c r="V3" s="23"/>
      <c r="W3" s="23"/>
      <c r="X3" s="23"/>
    </row>
    <row r="4">
      <c r="A4" s="18">
        <v>3.0</v>
      </c>
      <c r="B4" s="20" t="s">
        <v>68</v>
      </c>
      <c r="C4" s="19"/>
      <c r="D4" s="21">
        <f>0.0397854495</f>
        <v>0.0397854495</v>
      </c>
      <c r="E4" s="23"/>
      <c r="F4" s="23"/>
      <c r="G4" s="23"/>
      <c r="H4" s="23"/>
      <c r="I4" s="21">
        <f>0.07235117564/2</f>
        <v>0.03617558782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1">
        <f>0.163437/2</f>
        <v>0.0817185</v>
      </c>
      <c r="X4" s="21">
        <f>0.108265/2</f>
        <v>0.0541325</v>
      </c>
    </row>
    <row r="5">
      <c r="A5" s="18">
        <v>4.0</v>
      </c>
      <c r="B5" s="20" t="s">
        <v>70</v>
      </c>
      <c r="C5" s="19"/>
      <c r="D5" s="23"/>
      <c r="E5" s="23"/>
      <c r="F5" s="23"/>
      <c r="G5" s="21"/>
      <c r="H5" s="21"/>
      <c r="I5" s="21">
        <f>0.09062750648/2+0.0608677039/2</f>
        <v>0.07574760519</v>
      </c>
      <c r="J5" s="23"/>
      <c r="K5" s="21">
        <f>0.0822497128/2</f>
        <v>0.0411248564</v>
      </c>
      <c r="L5" s="21">
        <f>0.1421827433/2+0.07144344697+0.07479151564/2+0.1360282369/2</f>
        <v>0.2479446949</v>
      </c>
      <c r="M5" s="21">
        <f>0.1178590948+0.132239661/2+0.05807129262/2</f>
        <v>0.2130145716</v>
      </c>
      <c r="N5" s="21">
        <f>0.05824839506+0.1261228904</f>
        <v>0.1843712855</v>
      </c>
      <c r="O5" s="21">
        <f>0.115254474</f>
        <v>0.115254474</v>
      </c>
      <c r="P5" s="21">
        <f>0.04818821452+0.1618789366/2</f>
        <v>0.1291276828</v>
      </c>
      <c r="Q5" s="21">
        <f>0.04147922339+0.08926823243+0.06682378567/2+0.105375111/2</f>
        <v>0.2168469042</v>
      </c>
      <c r="R5" s="21">
        <f>0.05737159076</f>
        <v>0.05737159076</v>
      </c>
      <c r="S5" s="21">
        <f>0.1371082559+0.1462626589/2+0.07544638862</f>
        <v>0.285685974</v>
      </c>
      <c r="T5" s="21">
        <f>0.09229797281+0.1430117272</f>
        <v>0.2353097</v>
      </c>
      <c r="U5" s="21">
        <f>0.1298821958+0.07694661201</f>
        <v>0.2068288078</v>
      </c>
      <c r="V5" s="21">
        <f>0.09203813642+0.04541749375</f>
        <v>0.1374556302</v>
      </c>
      <c r="W5" s="23"/>
      <c r="X5" s="21">
        <f>0.1645/2+0.108265/2</f>
        <v>0.1363825</v>
      </c>
    </row>
    <row r="6">
      <c r="A6" s="18">
        <v>5.0</v>
      </c>
      <c r="B6" s="20" t="s">
        <v>72</v>
      </c>
      <c r="C6" s="19"/>
      <c r="D6" s="23"/>
      <c r="E6" s="23"/>
      <c r="F6" s="23"/>
      <c r="G6" s="23"/>
      <c r="H6" s="23"/>
      <c r="I6" s="23"/>
      <c r="J6" s="23"/>
      <c r="K6" s="23"/>
      <c r="L6" s="21">
        <f>0.1360282369/2</f>
        <v>0.06801411845</v>
      </c>
      <c r="M6" s="21">
        <f>0.132239661/2</f>
        <v>0.0661198305</v>
      </c>
      <c r="N6" s="21"/>
      <c r="O6" s="21"/>
      <c r="P6" s="21"/>
      <c r="Q6" s="21">
        <f>0.06682378567/2</f>
        <v>0.03341189284</v>
      </c>
      <c r="R6" s="21">
        <f>0.07952400264/2</f>
        <v>0.03976200132</v>
      </c>
      <c r="S6" s="23"/>
      <c r="T6" s="23"/>
      <c r="U6" s="23"/>
      <c r="V6" s="23"/>
      <c r="W6" s="23"/>
      <c r="X6" s="23"/>
    </row>
    <row r="7">
      <c r="A7" s="18">
        <v>6.0</v>
      </c>
      <c r="B7" s="20" t="s">
        <v>74</v>
      </c>
      <c r="C7" s="19"/>
      <c r="D7" s="21">
        <f>0.1168445434</f>
        <v>0.1168445434</v>
      </c>
      <c r="E7" s="21">
        <f>0.08646097046</f>
        <v>0.08646097046</v>
      </c>
      <c r="F7" s="21">
        <f>0.08382134298+0.1028937821</f>
        <v>0.1867151251</v>
      </c>
      <c r="G7" s="21">
        <f>0.08992522438/2+0.1228578973+0.10261484/2+0.1163284053</f>
        <v>0.3354563348</v>
      </c>
      <c r="H7" s="21">
        <f>0.09172127563+0.1059404711+0.149427958063055</f>
        <v>0.3470897048</v>
      </c>
      <c r="I7" s="21">
        <f>0.09213966556/2+0.09300122711+0.09111968852</f>
        <v>0.2301907484</v>
      </c>
      <c r="J7" s="21">
        <f>0.0724496202863175</f>
        <v>0.07244962029</v>
      </c>
      <c r="K7" s="21">
        <f>0.1031644685+0.1298751714</f>
        <v>0.2330396399</v>
      </c>
      <c r="L7" s="21">
        <f>0.07479151564/2</f>
        <v>0.03739575782</v>
      </c>
      <c r="M7" s="21">
        <f>0.173939509+0.07294409465+0.07826914429</f>
        <v>0.3251527479</v>
      </c>
      <c r="N7" s="21">
        <f>0.1586082699+0.06389619461</f>
        <v>0.2225044645</v>
      </c>
      <c r="O7" s="21">
        <f>0.03323546226</f>
        <v>0.03323546226</v>
      </c>
      <c r="P7" s="21">
        <f>0.1429742182/2+0.03630420628</f>
        <v>0.1077913154</v>
      </c>
      <c r="Q7" s="21">
        <f>0.04264912123+0.1032183641</f>
        <v>0.1458674853</v>
      </c>
      <c r="R7" s="21">
        <f>0.03438702738+0.102801707</f>
        <v>0.1371887344</v>
      </c>
      <c r="S7" s="21">
        <f>0.1677223011+0.09703062381</f>
        <v>0.2647529249</v>
      </c>
      <c r="T7" s="21">
        <f>0.0907400852317289+0.1198037052+0.04790176259</f>
        <v>0.258445553</v>
      </c>
      <c r="U7" s="21">
        <f>0.1956758033+0.0586262013+0.09759708222</f>
        <v>0.3518990868</v>
      </c>
      <c r="V7" s="21">
        <f>0.05683749009+0.05486668752/2</f>
        <v>0.08427083385</v>
      </c>
      <c r="W7" s="21">
        <f>0.126455+0.050743/2+0.061613</f>
        <v>0.2134395</v>
      </c>
      <c r="X7" s="21">
        <f>0.1645/2+0.057993+0.023942</f>
        <v>0.164185</v>
      </c>
    </row>
    <row r="8">
      <c r="A8" s="18">
        <v>7.0</v>
      </c>
      <c r="B8" s="20" t="s">
        <v>76</v>
      </c>
      <c r="C8" s="19"/>
      <c r="D8" s="21"/>
      <c r="E8" s="21"/>
      <c r="F8" s="23"/>
      <c r="G8" s="23"/>
      <c r="H8" s="23"/>
      <c r="I8" s="23"/>
      <c r="J8" s="21">
        <f>0.07053809701</f>
        <v>0.07053809701</v>
      </c>
      <c r="K8" s="21">
        <f>0.07263423883</f>
        <v>0.07263423883</v>
      </c>
      <c r="L8" s="21">
        <f>0.1189558723</f>
        <v>0.1189558723</v>
      </c>
      <c r="M8" s="23"/>
      <c r="N8" s="23"/>
      <c r="O8" s="23"/>
      <c r="P8" s="21">
        <f>0.1618789366/2</f>
        <v>0.0809394683</v>
      </c>
      <c r="Q8" s="21">
        <f>0.105375111/2</f>
        <v>0.0526875555</v>
      </c>
      <c r="R8" s="21">
        <f>0.07952400264/2</f>
        <v>0.03976200132</v>
      </c>
      <c r="S8" s="21">
        <f>0.1462626589/2</f>
        <v>0.07313132945</v>
      </c>
      <c r="T8" s="23"/>
      <c r="U8" s="23"/>
      <c r="V8" s="21">
        <f>0.06756793796</f>
        <v>0.06756793796</v>
      </c>
      <c r="W8" s="21">
        <f>0.069021/2+0.163437/2</f>
        <v>0.116229</v>
      </c>
      <c r="X8" s="21">
        <f>0.188379</f>
        <v>0.188379</v>
      </c>
    </row>
    <row r="9">
      <c r="A9" s="18">
        <v>8.0</v>
      </c>
      <c r="B9" s="20" t="s">
        <v>78</v>
      </c>
      <c r="C9" s="19"/>
      <c r="D9" s="23"/>
      <c r="E9" s="23"/>
      <c r="F9" s="23"/>
      <c r="G9" s="23"/>
      <c r="H9" s="23"/>
      <c r="I9" s="23"/>
      <c r="J9" s="23"/>
      <c r="K9" s="23"/>
      <c r="L9" s="23"/>
      <c r="M9" s="23"/>
      <c r="N9" s="21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>
      <c r="A10" s="18">
        <v>9.0</v>
      </c>
      <c r="B10" s="20" t="s">
        <v>80</v>
      </c>
      <c r="C10" s="19"/>
      <c r="D10" s="23"/>
      <c r="E10" s="23"/>
      <c r="F10" s="23"/>
      <c r="G10" s="23"/>
      <c r="H10" s="23"/>
      <c r="I10" s="23"/>
      <c r="J10" s="23"/>
      <c r="K10" s="21">
        <f>0.1233439019</f>
        <v>0.1233439019</v>
      </c>
      <c r="L10" s="23"/>
      <c r="M10" s="21">
        <f>0.08858153652</f>
        <v>0.08858153652</v>
      </c>
      <c r="N10" s="23"/>
      <c r="O10" s="23"/>
      <c r="P10" s="23"/>
      <c r="Q10" s="21">
        <f>0.2545739627</f>
        <v>0.2545739627</v>
      </c>
      <c r="R10" s="21">
        <f>0.1471991462</f>
        <v>0.1471991462</v>
      </c>
      <c r="S10" s="21">
        <f>0.08043253804</f>
        <v>0.08043253804</v>
      </c>
      <c r="T10" s="21">
        <f>0.142662464</f>
        <v>0.142662464</v>
      </c>
      <c r="U10" s="21">
        <f>0.08697431776</f>
        <v>0.08697431776</v>
      </c>
      <c r="V10" s="23"/>
      <c r="W10" s="23"/>
      <c r="X10" s="23"/>
    </row>
    <row r="11">
      <c r="A11" s="18">
        <v>10.0</v>
      </c>
      <c r="B11" s="19" t="s">
        <v>82</v>
      </c>
      <c r="C11" s="19"/>
      <c r="D11" s="23"/>
      <c r="E11" s="23"/>
      <c r="F11" s="21"/>
      <c r="G11" s="21"/>
      <c r="H11" s="21"/>
      <c r="I11" s="21"/>
      <c r="J11" s="21"/>
      <c r="K11" s="21"/>
      <c r="L11" s="21"/>
      <c r="M11" s="21"/>
      <c r="N11" s="23"/>
      <c r="O11" s="23"/>
      <c r="P11" s="23"/>
      <c r="Q11" s="21"/>
      <c r="R11" s="23"/>
      <c r="S11" s="23"/>
      <c r="T11" s="23"/>
      <c r="U11" s="23"/>
      <c r="V11" s="23"/>
      <c r="W11" s="23"/>
      <c r="X11" s="23"/>
    </row>
    <row r="12">
      <c r="A12" s="18">
        <v>11.0</v>
      </c>
      <c r="B12" s="20" t="s">
        <v>84</v>
      </c>
      <c r="C12" s="19"/>
      <c r="D12" s="21"/>
      <c r="E12" s="21"/>
      <c r="F12" s="21"/>
      <c r="G12" s="21"/>
      <c r="H12" s="21"/>
      <c r="I12" s="21"/>
      <c r="J12" s="21"/>
      <c r="K12" s="21"/>
      <c r="L12" s="23"/>
      <c r="M12" s="21"/>
      <c r="N12" s="21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>
      <c r="A13" s="18">
        <v>12.0</v>
      </c>
      <c r="B13" s="19" t="s">
        <v>86</v>
      </c>
      <c r="C13" s="19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>
      <c r="A14" s="18">
        <v>13.0</v>
      </c>
      <c r="B14" s="20" t="s">
        <v>88</v>
      </c>
      <c r="C14" s="19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1">
        <f>0.069805</f>
        <v>0.069805</v>
      </c>
      <c r="X14" s="21">
        <f>0.165257</f>
        <v>0.165257</v>
      </c>
    </row>
    <row r="15">
      <c r="A15" s="18">
        <v>101.0</v>
      </c>
      <c r="B15" s="20" t="s">
        <v>89</v>
      </c>
      <c r="C15" s="19"/>
      <c r="D15" s="21">
        <f>0.05618962108+0.104384663</f>
        <v>0.1605742841</v>
      </c>
      <c r="E15" s="21">
        <f>0.1082010029+0.1537510971+0.09831673656</f>
        <v>0.3602688366</v>
      </c>
      <c r="F15" s="21">
        <f>0.1233410987</f>
        <v>0.1233410987</v>
      </c>
      <c r="G15" s="21">
        <f>0.1725220872/2+0.07906576412</f>
        <v>0.1653268077</v>
      </c>
      <c r="H15" s="21">
        <f>0.1366890294+0.09696972376/2</f>
        <v>0.1851738913</v>
      </c>
      <c r="I15" s="21">
        <f>0.0608677039/2+0.07758213864/2+0.118832998</f>
        <v>0.1880579193</v>
      </c>
      <c r="J15" s="21">
        <f>0.113178537/2</f>
        <v>0.0565892685</v>
      </c>
      <c r="K15" s="21">
        <f>0.0822497128/2</f>
        <v>0.0411248564</v>
      </c>
      <c r="L15" s="21">
        <f>0.1421827433/2</f>
        <v>0.07109137165</v>
      </c>
      <c r="M15" s="21">
        <f>0.13057707+0.1172187904</f>
        <v>0.2477958604</v>
      </c>
      <c r="N15" s="21">
        <f>0.08788806569+0.05201006434</f>
        <v>0.13989813</v>
      </c>
      <c r="O15" s="21">
        <f>0.02476360273+0.2430210257+0.1013472718</f>
        <v>0.3691319002</v>
      </c>
      <c r="P15" s="21">
        <f>0.1011729616+0.05045665654</f>
        <v>0.1516296181</v>
      </c>
      <c r="Q15" s="21">
        <f>0.166063293+0.04681865005</f>
        <v>0.2128819431</v>
      </c>
      <c r="R15" s="21">
        <f>0.06637549516+0.1468460233</f>
        <v>0.2132215185</v>
      </c>
      <c r="S15" s="21">
        <f>0.08704384476+0.05776645868</f>
        <v>0.1448103034</v>
      </c>
      <c r="T15" s="21">
        <f>0.09643085789</f>
        <v>0.09643085789</v>
      </c>
      <c r="U15" s="21">
        <f>0.07996932608+0.09095102436/2</f>
        <v>0.1254448383</v>
      </c>
      <c r="V15" s="21">
        <f>0.07910437575/2</f>
        <v>0.03955218788</v>
      </c>
      <c r="W15" s="23"/>
      <c r="X15" s="21">
        <f>0.056655/2</f>
        <v>0.0283275</v>
      </c>
    </row>
    <row r="16">
      <c r="A16" s="18">
        <v>102.0</v>
      </c>
      <c r="B16" s="20" t="s">
        <v>91</v>
      </c>
      <c r="C16" s="19"/>
      <c r="D16" s="21">
        <f>0.06352389648</f>
        <v>0.06352389648</v>
      </c>
      <c r="E16" s="21">
        <f>0.05488379282+0.09144975385</f>
        <v>0.1463335467</v>
      </c>
      <c r="F16" s="21">
        <f>0.1129069072</f>
        <v>0.1129069072</v>
      </c>
      <c r="G16" s="21">
        <f>0.08992522438/2+0.03963557718+0.10261484/2</f>
        <v>0.1359056094</v>
      </c>
      <c r="H16" s="21">
        <f>0.04860874469+0.063754076</f>
        <v>0.1123628207</v>
      </c>
      <c r="I16" s="21">
        <f>0.09213966556/2</f>
        <v>0.04606983278</v>
      </c>
      <c r="J16" s="21">
        <f>0.07349875269+0.2202011471</f>
        <v>0.2936998998</v>
      </c>
      <c r="K16" s="23"/>
      <c r="L16" s="23"/>
      <c r="M16" s="23"/>
      <c r="N16" s="23"/>
      <c r="O16" s="23"/>
      <c r="P16" s="21">
        <f>0.1429742182/2</f>
        <v>0.0714871091</v>
      </c>
      <c r="Q16" s="23"/>
      <c r="R16" s="23"/>
      <c r="S16" s="23"/>
      <c r="T16" s="23"/>
      <c r="U16" s="23"/>
      <c r="V16" s="21">
        <f>0.1713073043/2+0.05486668752/2</f>
        <v>0.1130869959</v>
      </c>
      <c r="W16" s="21">
        <f>0.050743/2</f>
        <v>0.0253715</v>
      </c>
      <c r="X16" s="23"/>
    </row>
    <row r="17">
      <c r="A17" s="18">
        <v>103.0</v>
      </c>
      <c r="B17" s="20" t="s">
        <v>93</v>
      </c>
      <c r="C17" s="34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3"/>
      <c r="Q17" s="23"/>
      <c r="R17" s="21"/>
      <c r="S17" s="23"/>
      <c r="T17" s="23"/>
      <c r="U17" s="23"/>
      <c r="V17" s="23"/>
      <c r="W17" s="23"/>
      <c r="X17" s="23"/>
    </row>
    <row r="18">
      <c r="A18" s="18">
        <v>104.0</v>
      </c>
      <c r="B18" s="20" t="s">
        <v>95</v>
      </c>
      <c r="C18" s="19"/>
      <c r="D18" s="21"/>
      <c r="E18" s="21"/>
      <c r="F18" s="21"/>
      <c r="G18" s="23"/>
      <c r="H18" s="23"/>
      <c r="I18" s="21"/>
      <c r="J18" s="21"/>
      <c r="K18" s="23"/>
      <c r="L18" s="21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>
      <c r="A19" s="18">
        <v>105.0</v>
      </c>
      <c r="B19" s="20" t="s">
        <v>96</v>
      </c>
      <c r="C19" s="19"/>
      <c r="D19" s="21">
        <f>0.1164026626+0.166058176+0.04918444287+0.1619146126</f>
        <v>0.4935598941</v>
      </c>
      <c r="E19" s="21"/>
      <c r="F19" s="21">
        <f>0.07661275469+0.1043879855/2+0.191011236+0.06533451797/2+0.06726134317/2</f>
        <v>0.386115914</v>
      </c>
      <c r="G19" s="21">
        <f>0.07892673388/2+0.09849001157+0.09963345904+0.1725220872/2</f>
        <v>0.3238478812</v>
      </c>
      <c r="H19" s="21">
        <f>0.08000210256+0.1650610347+0.09696972376/2</f>
        <v>0.2935479991</v>
      </c>
      <c r="I19" s="23"/>
      <c r="J19" s="23"/>
      <c r="K19" s="23"/>
      <c r="L19" s="23"/>
      <c r="M19" s="23"/>
      <c r="N19" s="23"/>
      <c r="O19" s="23"/>
      <c r="P19" s="21"/>
      <c r="Q19" s="23"/>
      <c r="R19" s="23"/>
      <c r="S19" s="23"/>
      <c r="T19" s="23"/>
      <c r="U19" s="23"/>
      <c r="V19" s="23"/>
      <c r="W19" s="23"/>
      <c r="X19" s="23"/>
    </row>
    <row r="20">
      <c r="A20" s="18">
        <v>106.0</v>
      </c>
      <c r="B20" s="20" t="s">
        <v>98</v>
      </c>
      <c r="C20" s="19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3"/>
      <c r="T20" s="23"/>
      <c r="U20" s="23"/>
      <c r="V20" s="23"/>
      <c r="W20" s="23"/>
      <c r="X20" s="23"/>
    </row>
    <row r="21">
      <c r="A21" s="18">
        <v>107.0</v>
      </c>
      <c r="B21" s="20" t="s">
        <v>100</v>
      </c>
      <c r="C21" s="19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1">
        <f>0.09095102436/2</f>
        <v>0.04547551218</v>
      </c>
      <c r="V21" s="21">
        <f>0.07910437575/2</f>
        <v>0.03955218788</v>
      </c>
      <c r="W21" s="23"/>
      <c r="X21" s="23"/>
    </row>
    <row r="22">
      <c r="A22" s="18">
        <v>108.0</v>
      </c>
      <c r="B22" s="20" t="s">
        <v>102</v>
      </c>
      <c r="C22" s="1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>
      <c r="A23" s="18">
        <v>99.0</v>
      </c>
      <c r="B23" s="19" t="s">
        <v>103</v>
      </c>
      <c r="C23" s="1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1">
        <f>0.1775383023</f>
        <v>0.1775383023</v>
      </c>
      <c r="W23" s="23"/>
      <c r="X23" s="23"/>
    </row>
    <row r="24">
      <c r="A24" s="29" t="s">
        <v>104</v>
      </c>
      <c r="B24" s="28"/>
      <c r="C24" s="28"/>
      <c r="D24" s="30">
        <f t="shared" ref="D24:X24" si="1">SUM(D2:D23)</f>
        <v>1</v>
      </c>
      <c r="E24" s="30">
        <f t="shared" si="1"/>
        <v>1</v>
      </c>
      <c r="F24" s="30">
        <f t="shared" si="1"/>
        <v>1</v>
      </c>
      <c r="G24" s="30">
        <f t="shared" si="1"/>
        <v>1</v>
      </c>
      <c r="H24" s="30">
        <f t="shared" si="1"/>
        <v>1</v>
      </c>
      <c r="I24" s="30">
        <f t="shared" si="1"/>
        <v>1</v>
      </c>
      <c r="J24" s="30">
        <f t="shared" si="1"/>
        <v>1</v>
      </c>
      <c r="K24" s="30">
        <f t="shared" si="1"/>
        <v>0.9999999999</v>
      </c>
      <c r="L24" s="30">
        <f t="shared" si="1"/>
        <v>1</v>
      </c>
      <c r="M24" s="30">
        <f t="shared" si="1"/>
        <v>1</v>
      </c>
      <c r="N24" s="30">
        <f t="shared" si="1"/>
        <v>1</v>
      </c>
      <c r="O24" s="30">
        <f t="shared" si="1"/>
        <v>1</v>
      </c>
      <c r="P24" s="30">
        <f t="shared" si="1"/>
        <v>1</v>
      </c>
      <c r="Q24" s="30">
        <f t="shared" si="1"/>
        <v>1</v>
      </c>
      <c r="R24" s="30">
        <f t="shared" si="1"/>
        <v>1</v>
      </c>
      <c r="S24" s="30">
        <f t="shared" si="1"/>
        <v>0.9999999999</v>
      </c>
      <c r="T24" s="30">
        <f t="shared" si="1"/>
        <v>1</v>
      </c>
      <c r="U24" s="30">
        <f t="shared" si="1"/>
        <v>1</v>
      </c>
      <c r="V24" s="30">
        <f t="shared" si="1"/>
        <v>1</v>
      </c>
      <c r="W24" s="30">
        <f t="shared" si="1"/>
        <v>1</v>
      </c>
      <c r="X24" s="30">
        <f t="shared" si="1"/>
        <v>0.999999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6.67"/>
  </cols>
  <sheetData>
    <row r="1">
      <c r="A1" s="17" t="s">
        <v>43</v>
      </c>
      <c r="B1" s="17" t="s">
        <v>44</v>
      </c>
      <c r="C1" s="33" t="s">
        <v>129</v>
      </c>
      <c r="D1" s="33" t="s">
        <v>130</v>
      </c>
      <c r="E1" s="33" t="s">
        <v>131</v>
      </c>
      <c r="F1" s="33" t="s">
        <v>132</v>
      </c>
      <c r="G1" s="33" t="s">
        <v>133</v>
      </c>
      <c r="H1" s="33" t="s">
        <v>134</v>
      </c>
      <c r="I1" s="33" t="s">
        <v>135</v>
      </c>
      <c r="J1" s="33" t="s">
        <v>136</v>
      </c>
      <c r="K1" s="33" t="s">
        <v>137</v>
      </c>
      <c r="L1" s="33" t="s">
        <v>138</v>
      </c>
      <c r="M1" s="33" t="s">
        <v>139</v>
      </c>
      <c r="N1" s="33" t="s">
        <v>46</v>
      </c>
      <c r="O1" s="17" t="s">
        <v>47</v>
      </c>
      <c r="P1" s="17" t="s">
        <v>48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57</v>
      </c>
      <c r="Z1" s="17" t="s">
        <v>58</v>
      </c>
      <c r="AA1" s="17" t="s">
        <v>59</v>
      </c>
      <c r="AB1" s="17" t="s">
        <v>60</v>
      </c>
      <c r="AC1" s="17" t="s">
        <v>61</v>
      </c>
      <c r="AD1" s="17" t="s">
        <v>62</v>
      </c>
    </row>
    <row r="2">
      <c r="A2" s="18">
        <v>1.0</v>
      </c>
      <c r="B2" s="19" t="s">
        <v>64</v>
      </c>
      <c r="C2" s="23"/>
      <c r="D2" s="23"/>
      <c r="E2" s="23"/>
      <c r="F2" s="21">
        <f>0.08186535616</f>
        <v>0.08186535616</v>
      </c>
      <c r="G2" s="23"/>
      <c r="H2" s="23"/>
      <c r="I2" s="23">
        <f>0.1449931069</f>
        <v>0.1449931069</v>
      </c>
      <c r="J2" s="23">
        <f>0.1528288636</f>
        <v>0.1528288636</v>
      </c>
      <c r="K2" s="23">
        <f>0.1301477298</f>
        <v>0.1301477298</v>
      </c>
      <c r="L2" s="23">
        <f>0.118069397</f>
        <v>0.118069397</v>
      </c>
      <c r="M2" s="23">
        <f>0.1178022386/2</f>
        <v>0.0589011193</v>
      </c>
      <c r="N2" s="23">
        <f>0.1061905309</f>
        <v>0.1061905309</v>
      </c>
      <c r="O2" s="23">
        <f>0.1010996297</f>
        <v>0.1010996297</v>
      </c>
      <c r="P2" s="23">
        <f>0.09187881559</f>
        <v>0.09187881559</v>
      </c>
      <c r="Q2" s="23">
        <f>0.089861</f>
        <v>0.089861</v>
      </c>
      <c r="R2" s="21">
        <f>0.09117226615</f>
        <v>0.09117226615</v>
      </c>
      <c r="S2" s="21">
        <f>0.10003207</f>
        <v>0.10003207</v>
      </c>
      <c r="T2" s="21">
        <f>0.1005015636</f>
        <v>0.1005015636</v>
      </c>
      <c r="U2" s="21">
        <f>0.09554426109+0.1059981006/2+0.0847466159/2</f>
        <v>0.1909166193</v>
      </c>
      <c r="V2" s="21">
        <f>0.08189554135</f>
        <v>0.08189554135</v>
      </c>
      <c r="W2" s="21">
        <f>0.06713890004/3+0.07387908016</f>
        <v>0.09625871351</v>
      </c>
      <c r="X2" s="21">
        <f>0.08978775078</f>
        <v>0.08978775078</v>
      </c>
      <c r="Y2" s="21">
        <f>0.07797135184</f>
        <v>0.07797135184</v>
      </c>
      <c r="Z2" s="21">
        <f>0.1058496033</f>
        <v>0.1058496033</v>
      </c>
      <c r="AA2" s="21">
        <f>0.030716/2+0.09813+0.053431/2</f>
        <v>0.1402035</v>
      </c>
      <c r="AB2" s="21">
        <f>0.093945</f>
        <v>0.093945</v>
      </c>
      <c r="AC2" s="21">
        <f>0.058247+0.03068/2+0.114849</f>
        <v>0.188436</v>
      </c>
      <c r="AD2" s="21">
        <f>0.111968</f>
        <v>0.111968</v>
      </c>
    </row>
    <row r="3">
      <c r="A3" s="18">
        <v>2.0</v>
      </c>
      <c r="B3" s="19" t="s">
        <v>66</v>
      </c>
      <c r="C3" s="23"/>
      <c r="D3" s="21">
        <f>0.06392279309/2+0.1282209062/2</f>
        <v>0.09607184965</v>
      </c>
      <c r="E3" s="23"/>
      <c r="F3" s="23"/>
      <c r="G3" s="21">
        <f>0.1302950367/2</f>
        <v>0.06514751835</v>
      </c>
      <c r="H3" s="23"/>
      <c r="I3" s="21">
        <f>0.0511549674/2+0.04757579124/2</f>
        <v>0.04936537932</v>
      </c>
      <c r="J3" s="23"/>
      <c r="K3" s="23"/>
      <c r="L3" s="23">
        <f>0.068900461/2</f>
        <v>0.0344502305</v>
      </c>
      <c r="M3" s="23">
        <f>0.09757341772/2</f>
        <v>0.04878670886</v>
      </c>
      <c r="N3" s="23">
        <f>0.09417515498</f>
        <v>0.09417515498</v>
      </c>
      <c r="O3" s="23">
        <f>0.08569124196/2</f>
        <v>0.04284562098</v>
      </c>
      <c r="P3" s="23">
        <f>0.09081060512/2+0.08839764789/2</f>
        <v>0.08960412651</v>
      </c>
      <c r="Q3" s="21">
        <f>0.106362/2</f>
        <v>0.053181</v>
      </c>
      <c r="R3" s="21">
        <f>0.1029910624</f>
        <v>0.1029910624</v>
      </c>
      <c r="S3" s="21">
        <f>0.09757643072/2+0.06267449192</f>
        <v>0.1114627073</v>
      </c>
      <c r="T3" s="21">
        <f>0.09507335079/2</f>
        <v>0.0475366754</v>
      </c>
      <c r="U3" s="21">
        <f>0.07361714491/2+0.1596152495/2</f>
        <v>0.1166161972</v>
      </c>
      <c r="V3" s="21">
        <f>0.06684327931/2+0.08539598496/2+0.05716999875/2</f>
        <v>0.1047046315</v>
      </c>
      <c r="W3" s="21">
        <f>0.06713890004/3+0.1254692331/2</f>
        <v>0.0851142499</v>
      </c>
      <c r="X3" s="21">
        <f>0.1365598702/2+0.051756309/2</f>
        <v>0.0941580896</v>
      </c>
      <c r="Y3" s="21">
        <f>0.106528402642326/2</f>
        <v>0.05326420132</v>
      </c>
      <c r="Z3" s="21">
        <f>0.09966852355/2</f>
        <v>0.04983426178</v>
      </c>
      <c r="AA3" s="21">
        <f>0.080518/2</f>
        <v>0.040259</v>
      </c>
      <c r="AB3" s="21">
        <f>0.085819/2</f>
        <v>0.0429095</v>
      </c>
      <c r="AC3" s="23"/>
      <c r="AD3" s="21">
        <f>0.062558</f>
        <v>0.062558</v>
      </c>
    </row>
    <row r="4">
      <c r="A4" s="18">
        <v>3.0</v>
      </c>
      <c r="B4" s="19" t="s">
        <v>68</v>
      </c>
      <c r="C4" s="21">
        <f>0.05889706294/2+0.04553216731/2+0.09897500046</f>
        <v>0.1511896156</v>
      </c>
      <c r="D4" s="21">
        <f>0.03154144764</f>
        <v>0.03154144764</v>
      </c>
      <c r="E4" s="23"/>
      <c r="F4" s="21">
        <f>0.02474032887</f>
        <v>0.02474032887</v>
      </c>
      <c r="G4" s="21">
        <f>0.0441764022/2</f>
        <v>0.0220882011</v>
      </c>
      <c r="H4" s="21">
        <f>0.0233376529</f>
        <v>0.0233376529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1">
        <f>0.133817</f>
        <v>0.133817</v>
      </c>
      <c r="AD4" s="21">
        <f>0.098447/2</f>
        <v>0.0492235</v>
      </c>
    </row>
    <row r="5">
      <c r="A5" s="18">
        <v>4.0</v>
      </c>
      <c r="B5" s="19" t="s">
        <v>70</v>
      </c>
      <c r="C5" s="21">
        <f>0.1063332682/2</f>
        <v>0.0531666341</v>
      </c>
      <c r="D5" s="21">
        <f>0.06392279309/2+0.1282209062/2</f>
        <v>0.09607184965</v>
      </c>
      <c r="E5" s="21">
        <f>0.08905093187/2+0.07623312697/2+0.08586645965/2</f>
        <v>0.1255752592</v>
      </c>
      <c r="F5" s="23">
        <f t="shared" ref="F5:F6" si="1">0.1099742573/3</f>
        <v>0.03665808577</v>
      </c>
      <c r="G5" s="23">
        <f>0.08126029792/2+0.08186210295/3</f>
        <v>0.06791751661</v>
      </c>
      <c r="H5" s="23">
        <f>0.09556775062</f>
        <v>0.09556775062</v>
      </c>
      <c r="I5" s="21">
        <f>0.1279759344/2+0.0511549674/2+0.04757579124/2</f>
        <v>0.1133533465</v>
      </c>
      <c r="J5" s="23">
        <f>0.09608562054/2+0.0533250086/2+0.06112872983/2</f>
        <v>0.1052696795</v>
      </c>
      <c r="K5" s="23">
        <f>0.09890628685/2+0.03075425632/2+0.0550779812/2+0.1248757214/2+0.0643369018/2+0.1393131102/2</f>
        <v>0.2566321289</v>
      </c>
      <c r="L5" s="23">
        <f>0.08565438143/2+0.0746849474+0.1243326397/2+0.08009755819/2+0.07302562249/2+0.09976513949+0.07757735837</f>
        <v>0.4335825462</v>
      </c>
      <c r="M5" s="23">
        <f>0.1178022386/2+0.07988959287/2+0.04237702992/2+0.09757341772/2+0.04073601883+0.1013323056/2+0.1055095074/2+0.1336718649+0.09244884817/2</f>
        <v>0.4928743539</v>
      </c>
      <c r="N5" s="23">
        <f>0.08815515496/2+0.05534924092/2+0.05879218906/2+0.08817469008/2+0.06640156188/2+0.1182734432/2+0.1379632817/3</f>
        <v>0.2835609006</v>
      </c>
      <c r="O5" s="23">
        <f>0.04366528756/2+0.08569124196/2+0.1134294892/2+0.07206875059/2+0.1278214128/2+0.1100667949/2</f>
        <v>0.2763714885</v>
      </c>
      <c r="P5" s="23">
        <f>0.09081060512/2+0.07043951608/2+0.1473132313+0.08839764789/2+0.07891362044/2+0.07207663067</f>
        <v>0.3836705567</v>
      </c>
      <c r="Q5" s="23">
        <f>0.138368/2+0.106362/2+0.080275/2+0.088992/2+0.065518/3+0.11268/2+0.065583/2</f>
        <v>0.3179693333</v>
      </c>
      <c r="R5" s="21">
        <f>0.05587657915/2+0.1109742888/2+0.113426163+0.08722086795+0.03252006439/2</f>
        <v>0.3003324971</v>
      </c>
      <c r="S5" s="21">
        <f>0.09757643072/2+0.06928134886/2+0.03251858954/2+0.1107451654/2+0.153766576/2</f>
        <v>0.2319440553</v>
      </c>
      <c r="T5" s="21">
        <f>0.1236972398/2+0.07269340911+0.04467662707/2+0.109284069/2+0.07299056869+0.09507335079/2</f>
        <v>0.3320496211</v>
      </c>
      <c r="U5" s="21">
        <f>0.05392180792/2+0.07361714491/2+0.1596152495/2+0.1377528686/2+0.1059981006/2+0.0847466159/2</f>
        <v>0.3078258937</v>
      </c>
      <c r="V5" s="21">
        <f>0.1304059838/2+0.2237573305/2+0.07464591853+0.06684327931/2+0.1150720699/2+0.08539598496/2+0.05716999875/2</f>
        <v>0.4139682421</v>
      </c>
      <c r="W5" s="21">
        <f>0.1335981936+0.06713890004/3+0.0343606778/2+0.1212696779/2+0.1254692331/2+0.09355176557+0.04145217137/3</f>
        <v>0.4038967774</v>
      </c>
      <c r="X5" s="21">
        <f>0.09120044548/2+0.06747921646/2+0.1365598702/2+0.051756309/2+0.1194012252/2+0.06880024723/2+0.05113272503/2</f>
        <v>0.2931650193</v>
      </c>
      <c r="Y5" s="21">
        <f>0.1308336072/2+0.1031102095/2+0.09115026595/2+0.0767570738/2+0.106528402642326/2+0.08546621407/3</f>
        <v>0.2826785176</v>
      </c>
      <c r="Z5" s="21">
        <f>0.06072554751/2+0.09966852355/2+0.06736012868+0.1212344857/2+0.05197583289/2+0.1025433452/2</f>
        <v>0.2854339961</v>
      </c>
      <c r="AA5" s="21">
        <f>0.030716/2+0.080518/2+0.137706</f>
        <v>0.193323</v>
      </c>
      <c r="AB5" s="21">
        <f>0.085819/2+0.125786+0.060495/2+0.121014/2+0.071556/2</f>
        <v>0.295228</v>
      </c>
      <c r="AC5" s="21">
        <f>0.213192/2+0.188129/2</f>
        <v>0.2006605</v>
      </c>
      <c r="AD5" s="21">
        <f>0.071179+0.149/2+0.099265/2</f>
        <v>0.1953115</v>
      </c>
    </row>
    <row r="6">
      <c r="A6" s="18">
        <v>5.0</v>
      </c>
      <c r="B6" s="19" t="s">
        <v>72</v>
      </c>
      <c r="C6" s="23"/>
      <c r="D6" s="23"/>
      <c r="E6" s="21">
        <f>0.08905093187/2</f>
        <v>0.04452546594</v>
      </c>
      <c r="F6" s="21">
        <f t="shared" si="1"/>
        <v>0.03665808577</v>
      </c>
      <c r="G6" s="21">
        <f>0.08186210295/3</f>
        <v>0.02728736765</v>
      </c>
      <c r="H6" s="23"/>
      <c r="I6" s="23"/>
      <c r="J6" s="21">
        <f>0.09608562054/2</f>
        <v>0.04804281027</v>
      </c>
      <c r="K6" s="23">
        <f>0.09490338065/2+0.1248757214/2+0.0643369018/2</f>
        <v>0.1420580019</v>
      </c>
      <c r="L6" s="23">
        <f>0.1243326397/2</f>
        <v>0.06216631985</v>
      </c>
      <c r="M6" s="23">
        <f>0.1013323056/2</f>
        <v>0.0506661528</v>
      </c>
      <c r="N6" s="23">
        <f>0.08817469008/2+0.1379632817/3</f>
        <v>0.09007510561</v>
      </c>
      <c r="O6" s="23">
        <f>0.1278214128/2</f>
        <v>0.0639107064</v>
      </c>
      <c r="P6" s="23"/>
      <c r="Q6" s="23">
        <f>0.11268/2</f>
        <v>0.05634</v>
      </c>
      <c r="R6" s="23"/>
      <c r="S6" s="21">
        <f>0.1107451654/2</f>
        <v>0.0553725827</v>
      </c>
      <c r="T6" s="21">
        <f>0.109284069/2</f>
        <v>0.0546420345</v>
      </c>
      <c r="U6" s="21">
        <f>0.05392180792/2</f>
        <v>0.02696090396</v>
      </c>
      <c r="V6" s="21">
        <f>0.1304059838/2+0.05536582709</f>
        <v>0.120568819</v>
      </c>
      <c r="W6" s="21">
        <f>0.1212696779/2+0.04145217137/3</f>
        <v>0.07445222941</v>
      </c>
      <c r="X6" s="21">
        <f>0.06880024723/2</f>
        <v>0.03440012362</v>
      </c>
      <c r="Y6" s="21">
        <f>0.1308336072/2</f>
        <v>0.0654168036</v>
      </c>
      <c r="Z6" s="21">
        <f>0.1212344857/2</f>
        <v>0.06061724285</v>
      </c>
      <c r="AA6" s="21">
        <f>0.058062/2</f>
        <v>0.029031</v>
      </c>
      <c r="AB6" s="21">
        <f>0.121014/2</f>
        <v>0.060507</v>
      </c>
      <c r="AC6" s="21">
        <f>0.188129/2</f>
        <v>0.0940645</v>
      </c>
      <c r="AD6" s="21">
        <f>0.149/2</f>
        <v>0.0745</v>
      </c>
    </row>
    <row r="7">
      <c r="A7" s="18">
        <v>6.0</v>
      </c>
      <c r="B7" s="19" t="s">
        <v>74</v>
      </c>
      <c r="C7" s="21">
        <f>0.08431029312/2</f>
        <v>0.04215514656</v>
      </c>
      <c r="D7" s="23"/>
      <c r="E7" s="23"/>
      <c r="F7" s="23"/>
      <c r="G7" s="23"/>
      <c r="H7" s="23"/>
      <c r="I7" s="23"/>
      <c r="J7" s="23"/>
      <c r="K7" s="23">
        <f>0.09890628685/2+0.09490338065/2</f>
        <v>0.09690483375</v>
      </c>
      <c r="L7" s="23">
        <f>0.08009755819/2+0.07302562249/2</f>
        <v>0.07656159034</v>
      </c>
      <c r="M7" s="23">
        <f>0.07988959287/2+0.04237702992/2</f>
        <v>0.0611333114</v>
      </c>
      <c r="N7" s="23">
        <f>0.05879218906/2+0.06640156188/2+0.1182734432/2+0.1379632817/3</f>
        <v>0.1677213576</v>
      </c>
      <c r="O7" s="23">
        <f>0.04366528756/2+0.1134294892/2+0.1100667949/2</f>
        <v>0.1335807858</v>
      </c>
      <c r="P7" s="23">
        <f>0.07891362044/2</f>
        <v>0.03945681022</v>
      </c>
      <c r="Q7" s="23">
        <f>0.088992/2+0.065518/3</f>
        <v>0.06633533333</v>
      </c>
      <c r="R7" s="21">
        <f>0.1109742888/2</f>
        <v>0.0554871444</v>
      </c>
      <c r="S7" s="21">
        <f>0.153766576/2</f>
        <v>0.076883288</v>
      </c>
      <c r="T7" s="21">
        <f>0.1236972398/2</f>
        <v>0.0618486199</v>
      </c>
      <c r="U7" s="21">
        <f>0.1377528686/2</f>
        <v>0.0688764343</v>
      </c>
      <c r="V7" s="23"/>
      <c r="W7" s="23"/>
      <c r="X7" s="21">
        <f>0.09120044548/2</f>
        <v>0.04560022274</v>
      </c>
      <c r="Y7" s="21">
        <f>0.08546621407/3</f>
        <v>0.02848873802</v>
      </c>
      <c r="Z7" s="23"/>
      <c r="AA7" s="23"/>
      <c r="AB7" s="23"/>
      <c r="AC7" s="21">
        <f>0.213192/2</f>
        <v>0.106596</v>
      </c>
      <c r="AD7" s="21">
        <f>0.098447/2</f>
        <v>0.0492235</v>
      </c>
    </row>
    <row r="8">
      <c r="A8" s="18">
        <v>7.0</v>
      </c>
      <c r="B8" s="19" t="s">
        <v>76</v>
      </c>
      <c r="C8" s="23"/>
      <c r="D8" s="23"/>
      <c r="E8" s="21">
        <f>0.07623312697/2</f>
        <v>0.03811656349</v>
      </c>
      <c r="F8" s="21">
        <f>0.1099742573/3</f>
        <v>0.03665808577</v>
      </c>
      <c r="G8" s="21">
        <f>0.08186210295/3</f>
        <v>0.02728736765</v>
      </c>
      <c r="H8" s="23"/>
      <c r="I8" s="23"/>
      <c r="J8" s="23">
        <f>0.06112872983/2</f>
        <v>0.03056436492</v>
      </c>
      <c r="K8" s="21">
        <f>0.03075425632/2+0.0550779812/2</f>
        <v>0.04291611876</v>
      </c>
      <c r="L8" s="21">
        <f>0.068900461/2</f>
        <v>0.0344502305</v>
      </c>
      <c r="M8" s="21">
        <f>0.1055095074/2</f>
        <v>0.0527547537</v>
      </c>
      <c r="N8" s="21">
        <f>0.05534924092/2</f>
        <v>0.02767462046</v>
      </c>
      <c r="O8" s="21">
        <f>0.07206875059/2</f>
        <v>0.0360343753</v>
      </c>
      <c r="P8" s="21">
        <f>0.07043951608/2</f>
        <v>0.03521975804</v>
      </c>
      <c r="Q8" s="23">
        <f>0.080275/2+0.065583/2</f>
        <v>0.072929</v>
      </c>
      <c r="R8" s="21">
        <f>0.05587657915/2</f>
        <v>0.02793828958</v>
      </c>
      <c r="S8" s="21">
        <f>0.06928134886/2</f>
        <v>0.03464067443</v>
      </c>
      <c r="T8" s="21">
        <f>0.04467662707/2</f>
        <v>0.02233831354</v>
      </c>
      <c r="U8" s="23"/>
      <c r="V8" s="21">
        <f>0.1150720699/2</f>
        <v>0.05753603495</v>
      </c>
      <c r="W8" s="21">
        <f>0.0343606778/2+0.04145217137/3</f>
        <v>0.03099772936</v>
      </c>
      <c r="X8" s="21">
        <f>0.06747921646/2+0.1194012252/2</f>
        <v>0.09344022083</v>
      </c>
      <c r="Y8" s="21">
        <f>0.1031102095/2+0.09115026595/2</f>
        <v>0.09713023773</v>
      </c>
      <c r="Z8" s="21">
        <f>0.06072554751/2+0.05197583289/2</f>
        <v>0.0563506902</v>
      </c>
      <c r="AA8" s="21">
        <f>0.058062/2</f>
        <v>0.029031</v>
      </c>
      <c r="AB8" s="21">
        <f>0.060495/2+0.071556/2</f>
        <v>0.0660255</v>
      </c>
      <c r="AC8" s="21">
        <f>0.04277</f>
        <v>0.04277</v>
      </c>
      <c r="AD8" s="21">
        <f>0.099265/2</f>
        <v>0.0496325</v>
      </c>
    </row>
    <row r="9">
      <c r="A9" s="18">
        <v>8.0</v>
      </c>
      <c r="B9" s="19" t="s">
        <v>78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>
      <c r="A10" s="18">
        <v>9.0</v>
      </c>
      <c r="B10" s="19" t="s">
        <v>80</v>
      </c>
      <c r="C10" s="23"/>
      <c r="D10" s="23"/>
      <c r="E10" s="23"/>
      <c r="F10" s="23"/>
      <c r="G10" s="23"/>
      <c r="H10" s="23"/>
      <c r="I10" s="23"/>
      <c r="J10" s="21">
        <f>0.0533250086/2+0.1160483819</f>
        <v>0.1427108862</v>
      </c>
      <c r="K10" s="21">
        <f>0.1091389344</f>
        <v>0.1091389344</v>
      </c>
      <c r="L10" s="21">
        <f>0.08565438143/2</f>
        <v>0.04282719072</v>
      </c>
      <c r="M10" s="21">
        <f>0.09244884817/2</f>
        <v>0.04622442409</v>
      </c>
      <c r="N10" s="21">
        <f>0.08815515496/2</f>
        <v>0.04407757748</v>
      </c>
      <c r="O10" s="21">
        <f>0.1142583662</f>
        <v>0.1142583662</v>
      </c>
      <c r="P10" s="21">
        <f>0.1030542488</f>
        <v>0.1030542488</v>
      </c>
      <c r="Q10" s="21">
        <f>0.100274</f>
        <v>0.100274</v>
      </c>
      <c r="R10" s="21">
        <f>0.10997979</f>
        <v>0.10997979</v>
      </c>
      <c r="S10" s="21">
        <f>0.116483914</f>
        <v>0.116483914</v>
      </c>
      <c r="T10" s="21">
        <f>0.1135783423</f>
        <v>0.1135783423</v>
      </c>
      <c r="U10" s="21">
        <f>0.04837102991+0.09377823521</f>
        <v>0.1421492651</v>
      </c>
      <c r="V10" s="21">
        <f>0.1094480658</f>
        <v>0.1094480658</v>
      </c>
      <c r="W10" s="21">
        <f>0.1261063964</f>
        <v>0.1261063964</v>
      </c>
      <c r="X10" s="21">
        <f>0.1327834343</f>
        <v>0.1327834343</v>
      </c>
      <c r="Y10" s="21">
        <f>0.06253820089+0.07768465689</f>
        <v>0.1402228578</v>
      </c>
      <c r="Z10" s="21">
        <f>0.04921241489+0.08486343437</f>
        <v>0.1340758493</v>
      </c>
      <c r="AA10" s="21">
        <f>0.053431/2+0.117701</f>
        <v>0.1444165</v>
      </c>
      <c r="AB10" s="21">
        <f>0.124821</f>
        <v>0.124821</v>
      </c>
      <c r="AC10" s="21">
        <f>0.0998+0.060948</f>
        <v>0.160748</v>
      </c>
      <c r="AD10" s="21">
        <f>0.128514</f>
        <v>0.128514</v>
      </c>
    </row>
    <row r="11">
      <c r="A11" s="18">
        <v>10.0</v>
      </c>
      <c r="B11" s="19" t="s">
        <v>82</v>
      </c>
      <c r="C11" s="21">
        <f>0.1063332682/2</f>
        <v>0.0531666341</v>
      </c>
      <c r="D11" s="23"/>
      <c r="E11" s="23"/>
      <c r="F11" s="23">
        <f>0.06123128859/2</f>
        <v>0.0306156443</v>
      </c>
      <c r="G11" s="23"/>
      <c r="H11" s="23">
        <f>0.07507289032/2</f>
        <v>0.03753644516</v>
      </c>
      <c r="I11" s="23">
        <f>0.1279759344/2</f>
        <v>0.0639879672</v>
      </c>
      <c r="J11" s="23">
        <f>0.06410757424</f>
        <v>0.06410757424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1">
        <f>0.05113272503/2</f>
        <v>0.02556636252</v>
      </c>
      <c r="Y11" s="21">
        <f>0.0767570738/2</f>
        <v>0.0383785369</v>
      </c>
      <c r="Z11" s="21">
        <f>0.1025433452/2</f>
        <v>0.0512716726</v>
      </c>
      <c r="AA11" s="21">
        <f>0.147956</f>
        <v>0.147956</v>
      </c>
      <c r="AB11" s="23"/>
      <c r="AC11" s="23"/>
      <c r="AD11" s="21">
        <f>0.039542</f>
        <v>0.039542</v>
      </c>
    </row>
    <row r="12">
      <c r="A12" s="18">
        <v>11.0</v>
      </c>
      <c r="B12" s="19" t="s">
        <v>84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>
      <c r="A13" s="18">
        <v>12.0</v>
      </c>
      <c r="B13" s="19" t="s">
        <v>86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>
      <c r="A14" s="18">
        <v>13.0</v>
      </c>
      <c r="B14" s="19" t="s">
        <v>88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>
      <c r="A15" s="18">
        <v>101.0</v>
      </c>
      <c r="B15" s="19" t="s">
        <v>89</v>
      </c>
      <c r="C15" s="21">
        <f>0.06813865033+0.2098085546/2+0.1545118944</f>
        <v>0.327554822</v>
      </c>
      <c r="D15" s="21">
        <f>0.170721848/2</f>
        <v>0.085360924</v>
      </c>
      <c r="E15" s="21">
        <f>0.05540767787/2</f>
        <v>0.02770383894</v>
      </c>
      <c r="F15" s="21">
        <f>0.09278024212/2+0.1145536565+0.1905926794/2+0.06123128859/2</f>
        <v>0.2868557616</v>
      </c>
      <c r="G15" s="21">
        <f>0.08155906183/2+0.0822646381651217+0.1127131176/2+0.0441764022/2</f>
        <v>0.201488929</v>
      </c>
      <c r="H15" s="21">
        <f>0.1329923965+0.1581569149/2+0.07507289032/2+0.1086574478+0.08926100124+0.08366979291+0.08133853932+0.1519456134/2</f>
        <v>0.6885068871</v>
      </c>
      <c r="I15" s="21">
        <f>0.1337743031/3+0.1162757533+0.1137403962+0.1095693232</f>
        <v>0.3841769071</v>
      </c>
      <c r="J15" s="21">
        <f>0.1818457032/2+0.1541574823+0.05663592536+0.06383671044</f>
        <v>0.3655529697</v>
      </c>
      <c r="K15" s="21">
        <f>0.1525456974/2+0.1393131102/2</f>
        <v>0.1459294038</v>
      </c>
      <c r="L15" s="21">
        <f>0.1978924949</f>
        <v>0.1978924949</v>
      </c>
      <c r="M15" s="21">
        <f>0.188659176</f>
        <v>0.188659176</v>
      </c>
      <c r="N15" s="21">
        <f>0.1865247523</f>
        <v>0.1865247523</v>
      </c>
      <c r="O15" s="21">
        <f>0.1295684199/2+0.1023306072/2</f>
        <v>0.1159495136</v>
      </c>
      <c r="P15" s="21">
        <f>0.110511939+0.1466037452/2</f>
        <v>0.1838138116</v>
      </c>
      <c r="Q15" s="21">
        <f>0.138368/2+0.152087</f>
        <v>0.221271</v>
      </c>
      <c r="R15" s="21">
        <f>0.1504211978/2+0.1454177203/2</f>
        <v>0.1479194591</v>
      </c>
      <c r="S15" s="21">
        <f>0.03251858954/2+0.1445232837/2</f>
        <v>0.08852093662</v>
      </c>
      <c r="T15" s="21">
        <f>0.1660941553</f>
        <v>0.1660941553</v>
      </c>
      <c r="U15" s="21">
        <f>0.1466546863</f>
        <v>0.1466546863</v>
      </c>
      <c r="V15" s="21">
        <f>0.2237573305/2</f>
        <v>0.1118786653</v>
      </c>
      <c r="W15" s="21">
        <f t="shared" ref="W15:W16" si="2">0.183173904/2</f>
        <v>0.091586952</v>
      </c>
      <c r="X15" s="21">
        <f>0.1910987764</f>
        <v>0.1910987764</v>
      </c>
      <c r="Y15" s="21">
        <f>0.1879600172</f>
        <v>0.1879600172</v>
      </c>
      <c r="Z15" s="21">
        <f>0.2565666839</f>
        <v>0.2565666839</v>
      </c>
      <c r="AA15" s="23"/>
      <c r="AB15" s="21">
        <f>0.11955</f>
        <v>0.11955</v>
      </c>
      <c r="AC15" s="21">
        <f>0.057567</f>
        <v>0.057567</v>
      </c>
      <c r="AD15" s="21">
        <f>0.132788+0.106741</f>
        <v>0.239529</v>
      </c>
    </row>
    <row r="16">
      <c r="A16" s="18">
        <v>102.0</v>
      </c>
      <c r="B16" s="19" t="s">
        <v>91</v>
      </c>
      <c r="C16" s="21">
        <f>0.08431029312/2</f>
        <v>0.04215514656</v>
      </c>
      <c r="D16" s="21">
        <f>0.04702937698</f>
        <v>0.04702937698</v>
      </c>
      <c r="E16" s="21">
        <f>0.1206231149</f>
        <v>0.1206231149</v>
      </c>
      <c r="F16" s="23"/>
      <c r="G16" s="21">
        <f>0.1174333436</f>
        <v>0.1174333436</v>
      </c>
      <c r="H16" s="23"/>
      <c r="I16" s="21">
        <f>0.1235113153</f>
        <v>0.1235113153</v>
      </c>
      <c r="J16" s="21">
        <f>0.1818457032/2</f>
        <v>0.0909228516</v>
      </c>
      <c r="K16" s="23"/>
      <c r="L16" s="23"/>
      <c r="M16" s="23"/>
      <c r="N16" s="23"/>
      <c r="O16" s="21">
        <f>0.1295684199/2</f>
        <v>0.06478420995</v>
      </c>
      <c r="P16" s="21">
        <f>0.1466037452/2</f>
        <v>0.0733018726</v>
      </c>
      <c r="Q16" s="21">
        <f>0.065518/3</f>
        <v>0.02183933333</v>
      </c>
      <c r="R16" s="21">
        <f>0.1504211978/2</f>
        <v>0.0752105989</v>
      </c>
      <c r="S16" s="21">
        <f>0.1445232837/2</f>
        <v>0.07226164185</v>
      </c>
      <c r="T16" s="21">
        <f>0.1014106743</f>
        <v>0.1014106743</v>
      </c>
      <c r="U16" s="23"/>
      <c r="V16" s="23"/>
      <c r="W16" s="21">
        <f t="shared" si="2"/>
        <v>0.091586952</v>
      </c>
      <c r="X16" s="23"/>
      <c r="Y16" s="23"/>
      <c r="Z16" s="23"/>
      <c r="AA16" s="21">
        <f>0.098237/2</f>
        <v>0.0491185</v>
      </c>
      <c r="AB16" s="21">
        <f>0.105507</f>
        <v>0.105507</v>
      </c>
      <c r="AC16" s="23"/>
      <c r="AD16" s="23"/>
    </row>
    <row r="17">
      <c r="A17" s="18">
        <v>103.0</v>
      </c>
      <c r="B17" s="19" t="s">
        <v>93</v>
      </c>
      <c r="C17" s="23">
        <f>0.08131690336</f>
        <v>0.08131690336</v>
      </c>
      <c r="D17" s="23">
        <f>0.170721848/2</f>
        <v>0.085360924</v>
      </c>
      <c r="E17" s="23">
        <f>0.1416580287/2</f>
        <v>0.07082901435</v>
      </c>
      <c r="F17" s="23">
        <f>0.1905926794/2</f>
        <v>0.0952963397</v>
      </c>
      <c r="G17" s="23">
        <f>0.1302950367/2</f>
        <v>0.06514751835</v>
      </c>
      <c r="H17" s="23">
        <f>0.1519456134/2</f>
        <v>0.0759728067</v>
      </c>
      <c r="I17" s="23">
        <f>0.1337743031/3</f>
        <v>0.04459143437</v>
      </c>
      <c r="J17" s="23"/>
      <c r="K17" s="23">
        <f>0.1525456974/2</f>
        <v>0.0762728487</v>
      </c>
      <c r="L17" s="23"/>
      <c r="M17" s="23"/>
      <c r="N17" s="23"/>
      <c r="O17" s="21">
        <f>0.1023306072/2</f>
        <v>0.0511653036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1">
        <f>0.177543/2</f>
        <v>0.0887715</v>
      </c>
      <c r="AB17" s="21">
        <f t="shared" ref="AB17:AB18" si="3">0.091508/2</f>
        <v>0.045754</v>
      </c>
      <c r="AC17" s="21">
        <f>0.03068/2</f>
        <v>0.01534</v>
      </c>
      <c r="AD17" s="23"/>
    </row>
    <row r="18">
      <c r="A18" s="18">
        <v>104.0</v>
      </c>
      <c r="B18" s="19" t="s">
        <v>95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1">
        <f>0.1454177203/2+0.03252006439/2</f>
        <v>0.08896889235</v>
      </c>
      <c r="S18" s="21">
        <f>0.1123981299</f>
        <v>0.1123981299</v>
      </c>
      <c r="T18" s="23"/>
      <c r="U18" s="23"/>
      <c r="V18" s="23"/>
      <c r="W18" s="23"/>
      <c r="X18" s="23"/>
      <c r="Y18" s="21">
        <f>0.08546621407/3</f>
        <v>0.02848873802</v>
      </c>
      <c r="Z18" s="23"/>
      <c r="AA18" s="21">
        <f>0.177543/2+0.098237/2</f>
        <v>0.13789</v>
      </c>
      <c r="AB18" s="21">
        <f t="shared" si="3"/>
        <v>0.045754</v>
      </c>
      <c r="AC18" s="23"/>
      <c r="AD18" s="23"/>
    </row>
    <row r="19">
      <c r="A19" s="18">
        <v>105.0</v>
      </c>
      <c r="B19" s="19" t="s">
        <v>96</v>
      </c>
      <c r="C19" s="23">
        <f>0.09217620529+0.05889706294/2+0.2098085546/2+0.04553216731/2</f>
        <v>0.2492950977</v>
      </c>
      <c r="D19" s="23">
        <f>0.08408686013+0.1874450531+0.1295292006+0.09672905225</f>
        <v>0.4977901661</v>
      </c>
      <c r="E19" s="23">
        <f>0.1416580287/2+0.09363018445+0.05540767787/2+0.07727072382+0.1462033657+0.08586645965/2+0.1140563861</f>
        <v>0.5726267432</v>
      </c>
      <c r="F19" s="23">
        <f>0.09278024212/2+0.1023002368+0.1506348571+0.07132709704</f>
        <v>0.370652312</v>
      </c>
      <c r="G19" s="23">
        <f>0.110152814+0.08126029792/2+0.1127131176/2+0.1582831851</f>
        <v>0.3654227069</v>
      </c>
      <c r="H19" s="21">
        <f>0.1581569149/2</f>
        <v>0.07907845745</v>
      </c>
      <c r="I19" s="21">
        <f>0.03142910909+0.1337743031/3</f>
        <v>0.07602054346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</row>
    <row r="20">
      <c r="A20" s="18">
        <v>106.0</v>
      </c>
      <c r="B20" s="19" t="s">
        <v>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>
      <c r="A21" s="18">
        <v>107.0</v>
      </c>
      <c r="B21" s="19" t="s">
        <v>100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</row>
    <row r="22">
      <c r="A22" s="18">
        <v>108.0</v>
      </c>
      <c r="B22" s="19" t="s">
        <v>102</v>
      </c>
      <c r="C22" s="23"/>
      <c r="D22" s="23"/>
      <c r="E22" s="23"/>
      <c r="F22" s="23"/>
      <c r="G22" s="23">
        <f>0.08155906183/2</f>
        <v>0.04077953092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</row>
    <row r="23">
      <c r="A23" s="18">
        <v>99.0</v>
      </c>
      <c r="B23" s="19" t="s">
        <v>103</v>
      </c>
      <c r="C23" s="23"/>
      <c r="D23" s="23">
        <f>0.06077346188</f>
        <v>0.06077346188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</row>
    <row r="24">
      <c r="A24" s="29" t="s">
        <v>104</v>
      </c>
      <c r="B24" s="28"/>
      <c r="C24" s="30">
        <f t="shared" ref="C24:AD24" si="4">SUM(C2:C23)</f>
        <v>1</v>
      </c>
      <c r="D24" s="30">
        <f t="shared" si="4"/>
        <v>0.9999999999</v>
      </c>
      <c r="E24" s="30">
        <f t="shared" si="4"/>
        <v>1</v>
      </c>
      <c r="F24" s="30">
        <f t="shared" si="4"/>
        <v>0.9999999999</v>
      </c>
      <c r="G24" s="30">
        <f t="shared" si="4"/>
        <v>1</v>
      </c>
      <c r="H24" s="30">
        <f t="shared" si="4"/>
        <v>0.9999999999</v>
      </c>
      <c r="I24" s="30">
        <f t="shared" si="4"/>
        <v>1</v>
      </c>
      <c r="J24" s="30">
        <f t="shared" si="4"/>
        <v>1</v>
      </c>
      <c r="K24" s="30">
        <f t="shared" si="4"/>
        <v>1</v>
      </c>
      <c r="L24" s="30">
        <f t="shared" si="4"/>
        <v>1</v>
      </c>
      <c r="M24" s="30">
        <f t="shared" si="4"/>
        <v>1</v>
      </c>
      <c r="N24" s="30">
        <f t="shared" si="4"/>
        <v>1</v>
      </c>
      <c r="O24" s="30">
        <f t="shared" si="4"/>
        <v>1</v>
      </c>
      <c r="P24" s="30">
        <f t="shared" si="4"/>
        <v>1</v>
      </c>
      <c r="Q24" s="30">
        <f t="shared" si="4"/>
        <v>1</v>
      </c>
      <c r="R24" s="30">
        <f t="shared" si="4"/>
        <v>0.9999999999</v>
      </c>
      <c r="S24" s="30">
        <f t="shared" si="4"/>
        <v>1</v>
      </c>
      <c r="T24" s="30">
        <f t="shared" si="4"/>
        <v>1</v>
      </c>
      <c r="U24" s="30">
        <f t="shared" si="4"/>
        <v>0.9999999999</v>
      </c>
      <c r="V24" s="30">
        <f t="shared" si="4"/>
        <v>1</v>
      </c>
      <c r="W24" s="30">
        <f t="shared" si="4"/>
        <v>0.9999999999</v>
      </c>
      <c r="X24" s="30">
        <f t="shared" si="4"/>
        <v>1</v>
      </c>
      <c r="Y24" s="30">
        <f t="shared" si="4"/>
        <v>1</v>
      </c>
      <c r="Z24" s="30">
        <f t="shared" si="4"/>
        <v>1</v>
      </c>
      <c r="AA24" s="30">
        <f t="shared" si="4"/>
        <v>1</v>
      </c>
      <c r="AB24" s="30">
        <f t="shared" si="4"/>
        <v>1.000001</v>
      </c>
      <c r="AC24" s="30">
        <f t="shared" si="4"/>
        <v>0.999999</v>
      </c>
      <c r="AD24" s="30">
        <f t="shared" si="4"/>
        <v>1.000002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7.0"/>
  </cols>
  <sheetData>
    <row r="1">
      <c r="A1" s="17" t="s">
        <v>43</v>
      </c>
      <c r="B1" s="17" t="s">
        <v>44</v>
      </c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  <c r="P1" s="17" t="s">
        <v>58</v>
      </c>
      <c r="Q1" s="17" t="s">
        <v>59</v>
      </c>
      <c r="R1" s="17" t="s">
        <v>60</v>
      </c>
      <c r="S1" s="17" t="s">
        <v>61</v>
      </c>
      <c r="T1" s="17" t="s">
        <v>62</v>
      </c>
      <c r="U1" s="35" t="s">
        <v>63</v>
      </c>
      <c r="V1" s="35" t="s">
        <v>159</v>
      </c>
      <c r="W1" s="17" t="s">
        <v>160</v>
      </c>
      <c r="X1" s="17" t="s">
        <v>161</v>
      </c>
      <c r="Y1" s="17" t="s">
        <v>162</v>
      </c>
      <c r="Z1" s="17" t="s">
        <v>163</v>
      </c>
      <c r="AA1" s="17" t="s">
        <v>164</v>
      </c>
      <c r="AB1" s="17" t="s">
        <v>165</v>
      </c>
      <c r="AC1" s="17" t="s">
        <v>166</v>
      </c>
      <c r="AD1" s="17" t="s">
        <v>167</v>
      </c>
      <c r="AE1" s="17" t="s">
        <v>168</v>
      </c>
      <c r="AF1" s="17" t="s">
        <v>169</v>
      </c>
      <c r="AG1" s="17" t="s">
        <v>170</v>
      </c>
      <c r="AH1" s="17" t="s">
        <v>171</v>
      </c>
      <c r="AI1" s="17" t="s">
        <v>172</v>
      </c>
      <c r="AJ1" s="17" t="s">
        <v>173</v>
      </c>
      <c r="AK1" s="17" t="s">
        <v>174</v>
      </c>
      <c r="AL1" s="17" t="s">
        <v>175</v>
      </c>
      <c r="AM1" s="17" t="s">
        <v>176</v>
      </c>
      <c r="AN1" s="17" t="s">
        <v>177</v>
      </c>
      <c r="AO1" s="17" t="s">
        <v>178</v>
      </c>
      <c r="AP1" s="17" t="s">
        <v>179</v>
      </c>
    </row>
    <row r="2">
      <c r="A2" s="18">
        <v>1.0</v>
      </c>
      <c r="B2" s="19" t="s">
        <v>64</v>
      </c>
      <c r="C2" s="19" t="s">
        <v>65</v>
      </c>
      <c r="D2" s="21">
        <v>0.1034929824</v>
      </c>
      <c r="E2" s="21">
        <v>0.09132211126</v>
      </c>
      <c r="F2" s="21">
        <v>0.1209725931</v>
      </c>
      <c r="G2" s="21">
        <v>0.08162123668</v>
      </c>
      <c r="H2" s="21">
        <f>0.08967256674+0.1090970161/2</f>
        <v>0.1442210748</v>
      </c>
      <c r="I2" s="22">
        <v>0.1130092367</v>
      </c>
      <c r="J2" s="22">
        <f>0.08011282251</f>
        <v>0.08011282251</v>
      </c>
      <c r="K2" s="22">
        <f>0.114053782</f>
        <v>0.114053782</v>
      </c>
      <c r="L2" s="23"/>
      <c r="M2" s="22">
        <f>0.102760187</f>
        <v>0.102760187</v>
      </c>
      <c r="N2" s="22">
        <f>0.07086845259/2</f>
        <v>0.0354342263</v>
      </c>
      <c r="O2" s="22">
        <f>0.1179803965+0.05476376904/2</f>
        <v>0.145362281</v>
      </c>
      <c r="P2" s="22">
        <f>0.1012567345/2+0.08036591339</f>
        <v>0.1309942806</v>
      </c>
      <c r="Q2" s="22">
        <f>0.04689643579/2+0.09236298955+0.07086347502</f>
        <v>0.1866746825</v>
      </c>
      <c r="R2" s="22">
        <f>0.05116134154/2+0.1179688641</f>
        <v>0.1435495349</v>
      </c>
      <c r="S2" s="22">
        <f>0.1174097884+0.07625029203/2</f>
        <v>0.1555349344</v>
      </c>
      <c r="T2" s="22">
        <f>0.1138536809+0.0501091997/2</f>
        <v>0.1389082808</v>
      </c>
      <c r="U2" s="36">
        <f>0.04417832812/2+0.1164387569</f>
        <v>0.138527921</v>
      </c>
      <c r="V2" s="37"/>
      <c r="W2" s="23"/>
      <c r="X2" s="23"/>
      <c r="Y2" s="22">
        <f>0.1675588747/2</f>
        <v>0.08377943735</v>
      </c>
      <c r="Z2" s="22">
        <f>0.1622733036/2</f>
        <v>0.0811366518</v>
      </c>
      <c r="AA2" s="22">
        <f>0.02549936754/2+0.132686097</f>
        <v>0.1454357808</v>
      </c>
      <c r="AB2" s="22">
        <f>0.05082161719/2</f>
        <v>0.0254108086</v>
      </c>
      <c r="AC2" s="23"/>
      <c r="AD2" s="22">
        <f>0.0601021416/2+0.0324553193/2+0.1087895916</f>
        <v>0.1550683221</v>
      </c>
      <c r="AE2" s="22">
        <f>0.1861368351/3</f>
        <v>0.0620456117</v>
      </c>
      <c r="AF2" s="22">
        <f>0.1376021177</f>
        <v>0.1376021177</v>
      </c>
      <c r="AG2" s="22">
        <f>0.1889221578/2+0.09046889112/2</f>
        <v>0.1396955245</v>
      </c>
      <c r="AH2" s="22">
        <f>0.121044031/2+0.07424019848/2+0.04931806775</f>
        <v>0.1469601825</v>
      </c>
      <c r="AI2" s="22">
        <f>0.1037447723/2</f>
        <v>0.05187238615</v>
      </c>
      <c r="AJ2" s="22">
        <f>0.1753184558</f>
        <v>0.1753184558</v>
      </c>
      <c r="AK2" s="23"/>
      <c r="AL2" s="22">
        <f>0.1803371219/2</f>
        <v>0.09016856095</v>
      </c>
      <c r="AM2" s="22">
        <f>0.05161404415/2</f>
        <v>0.02580702208</v>
      </c>
      <c r="AN2" s="22">
        <f>0.06534103108/2</f>
        <v>0.03267051554</v>
      </c>
      <c r="AO2" s="23"/>
      <c r="AP2" s="22">
        <f>0.05780211672/2+0.09286688237</f>
        <v>0.1217679407</v>
      </c>
    </row>
    <row r="3">
      <c r="A3" s="18">
        <v>2.0</v>
      </c>
      <c r="B3" s="19" t="s">
        <v>66</v>
      </c>
      <c r="C3" s="19" t="s">
        <v>67</v>
      </c>
      <c r="D3" s="21">
        <v>0.1126762742</v>
      </c>
      <c r="E3" s="21">
        <v>0.08848448419</v>
      </c>
      <c r="F3" s="21">
        <v>0.06940818106</v>
      </c>
      <c r="G3" s="21">
        <v>0.1045298413</v>
      </c>
      <c r="H3" s="21">
        <v>0.1052511615</v>
      </c>
      <c r="I3" s="23"/>
      <c r="J3" s="22">
        <f>0.1108393223</f>
        <v>0.1108393223</v>
      </c>
      <c r="K3" s="23"/>
      <c r="L3" s="23"/>
      <c r="M3" s="23"/>
      <c r="N3" s="23"/>
      <c r="O3" s="22">
        <f>0.1071581873/2</f>
        <v>0.05357909365</v>
      </c>
      <c r="P3" s="22">
        <f>0.1080808209</f>
        <v>0.1080808209</v>
      </c>
      <c r="Q3" s="23"/>
      <c r="R3" s="22">
        <f>0.07268698971</f>
        <v>0.07268698971</v>
      </c>
      <c r="S3" s="23"/>
      <c r="T3" s="23"/>
      <c r="U3" s="37"/>
      <c r="V3" s="37"/>
      <c r="W3" s="23"/>
      <c r="X3" s="23"/>
      <c r="Y3" s="23"/>
      <c r="Z3" s="22">
        <f t="shared" ref="Z3:Z4" si="1">0.08385296295/2</f>
        <v>0.04192648148</v>
      </c>
      <c r="AA3" s="23"/>
      <c r="AB3" s="22">
        <f>0.1205701061/2</f>
        <v>0.06028505305</v>
      </c>
      <c r="AC3" s="23"/>
      <c r="AD3" s="23"/>
      <c r="AE3" s="23"/>
      <c r="AF3" s="23"/>
      <c r="AG3" s="23"/>
      <c r="AH3" s="22">
        <f>0.121044031/2</f>
        <v>0.0605220155</v>
      </c>
      <c r="AI3" s="22">
        <f>0.09458582075</f>
        <v>0.09458582075</v>
      </c>
      <c r="AJ3" s="22">
        <f>0.0378768972/2</f>
        <v>0.0189384486</v>
      </c>
      <c r="AK3" s="22">
        <f>0.1865663723/2</f>
        <v>0.09328318615</v>
      </c>
      <c r="AL3" s="23"/>
      <c r="AM3" s="22">
        <f>0.1307836904/2</f>
        <v>0.0653918452</v>
      </c>
      <c r="AN3" s="22">
        <f>0.04353309706/2</f>
        <v>0.02176654853</v>
      </c>
      <c r="AO3" s="22">
        <f>0.07391391372/2</f>
        <v>0.03695695686</v>
      </c>
      <c r="AP3" s="23"/>
    </row>
    <row r="4">
      <c r="A4" s="18">
        <v>3.0</v>
      </c>
      <c r="B4" s="19" t="s">
        <v>68</v>
      </c>
      <c r="C4" s="19" t="s">
        <v>69</v>
      </c>
      <c r="D4" s="23"/>
      <c r="E4" s="23"/>
      <c r="F4" s="23"/>
      <c r="G4" s="23"/>
      <c r="H4" s="23"/>
      <c r="I4" s="23"/>
      <c r="J4" s="22">
        <f>0.04797751484</f>
        <v>0.04797751484</v>
      </c>
      <c r="K4" s="23"/>
      <c r="L4" s="23"/>
      <c r="M4" s="23"/>
      <c r="N4" s="23"/>
      <c r="O4" s="23"/>
      <c r="P4" s="23"/>
      <c r="Q4" s="22">
        <f>0.1002420469/2</f>
        <v>0.05012102345</v>
      </c>
      <c r="R4" s="22">
        <f>0.05116134154/2</f>
        <v>0.02558067077</v>
      </c>
      <c r="S4" s="22">
        <f>0.0660060074/3</f>
        <v>0.02200200247</v>
      </c>
      <c r="T4" s="22">
        <f>0.04685285417/2</f>
        <v>0.02342642709</v>
      </c>
      <c r="U4" s="37"/>
      <c r="V4" s="36">
        <v>0.07925058067</v>
      </c>
      <c r="W4" s="22">
        <v>0.04517298821</v>
      </c>
      <c r="X4" s="22">
        <v>0.1100788576</v>
      </c>
      <c r="Y4" s="22">
        <f>0.08866270601+0.03628274167</f>
        <v>0.1249454477</v>
      </c>
      <c r="Z4" s="22">
        <f t="shared" si="1"/>
        <v>0.04192648148</v>
      </c>
      <c r="AA4" s="22">
        <f>0.1154922802/2</f>
        <v>0.0577461401</v>
      </c>
      <c r="AB4" s="22">
        <f>0.06254699314/2</f>
        <v>0.03127349657</v>
      </c>
      <c r="AC4" s="22">
        <f>0.1866071933</f>
        <v>0.1866071933</v>
      </c>
      <c r="AD4" s="23"/>
      <c r="AE4" s="22">
        <f>0.08613353915+0.07691765655/2</f>
        <v>0.1245923674</v>
      </c>
      <c r="AF4" s="22">
        <f>0.01395075785+0.03060175609+0.07549797706</f>
        <v>0.120050491</v>
      </c>
      <c r="AG4" s="22">
        <f>0.07796526765+0.02157849112/2</f>
        <v>0.08875451321</v>
      </c>
      <c r="AH4" s="22">
        <f>0.104867201</f>
        <v>0.104867201</v>
      </c>
      <c r="AI4" s="22">
        <f>0.1330841736+0.02024979948/2</f>
        <v>0.1432090733</v>
      </c>
      <c r="AJ4" s="22">
        <f>0.1495237626+0.0378768972/2+0.03318505394/2</f>
        <v>0.1850547382</v>
      </c>
      <c r="AK4" s="22">
        <f>0.0267531527/2+0.01705842225/2+0.1865663723/2+0.02227541154/2</f>
        <v>0.1263266794</v>
      </c>
      <c r="AL4" s="22">
        <f>0.0263013448+0.1803371219/2+0.05496547492</f>
        <v>0.1714353807</v>
      </c>
      <c r="AM4" s="22">
        <f>0.05161404415/2+0.1307836904/2+0.04074040616/2+0.1323363395</f>
        <v>0.2439054099</v>
      </c>
      <c r="AN4" s="22">
        <f>0.07019016561/2+0.03508586403/2+0.1209337909+0.04353309706/2+0.06534103108/2</f>
        <v>0.2280088698</v>
      </c>
      <c r="AO4" s="22">
        <f>0.04210081881/2+0.07391391372/2+0.07558591477/3+0.07713596435</f>
        <v>0.1603386355</v>
      </c>
      <c r="AP4" s="22">
        <f>0.05780211672/2+0.06404792942/2+0.03849669999/2+0.07091764638/2+0.1610317401/2</f>
        <v>0.1961480663</v>
      </c>
    </row>
    <row r="5">
      <c r="A5" s="18">
        <v>4.0</v>
      </c>
      <c r="B5" s="19" t="s">
        <v>70</v>
      </c>
      <c r="C5" s="19" t="s">
        <v>71</v>
      </c>
      <c r="D5" s="21">
        <f>0.077921032/2+0.08012908317+0.1971329682/2</f>
        <v>0.2176560833</v>
      </c>
      <c r="E5" s="21">
        <f>0.06541376425/2+0.1064531127/2</f>
        <v>0.08593343848</v>
      </c>
      <c r="F5" s="21">
        <f>0.09362818119/2+0.08302610678</f>
        <v>0.1298401974</v>
      </c>
      <c r="G5" s="21">
        <f>0.1841210391/2+0.09448147617/2+0.09282768636/2</f>
        <v>0.1857151008</v>
      </c>
      <c r="H5" s="21">
        <f>0.09907238264/2+0.1090970161/2</f>
        <v>0.1040846994</v>
      </c>
      <c r="I5" s="22">
        <f>0.0976561984+0.09624498732/3</f>
        <v>0.1297378608</v>
      </c>
      <c r="J5" s="22">
        <f>0.1093378686/2+0.08665892539</f>
        <v>0.1413278597</v>
      </c>
      <c r="K5" s="22">
        <f>0.2111602903/3+0.1070098701/2</f>
        <v>0.1238916985</v>
      </c>
      <c r="L5" s="22">
        <f>0.09455241416/2</f>
        <v>0.04727620708</v>
      </c>
      <c r="M5" s="23"/>
      <c r="N5" s="22">
        <f>0.1987191493/2</f>
        <v>0.09935957465</v>
      </c>
      <c r="O5" s="22">
        <f>0.1195075149/2+0.1572189956/2</f>
        <v>0.1383632553</v>
      </c>
      <c r="P5" s="22">
        <f>0.08840031508+0.1766943108/2</f>
        <v>0.1767474705</v>
      </c>
      <c r="Q5" s="22">
        <f>0.1130179669/2+0.1292340209/2</f>
        <v>0.1211259939</v>
      </c>
      <c r="R5" s="22">
        <f t="shared" ref="R5:R6" si="2">0.06056658907/2</f>
        <v>0.03028329454</v>
      </c>
      <c r="S5" s="23"/>
      <c r="T5" s="23"/>
      <c r="U5" s="37"/>
      <c r="V5" s="36">
        <f>0.1138764312/2</f>
        <v>0.0569382156</v>
      </c>
      <c r="W5" s="22">
        <f>0.1233060768/2</f>
        <v>0.0616530384</v>
      </c>
      <c r="X5" s="22">
        <f>0.1108319146/2</f>
        <v>0.0554159573</v>
      </c>
      <c r="Y5" s="22">
        <f>0.1289022768</f>
        <v>0.1289022768</v>
      </c>
      <c r="Z5" s="22">
        <f>0.1008381887/2+0.08719638343/2</f>
        <v>0.09401728607</v>
      </c>
      <c r="AA5" s="22">
        <f>0.09894034931/2</f>
        <v>0.04947017466</v>
      </c>
      <c r="AB5" s="22">
        <f>0.09655995703/2+0.1223884922+0.05082161719/2</f>
        <v>0.1960792793</v>
      </c>
      <c r="AC5" s="22">
        <f>0.05099571446/2+0.0722594864</f>
        <v>0.09775734363</v>
      </c>
      <c r="AD5" s="22">
        <f>0.0601021416/2+0.1626061031+0.0324553193/2</f>
        <v>0.2088848336</v>
      </c>
      <c r="AE5" s="22">
        <f>0.07207619313</f>
        <v>0.07207619313</v>
      </c>
      <c r="AF5" s="22">
        <f>0.1250827524/2</f>
        <v>0.0625413762</v>
      </c>
      <c r="AG5" s="22">
        <f>0.02157849112/2</f>
        <v>0.01078924556</v>
      </c>
      <c r="AH5" s="23"/>
      <c r="AI5" s="22">
        <f>0.06474108453/2+0.1212124045/2+0.1037447723/2</f>
        <v>0.1448491307</v>
      </c>
      <c r="AJ5" s="22">
        <f>0.06985942474+0.03318505394/2+0.1039595688</f>
        <v>0.1904115205</v>
      </c>
      <c r="AK5" s="22">
        <f>0.0267531527/2+0.01705842225/2+0.02227541154/2+0.1127920266/2</f>
        <v>0.08943950655</v>
      </c>
      <c r="AL5" s="22">
        <f>0.1179472428/2+0.07800496033</f>
        <v>0.1369785817</v>
      </c>
      <c r="AM5" s="23"/>
      <c r="AN5" s="22">
        <f>0.1258266588+0.1376413814/2</f>
        <v>0.1946473495</v>
      </c>
      <c r="AO5" s="22">
        <f>0.04210081881/2+0.09868587865</f>
        <v>0.1197362881</v>
      </c>
      <c r="AP5" s="22">
        <f>0.06404792942/2+0.1092915106</f>
        <v>0.1413154753</v>
      </c>
    </row>
    <row r="6">
      <c r="A6" s="18">
        <v>5.0</v>
      </c>
      <c r="B6" s="19" t="s">
        <v>72</v>
      </c>
      <c r="C6" s="19" t="s">
        <v>73</v>
      </c>
      <c r="D6" s="21">
        <v>0.1744524942</v>
      </c>
      <c r="E6" s="21">
        <f>0.1040776335+0.06541376425/2</f>
        <v>0.1367845156</v>
      </c>
      <c r="F6" s="21">
        <v>0.1881440616</v>
      </c>
      <c r="G6" s="21">
        <f>0.152615352/2</f>
        <v>0.076307676</v>
      </c>
      <c r="H6" s="21">
        <v>0.06617468712</v>
      </c>
      <c r="I6" s="22">
        <f>0.09624498732/3+0.1584523374</f>
        <v>0.1905339998</v>
      </c>
      <c r="J6" s="22">
        <f>0.1284014498</f>
        <v>0.1284014498</v>
      </c>
      <c r="K6" s="22">
        <f>0.13053829/2+0.05379047411</f>
        <v>0.1190596191</v>
      </c>
      <c r="L6" s="22">
        <f>0.1960046836/2</f>
        <v>0.0980023418</v>
      </c>
      <c r="M6" s="22">
        <f>0.1595319116</f>
        <v>0.1595319116</v>
      </c>
      <c r="N6" s="22">
        <f>0.1252375602</f>
        <v>0.1252375602</v>
      </c>
      <c r="O6" s="22">
        <f>0.1071581873/2</f>
        <v>0.05357909365</v>
      </c>
      <c r="P6" s="22">
        <f>0.1099998025/2</f>
        <v>0.05499990125</v>
      </c>
      <c r="Q6" s="22">
        <f>0.1368150512+0.1002420469/2</f>
        <v>0.1869360747</v>
      </c>
      <c r="R6" s="22">
        <f t="shared" si="2"/>
        <v>0.03028329454</v>
      </c>
      <c r="S6" s="22">
        <f>0.07625029203/2</f>
        <v>0.03812514602</v>
      </c>
      <c r="T6" s="22">
        <f>0.1792214583</f>
        <v>0.1792214583</v>
      </c>
      <c r="U6" s="37"/>
      <c r="V6" s="36">
        <f>0.1355795524/2+0.1835018693</f>
        <v>0.2512916455</v>
      </c>
      <c r="W6" s="22">
        <f>0.1233060768/2+0.1752026214</f>
        <v>0.2368556598</v>
      </c>
      <c r="X6" s="22">
        <f>0.1787082273/2</f>
        <v>0.08935411365</v>
      </c>
      <c r="Y6" s="22">
        <f>0.1675588747/2+0.1832469885</f>
        <v>0.2670264259</v>
      </c>
      <c r="Z6" s="22">
        <f>0.1622733036/2+0.02432216037/2+0.1920783932</f>
        <v>0.2853761252</v>
      </c>
      <c r="AA6" s="22">
        <f>0.1778628787/2+0.1154922802/2</f>
        <v>0.1466775795</v>
      </c>
      <c r="AB6" s="22">
        <f>0.1205701061/2+0.1739810924/2</f>
        <v>0.1472755993</v>
      </c>
      <c r="AC6" s="22">
        <f>0.1823155316</f>
        <v>0.1823155316</v>
      </c>
      <c r="AD6" s="23"/>
      <c r="AE6" s="22">
        <f>0.1861368351/3+0.1818621592</f>
        <v>0.2439077709</v>
      </c>
      <c r="AF6" s="22">
        <f>0.1673616456/2+0.2009954983</f>
        <v>0.2846763211</v>
      </c>
      <c r="AG6" s="22">
        <f>0.2345695762</f>
        <v>0.2345695762</v>
      </c>
      <c r="AH6" s="22">
        <f>0.1966631823</f>
        <v>0.1966631823</v>
      </c>
      <c r="AI6" s="22">
        <f>0.2014085424</f>
        <v>0.2014085424</v>
      </c>
      <c r="AJ6" s="22">
        <f>0.1803228636/2</f>
        <v>0.0901614318</v>
      </c>
      <c r="AK6" s="22">
        <f>0.2185701326/2</f>
        <v>0.1092850663</v>
      </c>
      <c r="AL6" s="22">
        <f>0.1563614868</f>
        <v>0.1563614868</v>
      </c>
      <c r="AM6" s="22">
        <f>0.2122396691</f>
        <v>0.2122396691</v>
      </c>
      <c r="AN6" s="22">
        <f>0.2205261016</f>
        <v>0.2205261016</v>
      </c>
      <c r="AO6" s="22">
        <f>0.07558591477/3+0.173876759</f>
        <v>0.1990720639</v>
      </c>
      <c r="AP6" s="22">
        <f>0.239181979</f>
        <v>0.239181979</v>
      </c>
    </row>
    <row r="7">
      <c r="A7" s="18">
        <v>6.0</v>
      </c>
      <c r="B7" s="19" t="s">
        <v>74</v>
      </c>
      <c r="C7" s="19" t="s">
        <v>75</v>
      </c>
      <c r="D7" s="21"/>
      <c r="E7" s="21">
        <f>0.1078805737+0.1064531127/2</f>
        <v>0.1611071301</v>
      </c>
      <c r="F7" s="21">
        <f>0.09362818119/2+0.1514501995/2+0.08062991068</f>
        <v>0.203169101</v>
      </c>
      <c r="G7" s="21">
        <f>0.1841210391/2+0.09448147617/2</f>
        <v>0.1393012576</v>
      </c>
      <c r="H7" s="21">
        <f>0.0467012518+0.1679473097+0.09907238264/2</f>
        <v>0.2641847528</v>
      </c>
      <c r="I7" s="22">
        <f>0.1524946775+0.09624498732/3</f>
        <v>0.1845763399</v>
      </c>
      <c r="J7" s="22">
        <f>0.1093378686/2+0.2047681472/2</f>
        <v>0.1570530079</v>
      </c>
      <c r="K7" s="22">
        <f>0.2111602903/3+0.1070098701/2</f>
        <v>0.1238916985</v>
      </c>
      <c r="L7" s="22">
        <f>0.08365939297+0.09910241947/2</f>
        <v>0.1332106027</v>
      </c>
      <c r="M7" s="22">
        <f>0.07434990843</f>
        <v>0.07434990843</v>
      </c>
      <c r="N7" s="22">
        <f>0.1987191493/2</f>
        <v>0.09935957465</v>
      </c>
      <c r="O7" s="22">
        <f>0.1572189956/2</f>
        <v>0.0786094978</v>
      </c>
      <c r="P7" s="22">
        <f>0.1766943108/2</f>
        <v>0.0883471554</v>
      </c>
      <c r="Q7" s="22">
        <f>0.1130179669/2</f>
        <v>0.05650898345</v>
      </c>
      <c r="R7" s="22">
        <f>0.1878707416/2</f>
        <v>0.0939353708</v>
      </c>
      <c r="S7" s="22">
        <f>0.0660060074/3+0.1548069038</f>
        <v>0.1768089063</v>
      </c>
      <c r="T7" s="22">
        <f>0.1038296592</f>
        <v>0.1038296592</v>
      </c>
      <c r="U7" s="36">
        <f>0.1426815368</f>
        <v>0.1426815368</v>
      </c>
      <c r="V7" s="36">
        <f>0.1138764312/2</f>
        <v>0.0569382156</v>
      </c>
      <c r="W7" s="22">
        <v>0.1313074815</v>
      </c>
      <c r="X7" s="22">
        <f>0.1108319146/2</f>
        <v>0.0554159573</v>
      </c>
      <c r="Y7" s="22">
        <f>0.09756868418</f>
        <v>0.09756868418</v>
      </c>
      <c r="Z7" s="22">
        <f>0.1008381887/2</f>
        <v>0.05041909435</v>
      </c>
      <c r="AA7" s="22">
        <f>0.09894034931/2</f>
        <v>0.04947017466</v>
      </c>
      <c r="AB7" s="22">
        <f>0.09655995703/2</f>
        <v>0.04827997852</v>
      </c>
      <c r="AC7" s="22">
        <f>0.09049593152</f>
        <v>0.09049593152</v>
      </c>
      <c r="AD7" s="22">
        <f>0.09735119429</f>
        <v>0.09735119429</v>
      </c>
      <c r="AE7" s="22">
        <f>0.07691765655/2</f>
        <v>0.03845882828</v>
      </c>
      <c r="AF7" s="22">
        <f>0.1250827524/2</f>
        <v>0.0625413762</v>
      </c>
      <c r="AG7" s="22">
        <f>0.1123015269/2</f>
        <v>0.05615076345</v>
      </c>
      <c r="AH7" s="22">
        <f>0.07424019848/2+0.1077326985</f>
        <v>0.1448527977</v>
      </c>
      <c r="AI7" s="22">
        <f>0.1212124045/2</f>
        <v>0.06060620225</v>
      </c>
      <c r="AJ7" s="22">
        <f>0.1100401589</f>
        <v>0.1100401589</v>
      </c>
      <c r="AK7" s="22">
        <f>0.1037080687+0.1127920266/2</f>
        <v>0.160104082</v>
      </c>
      <c r="AL7" s="22">
        <f t="shared" ref="AL7:AL8" si="3">0.1201500781/2</f>
        <v>0.06007503905</v>
      </c>
      <c r="AM7" s="22">
        <f>0.1152338212</f>
        <v>0.1152338212</v>
      </c>
      <c r="AN7" s="22">
        <f>0.1376413814/2</f>
        <v>0.0688206907</v>
      </c>
      <c r="AO7" s="22">
        <f>0.1601339881/2</f>
        <v>0.08006699405</v>
      </c>
      <c r="AP7" s="22">
        <f>0.1128381729</f>
        <v>0.1128381729</v>
      </c>
    </row>
    <row r="8">
      <c r="A8" s="18">
        <v>7.0</v>
      </c>
      <c r="B8" s="19" t="s">
        <v>76</v>
      </c>
      <c r="C8" s="19" t="s">
        <v>77</v>
      </c>
      <c r="D8" s="23"/>
      <c r="E8" s="21">
        <f>0.1376465223/2</f>
        <v>0.06882326115</v>
      </c>
      <c r="F8" s="23"/>
      <c r="G8" s="21">
        <f>0.152615352/2</f>
        <v>0.076307676</v>
      </c>
      <c r="H8" s="21">
        <v>0.1832086757</v>
      </c>
      <c r="I8" s="22">
        <v>0.07925480825</v>
      </c>
      <c r="J8" s="22">
        <f>0.1244991167</f>
        <v>0.1244991167</v>
      </c>
      <c r="K8" s="22">
        <f>0.13053829/2</f>
        <v>0.065269145</v>
      </c>
      <c r="L8" s="22">
        <f>0.09910241947/2</f>
        <v>0.04955120974</v>
      </c>
      <c r="M8" s="23"/>
      <c r="N8" s="22">
        <f>0.05260290285</f>
        <v>0.05260290285</v>
      </c>
      <c r="O8" s="22">
        <f>0.1245749794/2</f>
        <v>0.0622874897</v>
      </c>
      <c r="P8" s="22">
        <f>0.09608449497/2</f>
        <v>0.04804224749</v>
      </c>
      <c r="Q8" s="22">
        <f>0.1292340209/2</f>
        <v>0.06461701045</v>
      </c>
      <c r="R8" s="22">
        <f>0.05872841125</f>
        <v>0.05872841125</v>
      </c>
      <c r="S8" s="22">
        <f>0.06082235729</f>
        <v>0.06082235729</v>
      </c>
      <c r="T8" s="22">
        <f>0.09426605635</f>
        <v>0.09426605635</v>
      </c>
      <c r="U8" s="36">
        <f>0.07070081713</f>
        <v>0.07070081713</v>
      </c>
      <c r="V8" s="36">
        <f>0.1355795524/2</f>
        <v>0.0677897762</v>
      </c>
      <c r="W8" s="22">
        <v>0.1658561002</v>
      </c>
      <c r="X8" s="22">
        <f>0.1787082273/2+0.1414810343</f>
        <v>0.230835148</v>
      </c>
      <c r="Y8" s="22">
        <f>0.08050464405</f>
        <v>0.08050464405</v>
      </c>
      <c r="Z8" s="22">
        <f>0.08719638343/2+0.02432216037/2</f>
        <v>0.0557592719</v>
      </c>
      <c r="AA8" s="22">
        <f>0.1778628787/2+0.02549936754/2</f>
        <v>0.1016811231</v>
      </c>
      <c r="AB8" s="22">
        <f>0.06254699314/2+0.1739810924/2</f>
        <v>0.1182640428</v>
      </c>
      <c r="AC8" s="22">
        <f>0.05099571446/2</f>
        <v>0.02549785723</v>
      </c>
      <c r="AD8" s="23"/>
      <c r="AE8" s="22">
        <f>0.02233748581+0.1861368351/3</f>
        <v>0.08438309751</v>
      </c>
      <c r="AF8" s="22">
        <f>0.01858391519+0.1673616456/2</f>
        <v>0.102264738</v>
      </c>
      <c r="AG8" s="22">
        <f>0.03100926138</f>
        <v>0.03100926138</v>
      </c>
      <c r="AH8" s="22">
        <f>0.04319436665</f>
        <v>0.04319436665</v>
      </c>
      <c r="AI8" s="23"/>
      <c r="AJ8" s="22">
        <f>0.1803228636/2</f>
        <v>0.0901614318</v>
      </c>
      <c r="AK8" s="22">
        <f>0.2185701326/2</f>
        <v>0.1092850663</v>
      </c>
      <c r="AL8" s="22">
        <f t="shared" si="3"/>
        <v>0.06007503905</v>
      </c>
      <c r="AM8" s="23"/>
      <c r="AN8" s="22">
        <f>0.07019016561/2</f>
        <v>0.03509508281</v>
      </c>
      <c r="AO8" s="22">
        <f>0.07558591477/3</f>
        <v>0.02519530492</v>
      </c>
      <c r="AP8" s="22">
        <f>0.07091764638/2</f>
        <v>0.03545882319</v>
      </c>
    </row>
    <row r="9">
      <c r="A9" s="24">
        <v>8.0</v>
      </c>
      <c r="B9" s="25" t="s">
        <v>78</v>
      </c>
      <c r="C9" s="25" t="s">
        <v>79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38"/>
      <c r="V9" s="38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39">
        <f>0.1610317401/2</f>
        <v>0.08051587005</v>
      </c>
    </row>
    <row r="10">
      <c r="A10" s="18">
        <v>9.0</v>
      </c>
      <c r="B10" s="19" t="s">
        <v>80</v>
      </c>
      <c r="C10" s="19" t="s">
        <v>81</v>
      </c>
      <c r="D10" s="23"/>
      <c r="E10" s="21">
        <f>0.1376465223/2</f>
        <v>0.06882326115</v>
      </c>
      <c r="F10" s="21">
        <v>0.08603513284</v>
      </c>
      <c r="G10" s="21">
        <v>0.09396876141</v>
      </c>
      <c r="H10" s="21">
        <v>0.07942478557</v>
      </c>
      <c r="I10" s="22">
        <v>0.06937762552</v>
      </c>
      <c r="J10" s="23"/>
      <c r="K10" s="22">
        <f>0.08582208822</f>
        <v>0.08582208822</v>
      </c>
      <c r="L10" s="22">
        <f>0.07356416123</f>
        <v>0.07356416123</v>
      </c>
      <c r="M10" s="22">
        <f>0.08993070837</f>
        <v>0.08993070837</v>
      </c>
      <c r="N10" s="22">
        <f>0.07086845259/2+0.1495125704</f>
        <v>0.1849467967</v>
      </c>
      <c r="O10" s="22">
        <f>0.0830537732+0.1180903269</f>
        <v>0.2011441001</v>
      </c>
      <c r="P10" s="22">
        <f>0.1012567345/2+0.09608449497/2</f>
        <v>0.09867061474</v>
      </c>
      <c r="Q10" s="22">
        <f>0.04689643579/2+0.1031320269</f>
        <v>0.1265802448</v>
      </c>
      <c r="R10" s="22">
        <f>0.1181374342</f>
        <v>0.1181374342</v>
      </c>
      <c r="S10" s="22">
        <f>0.1148052606</f>
        <v>0.1148052606</v>
      </c>
      <c r="T10" s="22">
        <f>0.1294236022+0.0501091997/2</f>
        <v>0.1544782021</v>
      </c>
      <c r="U10" s="36">
        <f>0.07296933339+0.1285220684+0.04417832812/2</f>
        <v>0.2235805659</v>
      </c>
      <c r="V10" s="36">
        <v>0.08505967655</v>
      </c>
      <c r="W10" s="22">
        <v>0.08021984901</v>
      </c>
      <c r="X10" s="22">
        <v>0.0982267047</v>
      </c>
      <c r="Y10" s="22">
        <f>0.06722424779</f>
        <v>0.06722424779</v>
      </c>
      <c r="Z10" s="22">
        <f>0.08030586201</f>
        <v>0.08030586201</v>
      </c>
      <c r="AA10" s="22">
        <f>0.0978728528</f>
        <v>0.0978728528</v>
      </c>
      <c r="AB10" s="22">
        <f>0.07841916879</f>
        <v>0.07841916879</v>
      </c>
      <c r="AC10" s="22">
        <f>0.07577762643</f>
        <v>0.07577762643</v>
      </c>
      <c r="AD10" s="22">
        <f>0.1995921503</f>
        <v>0.1995921503</v>
      </c>
      <c r="AE10" s="22">
        <f>0.08305597551</f>
        <v>0.08305597551</v>
      </c>
      <c r="AF10" s="22">
        <f>0.08258249271</f>
        <v>0.08258249271</v>
      </c>
      <c r="AG10" s="22">
        <f>0.09046889112/2</f>
        <v>0.04523444556</v>
      </c>
      <c r="AH10" s="22">
        <f>0.08740939475</f>
        <v>0.08740939475</v>
      </c>
      <c r="AI10" s="22">
        <f>0.08122933941</f>
        <v>0.08122933941</v>
      </c>
      <c r="AJ10" s="22">
        <f>0.06631746393</f>
        <v>0.06631746393</v>
      </c>
      <c r="AK10" s="22">
        <f>0.08252684512</f>
        <v>0.08252684512</v>
      </c>
      <c r="AL10" s="22">
        <f>0.07276911676</f>
        <v>0.07276911676</v>
      </c>
      <c r="AM10" s="22">
        <f>0.07847705714</f>
        <v>0.07847705714</v>
      </c>
      <c r="AN10" s="22">
        <f>0.06383069738</f>
        <v>0.06383069738</v>
      </c>
      <c r="AO10" s="22">
        <f>0.08792028718</f>
        <v>0.08792028718</v>
      </c>
      <c r="AP10" s="22">
        <f>0.05352532246</f>
        <v>0.05352532246</v>
      </c>
    </row>
    <row r="11">
      <c r="A11" s="24">
        <v>10.0</v>
      </c>
      <c r="B11" s="25" t="s">
        <v>82</v>
      </c>
      <c r="C11" s="25" t="s">
        <v>83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38"/>
      <c r="V11" s="38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39">
        <f>0.1889221578/2</f>
        <v>0.0944610789</v>
      </c>
      <c r="AH11" s="27"/>
      <c r="AI11" s="27"/>
      <c r="AJ11" s="27"/>
      <c r="AK11" s="27"/>
      <c r="AL11" s="27"/>
      <c r="AM11" s="27"/>
      <c r="AN11" s="27"/>
      <c r="AO11" s="27"/>
      <c r="AP11" s="27"/>
    </row>
    <row r="12">
      <c r="A12" s="18">
        <v>11.0</v>
      </c>
      <c r="B12" s="19" t="s">
        <v>84</v>
      </c>
      <c r="C12" s="19" t="s">
        <v>85</v>
      </c>
      <c r="D12" s="23"/>
      <c r="E12" s="23"/>
      <c r="F12" s="23"/>
      <c r="G12" s="23"/>
      <c r="H12" s="23"/>
      <c r="I12" s="22">
        <v>0.06714921746</v>
      </c>
      <c r="J12" s="23"/>
      <c r="K12" s="22">
        <f>0.1020936692</f>
        <v>0.1020936692</v>
      </c>
      <c r="L12" s="22">
        <f>0.06570755905</f>
        <v>0.06570755905</v>
      </c>
      <c r="M12" s="22">
        <f>0.08253787078+0.1075451862</f>
        <v>0.190083057</v>
      </c>
      <c r="N12" s="22">
        <f>0.09683392358</f>
        <v>0.09683392358</v>
      </c>
      <c r="O12" s="22">
        <f>0.1195075149/2+0.05476376904/2</f>
        <v>0.08713564197</v>
      </c>
      <c r="P12" s="22">
        <f>0.1099998025/2</f>
        <v>0.05499990125</v>
      </c>
      <c r="Q12" s="23"/>
      <c r="R12" s="22">
        <f>0.1174598139</f>
        <v>0.1174598139</v>
      </c>
      <c r="S12" s="22">
        <f>0.1308706637</f>
        <v>0.1308706637</v>
      </c>
      <c r="T12" s="22">
        <f>0.1470925874</f>
        <v>0.1470925874</v>
      </c>
      <c r="U12" s="36">
        <f>0.1463428499</f>
        <v>0.1463428499</v>
      </c>
      <c r="V12" s="36">
        <f>0.08890627335+0.08841115301</f>
        <v>0.1773174264</v>
      </c>
      <c r="W12" s="22">
        <f>0.07977320518+0.03814600431</f>
        <v>0.1179192095</v>
      </c>
      <c r="X12" s="22">
        <f>0.07857746256+0.06704298776+0.03105156991</f>
        <v>0.1766720202</v>
      </c>
      <c r="Y12" s="22">
        <f>0.07355687952+0.07649195671</f>
        <v>0.1500488362</v>
      </c>
      <c r="Z12" s="22">
        <f>0.05216046749+0.1039392957</f>
        <v>0.1560997632</v>
      </c>
      <c r="AA12" s="22">
        <f>0.08395073787+0.05888819305+0.1030398815</f>
        <v>0.2458788124</v>
      </c>
      <c r="AB12" s="22">
        <f>0.1187966891+0.09926420865</f>
        <v>0.2180608978</v>
      </c>
      <c r="AC12" s="22">
        <f>0.1140680882+0.1106655805+0.07364757174</f>
        <v>0.2983812404</v>
      </c>
      <c r="AD12" s="22">
        <f>0.09024569913+0.02094685349+0.1355443873+0.09236655996</f>
        <v>0.3391034999</v>
      </c>
      <c r="AE12" s="22">
        <f>0.09531901362+0.1032151373</f>
        <v>0.1985341509</v>
      </c>
      <c r="AF12" s="22">
        <f>0.1477410872</f>
        <v>0.1477410872</v>
      </c>
      <c r="AG12" s="22">
        <f>0.111345167</f>
        <v>0.111345167</v>
      </c>
      <c r="AH12" s="22">
        <f>0.1151018986</f>
        <v>0.1151018986</v>
      </c>
      <c r="AI12" s="22">
        <f>0.06474108453/2+0.1043871716</f>
        <v>0.1367577139</v>
      </c>
      <c r="AJ12" s="22">
        <f>0.07359635052</f>
        <v>0.07359635052</v>
      </c>
      <c r="AK12" s="22">
        <f>0.1154315722</f>
        <v>0.1154315722</v>
      </c>
      <c r="AL12" s="22">
        <f>0.1179472428/2</f>
        <v>0.0589736214</v>
      </c>
      <c r="AM12" s="22">
        <f>0.0863131771+0.07626311301</f>
        <v>0.1625762901</v>
      </c>
      <c r="AN12" s="22">
        <f>0.1170912121</f>
        <v>0.1170912121</v>
      </c>
      <c r="AO12" s="22">
        <f>0.1205188267+0.09012764873</f>
        <v>0.2106464754</v>
      </c>
      <c r="AP12" s="23"/>
    </row>
    <row r="13">
      <c r="A13" s="24">
        <v>12.0</v>
      </c>
      <c r="B13" s="25" t="s">
        <v>86</v>
      </c>
      <c r="C13" s="25" t="s">
        <v>87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38"/>
      <c r="V13" s="38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</row>
    <row r="14">
      <c r="A14" s="18">
        <v>13.0</v>
      </c>
      <c r="B14" s="19" t="s">
        <v>88</v>
      </c>
      <c r="C14" s="28"/>
      <c r="D14" s="23"/>
      <c r="E14" s="23"/>
      <c r="F14" s="23"/>
      <c r="G14" s="23"/>
      <c r="H14" s="23"/>
      <c r="I14" s="23"/>
      <c r="J14" s="23"/>
      <c r="K14" s="22">
        <f>0.05168506523</f>
        <v>0.05168506523</v>
      </c>
      <c r="L14" s="22">
        <f>0.09455241416/2+0.06845994367+0.1298548527</f>
        <v>0.2455910035</v>
      </c>
      <c r="M14" s="22">
        <f>0.08094868606+0.1097010912</f>
        <v>0.1906497773</v>
      </c>
      <c r="N14" s="22">
        <f>0.1220542668</f>
        <v>0.1220542668</v>
      </c>
      <c r="O14" s="22">
        <f>0.1245749794/2</f>
        <v>0.0622874897</v>
      </c>
      <c r="P14" s="22">
        <f>0.1072408501</f>
        <v>0.1072408501</v>
      </c>
      <c r="Q14" s="22">
        <f>0.09629387262</f>
        <v>0.09629387262</v>
      </c>
      <c r="R14" s="23"/>
      <c r="S14" s="22">
        <f>0.1141621405</f>
        <v>0.1141621405</v>
      </c>
      <c r="T14" s="22">
        <f>0.04685285417/2</f>
        <v>0.02342642709</v>
      </c>
      <c r="U14" s="37"/>
      <c r="V14" s="36">
        <v>0.08806077906</v>
      </c>
      <c r="W14" s="23"/>
      <c r="X14" s="22">
        <v>0.08422694377</v>
      </c>
      <c r="Y14" s="23"/>
      <c r="Z14" s="23"/>
      <c r="AA14" s="23"/>
      <c r="AB14" s="23"/>
      <c r="AC14" s="23"/>
      <c r="AD14" s="23"/>
      <c r="AE14" s="23"/>
      <c r="AF14" s="23"/>
      <c r="AG14" s="22">
        <f>0.1123015269/2</f>
        <v>0.05615076345</v>
      </c>
      <c r="AH14" s="23"/>
      <c r="AI14" s="22">
        <f>0.07535689151</f>
        <v>0.07535689151</v>
      </c>
      <c r="AJ14" s="23"/>
      <c r="AK14" s="23"/>
      <c r="AL14" s="23"/>
      <c r="AM14" s="22">
        <f>0.07599868213</f>
        <v>0.07599868213</v>
      </c>
      <c r="AN14" s="23"/>
      <c r="AO14" s="23"/>
      <c r="AP14" s="23"/>
    </row>
    <row r="15">
      <c r="A15" s="18">
        <v>101.0</v>
      </c>
      <c r="B15" s="19" t="s">
        <v>89</v>
      </c>
      <c r="C15" s="19" t="s">
        <v>90</v>
      </c>
      <c r="D15" s="21">
        <f>0.04048588149+0.1971329682/2</f>
        <v>0.1390523656</v>
      </c>
      <c r="E15" s="21">
        <f>14.28133678%/2</f>
        <v>0.0714066839</v>
      </c>
      <c r="F15" s="23"/>
      <c r="G15" s="23"/>
      <c r="H15" s="23"/>
      <c r="I15" s="23"/>
      <c r="J15" s="23"/>
      <c r="K15" s="23"/>
      <c r="L15" s="22">
        <f>0.1960046836/2</f>
        <v>0.0980023418</v>
      </c>
      <c r="M15" s="23"/>
      <c r="N15" s="23"/>
      <c r="O15" s="23"/>
      <c r="P15" s="23"/>
      <c r="Q15" s="23"/>
      <c r="R15" s="23"/>
      <c r="S15" s="23"/>
      <c r="T15" s="23"/>
      <c r="U15" s="37"/>
      <c r="V15" s="37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2">
        <f>0.02024979948/2</f>
        <v>0.01012489974</v>
      </c>
      <c r="AJ15" s="23"/>
      <c r="AK15" s="22">
        <f>0.114317996</f>
        <v>0.114317996</v>
      </c>
      <c r="AL15" s="22">
        <f>0.06201860836</f>
        <v>0.06201860836</v>
      </c>
      <c r="AM15" s="22">
        <f>0.04074040616/2</f>
        <v>0.02037020308</v>
      </c>
      <c r="AN15" s="22">
        <f>0.03508586403/2</f>
        <v>0.01754293202</v>
      </c>
      <c r="AO15" s="23"/>
      <c r="AP15" s="22">
        <f>0.03849669999/2</f>
        <v>0.01924835</v>
      </c>
    </row>
    <row r="16">
      <c r="A16" s="18">
        <v>102.0</v>
      </c>
      <c r="B16" s="19" t="s">
        <v>91</v>
      </c>
      <c r="C16" s="19" t="s">
        <v>92</v>
      </c>
      <c r="D16" s="23"/>
      <c r="E16" s="23"/>
      <c r="F16" s="21">
        <f>0.1514501995/2</f>
        <v>0.07572509975</v>
      </c>
      <c r="G16" s="23"/>
      <c r="H16" s="23"/>
      <c r="I16" s="23"/>
      <c r="J16" s="22">
        <f>0.2047681472/2</f>
        <v>0.1023840736</v>
      </c>
      <c r="K16" s="22">
        <f>0.2111602903/3</f>
        <v>0.07038676343</v>
      </c>
      <c r="L16" s="23"/>
      <c r="M16" s="22">
        <f>0.1620871345</f>
        <v>0.1620871345</v>
      </c>
      <c r="N16" s="23"/>
      <c r="O16" s="23"/>
      <c r="P16" s="23"/>
      <c r="Q16" s="23"/>
      <c r="R16" s="22">
        <f>0.1878707416/2</f>
        <v>0.0939353708</v>
      </c>
      <c r="S16" s="23"/>
      <c r="T16" s="23"/>
      <c r="U16" s="37"/>
      <c r="V16" s="37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2">
        <f>0.1601339881/2</f>
        <v>0.08006699405</v>
      </c>
      <c r="AP16" s="23"/>
    </row>
    <row r="17">
      <c r="A17" s="24">
        <v>103.0</v>
      </c>
      <c r="B17" s="25" t="s">
        <v>93</v>
      </c>
      <c r="C17" s="25" t="s">
        <v>94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38"/>
      <c r="V17" s="38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</row>
    <row r="18">
      <c r="A18" s="18">
        <v>104.0</v>
      </c>
      <c r="B18" s="19" t="s">
        <v>95</v>
      </c>
      <c r="C18" s="19" t="s">
        <v>95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37"/>
      <c r="V18" s="37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</row>
    <row r="19">
      <c r="A19" s="18">
        <v>105.0</v>
      </c>
      <c r="B19" s="19" t="s">
        <v>96</v>
      </c>
      <c r="C19" s="19" t="s">
        <v>97</v>
      </c>
      <c r="D19" s="21">
        <f>0.077921032/2</f>
        <v>0.038960516</v>
      </c>
      <c r="E19" s="21">
        <f>14.28133678%/2</f>
        <v>0.0714066839</v>
      </c>
      <c r="F19" s="23"/>
      <c r="G19" s="21">
        <f>0.09282768636/2</f>
        <v>0.04641384318</v>
      </c>
      <c r="H19" s="23"/>
      <c r="I19" s="22">
        <v>0.127414041</v>
      </c>
      <c r="J19" s="23"/>
      <c r="K19" s="22">
        <f>0.05780912643</f>
        <v>0.05780912643</v>
      </c>
      <c r="L19" s="22">
        <f>0.1028091458</f>
        <v>0.1028091458</v>
      </c>
      <c r="M19" s="23"/>
      <c r="N19" s="22">
        <f>0.1074196176</f>
        <v>0.1074196176</v>
      </c>
      <c r="O19" s="23"/>
      <c r="P19" s="23"/>
      <c r="Q19" s="22">
        <f>0.1111421143</f>
        <v>0.1111421143</v>
      </c>
      <c r="R19" s="23"/>
      <c r="S19" s="22">
        <f>0.0660060074/3</f>
        <v>0.02200200247</v>
      </c>
      <c r="T19" s="23"/>
      <c r="U19" s="37"/>
      <c r="V19" s="37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</row>
    <row r="20">
      <c r="A20" s="18">
        <v>106.0</v>
      </c>
      <c r="B20" s="19" t="s">
        <v>98</v>
      </c>
      <c r="C20" s="19" t="s">
        <v>99</v>
      </c>
      <c r="D20" s="21"/>
      <c r="E20" s="21"/>
      <c r="F20" s="21"/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37"/>
      <c r="V20" s="37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</row>
    <row r="21">
      <c r="A21" s="24">
        <v>107.0</v>
      </c>
      <c r="B21" s="25" t="s">
        <v>100</v>
      </c>
      <c r="C21" s="25" t="s">
        <v>101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8"/>
      <c r="V21" s="38"/>
      <c r="W21" s="39">
        <v>0.1139865263</v>
      </c>
      <c r="X21" s="27"/>
      <c r="Y21" s="27"/>
      <c r="Z21" s="27"/>
      <c r="AA21" s="39">
        <f>0.1057673621</f>
        <v>0.1057673621</v>
      </c>
      <c r="AB21" s="27"/>
      <c r="AC21" s="27"/>
      <c r="AD21" s="27"/>
      <c r="AE21" s="27"/>
      <c r="AF21" s="27"/>
      <c r="AG21" s="39">
        <f>0.1173461003</f>
        <v>0.1173461003</v>
      </c>
      <c r="AH21" s="39">
        <f>0.100428961</f>
        <v>0.100428961</v>
      </c>
      <c r="AI21" s="27"/>
      <c r="AJ21" s="27"/>
      <c r="AK21" s="27"/>
      <c r="AL21" s="27"/>
      <c r="AM21" s="27"/>
      <c r="AN21" s="27"/>
      <c r="AO21" s="27"/>
      <c r="AP21" s="27"/>
    </row>
    <row r="22">
      <c r="A22" s="18">
        <v>108.0</v>
      </c>
      <c r="B22" s="19" t="s">
        <v>102</v>
      </c>
      <c r="C22" s="1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37"/>
      <c r="V22" s="36">
        <v>0.09698664459</v>
      </c>
      <c r="W22" s="23"/>
      <c r="X22" s="22">
        <v>0.09977429744</v>
      </c>
      <c r="Y22" s="23"/>
      <c r="Z22" s="22">
        <v>0.1130329826</v>
      </c>
      <c r="AA22" s="23"/>
      <c r="AB22" s="23"/>
      <c r="AC22" s="23"/>
      <c r="AD22" s="23"/>
      <c r="AE22" s="22">
        <f>0.09294600466</f>
        <v>0.09294600466</v>
      </c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</row>
    <row r="23">
      <c r="A23" s="18">
        <v>99.0</v>
      </c>
      <c r="B23" s="19" t="s">
        <v>103</v>
      </c>
      <c r="C23" s="19" t="s">
        <v>103</v>
      </c>
      <c r="D23" s="23">
        <f>0.08138413012+0.09156849128+0.04075666289</f>
        <v>0.2137092843</v>
      </c>
      <c r="E23" s="23">
        <f>0.06580565435+0.09010277593</f>
        <v>0.1559084303</v>
      </c>
      <c r="F23" s="23">
        <f>0.06075850274+0.06594713057</f>
        <v>0.1267056333</v>
      </c>
      <c r="G23" s="23">
        <f>0.04163137434+0.07726021702+0.07694301561</f>
        <v>0.195834607</v>
      </c>
      <c r="H23" s="21">
        <v>0.05345016318</v>
      </c>
      <c r="I23" s="22">
        <v>0.03894687043</v>
      </c>
      <c r="J23" s="22">
        <f>0.06446733902+0.04293749366</f>
        <v>0.1074048327</v>
      </c>
      <c r="K23" s="22">
        <f>0.08603734441</f>
        <v>0.08603734441</v>
      </c>
      <c r="L23" s="22">
        <f>0.08628542732</f>
        <v>0.08628542732</v>
      </c>
      <c r="M23" s="22">
        <f>0.03060731575</f>
        <v>0.03060731575</v>
      </c>
      <c r="N23" s="22">
        <f>0.0269539768+0.0497975799</f>
        <v>0.0767515567</v>
      </c>
      <c r="O23" s="22">
        <f>0.07553775486+0.0421143023</f>
        <v>0.1176520572</v>
      </c>
      <c r="P23" s="22">
        <f>0.08643172608+0.0454450318</f>
        <v>0.1318767579</v>
      </c>
      <c r="Q23" s="23"/>
      <c r="R23" s="22">
        <f>0.1121408967+0.1032789179</f>
        <v>0.2154198146</v>
      </c>
      <c r="S23" s="22">
        <f>0.0666831138+0.09818347232</f>
        <v>0.1648665861</v>
      </c>
      <c r="T23" s="22">
        <f>0.0652076256+0.07014327619</f>
        <v>0.1353509018</v>
      </c>
      <c r="U23" s="36">
        <f>0.04629948787+0.1779114848+0.053955336734806</f>
        <v>0.2781663094</v>
      </c>
      <c r="V23" s="36">
        <v>0.04036703998</v>
      </c>
      <c r="W23" s="22">
        <v>0.04702914706</v>
      </c>
      <c r="X23" s="23"/>
      <c r="Y23" s="23"/>
      <c r="Z23" s="23"/>
      <c r="AA23" s="23"/>
      <c r="AB23" s="22">
        <f>0.0766516754</f>
        <v>0.0766516754</v>
      </c>
      <c r="AC23" s="22">
        <f>0.0431672759</f>
        <v>0.0431672759</v>
      </c>
      <c r="AD23" s="23"/>
      <c r="AE23" s="23"/>
      <c r="AF23" s="23"/>
      <c r="AG23" s="22">
        <f>0.0144935606</f>
        <v>0.0144935606</v>
      </c>
      <c r="AH23" s="23"/>
      <c r="AI23" s="23"/>
      <c r="AJ23" s="23"/>
      <c r="AK23" s="23"/>
      <c r="AL23" s="22">
        <f>0.1311445652</f>
        <v>0.1311445652</v>
      </c>
      <c r="AM23" s="23"/>
      <c r="AN23" s="23"/>
      <c r="AO23" s="23"/>
      <c r="AP23" s="23"/>
    </row>
    <row r="24">
      <c r="A24" s="29" t="s">
        <v>104</v>
      </c>
      <c r="B24" s="28"/>
      <c r="C24" s="28"/>
      <c r="D24" s="30">
        <f t="shared" ref="D24:AP24" si="4">SUM(D2:D23)</f>
        <v>1</v>
      </c>
      <c r="E24" s="30">
        <f t="shared" si="4"/>
        <v>1</v>
      </c>
      <c r="F24" s="30">
        <f t="shared" si="4"/>
        <v>1</v>
      </c>
      <c r="G24" s="30">
        <f t="shared" si="4"/>
        <v>1</v>
      </c>
      <c r="H24" s="30">
        <f t="shared" si="4"/>
        <v>1</v>
      </c>
      <c r="I24" s="30">
        <f t="shared" si="4"/>
        <v>1</v>
      </c>
      <c r="J24" s="30">
        <f t="shared" si="4"/>
        <v>1</v>
      </c>
      <c r="K24" s="30">
        <f t="shared" si="4"/>
        <v>1</v>
      </c>
      <c r="L24" s="30">
        <f t="shared" si="4"/>
        <v>1</v>
      </c>
      <c r="M24" s="30">
        <f t="shared" si="4"/>
        <v>0.9999999999</v>
      </c>
      <c r="N24" s="30">
        <f t="shared" si="4"/>
        <v>1</v>
      </c>
      <c r="O24" s="30">
        <f t="shared" si="4"/>
        <v>1</v>
      </c>
      <c r="P24" s="30">
        <f t="shared" si="4"/>
        <v>1</v>
      </c>
      <c r="Q24" s="30">
        <f t="shared" si="4"/>
        <v>1</v>
      </c>
      <c r="R24" s="30">
        <f t="shared" si="4"/>
        <v>1</v>
      </c>
      <c r="S24" s="30">
        <f t="shared" si="4"/>
        <v>0.9999999998</v>
      </c>
      <c r="T24" s="30">
        <f t="shared" si="4"/>
        <v>1</v>
      </c>
      <c r="U24" s="40">
        <f t="shared" si="4"/>
        <v>1</v>
      </c>
      <c r="V24" s="40">
        <f t="shared" si="4"/>
        <v>1</v>
      </c>
      <c r="W24" s="30">
        <f t="shared" si="4"/>
        <v>1</v>
      </c>
      <c r="X24" s="30">
        <f t="shared" si="4"/>
        <v>0.9999999999</v>
      </c>
      <c r="Y24" s="30">
        <f t="shared" si="4"/>
        <v>0.9999999999</v>
      </c>
      <c r="Z24" s="30">
        <f t="shared" si="4"/>
        <v>1</v>
      </c>
      <c r="AA24" s="30">
        <f t="shared" si="4"/>
        <v>1</v>
      </c>
      <c r="AB24" s="30">
        <f t="shared" si="4"/>
        <v>1</v>
      </c>
      <c r="AC24" s="30">
        <f t="shared" si="4"/>
        <v>1</v>
      </c>
      <c r="AD24" s="30">
        <f t="shared" si="4"/>
        <v>1</v>
      </c>
      <c r="AE24" s="30">
        <f t="shared" si="4"/>
        <v>1</v>
      </c>
      <c r="AF24" s="30">
        <f t="shared" si="4"/>
        <v>1</v>
      </c>
      <c r="AG24" s="30">
        <f t="shared" si="4"/>
        <v>1</v>
      </c>
      <c r="AH24" s="30">
        <f t="shared" si="4"/>
        <v>1</v>
      </c>
      <c r="AI24" s="30">
        <f t="shared" si="4"/>
        <v>1</v>
      </c>
      <c r="AJ24" s="30">
        <f t="shared" si="4"/>
        <v>1</v>
      </c>
      <c r="AK24" s="30">
        <f t="shared" si="4"/>
        <v>1</v>
      </c>
      <c r="AL24" s="30">
        <f t="shared" si="4"/>
        <v>1</v>
      </c>
      <c r="AM24" s="30">
        <f t="shared" si="4"/>
        <v>0.9999999999</v>
      </c>
      <c r="AN24" s="30">
        <f t="shared" si="4"/>
        <v>1</v>
      </c>
      <c r="AO24" s="30">
        <f t="shared" si="4"/>
        <v>1</v>
      </c>
      <c r="AP24" s="30">
        <f t="shared" si="4"/>
        <v>0.9999999999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11"/>
  </cols>
  <sheetData>
    <row r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>
      <c r="A2" s="8" t="s">
        <v>23</v>
      </c>
      <c r="B2" s="9">
        <v>5.0</v>
      </c>
      <c r="C2" s="9">
        <v>28.0</v>
      </c>
      <c r="D2" s="9">
        <v>28.0</v>
      </c>
      <c r="E2" s="9">
        <v>24.0</v>
      </c>
      <c r="F2" s="9">
        <v>15.0</v>
      </c>
    </row>
    <row r="3">
      <c r="A3" s="10" t="s">
        <v>24</v>
      </c>
      <c r="B3" s="11">
        <v>5.0</v>
      </c>
      <c r="C3" s="11">
        <v>13.0</v>
      </c>
      <c r="D3" s="11">
        <v>20.0</v>
      </c>
      <c r="E3" s="11">
        <v>24.0</v>
      </c>
      <c r="F3" s="11">
        <v>39.0</v>
      </c>
    </row>
    <row r="4">
      <c r="A4" s="8" t="s">
        <v>25</v>
      </c>
      <c r="B4" s="9">
        <v>4.0</v>
      </c>
      <c r="C4" s="9">
        <v>8.0</v>
      </c>
      <c r="D4" s="9">
        <v>15.0</v>
      </c>
      <c r="E4" s="9">
        <v>21.0</v>
      </c>
      <c r="F4" s="9">
        <v>53.0</v>
      </c>
    </row>
    <row r="5">
      <c r="A5" s="10" t="s">
        <v>26</v>
      </c>
      <c r="B5" s="11">
        <v>10.0</v>
      </c>
      <c r="C5" s="11">
        <v>13.0</v>
      </c>
      <c r="D5" s="11">
        <v>16.0</v>
      </c>
      <c r="E5" s="11">
        <v>25.0</v>
      </c>
      <c r="F5" s="11">
        <v>36.0</v>
      </c>
    </row>
    <row r="6">
      <c r="A6" s="8" t="s">
        <v>27</v>
      </c>
      <c r="B6" s="9">
        <v>14.0</v>
      </c>
      <c r="C6" s="9">
        <v>22.0</v>
      </c>
      <c r="D6" s="9">
        <v>22.0</v>
      </c>
      <c r="E6" s="9">
        <v>23.0</v>
      </c>
      <c r="F6" s="9">
        <v>19.0</v>
      </c>
    </row>
    <row r="7">
      <c r="A7" s="10" t="s">
        <v>28</v>
      </c>
      <c r="B7" s="11">
        <v>10.0</v>
      </c>
      <c r="C7" s="11">
        <v>19.0</v>
      </c>
      <c r="D7" s="11">
        <v>23.0</v>
      </c>
      <c r="E7" s="11">
        <v>21.0</v>
      </c>
      <c r="F7" s="11">
        <v>26.0</v>
      </c>
    </row>
    <row r="8">
      <c r="A8" s="8" t="s">
        <v>29</v>
      </c>
      <c r="B8" s="9">
        <v>9.0</v>
      </c>
      <c r="C8" s="9">
        <v>16.0</v>
      </c>
      <c r="D8" s="9">
        <v>14.0</v>
      </c>
      <c r="E8" s="9">
        <v>24.0</v>
      </c>
      <c r="F8" s="9">
        <v>36.0</v>
      </c>
    </row>
    <row r="9">
      <c r="A9" s="12" t="s">
        <v>5</v>
      </c>
      <c r="B9" s="13">
        <v>9.0</v>
      </c>
      <c r="C9" s="13">
        <v>14.0</v>
      </c>
      <c r="D9" s="13">
        <v>17.0</v>
      </c>
      <c r="E9" s="13">
        <v>23.0</v>
      </c>
      <c r="F9" s="13">
        <v>37.0</v>
      </c>
    </row>
    <row r="10">
      <c r="A10" s="14" t="s">
        <v>6</v>
      </c>
      <c r="B10" s="15">
        <v>6.0</v>
      </c>
      <c r="C10" s="15">
        <v>14.0</v>
      </c>
      <c r="D10" s="15">
        <v>13.0</v>
      </c>
      <c r="E10" s="15">
        <v>23.0</v>
      </c>
      <c r="F10" s="15">
        <v>44.0</v>
      </c>
    </row>
    <row r="11">
      <c r="A11" s="12" t="s">
        <v>7</v>
      </c>
      <c r="B11" s="13">
        <v>4.0</v>
      </c>
      <c r="C11" s="13">
        <v>12.0</v>
      </c>
      <c r="D11" s="13">
        <v>11.0</v>
      </c>
      <c r="E11" s="13">
        <v>22.0</v>
      </c>
      <c r="F11" s="13">
        <v>50.0</v>
      </c>
    </row>
    <row r="12">
      <c r="A12" s="14" t="s">
        <v>8</v>
      </c>
      <c r="B12" s="15">
        <v>5.0</v>
      </c>
      <c r="C12" s="15">
        <v>10.0</v>
      </c>
      <c r="D12" s="15">
        <v>12.0</v>
      </c>
      <c r="E12" s="15">
        <v>17.0</v>
      </c>
      <c r="F12" s="15">
        <v>55.0</v>
      </c>
    </row>
    <row r="13">
      <c r="A13" s="12" t="s">
        <v>9</v>
      </c>
      <c r="B13" s="13">
        <v>9.0</v>
      </c>
      <c r="C13" s="13">
        <v>13.0</v>
      </c>
      <c r="D13" s="13">
        <v>12.0</v>
      </c>
      <c r="E13" s="13">
        <v>20.0</v>
      </c>
      <c r="F13" s="13">
        <v>46.0</v>
      </c>
    </row>
    <row r="14">
      <c r="A14" s="14" t="s">
        <v>10</v>
      </c>
      <c r="B14" s="15">
        <v>8.0</v>
      </c>
      <c r="C14" s="15">
        <v>10.0</v>
      </c>
      <c r="D14" s="15">
        <v>13.0</v>
      </c>
      <c r="E14" s="15">
        <v>24.0</v>
      </c>
      <c r="F14" s="15">
        <v>44.0</v>
      </c>
    </row>
    <row r="15">
      <c r="A15" s="12" t="s">
        <v>11</v>
      </c>
      <c r="B15" s="13">
        <v>8.0</v>
      </c>
      <c r="C15" s="13">
        <v>15.0</v>
      </c>
      <c r="D15" s="13">
        <v>12.0</v>
      </c>
      <c r="E15" s="13">
        <v>28.0</v>
      </c>
      <c r="F15" s="13">
        <v>37.0</v>
      </c>
    </row>
    <row r="16">
      <c r="A16" s="14" t="s">
        <v>12</v>
      </c>
      <c r="B16" s="15">
        <v>12.0</v>
      </c>
      <c r="C16" s="15">
        <v>23.0</v>
      </c>
      <c r="D16" s="15">
        <v>17.0</v>
      </c>
      <c r="E16" s="15">
        <v>27.0</v>
      </c>
      <c r="F16" s="15">
        <v>21.0</v>
      </c>
    </row>
    <row r="17">
      <c r="A17" s="12" t="s">
        <v>13</v>
      </c>
      <c r="B17" s="13">
        <v>14.0</v>
      </c>
      <c r="C17" s="13">
        <v>29.0</v>
      </c>
      <c r="D17" s="13">
        <v>20.0</v>
      </c>
      <c r="E17" s="13">
        <v>24.0</v>
      </c>
      <c r="F17" s="13">
        <v>13.0</v>
      </c>
    </row>
    <row r="18">
      <c r="A18" s="14" t="s">
        <v>14</v>
      </c>
      <c r="B18" s="15">
        <v>16.0</v>
      </c>
      <c r="C18" s="15">
        <v>31.0</v>
      </c>
      <c r="D18" s="15">
        <v>22.0</v>
      </c>
      <c r="E18" s="15">
        <v>21.0</v>
      </c>
      <c r="F18" s="15">
        <v>9.0</v>
      </c>
    </row>
    <row r="19">
      <c r="A19" s="12" t="s">
        <v>15</v>
      </c>
      <c r="B19" s="13">
        <v>14.0</v>
      </c>
      <c r="C19" s="13">
        <v>28.0</v>
      </c>
      <c r="D19" s="13">
        <v>22.0</v>
      </c>
      <c r="E19" s="13">
        <v>22.0</v>
      </c>
      <c r="F19" s="13">
        <v>13.0</v>
      </c>
    </row>
    <row r="20">
      <c r="A20" s="14" t="s">
        <v>16</v>
      </c>
      <c r="B20" s="15">
        <v>12.0</v>
      </c>
      <c r="C20" s="15">
        <v>30.0</v>
      </c>
      <c r="D20" s="15">
        <v>21.0</v>
      </c>
      <c r="E20" s="15">
        <v>23.0</v>
      </c>
      <c r="F20" s="15">
        <v>13.0</v>
      </c>
    </row>
    <row r="21">
      <c r="A21" s="12" t="s">
        <v>17</v>
      </c>
      <c r="B21" s="13">
        <v>10.0</v>
      </c>
      <c r="C21" s="13">
        <v>26.0</v>
      </c>
      <c r="D21" s="13">
        <v>22.0</v>
      </c>
      <c r="E21" s="13">
        <v>25.0</v>
      </c>
      <c r="F21" s="13">
        <v>17.0</v>
      </c>
    </row>
    <row r="22">
      <c r="A22" s="14" t="s">
        <v>18</v>
      </c>
      <c r="B22" s="15">
        <v>7.0</v>
      </c>
      <c r="C22" s="15">
        <v>28.0</v>
      </c>
      <c r="D22" s="15">
        <v>23.0</v>
      </c>
      <c r="E22" s="15">
        <v>23.0</v>
      </c>
      <c r="F22" s="15">
        <v>19.0</v>
      </c>
    </row>
    <row r="23">
      <c r="A23" s="12" t="s">
        <v>19</v>
      </c>
      <c r="B23" s="13">
        <v>11.0</v>
      </c>
      <c r="C23" s="13">
        <v>34.0</v>
      </c>
      <c r="D23" s="13">
        <v>23.0</v>
      </c>
      <c r="E23" s="13">
        <v>21.0</v>
      </c>
      <c r="F23" s="13">
        <v>12.0</v>
      </c>
    </row>
    <row r="24">
      <c r="A24" s="14" t="s">
        <v>20</v>
      </c>
      <c r="B24" s="15">
        <v>7.0</v>
      </c>
      <c r="C24" s="15">
        <v>34.0</v>
      </c>
      <c r="D24" s="15">
        <v>21.0</v>
      </c>
      <c r="E24" s="15">
        <v>24.0</v>
      </c>
      <c r="F24" s="15">
        <v>14.0</v>
      </c>
    </row>
    <row r="25">
      <c r="A25" s="12" t="s">
        <v>21</v>
      </c>
      <c r="B25" s="13">
        <v>8.0</v>
      </c>
      <c r="C25" s="13">
        <v>32.0</v>
      </c>
      <c r="D25" s="13">
        <v>20.0</v>
      </c>
      <c r="E25" s="13">
        <v>25.0</v>
      </c>
      <c r="F25" s="13">
        <v>15.0</v>
      </c>
    </row>
    <row r="26">
      <c r="A26" s="14" t="s">
        <v>22</v>
      </c>
      <c r="B26" s="15">
        <v>4.0</v>
      </c>
      <c r="C26" s="15">
        <v>24.0</v>
      </c>
      <c r="D26" s="15">
        <v>15.0</v>
      </c>
      <c r="E26" s="15">
        <v>31.0</v>
      </c>
      <c r="F26" s="15">
        <v>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6" t="s">
        <v>30</v>
      </c>
      <c r="C1" s="16" t="s">
        <v>31</v>
      </c>
      <c r="D1" s="16" t="s">
        <v>32</v>
      </c>
      <c r="E1" s="16" t="s">
        <v>33</v>
      </c>
    </row>
    <row r="2">
      <c r="A2" s="14" t="s">
        <v>5</v>
      </c>
      <c r="B2" s="15">
        <v>11.0</v>
      </c>
      <c r="C2" s="15">
        <v>44.0</v>
      </c>
      <c r="D2" s="15">
        <v>30.0</v>
      </c>
      <c r="E2" s="15">
        <v>15.0</v>
      </c>
    </row>
    <row r="3">
      <c r="A3" s="12" t="s">
        <v>6</v>
      </c>
      <c r="B3" s="13">
        <v>12.0</v>
      </c>
      <c r="C3" s="13">
        <v>46.0</v>
      </c>
      <c r="D3" s="13">
        <v>27.0</v>
      </c>
      <c r="E3" s="13">
        <v>14.0</v>
      </c>
    </row>
    <row r="4">
      <c r="A4" s="14" t="s">
        <v>7</v>
      </c>
      <c r="B4" s="15">
        <v>15.0</v>
      </c>
      <c r="C4" s="15">
        <v>44.0</v>
      </c>
      <c r="D4" s="15">
        <v>28.0</v>
      </c>
      <c r="E4" s="15">
        <v>13.0</v>
      </c>
    </row>
    <row r="5">
      <c r="A5" s="12" t="s">
        <v>8</v>
      </c>
      <c r="B5" s="13">
        <v>16.0</v>
      </c>
      <c r="C5" s="13">
        <v>43.0</v>
      </c>
      <c r="D5" s="13">
        <v>28.0</v>
      </c>
      <c r="E5" s="13">
        <v>13.0</v>
      </c>
    </row>
    <row r="6">
      <c r="A6" s="14" t="s">
        <v>9</v>
      </c>
      <c r="B6" s="15">
        <v>14.0</v>
      </c>
      <c r="C6" s="15">
        <v>39.0</v>
      </c>
      <c r="D6" s="15">
        <v>31.0</v>
      </c>
      <c r="E6" s="15">
        <v>16.0</v>
      </c>
    </row>
    <row r="7">
      <c r="A7" s="12" t="s">
        <v>10</v>
      </c>
      <c r="B7" s="13">
        <v>12.0</v>
      </c>
      <c r="C7" s="13">
        <v>42.0</v>
      </c>
      <c r="D7" s="13">
        <v>30.0</v>
      </c>
      <c r="E7" s="13">
        <v>15.0</v>
      </c>
    </row>
    <row r="8">
      <c r="A8" s="14" t="s">
        <v>11</v>
      </c>
      <c r="B8" s="15">
        <v>12.0</v>
      </c>
      <c r="C8" s="15">
        <v>44.0</v>
      </c>
      <c r="D8" s="15">
        <v>30.0</v>
      </c>
      <c r="E8" s="15">
        <v>15.0</v>
      </c>
    </row>
    <row r="9">
      <c r="A9" s="12" t="s">
        <v>12</v>
      </c>
      <c r="B9" s="13">
        <v>9.0</v>
      </c>
      <c r="C9" s="13">
        <v>39.0</v>
      </c>
      <c r="D9" s="13">
        <v>35.0</v>
      </c>
      <c r="E9" s="13">
        <v>18.0</v>
      </c>
    </row>
    <row r="10">
      <c r="A10" s="14" t="s">
        <v>13</v>
      </c>
      <c r="B10" s="15">
        <v>9.0</v>
      </c>
      <c r="C10" s="15">
        <v>40.0</v>
      </c>
      <c r="D10" s="15">
        <v>34.0</v>
      </c>
      <c r="E10" s="15">
        <v>18.0</v>
      </c>
    </row>
    <row r="11">
      <c r="A11" s="12" t="s">
        <v>14</v>
      </c>
      <c r="B11" s="13">
        <v>8.0</v>
      </c>
      <c r="C11" s="13">
        <v>39.0</v>
      </c>
      <c r="D11" s="13">
        <v>35.0</v>
      </c>
      <c r="E11" s="13">
        <v>18.0</v>
      </c>
    </row>
    <row r="12">
      <c r="A12" s="14" t="s">
        <v>15</v>
      </c>
      <c r="B12" s="15">
        <v>9.0</v>
      </c>
      <c r="C12" s="15">
        <v>38.0</v>
      </c>
      <c r="D12" s="15">
        <v>36.0</v>
      </c>
      <c r="E12" s="15">
        <v>16.0</v>
      </c>
    </row>
    <row r="13">
      <c r="A13" s="12" t="s">
        <v>16</v>
      </c>
      <c r="B13" s="13">
        <v>9.0</v>
      </c>
      <c r="C13" s="13">
        <v>43.0</v>
      </c>
      <c r="D13" s="13">
        <v>34.0</v>
      </c>
      <c r="E13" s="13">
        <v>14.0</v>
      </c>
    </row>
    <row r="14">
      <c r="A14" s="14" t="s">
        <v>17</v>
      </c>
      <c r="B14" s="15">
        <v>10.0</v>
      </c>
      <c r="C14" s="15">
        <v>41.0</v>
      </c>
      <c r="D14" s="15">
        <v>34.0</v>
      </c>
      <c r="E14" s="15">
        <v>16.0</v>
      </c>
    </row>
    <row r="15">
      <c r="A15" s="12" t="s">
        <v>18</v>
      </c>
      <c r="B15" s="13">
        <v>11.0</v>
      </c>
      <c r="C15" s="13">
        <v>42.0</v>
      </c>
      <c r="D15" s="13">
        <v>34.0</v>
      </c>
      <c r="E15" s="13">
        <v>13.0</v>
      </c>
    </row>
    <row r="16">
      <c r="A16" s="14" t="s">
        <v>19</v>
      </c>
      <c r="B16" s="15">
        <v>11.0</v>
      </c>
      <c r="C16" s="15">
        <v>38.0</v>
      </c>
      <c r="D16" s="15">
        <v>36.0</v>
      </c>
      <c r="E16" s="15">
        <v>15.0</v>
      </c>
    </row>
    <row r="17">
      <c r="A17" s="12" t="s">
        <v>20</v>
      </c>
      <c r="B17" s="13">
        <v>13.0</v>
      </c>
      <c r="C17" s="13">
        <v>43.0</v>
      </c>
      <c r="D17" s="13">
        <v>33.0</v>
      </c>
      <c r="E17" s="13">
        <v>12.0</v>
      </c>
    </row>
    <row r="18">
      <c r="A18" s="14" t="s">
        <v>21</v>
      </c>
      <c r="B18" s="15">
        <v>12.0</v>
      </c>
      <c r="C18" s="15">
        <v>42.0</v>
      </c>
      <c r="D18" s="15">
        <v>34.0</v>
      </c>
      <c r="E18" s="15">
        <v>12.0</v>
      </c>
    </row>
    <row r="19">
      <c r="A19" s="12" t="s">
        <v>22</v>
      </c>
      <c r="B19" s="13">
        <v>12.0</v>
      </c>
      <c r="C19" s="13">
        <v>45.0</v>
      </c>
      <c r="D19" s="13">
        <v>33.0</v>
      </c>
      <c r="E19" s="13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6" t="s">
        <v>30</v>
      </c>
      <c r="C1" s="16" t="s">
        <v>31</v>
      </c>
      <c r="D1" s="16" t="s">
        <v>32</v>
      </c>
      <c r="E1" s="16" t="s">
        <v>33</v>
      </c>
    </row>
    <row r="2">
      <c r="A2" s="14" t="s">
        <v>5</v>
      </c>
      <c r="B2" s="15">
        <v>16.0</v>
      </c>
      <c r="C2" s="15">
        <v>32.0</v>
      </c>
      <c r="D2" s="15">
        <v>35.0</v>
      </c>
      <c r="E2" s="15">
        <v>17.0</v>
      </c>
    </row>
    <row r="3">
      <c r="A3" s="12" t="s">
        <v>6</v>
      </c>
      <c r="B3" s="13">
        <v>18.0</v>
      </c>
      <c r="C3" s="13">
        <v>32.0</v>
      </c>
      <c r="D3" s="13">
        <v>35.0</v>
      </c>
      <c r="E3" s="13">
        <v>15.0</v>
      </c>
    </row>
    <row r="4">
      <c r="A4" s="14" t="s">
        <v>7</v>
      </c>
      <c r="B4" s="15">
        <v>18.0</v>
      </c>
      <c r="C4" s="15">
        <v>35.0</v>
      </c>
      <c r="D4" s="15">
        <v>31.0</v>
      </c>
      <c r="E4" s="15">
        <v>16.0</v>
      </c>
    </row>
    <row r="5">
      <c r="A5" s="12" t="s">
        <v>8</v>
      </c>
      <c r="B5" s="13">
        <v>20.0</v>
      </c>
      <c r="C5" s="13">
        <v>33.0</v>
      </c>
      <c r="D5" s="13">
        <v>33.0</v>
      </c>
      <c r="E5" s="13">
        <v>15.0</v>
      </c>
    </row>
    <row r="6">
      <c r="A6" s="14" t="s">
        <v>9</v>
      </c>
      <c r="B6" s="15">
        <v>17.0</v>
      </c>
      <c r="C6" s="15">
        <v>33.0</v>
      </c>
      <c r="D6" s="15">
        <v>31.0</v>
      </c>
      <c r="E6" s="15">
        <v>19.0</v>
      </c>
    </row>
    <row r="7">
      <c r="A7" s="12" t="s">
        <v>10</v>
      </c>
      <c r="B7" s="13">
        <v>15.0</v>
      </c>
      <c r="C7" s="13">
        <v>33.0</v>
      </c>
      <c r="D7" s="13">
        <v>33.0</v>
      </c>
      <c r="E7" s="13">
        <v>18.0</v>
      </c>
    </row>
    <row r="8">
      <c r="A8" s="14" t="s">
        <v>11</v>
      </c>
      <c r="B8" s="15">
        <v>16.0</v>
      </c>
      <c r="C8" s="15">
        <v>31.0</v>
      </c>
      <c r="D8" s="15">
        <v>36.0</v>
      </c>
      <c r="E8" s="15">
        <v>17.0</v>
      </c>
    </row>
    <row r="9">
      <c r="A9" s="12" t="s">
        <v>12</v>
      </c>
      <c r="B9" s="13">
        <v>15.0</v>
      </c>
      <c r="C9" s="13">
        <v>32.0</v>
      </c>
      <c r="D9" s="13">
        <v>37.0</v>
      </c>
      <c r="E9" s="13">
        <v>17.0</v>
      </c>
    </row>
    <row r="10">
      <c r="A10" s="14" t="s">
        <v>13</v>
      </c>
      <c r="B10" s="15">
        <v>14.0</v>
      </c>
      <c r="C10" s="15">
        <v>30.0</v>
      </c>
      <c r="D10" s="15">
        <v>34.0</v>
      </c>
      <c r="E10" s="15">
        <v>22.0</v>
      </c>
    </row>
    <row r="11">
      <c r="A11" s="12" t="s">
        <v>14</v>
      </c>
      <c r="B11" s="13">
        <v>14.0</v>
      </c>
      <c r="C11" s="13">
        <v>28.0</v>
      </c>
      <c r="D11" s="13">
        <v>36.0</v>
      </c>
      <c r="E11" s="13">
        <v>22.0</v>
      </c>
    </row>
    <row r="12">
      <c r="A12" s="14" t="s">
        <v>15</v>
      </c>
      <c r="B12" s="15">
        <v>14.0</v>
      </c>
      <c r="C12" s="15">
        <v>33.0</v>
      </c>
      <c r="D12" s="15">
        <v>36.0</v>
      </c>
      <c r="E12" s="15">
        <v>18.0</v>
      </c>
    </row>
    <row r="13">
      <c r="A13" s="12" t="s">
        <v>16</v>
      </c>
      <c r="B13" s="13">
        <v>17.0</v>
      </c>
      <c r="C13" s="13">
        <v>33.0</v>
      </c>
      <c r="D13" s="13">
        <v>34.0</v>
      </c>
      <c r="E13" s="13">
        <v>17.0</v>
      </c>
    </row>
    <row r="14">
      <c r="A14" s="14" t="s">
        <v>17</v>
      </c>
      <c r="B14" s="15">
        <v>17.0</v>
      </c>
      <c r="C14" s="15">
        <v>36.0</v>
      </c>
      <c r="D14" s="15">
        <v>32.0</v>
      </c>
      <c r="E14" s="15">
        <v>15.0</v>
      </c>
    </row>
    <row r="15">
      <c r="A15" s="12" t="s">
        <v>18</v>
      </c>
      <c r="B15" s="13">
        <v>14.0</v>
      </c>
      <c r="C15" s="13">
        <v>36.0</v>
      </c>
      <c r="D15" s="13">
        <v>33.0</v>
      </c>
      <c r="E15" s="13">
        <v>17.0</v>
      </c>
    </row>
    <row r="16">
      <c r="A16" s="14" t="s">
        <v>19</v>
      </c>
      <c r="B16" s="15">
        <v>17.0</v>
      </c>
      <c r="C16" s="15">
        <v>35.0</v>
      </c>
      <c r="D16" s="15">
        <v>32.0</v>
      </c>
      <c r="E16" s="15">
        <v>16.0</v>
      </c>
    </row>
    <row r="17">
      <c r="A17" s="12" t="s">
        <v>20</v>
      </c>
      <c r="B17" s="13">
        <v>16.0</v>
      </c>
      <c r="C17" s="13">
        <v>34.0</v>
      </c>
      <c r="D17" s="13">
        <v>33.0</v>
      </c>
      <c r="E17" s="13">
        <v>16.0</v>
      </c>
    </row>
    <row r="18">
      <c r="A18" s="14" t="s">
        <v>21</v>
      </c>
      <c r="B18" s="15">
        <v>18.0</v>
      </c>
      <c r="C18" s="15">
        <v>32.0</v>
      </c>
      <c r="D18" s="15">
        <v>34.0</v>
      </c>
      <c r="E18" s="15">
        <v>16.0</v>
      </c>
    </row>
    <row r="19">
      <c r="A19" s="12" t="s">
        <v>22</v>
      </c>
      <c r="B19" s="13">
        <v>17.0</v>
      </c>
      <c r="C19" s="13">
        <v>31.0</v>
      </c>
      <c r="D19" s="13">
        <v>33.0</v>
      </c>
      <c r="E19" s="13">
        <v>18.0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6" t="s">
        <v>34</v>
      </c>
      <c r="C1" s="16" t="s">
        <v>35</v>
      </c>
      <c r="D1" s="16" t="s">
        <v>36</v>
      </c>
      <c r="E1" s="16" t="s">
        <v>37</v>
      </c>
      <c r="F1" s="16" t="s">
        <v>38</v>
      </c>
    </row>
    <row r="2">
      <c r="A2" s="14" t="s">
        <v>5</v>
      </c>
      <c r="B2" s="15">
        <v>11.0</v>
      </c>
      <c r="C2" s="15">
        <v>30.0</v>
      </c>
      <c r="D2" s="15">
        <v>28.0</v>
      </c>
      <c r="E2" s="15">
        <v>16.0</v>
      </c>
      <c r="F2" s="15">
        <v>16.0</v>
      </c>
    </row>
    <row r="3">
      <c r="A3" s="12" t="s">
        <v>6</v>
      </c>
      <c r="B3" s="13">
        <v>13.0</v>
      </c>
      <c r="C3" s="13">
        <v>36.0</v>
      </c>
      <c r="D3" s="13">
        <v>25.0</v>
      </c>
      <c r="E3" s="13">
        <v>13.0</v>
      </c>
      <c r="F3" s="13">
        <v>14.0</v>
      </c>
    </row>
    <row r="4">
      <c r="A4" s="14" t="s">
        <v>7</v>
      </c>
      <c r="B4" s="15">
        <v>11.0</v>
      </c>
      <c r="C4" s="15">
        <v>30.0</v>
      </c>
      <c r="D4" s="15">
        <v>29.0</v>
      </c>
      <c r="E4" s="15">
        <v>15.0</v>
      </c>
      <c r="F4" s="15">
        <v>15.0</v>
      </c>
    </row>
    <row r="5">
      <c r="A5" s="12" t="s">
        <v>8</v>
      </c>
      <c r="B5" s="13">
        <v>12.0</v>
      </c>
      <c r="C5" s="13">
        <v>35.0</v>
      </c>
      <c r="D5" s="13">
        <v>26.0</v>
      </c>
      <c r="E5" s="13">
        <v>16.0</v>
      </c>
      <c r="F5" s="13">
        <v>12.0</v>
      </c>
    </row>
    <row r="6">
      <c r="A6" s="14" t="s">
        <v>9</v>
      </c>
      <c r="B6" s="15">
        <v>10.0</v>
      </c>
      <c r="C6" s="15">
        <v>34.0</v>
      </c>
      <c r="D6" s="15">
        <v>26.0</v>
      </c>
      <c r="E6" s="15">
        <v>15.0</v>
      </c>
      <c r="F6" s="15">
        <v>14.0</v>
      </c>
    </row>
    <row r="7">
      <c r="A7" s="12" t="s">
        <v>10</v>
      </c>
      <c r="B7" s="13">
        <v>12.0</v>
      </c>
      <c r="C7" s="13">
        <v>32.0</v>
      </c>
      <c r="D7" s="13">
        <v>29.0</v>
      </c>
      <c r="E7" s="13">
        <v>14.0</v>
      </c>
      <c r="F7" s="13">
        <v>14.0</v>
      </c>
    </row>
    <row r="8">
      <c r="A8" s="14" t="s">
        <v>11</v>
      </c>
      <c r="B8" s="15">
        <v>10.0</v>
      </c>
      <c r="C8" s="15">
        <v>32.0</v>
      </c>
      <c r="D8" s="15">
        <v>31.0</v>
      </c>
      <c r="E8" s="15">
        <v>14.0</v>
      </c>
      <c r="F8" s="15">
        <v>13.0</v>
      </c>
    </row>
    <row r="9">
      <c r="A9" s="12" t="s">
        <v>12</v>
      </c>
      <c r="B9" s="13">
        <v>11.0</v>
      </c>
      <c r="C9" s="13">
        <v>30.0</v>
      </c>
      <c r="D9" s="13">
        <v>27.0</v>
      </c>
      <c r="E9" s="13">
        <v>15.0</v>
      </c>
      <c r="F9" s="13">
        <v>18.0</v>
      </c>
    </row>
    <row r="10">
      <c r="A10" s="14" t="s">
        <v>13</v>
      </c>
      <c r="B10" s="15">
        <v>11.0</v>
      </c>
      <c r="C10" s="15">
        <v>31.0</v>
      </c>
      <c r="D10" s="15">
        <v>29.0</v>
      </c>
      <c r="E10" s="15">
        <v>14.0</v>
      </c>
      <c r="F10" s="15">
        <v>16.0</v>
      </c>
    </row>
    <row r="11">
      <c r="A11" s="12" t="s">
        <v>14</v>
      </c>
      <c r="B11" s="13">
        <v>10.0</v>
      </c>
      <c r="C11" s="13">
        <v>33.0</v>
      </c>
      <c r="D11" s="13">
        <v>26.0</v>
      </c>
      <c r="E11" s="13">
        <v>16.0</v>
      </c>
      <c r="F11" s="13">
        <v>15.0</v>
      </c>
    </row>
    <row r="12">
      <c r="A12" s="14" t="s">
        <v>15</v>
      </c>
      <c r="B12" s="15">
        <v>13.0</v>
      </c>
      <c r="C12" s="15">
        <v>36.0</v>
      </c>
      <c r="D12" s="15">
        <v>28.0</v>
      </c>
      <c r="E12" s="15">
        <v>12.0</v>
      </c>
      <c r="F12" s="15">
        <v>11.0</v>
      </c>
    </row>
    <row r="13">
      <c r="A13" s="12" t="s">
        <v>16</v>
      </c>
      <c r="B13" s="13">
        <v>17.0</v>
      </c>
      <c r="C13" s="13">
        <v>35.0</v>
      </c>
      <c r="D13" s="13">
        <v>23.0</v>
      </c>
      <c r="E13" s="13">
        <v>15.0</v>
      </c>
      <c r="F13" s="13">
        <v>10.0</v>
      </c>
    </row>
    <row r="14">
      <c r="A14" s="14" t="s">
        <v>17</v>
      </c>
      <c r="B14" s="15">
        <v>17.0</v>
      </c>
      <c r="C14" s="15">
        <v>38.0</v>
      </c>
      <c r="D14" s="15">
        <v>24.0</v>
      </c>
      <c r="E14" s="15">
        <v>12.0</v>
      </c>
      <c r="F14" s="15">
        <v>9.0</v>
      </c>
    </row>
    <row r="15">
      <c r="A15" s="12" t="s">
        <v>18</v>
      </c>
      <c r="B15" s="13">
        <v>17.0</v>
      </c>
      <c r="C15" s="13">
        <v>41.0</v>
      </c>
      <c r="D15" s="13">
        <v>23.0</v>
      </c>
      <c r="E15" s="13">
        <v>12.0</v>
      </c>
      <c r="F15" s="13">
        <v>6.0</v>
      </c>
    </row>
    <row r="16">
      <c r="A16" s="14" t="s">
        <v>19</v>
      </c>
      <c r="B16" s="15">
        <v>20.0</v>
      </c>
      <c r="C16" s="15">
        <v>45.0</v>
      </c>
      <c r="D16" s="15">
        <v>21.0</v>
      </c>
      <c r="E16" s="15">
        <v>8.0</v>
      </c>
      <c r="F16" s="15">
        <v>6.0</v>
      </c>
    </row>
    <row r="17">
      <c r="A17" s="12" t="s">
        <v>20</v>
      </c>
      <c r="B17" s="13">
        <v>22.0</v>
      </c>
      <c r="C17" s="13">
        <v>46.0</v>
      </c>
      <c r="D17" s="13">
        <v>19.0</v>
      </c>
      <c r="E17" s="13">
        <v>8.0</v>
      </c>
      <c r="F17" s="13">
        <v>4.0</v>
      </c>
    </row>
    <row r="18">
      <c r="A18" s="14" t="s">
        <v>21</v>
      </c>
      <c r="B18" s="15">
        <v>24.0</v>
      </c>
      <c r="C18" s="15">
        <v>45.0</v>
      </c>
      <c r="D18" s="15">
        <v>18.0</v>
      </c>
      <c r="E18" s="15">
        <v>8.0</v>
      </c>
      <c r="F18" s="15">
        <v>4.0</v>
      </c>
    </row>
    <row r="19">
      <c r="A19" s="12" t="s">
        <v>22</v>
      </c>
      <c r="B19" s="13">
        <v>27.0</v>
      </c>
      <c r="C19" s="13">
        <v>47.0</v>
      </c>
      <c r="D19" s="13">
        <v>17.0</v>
      </c>
      <c r="E19" s="13">
        <v>7.0</v>
      </c>
      <c r="F19" s="13">
        <v>3.0</v>
      </c>
    </row>
    <row r="29">
      <c r="A29" s="14"/>
      <c r="B29" s="15"/>
      <c r="C29" s="15"/>
      <c r="D29" s="15"/>
      <c r="E29" s="15"/>
      <c r="F29" s="15"/>
    </row>
    <row r="30">
      <c r="A30" s="12"/>
      <c r="B30" s="13"/>
      <c r="C30" s="13"/>
      <c r="D30" s="13"/>
      <c r="E30" s="13"/>
      <c r="F30" s="13"/>
    </row>
    <row r="31">
      <c r="A31" s="14"/>
      <c r="B31" s="15"/>
      <c r="C31" s="15"/>
      <c r="D31" s="15"/>
      <c r="E31" s="15"/>
      <c r="F31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B1" s="16" t="s">
        <v>39</v>
      </c>
      <c r="C1" s="16" t="s">
        <v>40</v>
      </c>
      <c r="D1" s="16" t="s">
        <v>41</v>
      </c>
      <c r="E1" s="16" t="s">
        <v>42</v>
      </c>
    </row>
    <row r="2">
      <c r="A2" s="14" t="s">
        <v>5</v>
      </c>
      <c r="B2" s="15">
        <v>19.0</v>
      </c>
      <c r="C2" s="15">
        <v>23.0</v>
      </c>
      <c r="D2" s="15">
        <v>34.0</v>
      </c>
      <c r="E2" s="15">
        <v>23.0</v>
      </c>
    </row>
    <row r="3">
      <c r="A3" s="12" t="s">
        <v>6</v>
      </c>
      <c r="B3" s="13">
        <v>14.0</v>
      </c>
      <c r="C3" s="13">
        <v>25.0</v>
      </c>
      <c r="D3" s="13">
        <v>35.0</v>
      </c>
      <c r="E3" s="13">
        <v>26.0</v>
      </c>
    </row>
    <row r="4">
      <c r="A4" s="14" t="s">
        <v>7</v>
      </c>
      <c r="B4" s="15">
        <v>14.0</v>
      </c>
      <c r="C4" s="15">
        <v>28.0</v>
      </c>
      <c r="D4" s="15">
        <v>37.0</v>
      </c>
      <c r="E4" s="15">
        <v>20.0</v>
      </c>
    </row>
    <row r="5">
      <c r="A5" s="12" t="s">
        <v>8</v>
      </c>
      <c r="B5" s="13">
        <v>15.0</v>
      </c>
      <c r="C5" s="13">
        <v>27.0</v>
      </c>
      <c r="D5" s="13">
        <v>38.0</v>
      </c>
      <c r="E5" s="13">
        <v>20.0</v>
      </c>
    </row>
    <row r="6">
      <c r="A6" s="14" t="s">
        <v>9</v>
      </c>
      <c r="B6" s="15">
        <v>22.0</v>
      </c>
      <c r="C6" s="15">
        <v>25.0</v>
      </c>
      <c r="D6" s="15">
        <v>35.0</v>
      </c>
      <c r="E6" s="15">
        <v>19.0</v>
      </c>
    </row>
    <row r="7">
      <c r="A7" s="12" t="s">
        <v>10</v>
      </c>
      <c r="B7" s="13">
        <v>20.0</v>
      </c>
      <c r="C7" s="13">
        <v>22.0</v>
      </c>
      <c r="D7" s="13">
        <v>40.0</v>
      </c>
      <c r="E7" s="13">
        <v>19.0</v>
      </c>
    </row>
    <row r="8">
      <c r="A8" s="14" t="s">
        <v>11</v>
      </c>
      <c r="B8" s="15">
        <v>16.0</v>
      </c>
      <c r="C8" s="15">
        <v>21.0</v>
      </c>
      <c r="D8" s="15">
        <v>45.0</v>
      </c>
      <c r="E8" s="15">
        <v>19.0</v>
      </c>
    </row>
    <row r="9">
      <c r="A9" s="12" t="s">
        <v>12</v>
      </c>
      <c r="B9" s="13">
        <v>21.0</v>
      </c>
      <c r="C9" s="13">
        <v>20.0</v>
      </c>
      <c r="D9" s="13">
        <v>40.0</v>
      </c>
      <c r="E9" s="13">
        <v>19.0</v>
      </c>
    </row>
    <row r="10">
      <c r="A10" s="14" t="s">
        <v>13</v>
      </c>
      <c r="B10" s="15">
        <v>21.0</v>
      </c>
      <c r="C10" s="15">
        <v>22.0</v>
      </c>
      <c r="D10" s="15">
        <v>38.0</v>
      </c>
      <c r="E10" s="15">
        <v>19.0</v>
      </c>
    </row>
    <row r="11">
      <c r="A11" s="12" t="s">
        <v>14</v>
      </c>
      <c r="B11" s="13">
        <v>16.0</v>
      </c>
      <c r="C11" s="13">
        <v>23.0</v>
      </c>
      <c r="D11" s="13">
        <v>35.0</v>
      </c>
      <c r="E11" s="13">
        <v>26.0</v>
      </c>
    </row>
    <row r="12">
      <c r="A12" s="14" t="s">
        <v>15</v>
      </c>
      <c r="B12" s="15">
        <v>11.0</v>
      </c>
      <c r="C12" s="15">
        <v>22.0</v>
      </c>
      <c r="D12" s="15">
        <v>38.0</v>
      </c>
      <c r="E12" s="15">
        <v>28.0</v>
      </c>
    </row>
    <row r="13">
      <c r="A13" s="12" t="s">
        <v>16</v>
      </c>
      <c r="B13" s="13">
        <v>5.0</v>
      </c>
      <c r="C13" s="13">
        <v>24.0</v>
      </c>
      <c r="D13" s="13">
        <v>41.0</v>
      </c>
      <c r="E13" s="13">
        <v>30.0</v>
      </c>
    </row>
    <row r="14">
      <c r="A14" s="14" t="s">
        <v>17</v>
      </c>
      <c r="B14" s="15">
        <v>3.0</v>
      </c>
      <c r="C14" s="15">
        <v>23.0</v>
      </c>
      <c r="D14" s="15">
        <v>39.0</v>
      </c>
      <c r="E14" s="15">
        <v>36.0</v>
      </c>
    </row>
    <row r="15">
      <c r="A15" s="12" t="s">
        <v>18</v>
      </c>
      <c r="B15" s="13">
        <v>4.0</v>
      </c>
      <c r="C15" s="13">
        <v>26.0</v>
      </c>
      <c r="D15" s="13">
        <v>38.0</v>
      </c>
      <c r="E15" s="13">
        <v>33.0</v>
      </c>
    </row>
    <row r="16">
      <c r="A16" s="14" t="s">
        <v>19</v>
      </c>
      <c r="B16" s="15">
        <v>3.0</v>
      </c>
      <c r="C16" s="15">
        <v>25.0</v>
      </c>
      <c r="D16" s="15">
        <v>41.0</v>
      </c>
      <c r="E16" s="15">
        <v>30.0</v>
      </c>
    </row>
    <row r="17">
      <c r="A17" s="12" t="s">
        <v>20</v>
      </c>
      <c r="B17" s="13">
        <v>2.0</v>
      </c>
      <c r="C17" s="13">
        <v>26.0</v>
      </c>
      <c r="D17" s="13">
        <v>42.0</v>
      </c>
      <c r="E17" s="13">
        <v>30.0</v>
      </c>
    </row>
    <row r="18">
      <c r="A18" s="14" t="s">
        <v>21</v>
      </c>
      <c r="B18" s="15">
        <v>2.0</v>
      </c>
      <c r="C18" s="15">
        <v>26.0</v>
      </c>
      <c r="D18" s="15">
        <v>39.0</v>
      </c>
      <c r="E18" s="15">
        <v>32.0</v>
      </c>
    </row>
    <row r="19">
      <c r="A19" s="12" t="s">
        <v>22</v>
      </c>
      <c r="B19" s="13">
        <v>2.0</v>
      </c>
      <c r="C19" s="13">
        <v>32.0</v>
      </c>
      <c r="D19" s="13">
        <v>39.0</v>
      </c>
      <c r="E19" s="13">
        <v>27.0</v>
      </c>
    </row>
    <row r="25">
      <c r="A25" s="14"/>
      <c r="B25" s="15"/>
      <c r="C25" s="15"/>
      <c r="D25" s="15"/>
      <c r="E25" s="15"/>
    </row>
    <row r="26">
      <c r="A26" s="12"/>
      <c r="B26" s="13"/>
      <c r="C26" s="13"/>
      <c r="D26" s="13"/>
      <c r="E26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0"/>
    <col customWidth="1" min="2" max="2" width="30.11"/>
    <col customWidth="1" min="3" max="34" width="8.0"/>
  </cols>
  <sheetData>
    <row r="1" ht="14.25" customHeight="1">
      <c r="A1" s="17" t="s">
        <v>43</v>
      </c>
      <c r="B1" s="17" t="s">
        <v>44</v>
      </c>
      <c r="C1" s="17" t="s">
        <v>45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  <c r="P1" s="17" t="s">
        <v>58</v>
      </c>
      <c r="Q1" s="17" t="s">
        <v>59</v>
      </c>
      <c r="R1" s="17" t="s">
        <v>60</v>
      </c>
      <c r="S1" s="17" t="s">
        <v>61</v>
      </c>
      <c r="T1" s="17" t="s">
        <v>62</v>
      </c>
      <c r="U1" s="17" t="s">
        <v>63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ht="14.25" customHeight="1">
      <c r="A2" s="18">
        <v>1.0</v>
      </c>
      <c r="B2" s="19" t="s">
        <v>64</v>
      </c>
      <c r="C2" s="20" t="s">
        <v>65</v>
      </c>
      <c r="D2" s="21">
        <v>0.1034929824</v>
      </c>
      <c r="E2" s="21">
        <v>0.09132211126</v>
      </c>
      <c r="F2" s="21">
        <v>0.1209725931</v>
      </c>
      <c r="G2" s="21">
        <v>0.08162123668</v>
      </c>
      <c r="H2" s="21">
        <f>0.08967256674+0.1090970161/2</f>
        <v>0.1442210748</v>
      </c>
      <c r="I2" s="22">
        <v>0.1130092367</v>
      </c>
      <c r="J2" s="22">
        <f>0.08011282251</f>
        <v>0.08011282251</v>
      </c>
      <c r="K2" s="22">
        <f>0.114053782</f>
        <v>0.114053782</v>
      </c>
      <c r="L2" s="23"/>
      <c r="M2" s="22">
        <f>0.102760187</f>
        <v>0.102760187</v>
      </c>
      <c r="N2" s="22">
        <f>0.07086845259/2</f>
        <v>0.0354342263</v>
      </c>
      <c r="O2" s="22">
        <f>0.1179803965+0.05476376904/2</f>
        <v>0.145362281</v>
      </c>
      <c r="P2" s="22">
        <f>0.1012567345/2+0.08036591339</f>
        <v>0.1309942806</v>
      </c>
      <c r="Q2" s="22">
        <f>0.04689643579/2+0.09236298955+0.07086347502</f>
        <v>0.1866746825</v>
      </c>
      <c r="R2" s="22">
        <f>0.05116134154/2+0.1179688641</f>
        <v>0.1435495349</v>
      </c>
      <c r="S2" s="22">
        <f>0.1174097884+0.07625029203/2</f>
        <v>0.1555349344</v>
      </c>
      <c r="T2" s="22">
        <f>0.1138536809+0.0501091997/2</f>
        <v>0.1389082808</v>
      </c>
      <c r="U2" s="22">
        <f>0.04417832812/2+0.1164387569</f>
        <v>0.138527921</v>
      </c>
      <c r="V2" s="22"/>
      <c r="W2" s="22"/>
      <c r="X2" s="22"/>
      <c r="Y2" s="23"/>
      <c r="Z2" s="22"/>
      <c r="AA2" s="22"/>
      <c r="AB2" s="22"/>
      <c r="AC2" s="22"/>
      <c r="AD2" s="22"/>
      <c r="AE2" s="22"/>
      <c r="AF2" s="22"/>
      <c r="AG2" s="22"/>
      <c r="AH2" s="22"/>
    </row>
    <row r="3" ht="14.25" customHeight="1">
      <c r="A3" s="18">
        <v>2.0</v>
      </c>
      <c r="B3" s="19" t="s">
        <v>66</v>
      </c>
      <c r="C3" s="20" t="s">
        <v>67</v>
      </c>
      <c r="D3" s="21">
        <v>0.1126762742</v>
      </c>
      <c r="E3" s="21">
        <v>0.08848448419</v>
      </c>
      <c r="F3" s="21">
        <v>0.06940818106</v>
      </c>
      <c r="G3" s="21">
        <v>0.1045298413</v>
      </c>
      <c r="H3" s="21">
        <v>0.1052511615</v>
      </c>
      <c r="I3" s="23"/>
      <c r="J3" s="22">
        <f>0.1108393223</f>
        <v>0.1108393223</v>
      </c>
      <c r="K3" s="23"/>
      <c r="L3" s="23"/>
      <c r="M3" s="23"/>
      <c r="N3" s="23"/>
      <c r="O3" s="22">
        <f>0.1071581873/2</f>
        <v>0.05357909365</v>
      </c>
      <c r="P3" s="22">
        <f>0.1080808209</f>
        <v>0.1080808209</v>
      </c>
      <c r="Q3" s="23"/>
      <c r="R3" s="22">
        <f>0.07268698971</f>
        <v>0.07268698971</v>
      </c>
      <c r="S3" s="23"/>
      <c r="T3" s="23"/>
      <c r="U3" s="23"/>
      <c r="V3" s="23"/>
      <c r="W3" s="22"/>
      <c r="X3" s="23"/>
      <c r="Y3" s="23"/>
      <c r="Z3" s="23"/>
      <c r="AA3" s="23"/>
      <c r="AB3" s="22"/>
      <c r="AC3" s="22"/>
      <c r="AD3" s="23"/>
      <c r="AE3" s="22"/>
      <c r="AF3" s="23"/>
      <c r="AG3" s="23"/>
      <c r="AH3" s="23"/>
    </row>
    <row r="4" ht="14.25" customHeight="1">
      <c r="A4" s="18">
        <v>3.0</v>
      </c>
      <c r="B4" s="19" t="s">
        <v>68</v>
      </c>
      <c r="C4" s="19" t="s">
        <v>69</v>
      </c>
      <c r="D4" s="23"/>
      <c r="E4" s="23"/>
      <c r="F4" s="23"/>
      <c r="G4" s="23"/>
      <c r="H4" s="23"/>
      <c r="I4" s="23"/>
      <c r="J4" s="22">
        <f>0.04797751484</f>
        <v>0.04797751484</v>
      </c>
      <c r="K4" s="23"/>
      <c r="L4" s="23"/>
      <c r="M4" s="23"/>
      <c r="N4" s="23"/>
      <c r="O4" s="23"/>
      <c r="P4" s="23"/>
      <c r="Q4" s="22">
        <f>0.1002420469/2</f>
        <v>0.05012102345</v>
      </c>
      <c r="R4" s="22">
        <f>0.05116134154/2</f>
        <v>0.02558067077</v>
      </c>
      <c r="S4" s="22">
        <f>0.0660060074/3</f>
        <v>0.02200200247</v>
      </c>
      <c r="T4" s="22">
        <f>0.04685285417/2</f>
        <v>0.02342642709</v>
      </c>
      <c r="U4" s="23"/>
      <c r="V4" s="23"/>
      <c r="W4" s="22"/>
      <c r="X4" s="23"/>
      <c r="Y4" s="23"/>
      <c r="Z4" s="23"/>
      <c r="AA4" s="23"/>
      <c r="AB4" s="23"/>
      <c r="AC4" s="23"/>
      <c r="AD4" s="22"/>
      <c r="AE4" s="22"/>
      <c r="AF4" s="22"/>
      <c r="AG4" s="22"/>
      <c r="AH4" s="23"/>
    </row>
    <row r="5" ht="14.25" customHeight="1">
      <c r="A5" s="18">
        <v>4.0</v>
      </c>
      <c r="B5" s="19" t="s">
        <v>70</v>
      </c>
      <c r="C5" s="20" t="s">
        <v>71</v>
      </c>
      <c r="D5" s="21">
        <f>0.077921032/2+0.08012908317+0.1971329682/2</f>
        <v>0.2176560833</v>
      </c>
      <c r="E5" s="21">
        <f>0.06541376425/2+0.1064531127/2</f>
        <v>0.08593343848</v>
      </c>
      <c r="F5" s="21">
        <f>0.09362818119/2+0.08302610678</f>
        <v>0.1298401974</v>
      </c>
      <c r="G5" s="21">
        <f>0.1841210391/2+0.09448147617/2+0.09282768636/2</f>
        <v>0.1857151008</v>
      </c>
      <c r="H5" s="21">
        <f>0.09907238264/2+0.1090970161/2</f>
        <v>0.1040846994</v>
      </c>
      <c r="I5" s="22">
        <f>0.0976561984+0.09624498732/3</f>
        <v>0.1297378608</v>
      </c>
      <c r="J5" s="22">
        <f>0.1093378686/2+0.08665892539</f>
        <v>0.1413278597</v>
      </c>
      <c r="K5" s="22">
        <f>0.2111602903/3+0.1070098701/2</f>
        <v>0.1238916985</v>
      </c>
      <c r="L5" s="22">
        <f>0.09455241416/2</f>
        <v>0.04727620708</v>
      </c>
      <c r="M5" s="23"/>
      <c r="N5" s="22">
        <f>0.1987191493/2</f>
        <v>0.09935957465</v>
      </c>
      <c r="O5" s="22">
        <f>0.1195075149/2+0.1572189956/2</f>
        <v>0.1383632553</v>
      </c>
      <c r="P5" s="22">
        <f>0.08840031508+0.1766943108/2</f>
        <v>0.1767474705</v>
      </c>
      <c r="Q5" s="22">
        <f>0.1130179669/2+0.1292340209/2</f>
        <v>0.1211259939</v>
      </c>
      <c r="R5" s="22">
        <f t="shared" ref="R5:R6" si="1">0.06056658907/2</f>
        <v>0.03028329454</v>
      </c>
      <c r="S5" s="23"/>
      <c r="T5" s="23"/>
      <c r="U5" s="23"/>
      <c r="V5" s="22"/>
      <c r="W5" s="22"/>
      <c r="X5" s="22"/>
      <c r="Y5" s="22"/>
      <c r="Z5" s="23"/>
      <c r="AA5" s="22"/>
      <c r="AB5" s="22"/>
      <c r="AC5" s="22"/>
      <c r="AD5" s="22"/>
      <c r="AE5" s="22"/>
      <c r="AF5" s="23"/>
      <c r="AG5" s="23"/>
      <c r="AH5" s="23"/>
    </row>
    <row r="6" ht="14.25" customHeight="1">
      <c r="A6" s="18">
        <v>5.0</v>
      </c>
      <c r="B6" s="19" t="s">
        <v>72</v>
      </c>
      <c r="C6" s="20" t="s">
        <v>73</v>
      </c>
      <c r="D6" s="21">
        <v>0.1744524942</v>
      </c>
      <c r="E6" s="21">
        <f>0.1040776335+0.06541376425/2</f>
        <v>0.1367845156</v>
      </c>
      <c r="F6" s="21">
        <v>0.1881440616</v>
      </c>
      <c r="G6" s="21">
        <f>0.152615352/2</f>
        <v>0.076307676</v>
      </c>
      <c r="H6" s="21">
        <v>0.06617468712</v>
      </c>
      <c r="I6" s="22">
        <f>0.09624498732/3+0.1584523374</f>
        <v>0.1905339998</v>
      </c>
      <c r="J6" s="22">
        <f>0.1284014498</f>
        <v>0.1284014498</v>
      </c>
      <c r="K6" s="22">
        <f>0.13053829/2+0.05379047411</f>
        <v>0.1190596191</v>
      </c>
      <c r="L6" s="22">
        <f>0.1960046836/2</f>
        <v>0.0980023418</v>
      </c>
      <c r="M6" s="22">
        <f>0.1595319116</f>
        <v>0.1595319116</v>
      </c>
      <c r="N6" s="22">
        <f>0.1252375602</f>
        <v>0.1252375602</v>
      </c>
      <c r="O6" s="22">
        <f>0.1071581873/2</f>
        <v>0.05357909365</v>
      </c>
      <c r="P6" s="22">
        <f>0.1099998025/2</f>
        <v>0.05499990125</v>
      </c>
      <c r="Q6" s="22">
        <f>0.1368150512+0.1002420469/2</f>
        <v>0.1869360747</v>
      </c>
      <c r="R6" s="22">
        <f t="shared" si="1"/>
        <v>0.03028329454</v>
      </c>
      <c r="S6" s="22">
        <f>0.07625029203/2</f>
        <v>0.03812514602</v>
      </c>
      <c r="T6" s="22">
        <f>0.1792214583</f>
        <v>0.1792214583</v>
      </c>
      <c r="U6" s="23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/>
    </row>
    <row r="7" ht="14.25" customHeight="1">
      <c r="A7" s="18">
        <v>6.0</v>
      </c>
      <c r="B7" s="19" t="s">
        <v>74</v>
      </c>
      <c r="C7" s="20" t="s">
        <v>75</v>
      </c>
      <c r="D7" s="21"/>
      <c r="E7" s="21">
        <f>0.1078805737+0.1064531127/2</f>
        <v>0.1611071301</v>
      </c>
      <c r="F7" s="21">
        <f>0.09362818119/2+0.1514501995/2+0.08062991068</f>
        <v>0.203169101</v>
      </c>
      <c r="G7" s="21">
        <f>0.1841210391/2+0.09448147617/2</f>
        <v>0.1393012576</v>
      </c>
      <c r="H7" s="21">
        <f>0.0467012518+0.1679473097+0.09907238264/2</f>
        <v>0.2641847528</v>
      </c>
      <c r="I7" s="22">
        <f>0.1524946775+0.09624498732/3</f>
        <v>0.1845763399</v>
      </c>
      <c r="J7" s="22">
        <f>0.1093378686/2+0.2047681472/2</f>
        <v>0.1570530079</v>
      </c>
      <c r="K7" s="22">
        <f>0.2111602903/3+0.1070098701/2</f>
        <v>0.1238916985</v>
      </c>
      <c r="L7" s="22">
        <f>0.08365939297+0.09910241947/2</f>
        <v>0.1332106027</v>
      </c>
      <c r="M7" s="22">
        <f>0.07434990843</f>
        <v>0.07434990843</v>
      </c>
      <c r="N7" s="22">
        <f>0.1987191493/2</f>
        <v>0.09935957465</v>
      </c>
      <c r="O7" s="22">
        <f>0.1572189956/2</f>
        <v>0.0786094978</v>
      </c>
      <c r="P7" s="22">
        <f>0.1766943108/2</f>
        <v>0.0883471554</v>
      </c>
      <c r="Q7" s="22">
        <f>0.1130179669/2</f>
        <v>0.05650898345</v>
      </c>
      <c r="R7" s="22">
        <f>0.1878707416/2</f>
        <v>0.0939353708</v>
      </c>
      <c r="S7" s="22">
        <f>0.0660060074/3+0.1548069038</f>
        <v>0.1768089063</v>
      </c>
      <c r="T7" s="22">
        <f>0.1038296592</f>
        <v>0.1038296592</v>
      </c>
      <c r="U7" s="22">
        <f>0.1426815368</f>
        <v>0.1426815368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ht="14.25" customHeight="1">
      <c r="A8" s="18">
        <v>7.0</v>
      </c>
      <c r="B8" s="19" t="s">
        <v>76</v>
      </c>
      <c r="C8" s="20" t="s">
        <v>77</v>
      </c>
      <c r="D8" s="23"/>
      <c r="E8" s="21">
        <f>0.1376465223/2</f>
        <v>0.06882326115</v>
      </c>
      <c r="F8" s="23"/>
      <c r="G8" s="21">
        <f>0.152615352/2</f>
        <v>0.076307676</v>
      </c>
      <c r="H8" s="21">
        <v>0.1832086757</v>
      </c>
      <c r="I8" s="22">
        <v>0.07925480825</v>
      </c>
      <c r="J8" s="22">
        <f>0.1244991167</f>
        <v>0.1244991167</v>
      </c>
      <c r="K8" s="22">
        <f>0.13053829/2</f>
        <v>0.065269145</v>
      </c>
      <c r="L8" s="22">
        <f>0.09910241947/2</f>
        <v>0.04955120974</v>
      </c>
      <c r="M8" s="23"/>
      <c r="N8" s="22">
        <f>0.05260290285</f>
        <v>0.05260290285</v>
      </c>
      <c r="O8" s="22">
        <f>0.1245749794/2</f>
        <v>0.0622874897</v>
      </c>
      <c r="P8" s="22">
        <f>0.09608449497/2</f>
        <v>0.04804224749</v>
      </c>
      <c r="Q8" s="22">
        <f>0.1292340209/2</f>
        <v>0.06461701045</v>
      </c>
      <c r="R8" s="22">
        <f>0.05872841125</f>
        <v>0.05872841125</v>
      </c>
      <c r="S8" s="22">
        <f>0.06082235729</f>
        <v>0.06082235729</v>
      </c>
      <c r="T8" s="22">
        <f>0.09426605635</f>
        <v>0.09426605635</v>
      </c>
      <c r="U8" s="22">
        <f>0.07070081713</f>
        <v>0.07070081713</v>
      </c>
      <c r="V8" s="22"/>
      <c r="W8" s="22"/>
      <c r="X8" s="22"/>
      <c r="Y8" s="22"/>
      <c r="Z8" s="23"/>
      <c r="AA8" s="22"/>
      <c r="AB8" s="22"/>
      <c r="AC8" s="22"/>
      <c r="AD8" s="22"/>
      <c r="AE8" s="22"/>
      <c r="AF8" s="22"/>
      <c r="AG8" s="22"/>
      <c r="AH8" s="22"/>
    </row>
    <row r="9" ht="14.25" customHeight="1">
      <c r="A9" s="24">
        <v>8.0</v>
      </c>
      <c r="B9" s="25" t="s">
        <v>78</v>
      </c>
      <c r="C9" s="26" t="s">
        <v>79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 ht="14.25" customHeight="1">
      <c r="A10" s="18">
        <v>9.0</v>
      </c>
      <c r="B10" s="19" t="s">
        <v>80</v>
      </c>
      <c r="C10" s="20" t="s">
        <v>81</v>
      </c>
      <c r="D10" s="23"/>
      <c r="E10" s="21">
        <f>0.1376465223/2</f>
        <v>0.06882326115</v>
      </c>
      <c r="F10" s="21">
        <v>0.08603513284</v>
      </c>
      <c r="G10" s="21">
        <v>0.09396876141</v>
      </c>
      <c r="H10" s="21">
        <v>0.07942478557</v>
      </c>
      <c r="I10" s="22">
        <v>0.06937762552</v>
      </c>
      <c r="J10" s="23"/>
      <c r="K10" s="22">
        <f>0.08582208822</f>
        <v>0.08582208822</v>
      </c>
      <c r="L10" s="22">
        <f>0.07356416123</f>
        <v>0.07356416123</v>
      </c>
      <c r="M10" s="22">
        <f>0.08993070837</f>
        <v>0.08993070837</v>
      </c>
      <c r="N10" s="22">
        <f>0.07086845259/2+0.1495125704</f>
        <v>0.1849467967</v>
      </c>
      <c r="O10" s="22">
        <f>0.0830537732+0.1180903269</f>
        <v>0.2011441001</v>
      </c>
      <c r="P10" s="22">
        <f>0.1012567345/2+0.09608449497/2</f>
        <v>0.09867061474</v>
      </c>
      <c r="Q10" s="22">
        <f>0.04689643579/2+0.1031320269</f>
        <v>0.1265802448</v>
      </c>
      <c r="R10" s="22">
        <f>0.1181374342</f>
        <v>0.1181374342</v>
      </c>
      <c r="S10" s="22">
        <f>0.1148052606</f>
        <v>0.1148052606</v>
      </c>
      <c r="T10" s="22">
        <f>0.1294236022+0.0501091997/2</f>
        <v>0.1544782021</v>
      </c>
      <c r="U10" s="22">
        <f>0.07296933339+0.1285220684+0.04417832812/2</f>
        <v>0.2235805659</v>
      </c>
      <c r="V10" s="22"/>
      <c r="W10" s="23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ht="14.25" customHeight="1">
      <c r="A11" s="24">
        <v>10.0</v>
      </c>
      <c r="B11" s="25" t="s">
        <v>82</v>
      </c>
      <c r="C11" s="26" t="s">
        <v>83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</row>
    <row r="12" ht="14.25" customHeight="1">
      <c r="A12" s="18">
        <v>11.0</v>
      </c>
      <c r="B12" s="19" t="s">
        <v>84</v>
      </c>
      <c r="C12" s="20" t="s">
        <v>85</v>
      </c>
      <c r="D12" s="23"/>
      <c r="E12" s="23"/>
      <c r="F12" s="23"/>
      <c r="G12" s="23"/>
      <c r="H12" s="23"/>
      <c r="I12" s="22">
        <v>0.06714921746</v>
      </c>
      <c r="J12" s="23"/>
      <c r="K12" s="22">
        <f>0.1020936692</f>
        <v>0.1020936692</v>
      </c>
      <c r="L12" s="22">
        <f>0.06570755905</f>
        <v>0.06570755905</v>
      </c>
      <c r="M12" s="22">
        <f>0.08253787078+0.1075451862</f>
        <v>0.190083057</v>
      </c>
      <c r="N12" s="22">
        <f>0.09683392358</f>
        <v>0.09683392358</v>
      </c>
      <c r="O12" s="22">
        <f>0.1195075149/2+0.05476376904/2</f>
        <v>0.08713564197</v>
      </c>
      <c r="P12" s="22">
        <f>0.1099998025/2</f>
        <v>0.05499990125</v>
      </c>
      <c r="Q12" s="23"/>
      <c r="R12" s="22">
        <f>0.1174598139</f>
        <v>0.1174598139</v>
      </c>
      <c r="S12" s="22">
        <f>0.1308706637</f>
        <v>0.1308706637</v>
      </c>
      <c r="T12" s="22">
        <f>0.1470925874</f>
        <v>0.1470925874</v>
      </c>
      <c r="U12" s="22">
        <f>0.1463428499</f>
        <v>0.1463428499</v>
      </c>
      <c r="V12" s="22"/>
      <c r="W12" s="23"/>
      <c r="X12" s="22"/>
      <c r="Y12" s="22"/>
      <c r="Z12" s="22"/>
      <c r="AA12" s="22"/>
      <c r="AB12" s="22"/>
      <c r="AC12" s="22"/>
      <c r="AD12" s="23"/>
      <c r="AE12" s="22"/>
      <c r="AF12" s="22"/>
      <c r="AG12" s="22"/>
      <c r="AH12" s="22"/>
    </row>
    <row r="13" ht="14.25" customHeight="1">
      <c r="A13" s="24">
        <v>12.0</v>
      </c>
      <c r="B13" s="25" t="s">
        <v>86</v>
      </c>
      <c r="C13" s="26" t="s">
        <v>87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</row>
    <row r="14" ht="14.25" customHeight="1">
      <c r="A14" s="18">
        <v>13.0</v>
      </c>
      <c r="B14" s="19" t="s">
        <v>88</v>
      </c>
      <c r="C14" s="28"/>
      <c r="D14" s="23"/>
      <c r="E14" s="23"/>
      <c r="F14" s="23"/>
      <c r="G14" s="23"/>
      <c r="H14" s="23"/>
      <c r="I14" s="23"/>
      <c r="J14" s="23"/>
      <c r="K14" s="22">
        <f>0.05168506523</f>
        <v>0.05168506523</v>
      </c>
      <c r="L14" s="22">
        <f>0.09455241416/2+0.06845994367+0.1298548527</f>
        <v>0.2455910035</v>
      </c>
      <c r="M14" s="22">
        <f>0.08094868606+0.1097010912</f>
        <v>0.1906497773</v>
      </c>
      <c r="N14" s="22">
        <f>0.1220542668</f>
        <v>0.1220542668</v>
      </c>
      <c r="O14" s="22">
        <f>0.1245749794/2</f>
        <v>0.0622874897</v>
      </c>
      <c r="P14" s="22">
        <f>0.1072408501</f>
        <v>0.1072408501</v>
      </c>
      <c r="Q14" s="22">
        <f>0.09629387262</f>
        <v>0.09629387262</v>
      </c>
      <c r="R14" s="23"/>
      <c r="S14" s="22">
        <f>0.1141621405</f>
        <v>0.1141621405</v>
      </c>
      <c r="T14" s="22">
        <f>0.04685285417/2</f>
        <v>0.02342642709</v>
      </c>
      <c r="U14" s="23"/>
      <c r="V14" s="23"/>
      <c r="W14" s="23"/>
      <c r="X14" s="22"/>
      <c r="Y14" s="22"/>
      <c r="Z14" s="22"/>
      <c r="AA14" s="22"/>
      <c r="AB14" s="22"/>
      <c r="AC14" s="22"/>
      <c r="AD14" s="22"/>
      <c r="AE14" s="23"/>
      <c r="AF14" s="22"/>
      <c r="AG14" s="22"/>
      <c r="AH14" s="23"/>
    </row>
    <row r="15" ht="14.25" customHeight="1">
      <c r="A15" s="18">
        <v>101.0</v>
      </c>
      <c r="B15" s="19" t="s">
        <v>89</v>
      </c>
      <c r="C15" s="20" t="s">
        <v>90</v>
      </c>
      <c r="D15" s="21">
        <f>0.04048588149+0.1971329682/2</f>
        <v>0.1390523656</v>
      </c>
      <c r="E15" s="21">
        <f>14.28133678%/2</f>
        <v>0.0714066839</v>
      </c>
      <c r="F15" s="23"/>
      <c r="G15" s="23"/>
      <c r="H15" s="23"/>
      <c r="I15" s="23"/>
      <c r="J15" s="23"/>
      <c r="K15" s="23"/>
      <c r="L15" s="22">
        <f>0.1960046836/2</f>
        <v>0.0980023418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2"/>
      <c r="Z15" s="23"/>
      <c r="AA15" s="23"/>
      <c r="AB15" s="23"/>
      <c r="AC15" s="23"/>
      <c r="AD15" s="23"/>
      <c r="AE15" s="23"/>
      <c r="AF15" s="23"/>
      <c r="AG15" s="23"/>
      <c r="AH15" s="23"/>
    </row>
    <row r="16" ht="14.25" customHeight="1">
      <c r="A16" s="18">
        <v>102.0</v>
      </c>
      <c r="B16" s="19" t="s">
        <v>91</v>
      </c>
      <c r="C16" s="20" t="s">
        <v>92</v>
      </c>
      <c r="D16" s="23"/>
      <c r="E16" s="23"/>
      <c r="F16" s="21">
        <f>0.1514501995/2</f>
        <v>0.07572509975</v>
      </c>
      <c r="G16" s="23"/>
      <c r="H16" s="23"/>
      <c r="I16" s="23"/>
      <c r="J16" s="22">
        <f>0.2047681472/2</f>
        <v>0.1023840736</v>
      </c>
      <c r="K16" s="22">
        <f>0.2111602903/3</f>
        <v>0.07038676343</v>
      </c>
      <c r="L16" s="23"/>
      <c r="M16" s="22">
        <f>0.1620871345</f>
        <v>0.1620871345</v>
      </c>
      <c r="N16" s="23"/>
      <c r="O16" s="23"/>
      <c r="P16" s="23"/>
      <c r="Q16" s="23"/>
      <c r="R16" s="22">
        <f>0.1878707416/2</f>
        <v>0.0939353708</v>
      </c>
      <c r="S16" s="23"/>
      <c r="T16" s="23"/>
      <c r="U16" s="23"/>
      <c r="V16" s="23"/>
      <c r="W16" s="22"/>
      <c r="X16" s="22"/>
      <c r="Y16" s="23"/>
      <c r="Z16" s="22"/>
      <c r="AA16" s="23"/>
      <c r="AB16" s="23"/>
      <c r="AC16" s="23"/>
      <c r="AD16" s="23"/>
      <c r="AE16" s="22"/>
      <c r="AF16" s="23"/>
      <c r="AG16" s="23"/>
      <c r="AH16" s="23"/>
    </row>
    <row r="17" ht="14.25" customHeight="1">
      <c r="A17" s="24">
        <v>103.0</v>
      </c>
      <c r="B17" s="25" t="s">
        <v>93</v>
      </c>
      <c r="C17" s="26" t="s">
        <v>94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ht="14.25" customHeight="1">
      <c r="A18" s="18">
        <v>104.0</v>
      </c>
      <c r="B18" s="19" t="s">
        <v>95</v>
      </c>
      <c r="C18" s="20" t="s">
        <v>95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ht="14.25" customHeight="1">
      <c r="A19" s="18">
        <v>105.0</v>
      </c>
      <c r="B19" s="19" t="s">
        <v>96</v>
      </c>
      <c r="C19" s="19" t="s">
        <v>97</v>
      </c>
      <c r="D19" s="21">
        <f>0.077921032/2</f>
        <v>0.038960516</v>
      </c>
      <c r="E19" s="21">
        <f>14.28133678%/2</f>
        <v>0.0714066839</v>
      </c>
      <c r="F19" s="23"/>
      <c r="G19" s="21">
        <f>0.09282768636/2</f>
        <v>0.04641384318</v>
      </c>
      <c r="H19" s="23"/>
      <c r="I19" s="22">
        <v>0.127414041</v>
      </c>
      <c r="J19" s="23"/>
      <c r="K19" s="22">
        <f>0.05780912643</f>
        <v>0.05780912643</v>
      </c>
      <c r="L19" s="22">
        <f>0.1028091458</f>
        <v>0.1028091458</v>
      </c>
      <c r="M19" s="23"/>
      <c r="N19" s="22">
        <f>0.1074196176</f>
        <v>0.1074196176</v>
      </c>
      <c r="O19" s="23"/>
      <c r="P19" s="23"/>
      <c r="Q19" s="22">
        <f>0.1111421143</f>
        <v>0.1111421143</v>
      </c>
      <c r="R19" s="23"/>
      <c r="S19" s="22">
        <f>0.0660060074/3</f>
        <v>0.02200200247</v>
      </c>
      <c r="T19" s="23"/>
      <c r="U19" s="23"/>
      <c r="V19" s="22"/>
      <c r="W19" s="23"/>
      <c r="X19" s="22"/>
      <c r="Y19" s="22"/>
      <c r="Z19" s="23"/>
      <c r="AA19" s="22"/>
      <c r="AB19" s="23"/>
      <c r="AC19" s="23"/>
      <c r="AD19" s="22"/>
      <c r="AE19" s="23"/>
      <c r="AF19" s="22"/>
      <c r="AG19" s="23"/>
      <c r="AH19" s="23"/>
    </row>
    <row r="20" ht="14.25" customHeight="1">
      <c r="A20" s="18">
        <v>106.0</v>
      </c>
      <c r="B20" s="19" t="s">
        <v>98</v>
      </c>
      <c r="C20" s="20" t="s">
        <v>99</v>
      </c>
      <c r="D20" s="21"/>
      <c r="E20" s="21"/>
      <c r="F20" s="21"/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ht="14.25" customHeight="1">
      <c r="A21" s="24">
        <v>107.0</v>
      </c>
      <c r="B21" s="25" t="s">
        <v>100</v>
      </c>
      <c r="C21" s="26" t="s">
        <v>101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ht="14.25" customHeight="1">
      <c r="A22" s="18">
        <v>108.0</v>
      </c>
      <c r="B22" s="19" t="s">
        <v>102</v>
      </c>
      <c r="C22" s="19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ht="14.25" customHeight="1">
      <c r="A23" s="18">
        <v>99.0</v>
      </c>
      <c r="B23" s="19" t="s">
        <v>103</v>
      </c>
      <c r="C23" s="19" t="s">
        <v>103</v>
      </c>
      <c r="D23" s="23">
        <f>0.08138413012+0.09156849128+0.04075666289</f>
        <v>0.2137092843</v>
      </c>
      <c r="E23" s="23">
        <f>0.06580565435+0.09010277593</f>
        <v>0.1559084303</v>
      </c>
      <c r="F23" s="23">
        <f>0.06075850274+0.06594713057</f>
        <v>0.1267056333</v>
      </c>
      <c r="G23" s="23">
        <f>0.04163137434+0.07726021702+0.07694301561</f>
        <v>0.195834607</v>
      </c>
      <c r="H23" s="21">
        <v>0.05345016318</v>
      </c>
      <c r="I23" s="22">
        <v>0.03894687043</v>
      </c>
      <c r="J23" s="22">
        <f>0.06446733902+0.04293749366</f>
        <v>0.1074048327</v>
      </c>
      <c r="K23" s="22">
        <f>0.08603734441</f>
        <v>0.08603734441</v>
      </c>
      <c r="L23" s="22">
        <f>0.08628542732</f>
        <v>0.08628542732</v>
      </c>
      <c r="M23" s="22">
        <f>0.03060731575</f>
        <v>0.03060731575</v>
      </c>
      <c r="N23" s="22">
        <f>0.0269539768+0.0497975799</f>
        <v>0.0767515567</v>
      </c>
      <c r="O23" s="22">
        <f>0.07553775486+0.0421143023</f>
        <v>0.1176520572</v>
      </c>
      <c r="P23" s="22">
        <f>0.08643172608+0.0454450318</f>
        <v>0.1318767579</v>
      </c>
      <c r="Q23" s="23"/>
      <c r="R23" s="22">
        <f>0.1121408967+0.1032789179</f>
        <v>0.2154198146</v>
      </c>
      <c r="S23" s="22">
        <f>0.0666831138+0.09818347232</f>
        <v>0.1648665861</v>
      </c>
      <c r="T23" s="22">
        <f>0.0652076256+0.07014327619</f>
        <v>0.1353509018</v>
      </c>
      <c r="U23" s="22">
        <f>0.04629948787+0.1779114848+0.053955336734806</f>
        <v>0.2781663094</v>
      </c>
      <c r="V23" s="22"/>
      <c r="W23" s="22"/>
      <c r="X23" s="22"/>
      <c r="Y23" s="22"/>
      <c r="Z23" s="22"/>
      <c r="AA23" s="22"/>
      <c r="AB23" s="22"/>
      <c r="AC23" s="22"/>
      <c r="AD23" s="23"/>
      <c r="AE23" s="22"/>
      <c r="AF23" s="22"/>
      <c r="AG23" s="22"/>
      <c r="AH23" s="22"/>
    </row>
    <row r="24" ht="14.25" customHeight="1">
      <c r="A24" s="29" t="s">
        <v>104</v>
      </c>
      <c r="B24" s="28"/>
      <c r="C24" s="28"/>
      <c r="D24" s="30">
        <f t="shared" ref="D24:U24" si="2">SUM(D2:D23)</f>
        <v>1</v>
      </c>
      <c r="E24" s="30">
        <f t="shared" si="2"/>
        <v>1</v>
      </c>
      <c r="F24" s="30">
        <f t="shared" si="2"/>
        <v>1</v>
      </c>
      <c r="G24" s="30">
        <f t="shared" si="2"/>
        <v>1</v>
      </c>
      <c r="H24" s="30">
        <f t="shared" si="2"/>
        <v>1</v>
      </c>
      <c r="I24" s="30">
        <f t="shared" si="2"/>
        <v>1</v>
      </c>
      <c r="J24" s="30">
        <f t="shared" si="2"/>
        <v>1</v>
      </c>
      <c r="K24" s="30">
        <f t="shared" si="2"/>
        <v>1</v>
      </c>
      <c r="L24" s="30">
        <f t="shared" si="2"/>
        <v>1</v>
      </c>
      <c r="M24" s="30">
        <f t="shared" si="2"/>
        <v>0.9999999999</v>
      </c>
      <c r="N24" s="30">
        <f t="shared" si="2"/>
        <v>1</v>
      </c>
      <c r="O24" s="30">
        <f t="shared" si="2"/>
        <v>1</v>
      </c>
      <c r="P24" s="30">
        <f t="shared" si="2"/>
        <v>1</v>
      </c>
      <c r="Q24" s="30">
        <f t="shared" si="2"/>
        <v>1</v>
      </c>
      <c r="R24" s="30">
        <f t="shared" si="2"/>
        <v>1</v>
      </c>
      <c r="S24" s="30">
        <f t="shared" si="2"/>
        <v>0.9999999998</v>
      </c>
      <c r="T24" s="30">
        <f t="shared" si="2"/>
        <v>1</v>
      </c>
      <c r="U24" s="30">
        <f t="shared" si="2"/>
        <v>1</v>
      </c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3.44"/>
  </cols>
  <sheetData>
    <row r="1">
      <c r="A1" s="17" t="s">
        <v>43</v>
      </c>
      <c r="B1" s="17" t="s">
        <v>44</v>
      </c>
      <c r="C1" s="17" t="s">
        <v>105</v>
      </c>
      <c r="D1" s="17" t="s">
        <v>46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  <c r="P1" s="17" t="s">
        <v>58</v>
      </c>
      <c r="Q1" s="17" t="s">
        <v>59</v>
      </c>
      <c r="R1" s="17" t="s">
        <v>60</v>
      </c>
      <c r="S1" s="17" t="s">
        <v>61</v>
      </c>
      <c r="T1" s="17" t="s">
        <v>62</v>
      </c>
      <c r="U1" s="17" t="s">
        <v>63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>
      <c r="A2" s="18">
        <v>1.0</v>
      </c>
      <c r="B2" s="19" t="s">
        <v>64</v>
      </c>
      <c r="C2" s="19" t="s">
        <v>106</v>
      </c>
      <c r="D2" s="23">
        <v>0.048244</v>
      </c>
      <c r="E2" s="23">
        <v>0.06358406</v>
      </c>
      <c r="F2" s="23">
        <v>0.05471</v>
      </c>
      <c r="G2" s="23">
        <v>0.06413</v>
      </c>
      <c r="H2" s="21">
        <v>0.049601</v>
      </c>
      <c r="I2" s="21">
        <f>0.051824+0.083564+0.036555</f>
        <v>0.171943</v>
      </c>
      <c r="J2" s="21">
        <f>0.092964</f>
        <v>0.092964</v>
      </c>
      <c r="K2" s="21">
        <f>0.077673/2</f>
        <v>0.0388365</v>
      </c>
      <c r="L2" s="21">
        <f>0.086006</f>
        <v>0.086006</v>
      </c>
      <c r="M2" s="21">
        <f>0.067842+0.083527</f>
        <v>0.151369</v>
      </c>
      <c r="N2" s="21">
        <f>0.067615+0.077286+0.084041+0.076875</f>
        <v>0.305817</v>
      </c>
      <c r="O2" s="21">
        <f>0.088686+0.081583</f>
        <v>0.170269</v>
      </c>
      <c r="P2" s="21">
        <f>0.073178+0.085038</f>
        <v>0.158216</v>
      </c>
      <c r="Q2" s="21">
        <f>0.041052</f>
        <v>0.041052</v>
      </c>
      <c r="R2" s="21">
        <f>0.046395</f>
        <v>0.046395</v>
      </c>
      <c r="S2" s="21">
        <f>0.088985</f>
        <v>0.088985</v>
      </c>
      <c r="T2" s="21">
        <f>0.069669+0.060653+0.058167</f>
        <v>0.188489</v>
      </c>
      <c r="U2" s="21">
        <f>0.058205+0.073778</f>
        <v>0.131983</v>
      </c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>
      <c r="A3" s="18">
        <v>2.0</v>
      </c>
      <c r="B3" s="19" t="s">
        <v>66</v>
      </c>
      <c r="C3" s="19" t="s">
        <v>107</v>
      </c>
      <c r="D3" s="23">
        <v>0.079772</v>
      </c>
      <c r="E3" s="23">
        <v>0.0791275</v>
      </c>
      <c r="F3" s="23"/>
      <c r="G3" s="23"/>
      <c r="H3" s="21">
        <v>0.062638</v>
      </c>
      <c r="I3" s="21">
        <v>0.090547</v>
      </c>
      <c r="J3" s="21">
        <f>0.081447</f>
        <v>0.081447</v>
      </c>
      <c r="K3" s="21">
        <f>0.076757</f>
        <v>0.076757</v>
      </c>
      <c r="L3" s="21">
        <f>0.069233</f>
        <v>0.069233</v>
      </c>
      <c r="M3" s="23"/>
      <c r="N3" s="21">
        <f>0.107038/2</f>
        <v>0.053519</v>
      </c>
      <c r="O3" s="23"/>
      <c r="P3" s="23"/>
      <c r="Q3" s="21">
        <f>0.094233/2</f>
        <v>0.0471165</v>
      </c>
      <c r="R3" s="21">
        <f>0.107019/2</f>
        <v>0.0535095</v>
      </c>
      <c r="S3" s="21">
        <f>0.085086/2</f>
        <v>0.042543</v>
      </c>
      <c r="T3" s="21">
        <f>0.120644/2</f>
        <v>0.060322</v>
      </c>
      <c r="U3" s="21">
        <f>0.103232</f>
        <v>0.103232</v>
      </c>
      <c r="V3" s="21"/>
      <c r="W3" s="21"/>
      <c r="X3" s="21"/>
      <c r="Y3" s="21"/>
      <c r="Z3" s="23"/>
      <c r="AA3" s="21"/>
      <c r="AB3" s="23"/>
      <c r="AC3" s="23"/>
      <c r="AD3" s="21"/>
      <c r="AE3" s="21"/>
      <c r="AF3" s="21"/>
      <c r="AG3" s="21"/>
      <c r="AH3" s="21"/>
    </row>
    <row r="4">
      <c r="A4" s="18">
        <v>3.0</v>
      </c>
      <c r="B4" s="19" t="s">
        <v>68</v>
      </c>
      <c r="C4" s="20" t="s">
        <v>108</v>
      </c>
      <c r="D4" s="23"/>
      <c r="E4" s="23"/>
      <c r="F4" s="23"/>
      <c r="G4" s="23"/>
      <c r="H4" s="21">
        <f>0.107732/2</f>
        <v>0.053866</v>
      </c>
      <c r="I4" s="21">
        <f>0.11644/2</f>
        <v>0.05822</v>
      </c>
      <c r="J4" s="21">
        <f>0.068771</f>
        <v>0.068771</v>
      </c>
      <c r="K4" s="21">
        <f>0.108847/3</f>
        <v>0.03628233333</v>
      </c>
      <c r="L4" s="21">
        <f>0.134232/2</f>
        <v>0.067116</v>
      </c>
      <c r="M4" s="21">
        <f>0.140889</f>
        <v>0.140889</v>
      </c>
      <c r="N4" s="23"/>
      <c r="O4" s="21">
        <f>0.083591</f>
        <v>0.083591</v>
      </c>
      <c r="P4" s="21">
        <f>0.10782/2</f>
        <v>0.05391</v>
      </c>
      <c r="Q4" s="23"/>
      <c r="R4" s="21">
        <f>0.142809/2</f>
        <v>0.0714045</v>
      </c>
      <c r="S4" s="21">
        <f>0.11378/2</f>
        <v>0.05689</v>
      </c>
      <c r="T4" s="21">
        <f>0.202218/2</f>
        <v>0.101109</v>
      </c>
      <c r="U4" s="21">
        <f>0.065244/2</f>
        <v>0.032622</v>
      </c>
      <c r="V4" s="21"/>
      <c r="W4" s="21"/>
      <c r="X4" s="21"/>
      <c r="Y4" s="21"/>
      <c r="Z4" s="21"/>
      <c r="AA4" s="23"/>
      <c r="AB4" s="21"/>
      <c r="AC4" s="21"/>
      <c r="AD4" s="23"/>
      <c r="AE4" s="21"/>
      <c r="AF4" s="21"/>
      <c r="AG4" s="21"/>
      <c r="AH4" s="21"/>
    </row>
    <row r="5">
      <c r="A5" s="18">
        <v>4.0</v>
      </c>
      <c r="B5" s="19" t="s">
        <v>70</v>
      </c>
      <c r="C5" s="20" t="s">
        <v>109</v>
      </c>
      <c r="D5" s="23">
        <v>0.07023</v>
      </c>
      <c r="E5" s="23"/>
      <c r="F5" s="23">
        <v>0.076838</v>
      </c>
      <c r="G5" s="23">
        <f>0.074504+0.058417/2</f>
        <v>0.1037125</v>
      </c>
      <c r="H5" s="21">
        <v>0.083564</v>
      </c>
      <c r="I5" s="21">
        <f>0.175624/2+0.104283</f>
        <v>0.192095</v>
      </c>
      <c r="J5" s="21">
        <f>0.082401</f>
        <v>0.082401</v>
      </c>
      <c r="K5" s="21">
        <f>0.095537/2+0.148956</f>
        <v>0.1967245</v>
      </c>
      <c r="L5" s="21">
        <f>0.081047+0.127885/2</f>
        <v>0.1449895</v>
      </c>
      <c r="M5" s="21">
        <f>0.057465+0.109042</f>
        <v>0.166507</v>
      </c>
      <c r="N5" s="21">
        <f>0.100387</f>
        <v>0.100387</v>
      </c>
      <c r="O5" s="21">
        <f t="shared" ref="O5:O6" si="1">0.090984/2</f>
        <v>0.045492</v>
      </c>
      <c r="P5" s="23"/>
      <c r="Q5" s="21">
        <f>0.094233/2+0.085086+0.097548/2</f>
        <v>0.1809765</v>
      </c>
      <c r="R5" s="21">
        <f>0.084671/2+0.107019/2</f>
        <v>0.095845</v>
      </c>
      <c r="S5" s="21">
        <f>0.069924/2+0.085086/2+0.061041/2</f>
        <v>0.1080255</v>
      </c>
      <c r="T5" s="21">
        <f>0.120644/2+0.114984/2</f>
        <v>0.117814</v>
      </c>
      <c r="U5" s="21">
        <f>0.093688/2</f>
        <v>0.046844</v>
      </c>
      <c r="V5" s="21"/>
      <c r="W5" s="21"/>
      <c r="X5" s="21"/>
      <c r="Y5" s="21"/>
      <c r="Z5" s="21"/>
      <c r="AA5" s="21"/>
      <c r="AB5" s="21"/>
      <c r="AC5" s="23"/>
      <c r="AD5" s="21"/>
      <c r="AE5" s="21"/>
      <c r="AF5" s="21"/>
      <c r="AG5" s="21"/>
      <c r="AH5" s="21"/>
    </row>
    <row r="6">
      <c r="A6" s="18">
        <v>5.0</v>
      </c>
      <c r="B6" s="19" t="s">
        <v>72</v>
      </c>
      <c r="C6" s="20" t="s">
        <v>110</v>
      </c>
      <c r="D6" s="23"/>
      <c r="E6" s="23"/>
      <c r="F6" s="21">
        <v>0.077682</v>
      </c>
      <c r="G6" s="23"/>
      <c r="H6" s="23"/>
      <c r="I6" s="23"/>
      <c r="J6" s="23"/>
      <c r="K6" s="21">
        <f>0.081856/2</f>
        <v>0.040928</v>
      </c>
      <c r="L6" s="21">
        <f>0.134232/2</f>
        <v>0.067116</v>
      </c>
      <c r="M6" s="21">
        <f>0.128747</f>
        <v>0.128747</v>
      </c>
      <c r="N6" s="23"/>
      <c r="O6" s="21">
        <f t="shared" si="1"/>
        <v>0.045492</v>
      </c>
      <c r="P6" s="23"/>
      <c r="Q6" s="23"/>
      <c r="R6" s="23"/>
      <c r="S6" s="23"/>
      <c r="T6" s="23"/>
      <c r="U6" s="23"/>
      <c r="V6" s="23"/>
      <c r="W6" s="23"/>
      <c r="X6" s="21"/>
      <c r="Y6" s="21"/>
      <c r="Z6" s="21"/>
      <c r="AA6" s="23"/>
      <c r="AB6" s="21"/>
      <c r="AC6" s="23"/>
      <c r="AD6" s="23"/>
      <c r="AE6" s="23"/>
      <c r="AF6" s="23"/>
      <c r="AG6" s="23"/>
      <c r="AH6" s="23"/>
    </row>
    <row r="7">
      <c r="A7" s="18">
        <v>6.0</v>
      </c>
      <c r="B7" s="19" t="s">
        <v>74</v>
      </c>
      <c r="C7" s="19" t="s">
        <v>111</v>
      </c>
      <c r="D7" s="23">
        <f>0.079061+0.118159/2+0.093428</f>
        <v>0.2315685</v>
      </c>
      <c r="E7" s="23">
        <f>0.10069032+0.10596822+0.07197787/2+0.08552113</f>
        <v>0.328168605</v>
      </c>
      <c r="F7" s="23">
        <f>0.11378+0.108882+0.091699</f>
        <v>0.314361</v>
      </c>
      <c r="G7" s="23">
        <f>0.105515+0.099926+0.089442</f>
        <v>0.294883</v>
      </c>
      <c r="H7" s="21">
        <f>0.119058+0.127309</f>
        <v>0.246367</v>
      </c>
      <c r="I7" s="21">
        <f>0.175624/2+0.154711/2</f>
        <v>0.1651675</v>
      </c>
      <c r="J7" s="21">
        <f>0.117526/2+0.128598</f>
        <v>0.187361</v>
      </c>
      <c r="K7" s="21">
        <f>0.095537/2+0.124476</f>
        <v>0.1722445</v>
      </c>
      <c r="L7" s="21">
        <f>0.094947+0.105117+0.126802/2</f>
        <v>0.263465</v>
      </c>
      <c r="M7" s="21">
        <f>0.137255+0.134861/2</f>
        <v>0.2046855</v>
      </c>
      <c r="N7" s="21">
        <f>0.105474+0.139869/2</f>
        <v>0.1754085</v>
      </c>
      <c r="O7" s="21">
        <f>0.124689/2+0.12017</f>
        <v>0.1825145</v>
      </c>
      <c r="P7" s="21">
        <f>0.101959+0.155649/2</f>
        <v>0.1797835</v>
      </c>
      <c r="Q7" s="21">
        <f>0.115549+0.137343/2+0.097548/2</f>
        <v>0.2329945</v>
      </c>
      <c r="R7" s="21">
        <f>0.047369+0.084671/2+0.110077+0.139052/2</f>
        <v>0.2693075</v>
      </c>
      <c r="S7" s="21">
        <f>0.069924/2+0.129306</f>
        <v>0.164268</v>
      </c>
      <c r="T7" s="21">
        <f>0.062957+0.114984/2+0.141321/2</f>
        <v>0.1911095</v>
      </c>
      <c r="U7" s="21">
        <f>0.097588+0.093688/2+0.121354</f>
        <v>0.265786</v>
      </c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>
      <c r="A8" s="18">
        <v>7.0</v>
      </c>
      <c r="B8" s="19" t="s">
        <v>76</v>
      </c>
      <c r="C8" s="19" t="s">
        <v>112</v>
      </c>
      <c r="D8" s="21">
        <v>0.104269</v>
      </c>
      <c r="E8" s="21">
        <v>0.11146065</v>
      </c>
      <c r="F8" s="21">
        <v>0.091677</v>
      </c>
      <c r="G8" s="23">
        <v>0.102338</v>
      </c>
      <c r="H8" s="21">
        <v>0.097562</v>
      </c>
      <c r="I8" s="21">
        <v>0.092477</v>
      </c>
      <c r="J8" s="21">
        <f>0.099423</f>
        <v>0.099423</v>
      </c>
      <c r="K8" s="21">
        <f>0.081856/2</f>
        <v>0.040928</v>
      </c>
      <c r="L8" s="23"/>
      <c r="M8" s="23"/>
      <c r="N8" s="21">
        <f>0.107038/2</f>
        <v>0.053519</v>
      </c>
      <c r="O8" s="21">
        <f>0.117751</f>
        <v>0.117751</v>
      </c>
      <c r="P8" s="21">
        <f>0.064834</f>
        <v>0.064834</v>
      </c>
      <c r="Q8" s="21">
        <f>0.058555</f>
        <v>0.058555</v>
      </c>
      <c r="R8" s="21">
        <f>0.139788</f>
        <v>0.139788</v>
      </c>
      <c r="S8" s="21">
        <f>0.159543</f>
        <v>0.159543</v>
      </c>
      <c r="T8" s="23"/>
      <c r="U8" s="23"/>
      <c r="V8" s="21"/>
      <c r="W8" s="21"/>
      <c r="X8" s="21"/>
      <c r="Y8" s="23"/>
      <c r="Z8" s="23"/>
      <c r="AA8" s="21"/>
      <c r="AB8" s="21"/>
      <c r="AC8" s="21"/>
      <c r="AD8" s="21"/>
      <c r="AE8" s="21"/>
      <c r="AF8" s="21"/>
      <c r="AG8" s="23"/>
      <c r="AH8" s="23"/>
    </row>
    <row r="9">
      <c r="A9" s="18">
        <v>8.0</v>
      </c>
      <c r="B9" s="19" t="s">
        <v>78</v>
      </c>
      <c r="C9" s="19" t="s">
        <v>113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>
      <c r="A10" s="24">
        <v>9.0</v>
      </c>
      <c r="B10" s="25" t="s">
        <v>80</v>
      </c>
      <c r="C10" s="25" t="s">
        <v>114</v>
      </c>
      <c r="D10" s="27"/>
      <c r="E10" s="27"/>
      <c r="F10" s="27"/>
      <c r="G10" s="27"/>
      <c r="H10" s="27"/>
      <c r="I10" s="27"/>
      <c r="J10" s="27"/>
      <c r="K10" s="27"/>
      <c r="L10" s="31">
        <f>0.127885/2</f>
        <v>0.0639425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31"/>
      <c r="Z10" s="27"/>
      <c r="AA10" s="27"/>
      <c r="AB10" s="27"/>
      <c r="AC10" s="27"/>
      <c r="AD10" s="27"/>
      <c r="AE10" s="27"/>
      <c r="AF10" s="27"/>
      <c r="AG10" s="27"/>
      <c r="AH10" s="27"/>
    </row>
    <row r="11">
      <c r="A11" s="18">
        <v>10.0</v>
      </c>
      <c r="B11" s="19" t="s">
        <v>82</v>
      </c>
      <c r="C11" s="19" t="s">
        <v>115</v>
      </c>
      <c r="D11" s="23"/>
      <c r="E11" s="23"/>
      <c r="F11" s="23"/>
      <c r="G11" s="21">
        <f>0.058417/2</f>
        <v>0.0292085</v>
      </c>
      <c r="H11" s="21">
        <v>0.070439</v>
      </c>
      <c r="I11" s="23"/>
      <c r="J11" s="23"/>
      <c r="K11" s="23"/>
      <c r="L11" s="23"/>
      <c r="M11" s="23"/>
      <c r="N11" s="23"/>
      <c r="O11" s="23"/>
      <c r="P11" s="23"/>
      <c r="Q11" s="23"/>
      <c r="R11" s="21">
        <f>0.139052/2</f>
        <v>0.069526</v>
      </c>
      <c r="S11" s="21">
        <f>0.061041/2</f>
        <v>0.0305205</v>
      </c>
      <c r="T11" s="21">
        <f>0.141321/2</f>
        <v>0.0706605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1"/>
      <c r="AF11" s="21"/>
      <c r="AG11" s="21"/>
      <c r="AH11" s="23"/>
    </row>
    <row r="12">
      <c r="A12" s="24">
        <v>11.0</v>
      </c>
      <c r="B12" s="25" t="s">
        <v>84</v>
      </c>
      <c r="C12" s="26" t="s">
        <v>116</v>
      </c>
      <c r="D12" s="27"/>
      <c r="E12" s="27"/>
      <c r="F12" s="27"/>
      <c r="G12" s="27"/>
      <c r="H12" s="27"/>
      <c r="I12" s="27"/>
      <c r="J12" s="31">
        <f>0.056444</f>
        <v>0.056444</v>
      </c>
      <c r="K12" s="31">
        <f>0.097016+0.086354</f>
        <v>0.18337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31"/>
      <c r="X12" s="31"/>
      <c r="Y12" s="27"/>
      <c r="Z12" s="27"/>
      <c r="AA12" s="27"/>
      <c r="AB12" s="27"/>
      <c r="AC12" s="27"/>
      <c r="AD12" s="27"/>
      <c r="AE12" s="27"/>
      <c r="AF12" s="27"/>
      <c r="AG12" s="27"/>
      <c r="AH12" s="27"/>
    </row>
    <row r="13">
      <c r="A13" s="24">
        <v>12.0</v>
      </c>
      <c r="B13" s="25" t="s">
        <v>86</v>
      </c>
      <c r="C13" s="25" t="s">
        <v>117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1">
        <f>0.123981</f>
        <v>0.123981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31"/>
      <c r="AD13" s="27"/>
      <c r="AE13" s="27"/>
      <c r="AF13" s="27"/>
      <c r="AG13" s="27"/>
      <c r="AH13" s="27"/>
    </row>
    <row r="14">
      <c r="A14" s="18">
        <v>13.0</v>
      </c>
      <c r="B14" s="19" t="s">
        <v>88</v>
      </c>
      <c r="C14" s="19"/>
      <c r="D14" s="23"/>
      <c r="E14" s="23"/>
      <c r="F14" s="23"/>
      <c r="G14" s="23"/>
      <c r="H14" s="23"/>
      <c r="I14" s="23"/>
      <c r="J14" s="23"/>
      <c r="K14" s="23"/>
      <c r="L14" s="21">
        <f>0.085707</f>
        <v>0.085707</v>
      </c>
      <c r="M14" s="21">
        <f>0.069389</f>
        <v>0.069389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1"/>
      <c r="Z14" s="21"/>
      <c r="AA14" s="23"/>
      <c r="AB14" s="23"/>
      <c r="AC14" s="23"/>
      <c r="AD14" s="23"/>
      <c r="AE14" s="23"/>
      <c r="AF14" s="23"/>
      <c r="AG14" s="23"/>
      <c r="AH14" s="23"/>
    </row>
    <row r="15">
      <c r="A15" s="18">
        <v>101.0</v>
      </c>
      <c r="B15" s="19" t="s">
        <v>89</v>
      </c>
      <c r="C15" s="19" t="s">
        <v>118</v>
      </c>
      <c r="D15" s="21">
        <v>0.100316</v>
      </c>
      <c r="E15" s="21">
        <f>0.11937518/2</f>
        <v>0.05968759</v>
      </c>
      <c r="F15" s="21">
        <v>0.130207</v>
      </c>
      <c r="G15" s="21">
        <v>0.146162</v>
      </c>
      <c r="H15" s="21">
        <f>0.107732/2</f>
        <v>0.053866</v>
      </c>
      <c r="I15" s="21">
        <f>0.11644/2</f>
        <v>0.05822</v>
      </c>
      <c r="J15" s="21">
        <f>0.187868</f>
        <v>0.187868</v>
      </c>
      <c r="K15" s="21">
        <f>0.077673/2+0.108847/3</f>
        <v>0.07511883333</v>
      </c>
      <c r="L15" s="23"/>
      <c r="M15" s="23"/>
      <c r="N15" s="23"/>
      <c r="O15" s="21">
        <f>0.156542</f>
        <v>0.156542</v>
      </c>
      <c r="P15" s="21">
        <f>0.044321+0.138235</f>
        <v>0.182556</v>
      </c>
      <c r="Q15" s="21">
        <f>0.08228+0.202658</f>
        <v>0.284938</v>
      </c>
      <c r="R15" s="21">
        <f>0.093321+0.142809/2</f>
        <v>0.1647255</v>
      </c>
      <c r="S15" s="21">
        <f>0.11378/2+0.107079</f>
        <v>0.163969</v>
      </c>
      <c r="T15" s="21">
        <f>0.07391+0.202218/2</f>
        <v>0.175019</v>
      </c>
      <c r="U15" s="21">
        <f>0.101769</f>
        <v>0.101769</v>
      </c>
      <c r="V15" s="21"/>
      <c r="W15" s="21"/>
      <c r="X15" s="21"/>
      <c r="Y15" s="23"/>
      <c r="Z15" s="23"/>
      <c r="AA15" s="23"/>
      <c r="AB15" s="21"/>
      <c r="AC15" s="21"/>
      <c r="AD15" s="21"/>
      <c r="AE15" s="21"/>
      <c r="AF15" s="21"/>
      <c r="AG15" s="21"/>
      <c r="AH15" s="21"/>
    </row>
    <row r="16">
      <c r="A16" s="18">
        <v>102.0</v>
      </c>
      <c r="B16" s="19" t="s">
        <v>91</v>
      </c>
      <c r="C16" s="19" t="s">
        <v>119</v>
      </c>
      <c r="D16" s="21">
        <f>0.118159/2</f>
        <v>0.0590795</v>
      </c>
      <c r="E16" s="21">
        <f>0.07197787/2</f>
        <v>0.035988935</v>
      </c>
      <c r="F16" s="23"/>
      <c r="G16" s="23"/>
      <c r="H16" s="23"/>
      <c r="I16" s="21">
        <f>0.154711/2</f>
        <v>0.0773555</v>
      </c>
      <c r="J16" s="21">
        <f>0.117526/2</f>
        <v>0.058763</v>
      </c>
      <c r="K16" s="21">
        <f>0.102528/2</f>
        <v>0.051264</v>
      </c>
      <c r="L16" s="21">
        <f>0.126802/2</f>
        <v>0.063401</v>
      </c>
      <c r="M16" s="21">
        <f>0.134861/2</f>
        <v>0.0674305</v>
      </c>
      <c r="N16" s="21">
        <f>0.1725+0.139869/2</f>
        <v>0.2424345</v>
      </c>
      <c r="O16" s="21">
        <f>0.124689/2</f>
        <v>0.0623445</v>
      </c>
      <c r="P16" s="21">
        <f>0.155649/2</f>
        <v>0.0778245</v>
      </c>
      <c r="Q16" s="21">
        <f>0.137343/2</f>
        <v>0.0686715</v>
      </c>
      <c r="R16" s="23"/>
      <c r="S16" s="21">
        <f>0.105662</f>
        <v>0.105662</v>
      </c>
      <c r="T16" s="21">
        <f>0.095477</f>
        <v>0.095477</v>
      </c>
      <c r="U16" s="21">
        <f>0.096477</f>
        <v>0.096477</v>
      </c>
      <c r="V16" s="21"/>
      <c r="W16" s="21"/>
      <c r="X16" s="21"/>
      <c r="Y16" s="21"/>
      <c r="Z16" s="21"/>
      <c r="AA16" s="21"/>
      <c r="AB16" s="21"/>
      <c r="AC16" s="21"/>
      <c r="AD16" s="21"/>
      <c r="AE16" s="23"/>
      <c r="AF16" s="21"/>
      <c r="AG16" s="21"/>
      <c r="AH16" s="21"/>
    </row>
    <row r="17">
      <c r="A17" s="18">
        <v>103.0</v>
      </c>
      <c r="B17" s="19" t="s">
        <v>93</v>
      </c>
      <c r="C17" s="19" t="s">
        <v>120</v>
      </c>
      <c r="D17" s="23"/>
      <c r="E17" s="21">
        <f>0.11937518/2</f>
        <v>0.05968759</v>
      </c>
      <c r="F17" s="21">
        <f t="shared" ref="F17:F18" si="2">0.083685/2</f>
        <v>0.0418425</v>
      </c>
      <c r="G17" s="23"/>
      <c r="H17" s="23"/>
      <c r="I17" s="23"/>
      <c r="J17" s="21">
        <f t="shared" ref="J17:J18" si="3">0.084558/2</f>
        <v>0.042279</v>
      </c>
      <c r="K17" s="21">
        <f>0.108847/3</f>
        <v>0.03628233333</v>
      </c>
      <c r="L17" s="21">
        <f t="shared" ref="L17:L18" si="4">0.089023/2</f>
        <v>0.0445115</v>
      </c>
      <c r="M17" s="23"/>
      <c r="N17" s="23"/>
      <c r="O17" s="23"/>
      <c r="P17" s="23"/>
      <c r="Q17" s="23"/>
      <c r="R17" s="23"/>
      <c r="S17" s="23"/>
      <c r="T17" s="23"/>
      <c r="U17" s="21">
        <f>0.065244/2</f>
        <v>0.032622</v>
      </c>
      <c r="V17" s="23"/>
      <c r="W17" s="21"/>
      <c r="X17" s="21"/>
      <c r="Y17" s="21"/>
      <c r="Z17" s="23"/>
      <c r="AA17" s="23"/>
      <c r="AB17" s="23"/>
      <c r="AC17" s="23"/>
      <c r="AD17" s="23"/>
      <c r="AE17" s="23"/>
      <c r="AF17" s="23"/>
      <c r="AG17" s="23"/>
      <c r="AH17" s="21"/>
    </row>
    <row r="18">
      <c r="A18" s="18">
        <v>104.0</v>
      </c>
      <c r="B18" s="19" t="s">
        <v>95</v>
      </c>
      <c r="C18" s="19" t="s">
        <v>121</v>
      </c>
      <c r="D18" s="21">
        <v>0.085869</v>
      </c>
      <c r="E18" s="21">
        <v>0.07746197</v>
      </c>
      <c r="F18" s="21">
        <f t="shared" si="2"/>
        <v>0.0418425</v>
      </c>
      <c r="G18" s="21">
        <v>0.098594</v>
      </c>
      <c r="H18" s="21">
        <v>0.096689</v>
      </c>
      <c r="I18" s="21">
        <v>0.093974</v>
      </c>
      <c r="J18" s="21">
        <f t="shared" si="3"/>
        <v>0.042279</v>
      </c>
      <c r="K18" s="21">
        <f>0.102528/2</f>
        <v>0.051264</v>
      </c>
      <c r="L18" s="21">
        <f t="shared" si="4"/>
        <v>0.0445115</v>
      </c>
      <c r="M18" s="21">
        <f>0.070983</f>
        <v>0.070983</v>
      </c>
      <c r="N18" s="21">
        <f>0.068915</f>
        <v>0.068915</v>
      </c>
      <c r="O18" s="21">
        <f>0.096361</f>
        <v>0.096361</v>
      </c>
      <c r="P18" s="21">
        <f>0.10782/2+0.104985</f>
        <v>0.158895</v>
      </c>
      <c r="Q18" s="21">
        <f>0.085697</f>
        <v>0.085697</v>
      </c>
      <c r="R18" s="21">
        <f>0.089499</f>
        <v>0.089499</v>
      </c>
      <c r="S18" s="21">
        <f>0.079594</f>
        <v>0.079594</v>
      </c>
      <c r="T18" s="23"/>
      <c r="U18" s="23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3"/>
      <c r="AH18" s="23"/>
    </row>
    <row r="19">
      <c r="A19" s="24">
        <v>105.0</v>
      </c>
      <c r="B19" s="25" t="s">
        <v>96</v>
      </c>
      <c r="C19" s="26" t="s">
        <v>122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>
      <c r="A20" s="24">
        <v>106.0</v>
      </c>
      <c r="B20" s="25" t="s">
        <v>98</v>
      </c>
      <c r="C20" s="25" t="s">
        <v>123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>
      <c r="A21" s="24">
        <v>107.0</v>
      </c>
      <c r="B21" s="25" t="s">
        <v>100</v>
      </c>
      <c r="C21" s="25" t="s">
        <v>124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>
      <c r="A22" s="18">
        <v>108.0</v>
      </c>
      <c r="B22" s="18" t="s">
        <v>102</v>
      </c>
      <c r="C22" s="19" t="s">
        <v>125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>
      <c r="A23" s="18">
        <v>99.0</v>
      </c>
      <c r="B23" s="19" t="s">
        <v>103</v>
      </c>
      <c r="C23" s="19" t="s">
        <v>126</v>
      </c>
      <c r="D23" s="23">
        <v>0.220651</v>
      </c>
      <c r="E23" s="23">
        <v>0.18483312</v>
      </c>
      <c r="F23" s="23">
        <v>0.170842</v>
      </c>
      <c r="G23" s="23">
        <v>0.160972</v>
      </c>
      <c r="H23" s="21">
        <v>0.185406</v>
      </c>
      <c r="I23" s="23"/>
      <c r="J23" s="23"/>
      <c r="K23" s="23"/>
      <c r="L23" s="23"/>
      <c r="M23" s="23"/>
      <c r="N23" s="23"/>
      <c r="O23" s="21">
        <f>0.039642</f>
        <v>0.039642</v>
      </c>
      <c r="P23" s="23"/>
      <c r="Q23" s="23"/>
      <c r="R23" s="23"/>
      <c r="S23" s="23"/>
      <c r="T23" s="23"/>
      <c r="U23" s="21">
        <f>0.188665</f>
        <v>0.188665</v>
      </c>
      <c r="V23" s="23"/>
      <c r="W23" s="23"/>
      <c r="X23" s="23"/>
      <c r="Y23" s="23"/>
      <c r="Z23" s="23"/>
      <c r="AA23" s="23"/>
      <c r="AB23" s="21"/>
      <c r="AC23" s="23"/>
      <c r="AD23" s="23"/>
      <c r="AE23" s="23"/>
      <c r="AF23" s="23"/>
      <c r="AG23" s="23"/>
      <c r="AH23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4.56"/>
  </cols>
  <sheetData>
    <row r="1">
      <c r="A1" s="17" t="s">
        <v>43</v>
      </c>
      <c r="B1" s="17" t="s">
        <v>44</v>
      </c>
      <c r="C1" s="32" t="s">
        <v>127</v>
      </c>
      <c r="D1" s="33" t="s">
        <v>128</v>
      </c>
      <c r="E1" s="33" t="s">
        <v>129</v>
      </c>
      <c r="F1" s="33" t="s">
        <v>130</v>
      </c>
      <c r="G1" s="33" t="s">
        <v>131</v>
      </c>
      <c r="H1" s="33" t="s">
        <v>132</v>
      </c>
      <c r="I1" s="33" t="s">
        <v>133</v>
      </c>
      <c r="J1" s="33" t="s">
        <v>134</v>
      </c>
      <c r="K1" s="33" t="s">
        <v>135</v>
      </c>
      <c r="L1" s="33" t="s">
        <v>136</v>
      </c>
      <c r="M1" s="33" t="s">
        <v>137</v>
      </c>
      <c r="N1" s="33" t="s">
        <v>138</v>
      </c>
      <c r="O1" s="33" t="s">
        <v>139</v>
      </c>
      <c r="P1" s="33" t="s">
        <v>46</v>
      </c>
      <c r="Q1" s="17" t="s">
        <v>47</v>
      </c>
      <c r="R1" s="17" t="s">
        <v>48</v>
      </c>
      <c r="S1" s="17" t="s">
        <v>49</v>
      </c>
      <c r="T1" s="17" t="s">
        <v>50</v>
      </c>
      <c r="U1" s="17" t="s">
        <v>51</v>
      </c>
      <c r="V1" s="17" t="s">
        <v>52</v>
      </c>
      <c r="W1" s="17" t="s">
        <v>53</v>
      </c>
      <c r="X1" s="17" t="s">
        <v>54</v>
      </c>
      <c r="Y1" s="17" t="s">
        <v>55</v>
      </c>
      <c r="Z1" s="17" t="s">
        <v>56</v>
      </c>
      <c r="AA1" s="17" t="s">
        <v>57</v>
      </c>
      <c r="AB1" s="17" t="s">
        <v>58</v>
      </c>
    </row>
    <row r="2">
      <c r="A2" s="18">
        <v>1.0</v>
      </c>
      <c r="B2" s="19" t="s">
        <v>64</v>
      </c>
      <c r="C2" s="23"/>
      <c r="D2" s="23"/>
      <c r="E2" s="21">
        <f>0.1062240961/2</f>
        <v>0.05311204805</v>
      </c>
      <c r="F2" s="21">
        <v>0.06170731885</v>
      </c>
      <c r="G2" s="21">
        <v>0.07940291773</v>
      </c>
      <c r="H2" s="21">
        <f>0.1184484616+0.08451017225/2</f>
        <v>0.1607035477</v>
      </c>
      <c r="I2" s="21">
        <v>0.06826009297</v>
      </c>
      <c r="J2" s="23"/>
      <c r="K2" s="23">
        <v>0.1167922378</v>
      </c>
      <c r="L2" s="23">
        <v>0.1139569265</v>
      </c>
      <c r="M2" s="23">
        <v>0.09285181922</v>
      </c>
      <c r="N2" s="23">
        <v>0.07283428352</v>
      </c>
      <c r="O2" s="23">
        <v>0.05790598552</v>
      </c>
      <c r="P2" s="23">
        <v>0.04886126367</v>
      </c>
      <c r="Q2" s="23">
        <v>0.08740775584</v>
      </c>
      <c r="R2" s="23">
        <v>0.05839541595</v>
      </c>
      <c r="S2" s="23">
        <v>0.06267064086</v>
      </c>
      <c r="T2" s="23"/>
      <c r="U2" s="23"/>
      <c r="V2" s="23"/>
      <c r="W2" s="23"/>
      <c r="X2" s="23"/>
      <c r="Y2" s="23"/>
      <c r="Z2" s="23"/>
      <c r="AA2" s="21">
        <f>0.1213252912+0.04968926553</f>
        <v>0.1710145567</v>
      </c>
      <c r="AB2" s="21">
        <f>0.07614706172/2+0.06562199926</f>
        <v>0.1036955301</v>
      </c>
    </row>
    <row r="3">
      <c r="A3" s="18">
        <v>2.0</v>
      </c>
      <c r="B3" s="19" t="s">
        <v>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>
        <v>0.07973772631</v>
      </c>
      <c r="O3" s="23">
        <v>0.09773879842</v>
      </c>
      <c r="P3" s="23">
        <v>0.1439426917</v>
      </c>
      <c r="Q3" s="23">
        <v>0.121723645</v>
      </c>
      <c r="R3" s="23">
        <v>0.1270471442</v>
      </c>
      <c r="S3" s="21">
        <v>0.109793137</v>
      </c>
      <c r="T3" s="21">
        <v>0.09736478652</v>
      </c>
      <c r="U3" s="23"/>
      <c r="V3" s="21">
        <f>0.1108445519</f>
        <v>0.1108445519</v>
      </c>
      <c r="W3" s="21">
        <f>0.1147414209</f>
        <v>0.1147414209</v>
      </c>
      <c r="X3" s="21">
        <f>0.1081876676</f>
        <v>0.1081876676</v>
      </c>
      <c r="Y3" s="21">
        <f>0.1158516791+0.07122070594</f>
        <v>0.187072385</v>
      </c>
      <c r="Z3" s="23"/>
      <c r="AA3" s="23"/>
      <c r="AB3" s="23"/>
    </row>
    <row r="4">
      <c r="A4" s="18">
        <v>3.0</v>
      </c>
      <c r="B4" s="19" t="s">
        <v>68</v>
      </c>
      <c r="C4" s="21">
        <f>0.08060689309/2+0.07611307021+0.08218616552</f>
        <v>0.1986026823</v>
      </c>
      <c r="D4" s="21">
        <v>0.06816660973</v>
      </c>
      <c r="E4" s="23"/>
      <c r="F4" s="21">
        <f>0.1605251437/2</f>
        <v>0.08026257185</v>
      </c>
      <c r="G4" s="23"/>
      <c r="H4" s="21">
        <f>0.1134251366/2</f>
        <v>0.0567125683</v>
      </c>
      <c r="I4" s="23"/>
      <c r="J4" s="23"/>
      <c r="K4" s="21">
        <f>0.1292185291/2</f>
        <v>0.06460926455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18">
        <v>4.0</v>
      </c>
      <c r="B5" s="19" t="s">
        <v>70</v>
      </c>
      <c r="C5" s="23"/>
      <c r="D5" s="23"/>
      <c r="E5" s="23"/>
      <c r="F5" s="21">
        <f>0.1617030592/2</f>
        <v>0.0808515296</v>
      </c>
      <c r="G5" s="21">
        <f>0.1241082054/2+0.09461149443/2</f>
        <v>0.1093598499</v>
      </c>
      <c r="H5" s="23"/>
      <c r="I5" s="23"/>
      <c r="J5" s="23">
        <f>0.08243127124/2</f>
        <v>0.04121563562</v>
      </c>
      <c r="K5" s="21">
        <v>0.07059143563</v>
      </c>
      <c r="L5" s="23">
        <v>0.06538558776</v>
      </c>
      <c r="M5" s="23">
        <f>0.06494947869/2</f>
        <v>0.03247473935</v>
      </c>
      <c r="N5" s="23">
        <f>0.1594849097/2+0.0692670097</f>
        <v>0.1490094646</v>
      </c>
      <c r="O5" s="23">
        <f t="shared" ref="O5:O6" si="1">0.1415442644/2</f>
        <v>0.0707721322</v>
      </c>
      <c r="P5" s="23">
        <f>0.1377780968/2+0.1234134081/2</f>
        <v>0.1305957525</v>
      </c>
      <c r="Q5" s="23">
        <f t="shared" ref="Q5:Q6" si="2">0.1713295271/2+0.03266623853/2+0.1213941599/2</f>
        <v>0.1626949628</v>
      </c>
      <c r="R5" s="23">
        <f t="shared" ref="R5:R6" si="3">0.1716222732/2+0.08513318428/2+0.06246979225/2</f>
        <v>0.1596126249</v>
      </c>
      <c r="S5" s="23">
        <f t="shared" ref="S5:S6" si="4">0.07542062173/2+0.1239419358/2+0.08136229457/2</f>
        <v>0.1403624261</v>
      </c>
      <c r="T5" s="21">
        <v>0.07738820706</v>
      </c>
      <c r="U5" s="21">
        <f>0.1704270818/3+0.1264543666+0.06897264356/2</f>
        <v>0.2177497156</v>
      </c>
      <c r="V5" s="21">
        <f>0.1362213715/2+0.04226064715/2+0.09363284757</f>
        <v>0.1828738569</v>
      </c>
      <c r="W5" s="21">
        <f>0.07869763771+0.1059777551/2</f>
        <v>0.1316865153</v>
      </c>
      <c r="X5" s="21">
        <f>0.08009239291/2+0.08738252397/2+0.1254153032/2</f>
        <v>0.14644511</v>
      </c>
      <c r="Y5" s="21">
        <f>0.1133272276/2+0.04154893657/2</f>
        <v>0.07743808209</v>
      </c>
      <c r="Z5" s="21">
        <f>0.1827631759/2+0.1067867499/2</f>
        <v>0.1447749629</v>
      </c>
      <c r="AA5" s="21">
        <f>0.1778200385/2+0.1282616953</f>
        <v>0.2171717146</v>
      </c>
      <c r="AB5" s="21">
        <f>0.1823027807+0.09482208303</f>
        <v>0.2771248637</v>
      </c>
    </row>
    <row r="6">
      <c r="A6" s="18">
        <v>5.0</v>
      </c>
      <c r="B6" s="19" t="s">
        <v>72</v>
      </c>
      <c r="C6" s="23"/>
      <c r="D6" s="23"/>
      <c r="E6" s="23"/>
      <c r="F6" s="23"/>
      <c r="G6" s="23"/>
      <c r="H6" s="23"/>
      <c r="I6" s="23"/>
      <c r="J6" s="23"/>
      <c r="K6" s="21">
        <f>0.1292185291/2</f>
        <v>0.06460926455</v>
      </c>
      <c r="L6" s="21">
        <v>0.1521918391</v>
      </c>
      <c r="M6" s="23">
        <v>0.141132062</v>
      </c>
      <c r="N6" s="23">
        <f>0.1594849097/2</f>
        <v>0.07974245485</v>
      </c>
      <c r="O6" s="23">
        <f t="shared" si="1"/>
        <v>0.0707721322</v>
      </c>
      <c r="P6" s="23">
        <v>0.1306</v>
      </c>
      <c r="Q6" s="23">
        <f t="shared" si="2"/>
        <v>0.1626949628</v>
      </c>
      <c r="R6" s="23">
        <f t="shared" si="3"/>
        <v>0.1596126249</v>
      </c>
      <c r="S6" s="23">
        <f t="shared" si="4"/>
        <v>0.1403624261</v>
      </c>
      <c r="T6" s="21">
        <v>0.1007356285</v>
      </c>
      <c r="U6" s="21">
        <f>0.06897264356/2+0.1628941821</f>
        <v>0.1973805039</v>
      </c>
      <c r="V6" s="21">
        <f>0.1362213715/2+0.140688265</f>
        <v>0.2087989508</v>
      </c>
      <c r="W6" s="21">
        <f>0.1336370642+0.09368555142</f>
        <v>0.2273226156</v>
      </c>
      <c r="X6" s="21">
        <f>0.1409604215+0.1254153032/2</f>
        <v>0.2036680731</v>
      </c>
      <c r="Y6" s="21">
        <f>0.04154893657/2+0.1412127005</f>
        <v>0.1619871688</v>
      </c>
      <c r="Z6" s="21">
        <f>0.07437353381</f>
        <v>0.07437353381</v>
      </c>
      <c r="AA6" s="21">
        <f>0.1252806116</f>
        <v>0.1252806116</v>
      </c>
      <c r="AB6" s="23"/>
    </row>
    <row r="7">
      <c r="A7" s="18">
        <v>6.0</v>
      </c>
      <c r="B7" s="19" t="s">
        <v>74</v>
      </c>
      <c r="C7" s="23"/>
      <c r="D7" s="23"/>
      <c r="E7" s="23"/>
      <c r="F7" s="23"/>
      <c r="G7" s="23"/>
      <c r="H7" s="23"/>
      <c r="I7" s="23"/>
      <c r="J7" s="23"/>
      <c r="K7" s="21">
        <v>0.07219149894</v>
      </c>
      <c r="L7" s="21">
        <v>0.06034043982</v>
      </c>
      <c r="M7" s="23">
        <f>0.06494947869/2+0.066596210722/2+0.1276949358</f>
        <v>0.1934677805</v>
      </c>
      <c r="N7" s="23"/>
      <c r="O7" s="23"/>
      <c r="P7" s="23"/>
      <c r="Q7" s="23"/>
      <c r="R7" s="23">
        <v>0.155399501</v>
      </c>
      <c r="S7" s="23"/>
      <c r="T7" s="21">
        <f>0.08061025358/2+0.2319936978/2</f>
        <v>0.1563019757</v>
      </c>
      <c r="U7" s="21">
        <f t="shared" ref="U7:U8" si="5">0.1704270818/3</f>
        <v>0.05680902727</v>
      </c>
      <c r="V7" s="23"/>
      <c r="W7" s="23"/>
      <c r="X7" s="23"/>
      <c r="Y7" s="23"/>
      <c r="Z7" s="21">
        <f>0.1827631759/2</f>
        <v>0.09138158795</v>
      </c>
      <c r="AA7" s="21">
        <f>0.1778200385/2</f>
        <v>0.08891001925</v>
      </c>
      <c r="AB7" s="23"/>
    </row>
    <row r="8">
      <c r="A8" s="18">
        <v>7.0</v>
      </c>
      <c r="B8" s="19" t="s">
        <v>76</v>
      </c>
      <c r="C8" s="23"/>
      <c r="D8" s="23"/>
      <c r="E8" s="23">
        <v>0.0613562601</v>
      </c>
      <c r="F8" s="23"/>
      <c r="G8" s="23"/>
      <c r="H8" s="21">
        <f>0.08451017225/2</f>
        <v>0.04225508613</v>
      </c>
      <c r="I8" s="23"/>
      <c r="J8" s="23"/>
      <c r="K8" s="23"/>
      <c r="L8" s="23">
        <v>0.1370441419</v>
      </c>
      <c r="M8" s="21">
        <f>0.06659621072/2</f>
        <v>0.03329810536</v>
      </c>
      <c r="N8" s="23"/>
      <c r="O8" s="23"/>
      <c r="P8" s="23"/>
      <c r="Q8" s="23"/>
      <c r="R8" s="23"/>
      <c r="S8" s="23"/>
      <c r="T8" s="21">
        <f>0.2319936978/2</f>
        <v>0.1159968489</v>
      </c>
      <c r="U8" s="21">
        <f t="shared" si="5"/>
        <v>0.05680902727</v>
      </c>
      <c r="V8" s="21">
        <f>0.04226064715/2</f>
        <v>0.02113032358</v>
      </c>
      <c r="W8" s="21">
        <f>0.1059777551/2</f>
        <v>0.05298887755</v>
      </c>
      <c r="X8" s="21">
        <f>0.08738252397/2</f>
        <v>0.04369126199</v>
      </c>
      <c r="Y8" s="21">
        <f>0.05364082272</f>
        <v>0.05364082272</v>
      </c>
      <c r="Z8" s="21">
        <f>0.1067867499/2</f>
        <v>0.05339337495</v>
      </c>
      <c r="AA8" s="23"/>
      <c r="AB8" s="21">
        <f>0.07614706172/2</f>
        <v>0.03807353086</v>
      </c>
    </row>
    <row r="9">
      <c r="A9" s="18">
        <v>8.0</v>
      </c>
      <c r="B9" s="19" t="s">
        <v>78</v>
      </c>
      <c r="C9" s="23"/>
      <c r="D9" s="23"/>
      <c r="E9" s="23"/>
      <c r="F9" s="23"/>
      <c r="G9" s="23"/>
      <c r="H9" s="23"/>
      <c r="I9" s="23"/>
      <c r="J9" s="23"/>
      <c r="K9" s="21">
        <v>0.05696472646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1">
        <f>0.09879283907</f>
        <v>0.09879283907</v>
      </c>
    </row>
    <row r="10">
      <c r="A10" s="18">
        <v>9.0</v>
      </c>
      <c r="B10" s="19" t="s">
        <v>80</v>
      </c>
      <c r="C10" s="23"/>
      <c r="D10" s="23"/>
      <c r="E10" s="23"/>
      <c r="F10" s="23"/>
      <c r="G10" s="23"/>
      <c r="H10" s="23"/>
      <c r="I10" s="23"/>
      <c r="J10" s="23"/>
      <c r="K10" s="21">
        <v>0.1108723666</v>
      </c>
      <c r="L10" s="21">
        <v>0.1140339812</v>
      </c>
      <c r="M10" s="21">
        <v>0.1180844229</v>
      </c>
      <c r="N10" s="21">
        <v>0.08703166634</v>
      </c>
      <c r="O10" s="21">
        <v>0.1076353366</v>
      </c>
      <c r="P10" s="21">
        <v>0.08330373948</v>
      </c>
      <c r="Q10" s="21">
        <v>0.08492958936</v>
      </c>
      <c r="R10" s="21">
        <v>0.08818576181</v>
      </c>
      <c r="S10" s="21">
        <v>0.08978658413</v>
      </c>
      <c r="T10" s="21">
        <v>0.1067363261</v>
      </c>
      <c r="U10" s="21">
        <v>0.09884927035</v>
      </c>
      <c r="V10" s="21">
        <f>0.04529100874+0.07922001631</f>
        <v>0.1245110251</v>
      </c>
      <c r="W10" s="21">
        <f>0.1219991541</f>
        <v>0.1219991541</v>
      </c>
      <c r="X10" s="21">
        <f>0.09376429327</f>
        <v>0.09376429327</v>
      </c>
      <c r="Y10" s="21">
        <f>0.1180925816</f>
        <v>0.1180925816</v>
      </c>
      <c r="Z10" s="21">
        <f>0.1249860616</f>
        <v>0.1249860616</v>
      </c>
      <c r="AA10" s="21">
        <f>0.08613303811</f>
        <v>0.08613303811</v>
      </c>
      <c r="AB10" s="23"/>
    </row>
    <row r="11">
      <c r="A11" s="24">
        <v>10.0</v>
      </c>
      <c r="B11" s="25" t="s">
        <v>82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31">
        <f>0.08009239291/2</f>
        <v>0.04004619646</v>
      </c>
      <c r="Y11" s="31">
        <f>0.1133272276/2</f>
        <v>0.0566636138</v>
      </c>
      <c r="Z11" s="31">
        <f>0.08149396953</f>
        <v>0.08149396953</v>
      </c>
      <c r="AA11" s="27"/>
      <c r="AB11" s="31">
        <f>0.1080244042</f>
        <v>0.1080244042</v>
      </c>
    </row>
    <row r="12">
      <c r="A12" s="24">
        <v>11.0</v>
      </c>
      <c r="B12" s="25" t="s">
        <v>84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>
      <c r="A13" s="24">
        <v>12.0</v>
      </c>
      <c r="B13" s="25" t="s">
        <v>86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18">
        <v>13.0</v>
      </c>
      <c r="B14" s="19" t="s">
        <v>88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1">
        <f>0.08584967551</f>
        <v>0.08584967551</v>
      </c>
      <c r="Y14" s="21">
        <f>0.1106221076</f>
        <v>0.1106221076</v>
      </c>
      <c r="Z14" s="21">
        <f>0.07557892872</f>
        <v>0.07557892872</v>
      </c>
      <c r="AA14" s="21">
        <f>0.07358376944</f>
        <v>0.07358376944</v>
      </c>
      <c r="AB14" s="23"/>
    </row>
    <row r="15">
      <c r="A15" s="18">
        <v>101.0</v>
      </c>
      <c r="B15" s="19" t="s">
        <v>89</v>
      </c>
      <c r="C15" s="23"/>
      <c r="D15" s="21">
        <f>0.07084065407+0.1524711526+0.07005381103+0.07662414162+0.09437174321+0.1071184131</f>
        <v>0.5714799156</v>
      </c>
      <c r="E15" s="23"/>
      <c r="F15" s="23"/>
      <c r="G15" s="21">
        <f>0.07291557807+0.1241082054/2</f>
        <v>0.1349696808</v>
      </c>
      <c r="H15" s="21">
        <f>0.1134251366/2+0.06162443604</f>
        <v>0.1183370043</v>
      </c>
      <c r="I15" s="21">
        <f>0.09010302684/2+0.1252563453/2+0.1411936392</f>
        <v>0.2488733253</v>
      </c>
      <c r="J15" s="21">
        <f>0.1277964178+0.09673696481+0.08073124511+0.09682606818+0.08243127124/2</f>
        <v>0.4433063315</v>
      </c>
      <c r="K15" s="21">
        <f>0.1214432078/2+0.08800413651</f>
        <v>0.1487257404</v>
      </c>
      <c r="L15" s="21">
        <f>0.1167247011+0.1207740869</f>
        <v>0.237498788</v>
      </c>
      <c r="M15" s="21">
        <v>0.1271906426</v>
      </c>
      <c r="N15" s="21">
        <f>10.64006053%/2</f>
        <v>0.05320030265</v>
      </c>
      <c r="O15" s="21">
        <f>0.2238351645+0.11901284352075</f>
        <v>0.342848008</v>
      </c>
      <c r="P15" s="21">
        <v>0.2460051748</v>
      </c>
      <c r="Q15" s="21">
        <v>0.2179235506</v>
      </c>
      <c r="R15" s="21">
        <f>12.84103581%/2</f>
        <v>0.06420517905</v>
      </c>
      <c r="S15" s="21">
        <f>12.13433392%/2</f>
        <v>0.0606716696</v>
      </c>
      <c r="T15" s="21">
        <f>0.1242198655/2</f>
        <v>0.06210993275</v>
      </c>
      <c r="U15" s="21">
        <v>0.150126766</v>
      </c>
      <c r="V15" s="21">
        <f>0.1850086642</f>
        <v>0.1850086642</v>
      </c>
      <c r="W15" s="23"/>
      <c r="X15" s="21">
        <f>0.1460789564/2</f>
        <v>0.0730394782</v>
      </c>
      <c r="Y15" s="23"/>
      <c r="Z15" s="23"/>
      <c r="AA15" s="21">
        <f>0.07566321458</f>
        <v>0.07566321458</v>
      </c>
      <c r="AB15" s="21">
        <f>0.1216349151/2</f>
        <v>0.06081745755</v>
      </c>
    </row>
    <row r="16">
      <c r="A16" s="18">
        <v>102.0</v>
      </c>
      <c r="B16" s="19" t="s">
        <v>91</v>
      </c>
      <c r="C16" s="23"/>
      <c r="D16" s="23"/>
      <c r="E16" s="23"/>
      <c r="F16" s="23"/>
      <c r="G16" s="21">
        <v>0.1584501189</v>
      </c>
      <c r="H16" s="21">
        <v>0.1786574761</v>
      </c>
      <c r="I16" s="21">
        <f>0.1029542673+0.1253562196</f>
        <v>0.2283104869</v>
      </c>
      <c r="J16" s="21">
        <v>0.1573137469</v>
      </c>
      <c r="K16" s="21">
        <v>0.1284397766</v>
      </c>
      <c r="L16" s="23"/>
      <c r="M16" s="23"/>
      <c r="N16" s="23"/>
      <c r="O16" s="23"/>
      <c r="P16" s="23"/>
      <c r="Q16" s="23"/>
      <c r="R16" s="23"/>
      <c r="S16" s="21">
        <v>0.188349717</v>
      </c>
      <c r="T16" s="21">
        <f>0.08061025358/2</f>
        <v>0.04030512679</v>
      </c>
      <c r="U16" s="23"/>
      <c r="V16" s="23"/>
      <c r="W16" s="23"/>
      <c r="X16" s="23"/>
      <c r="Y16" s="21">
        <f>0.1847264195</f>
        <v>0.1847264195</v>
      </c>
      <c r="Z16" s="23"/>
      <c r="AA16" s="23"/>
      <c r="AB16" s="23"/>
    </row>
    <row r="17">
      <c r="A17" s="18">
        <v>103.0</v>
      </c>
      <c r="B17" s="20" t="s">
        <v>93</v>
      </c>
      <c r="C17" s="23"/>
      <c r="D17" s="23"/>
      <c r="E17" s="23">
        <v>0.06417610917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18">
        <v>104.0</v>
      </c>
      <c r="B18" s="19" t="s">
        <v>95</v>
      </c>
      <c r="C18" s="23"/>
      <c r="D18" s="23"/>
      <c r="E18" s="23"/>
      <c r="F18" s="23">
        <v>0.05465924901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>
      <c r="A19" s="18">
        <v>105.0</v>
      </c>
      <c r="B19" s="19" t="s">
        <v>96</v>
      </c>
      <c r="C19" s="23">
        <f>0.07999604553+0.08060689309/2+0.2551182093+0.09085543717+0.0776494406+0.09048401788</f>
        <v>0.634406597</v>
      </c>
      <c r="D19" s="23">
        <f>0.1926836784+0.1337243187</f>
        <v>0.3264079971</v>
      </c>
      <c r="E19" s="23">
        <f>0.1469559228+0.1575542357+0.1062240961/2+0.1175573207+0.1159984187+0.05373210705</f>
        <v>0.644910053</v>
      </c>
      <c r="F19" s="23">
        <f>0.0820342353+0.07957083262+0.1617030592/2+0.09216338091+0.1193973039+0.1605251437/2</f>
        <v>0.5342798542</v>
      </c>
      <c r="G19" s="23">
        <f>0.1382305377+0.05088356666+0.09461149443/2+0.09378159462+0.1378493665</f>
        <v>0.4680508127</v>
      </c>
      <c r="H19" s="23">
        <f>0.09394106585+0.1054120911+0.08258569634</f>
        <v>0.2819388533</v>
      </c>
      <c r="I19" s="23">
        <f>0.09010302684/2+0.1252563453/2+9.876727758%</f>
        <v>0.2064469637</v>
      </c>
      <c r="J19" s="21">
        <v>0.145086729</v>
      </c>
      <c r="K19" s="21">
        <f>0.1214432078/2</f>
        <v>0.0607216039</v>
      </c>
      <c r="L19" s="23"/>
      <c r="M19" s="23"/>
      <c r="N19" s="21">
        <f>10.64006053%/2</f>
        <v>0.05320030265</v>
      </c>
      <c r="O19" s="21">
        <v>0.08666719435</v>
      </c>
      <c r="P19" s="23"/>
      <c r="Q19" s="23"/>
      <c r="R19" s="21">
        <f>12.84103581%/2</f>
        <v>0.06420517905</v>
      </c>
      <c r="S19" s="21">
        <f>12.13433392%/2</f>
        <v>0.0606716696</v>
      </c>
      <c r="T19" s="21">
        <f>0.1242198655/2</f>
        <v>0.06210993275</v>
      </c>
      <c r="U19" s="23"/>
      <c r="V19" s="23"/>
      <c r="W19" s="23"/>
      <c r="X19" s="21">
        <f>0.1460789564/2</f>
        <v>0.0730394782</v>
      </c>
      <c r="Y19" s="23"/>
      <c r="Z19" s="21">
        <f>0.1191681904</f>
        <v>0.1191681904</v>
      </c>
      <c r="AA19" s="23"/>
      <c r="AB19" s="21">
        <f>0.1216349151/2</f>
        <v>0.06081745755</v>
      </c>
    </row>
    <row r="20">
      <c r="A20" s="18">
        <v>106.0</v>
      </c>
      <c r="B20" s="19" t="s">
        <v>98</v>
      </c>
      <c r="C20" s="23"/>
      <c r="D20" s="23"/>
      <c r="E20" s="23"/>
      <c r="F20" s="23"/>
      <c r="G20" s="23"/>
      <c r="H20" s="23">
        <v>0.06078683926</v>
      </c>
      <c r="I20" s="23">
        <v>0.03248043034</v>
      </c>
      <c r="J20" s="23">
        <v>0.06016647167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>
      <c r="A21" s="24">
        <v>107.0</v>
      </c>
      <c r="B21" s="25" t="s">
        <v>100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31">
        <f>0.1930642587</f>
        <v>0.1930642587</v>
      </c>
      <c r="X21" s="27"/>
      <c r="Y21" s="27"/>
      <c r="Z21" s="27"/>
      <c r="AA21" s="27"/>
      <c r="AB21" s="27"/>
    </row>
    <row r="22">
      <c r="A22" s="18">
        <v>108.0</v>
      </c>
      <c r="B22" s="19" t="s">
        <v>102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>
      <c r="A23" s="18">
        <v>99.0</v>
      </c>
      <c r="B23" s="19" t="s">
        <v>103</v>
      </c>
      <c r="C23" s="23">
        <f>0.08895962532+0.07803109537</f>
        <v>0.1669907207</v>
      </c>
      <c r="D23" s="23">
        <v>0.03394547751</v>
      </c>
      <c r="E23" s="23">
        <f>0.1059709351+0.07047459453</f>
        <v>0.1764455296</v>
      </c>
      <c r="F23" s="23">
        <f>0.1133322332+0.07490724327</f>
        <v>0.1882394765</v>
      </c>
      <c r="G23" s="23">
        <v>0.04976661997</v>
      </c>
      <c r="H23" s="23">
        <v>0.1006086248</v>
      </c>
      <c r="I23" s="23">
        <f>0.1072687209+0.10835998</f>
        <v>0.2156287009</v>
      </c>
      <c r="J23" s="23">
        <f>0.03563162212+0.1172794632</f>
        <v>0.1529110853</v>
      </c>
      <c r="K23" s="23">
        <v>0.1054820846</v>
      </c>
      <c r="L23" s="23">
        <f>0.06093551276+0.05861278287</f>
        <v>0.1195482956</v>
      </c>
      <c r="M23" s="23">
        <f>0.1124456823+0.05741115702+0.09164358873</f>
        <v>0.2615004281</v>
      </c>
      <c r="N23" s="23">
        <f>0.1267988785+0.0751710552+0.05863121926+0.1646426461</f>
        <v>0.4252437991</v>
      </c>
      <c r="O23" s="23">
        <f>0.05040580432+0.06730801957+0.04794658876</f>
        <v>0.1656604127</v>
      </c>
      <c r="P23" s="23">
        <f>0.05007992648+0.04144425809+0.0653906491791784+0.05978079176</f>
        <v>0.2166956255</v>
      </c>
      <c r="Q23" s="23">
        <f>0.04093479351+0.06838010027+0.05331063987</f>
        <v>0.1626255337</v>
      </c>
      <c r="R23" s="23">
        <f>0.06094824783+0.06238832133</f>
        <v>0.1233365692</v>
      </c>
      <c r="S23" s="23">
        <f>0.05956194911+0.08776978063</f>
        <v>0.1473317297</v>
      </c>
      <c r="T23" s="21">
        <f>0.050539447+0.09757652959+0.0328352584</f>
        <v>0.180951235</v>
      </c>
      <c r="U23" s="21">
        <f>0.05366314853+0.03545527862+0.04583121182+0.08732605059</f>
        <v>0.2222756896</v>
      </c>
      <c r="V23" s="21">
        <f>0.1205394136+0.04629321399</f>
        <v>0.1668326276</v>
      </c>
      <c r="W23" s="21">
        <f>0.02986059374+0.03379825006+0.09453831402</f>
        <v>0.1581971578</v>
      </c>
      <c r="X23" s="21">
        <f>0.07017711095+0.0620916546</f>
        <v>0.1322687656</v>
      </c>
      <c r="Y23" s="21">
        <f>0.04975681895</f>
        <v>0.04975681895</v>
      </c>
      <c r="Z23" s="21">
        <f>0.05486193768+0.1372864828+0.04270096971</f>
        <v>0.2348493902</v>
      </c>
      <c r="AA23" s="21">
        <f>0.08621517826+0.07602789741</f>
        <v>0.1622430757</v>
      </c>
      <c r="AB23" s="21">
        <f>0.1356612119+0.05143679476+0.06555591016</f>
        <v>0.2526539168</v>
      </c>
    </row>
    <row r="24">
      <c r="A24" s="29" t="s">
        <v>104</v>
      </c>
      <c r="B24" s="28"/>
      <c r="C24" s="30">
        <f t="shared" ref="C24:AB24" si="6">SUM(C2:C23)</f>
        <v>1</v>
      </c>
      <c r="D24" s="30">
        <f t="shared" si="6"/>
        <v>1</v>
      </c>
      <c r="E24" s="30">
        <f t="shared" si="6"/>
        <v>1</v>
      </c>
      <c r="F24" s="30">
        <f t="shared" si="6"/>
        <v>1</v>
      </c>
      <c r="G24" s="30">
        <f t="shared" si="6"/>
        <v>1</v>
      </c>
      <c r="H24" s="30">
        <f t="shared" si="6"/>
        <v>0.9999999999</v>
      </c>
      <c r="I24" s="30">
        <f t="shared" si="6"/>
        <v>1</v>
      </c>
      <c r="J24" s="30">
        <f t="shared" si="6"/>
        <v>1</v>
      </c>
      <c r="K24" s="30">
        <f t="shared" si="6"/>
        <v>1</v>
      </c>
      <c r="L24" s="30">
        <f t="shared" si="6"/>
        <v>0.9999999999</v>
      </c>
      <c r="M24" s="30">
        <f t="shared" si="6"/>
        <v>1</v>
      </c>
      <c r="N24" s="30">
        <f t="shared" si="6"/>
        <v>0.9999999999</v>
      </c>
      <c r="O24" s="30">
        <f t="shared" si="6"/>
        <v>1</v>
      </c>
      <c r="P24" s="30">
        <f t="shared" si="6"/>
        <v>1.000004248</v>
      </c>
      <c r="Q24" s="30">
        <f t="shared" si="6"/>
        <v>1</v>
      </c>
      <c r="R24" s="30">
        <f t="shared" si="6"/>
        <v>1</v>
      </c>
      <c r="S24" s="30">
        <f t="shared" si="6"/>
        <v>1</v>
      </c>
      <c r="T24" s="30">
        <f t="shared" si="6"/>
        <v>1</v>
      </c>
      <c r="U24" s="30">
        <f t="shared" si="6"/>
        <v>1</v>
      </c>
      <c r="V24" s="30">
        <f t="shared" si="6"/>
        <v>1</v>
      </c>
      <c r="W24" s="30">
        <f t="shared" si="6"/>
        <v>1</v>
      </c>
      <c r="X24" s="30">
        <f t="shared" si="6"/>
        <v>0.9999999999</v>
      </c>
      <c r="Y24" s="30">
        <f t="shared" si="6"/>
        <v>1</v>
      </c>
      <c r="Z24" s="30">
        <f t="shared" si="6"/>
        <v>1</v>
      </c>
      <c r="AA24" s="30">
        <f t="shared" si="6"/>
        <v>0.9999999999</v>
      </c>
      <c r="AB24" s="30">
        <f t="shared" si="6"/>
        <v>0.9999999999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2016-12-02T08:54:00Z</dcterms:created>
  <dc:creator>ma ding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8798C9153ECB42ADAF7748C832214466</vt:lpwstr>
  </property>
</Properties>
</file>