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 Shahrom Ismail\Desktop\RESEARCH &amp; PUBLICATION\Spherical shell publications &amp; Data - 2025\Ship &amp; Offshore Structures\"/>
    </mc:Choice>
  </mc:AlternateContent>
  <xr:revisionPtr revIDLastSave="0" documentId="13_ncr:1_{9382EDA3-C524-4239-8F1E-6E709546422C}" xr6:coauthVersionLast="47" xr6:coauthVersionMax="47" xr10:uidLastSave="{00000000-0000-0000-0000-000000000000}"/>
  <bookViews>
    <workbookView xWindow="-110" yWindow="-110" windowWidth="19420" windowHeight="10300" activeTab="1" xr2:uid="{359AAB12-EC23-4B25-81C7-62C97CBAF172}"/>
  </bookViews>
  <sheets>
    <sheet name="P vs. ToverR" sheetId="10" r:id="rId1"/>
    <sheet name="P vs. ToverR - Exp_GMNA" sheetId="22" r:id="rId2"/>
    <sheet name="P vs. ToverR - Exp_Code" sheetId="21" r:id="rId3"/>
    <sheet name="Geometry &amp; Modelling details" sheetId="4" r:id="rId4"/>
    <sheet name="VALIDATION PLOT" sheetId="8" r:id="rId5"/>
    <sheet name="Validation" sheetId="2" r:id="rId6"/>
    <sheet name="KDF" sheetId="9" r:id="rId7"/>
    <sheet name="Load vs. Disp" sheetId="5" r:id="rId8"/>
    <sheet name="EPP - Stress" sheetId="6" r:id="rId9"/>
    <sheet name="GMNIA - D6" sheetId="19" r:id="rId10"/>
    <sheet name="EPP - Displacement" sheetId="11" r:id="rId11"/>
    <sheet name="LBA study" sheetId="3" r:id="rId12"/>
    <sheet name="Bifurcation study" sheetId="1" r:id="rId13"/>
    <sheet name="EXP - DATA" sheetId="16" r:id="rId14"/>
    <sheet name="Sheet2" sheetId="20" r:id="rId15"/>
    <sheet name="Sheet3" sheetId="17" r:id="rId16"/>
    <sheet name="Sheet1" sheetId="18" r:id="rId17"/>
    <sheet name="Curve-Fit" sheetId="15" r:id="rId18"/>
    <sheet name="Parametric - Equation" sheetId="14" r:id="rId19"/>
    <sheet name="Parametric - Study" sheetId="12" r:id="rId20"/>
    <sheet name="GMNA" sheetId="13" r:id="rId21"/>
    <sheet name="GMNA, GMNIA vs Rovert" sheetId="27" r:id="rId22"/>
    <sheet name="ECCS" sheetId="23" r:id="rId23"/>
    <sheet name="EC3" sheetId="24" r:id="rId24"/>
    <sheet name="AS4100" sheetId="25" r:id="rId25"/>
    <sheet name="Chart1" sheetId="29" r:id="rId26"/>
    <sheet name="Combined T + EP" sheetId="28" r:id="rId27"/>
    <sheet name="Chart2" sheetId="31" r:id="rId28"/>
    <sheet name="Chart3" sheetId="32" r:id="rId29"/>
    <sheet name="Sheet4" sheetId="30" r:id="rId30"/>
  </sheets>
  <externalReferences>
    <externalReference r:id="rId31"/>
    <externalReference r:id="rId32"/>
  </externalReferences>
  <definedNames>
    <definedName name="_xlnm._FilterDatabase" localSheetId="12" hidden="1">'Bifurcation study'!$B$3:$AD$51</definedName>
    <definedName name="_xlnm._FilterDatabase" localSheetId="13" hidden="1">'EXP - DATA'!$B$5:$Y$69</definedName>
    <definedName name="_xlnm._FilterDatabase" localSheetId="14" hidden="1">Sheet2!$C$2:$R$2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28" l="1"/>
  <c r="O12" i="28"/>
  <c r="O6" i="28"/>
  <c r="O7" i="28"/>
  <c r="O8" i="28"/>
  <c r="O9" i="28"/>
  <c r="O10" i="28"/>
  <c r="O5" i="28"/>
  <c r="N11" i="28"/>
  <c r="N12" i="28"/>
  <c r="N6" i="28"/>
  <c r="N7" i="28"/>
  <c r="N8" i="28"/>
  <c r="N9" i="28"/>
  <c r="N10" i="28"/>
  <c r="N5" i="28"/>
  <c r="I6" i="28"/>
  <c r="I7" i="28"/>
  <c r="I8" i="28"/>
  <c r="I9" i="28"/>
  <c r="I10" i="28"/>
  <c r="I11" i="28"/>
  <c r="I12" i="28"/>
  <c r="I5" i="28"/>
  <c r="D5" i="28"/>
  <c r="J11" i="28"/>
  <c r="J12" i="28"/>
  <c r="J6" i="28"/>
  <c r="J7" i="28"/>
  <c r="J8" i="28"/>
  <c r="J9" i="28"/>
  <c r="J10" i="28"/>
  <c r="J5" i="28"/>
  <c r="D10" i="28"/>
  <c r="E6" i="28"/>
  <c r="E7" i="28"/>
  <c r="E8" i="28"/>
  <c r="E9" i="28"/>
  <c r="E10" i="28"/>
  <c r="E5" i="28"/>
  <c r="D7" i="28"/>
  <c r="D8" i="28"/>
  <c r="D9" i="28"/>
  <c r="D6" i="28"/>
  <c r="E11" i="25"/>
  <c r="E12" i="25"/>
  <c r="E13" i="25"/>
  <c r="E10" i="25"/>
  <c r="E4" i="25"/>
  <c r="E5" i="25"/>
  <c r="E6" i="25"/>
  <c r="E7" i="25"/>
  <c r="E8" i="25"/>
  <c r="E9" i="25"/>
  <c r="E3" i="25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F4" i="24"/>
  <c r="F5" i="24"/>
  <c r="F6" i="24"/>
  <c r="F7" i="24"/>
  <c r="F8" i="24"/>
  <c r="F9" i="24"/>
  <c r="F10" i="24"/>
  <c r="F11" i="24"/>
  <c r="F12" i="24"/>
  <c r="F13" i="24"/>
  <c r="F14" i="24"/>
  <c r="F15" i="24"/>
  <c r="F3" i="24"/>
  <c r="F7" i="23"/>
  <c r="D7" i="25"/>
  <c r="D8" i="25"/>
  <c r="D9" i="25"/>
  <c r="D10" i="25"/>
  <c r="D11" i="25"/>
  <c r="D12" i="25"/>
  <c r="D6" i="25"/>
  <c r="D4" i="25"/>
  <c r="D5" i="25"/>
  <c r="D3" i="25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I17" i="4"/>
  <c r="I18" i="4"/>
  <c r="I19" i="4"/>
  <c r="I20" i="4"/>
  <c r="I21" i="4"/>
  <c r="I16" i="4"/>
  <c r="M23" i="4"/>
  <c r="N23" i="4"/>
  <c r="O23" i="4"/>
  <c r="P23" i="4"/>
  <c r="M24" i="4"/>
  <c r="N24" i="4"/>
  <c r="O24" i="4"/>
  <c r="P24" i="4"/>
  <c r="M25" i="4"/>
  <c r="N25" i="4"/>
  <c r="O25" i="4"/>
  <c r="P25" i="4"/>
  <c r="M26" i="4"/>
  <c r="N26" i="4"/>
  <c r="O26" i="4"/>
  <c r="P26" i="4"/>
  <c r="M27" i="4"/>
  <c r="N27" i="4"/>
  <c r="O27" i="4"/>
  <c r="P27" i="4"/>
  <c r="M28" i="4"/>
  <c r="N28" i="4"/>
  <c r="O28" i="4"/>
  <c r="P28" i="4"/>
  <c r="L24" i="4"/>
  <c r="L25" i="4"/>
  <c r="L26" i="4"/>
  <c r="L27" i="4"/>
  <c r="L28" i="4"/>
  <c r="L23" i="4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4" i="20"/>
  <c r="P3" i="20"/>
  <c r="Q19" i="20"/>
  <c r="Q14" i="20"/>
  <c r="Q15" i="20"/>
  <c r="Q16" i="20"/>
  <c r="Q17" i="20"/>
  <c r="Q18" i="20"/>
  <c r="Q6" i="20"/>
  <c r="Q7" i="20"/>
  <c r="Q8" i="20"/>
  <c r="Q9" i="20"/>
  <c r="Q10" i="20"/>
  <c r="Q11" i="20"/>
  <c r="Q12" i="20"/>
  <c r="Q13" i="20"/>
  <c r="Q5" i="20"/>
  <c r="Z8" i="16"/>
  <c r="Z59" i="16"/>
  <c r="Z60" i="16"/>
  <c r="H26" i="17"/>
  <c r="X8" i="16"/>
  <c r="H1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22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9" i="17"/>
  <c r="E9" i="17"/>
  <c r="H82" i="17"/>
  <c r="H76" i="17"/>
  <c r="H77" i="17"/>
  <c r="H78" i="17"/>
  <c r="H79" i="17"/>
  <c r="H80" i="17"/>
  <c r="H81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60" i="17"/>
  <c r="E61" i="17"/>
  <c r="E62" i="17"/>
  <c r="E63" i="17"/>
  <c r="E64" i="17"/>
  <c r="E65" i="17"/>
  <c r="E53" i="17"/>
  <c r="E54" i="17"/>
  <c r="E55" i="17"/>
  <c r="E56" i="17"/>
  <c r="E57" i="17"/>
  <c r="E58" i="17"/>
  <c r="E59" i="17"/>
  <c r="P28" i="19" l="1"/>
  <c r="O28" i="19"/>
  <c r="N28" i="19"/>
  <c r="M28" i="19"/>
  <c r="L28" i="19"/>
  <c r="P27" i="19"/>
  <c r="O27" i="19"/>
  <c r="N27" i="19"/>
  <c r="M27" i="19"/>
  <c r="L27" i="19"/>
  <c r="P26" i="19"/>
  <c r="O26" i="19"/>
  <c r="N26" i="19"/>
  <c r="M26" i="19"/>
  <c r="L26" i="19"/>
  <c r="P25" i="19"/>
  <c r="O25" i="19"/>
  <c r="N25" i="19"/>
  <c r="M25" i="19"/>
  <c r="L25" i="19"/>
  <c r="P24" i="19"/>
  <c r="O24" i="19"/>
  <c r="N24" i="19"/>
  <c r="M24" i="19"/>
  <c r="L24" i="19"/>
  <c r="P23" i="19"/>
  <c r="O23" i="19"/>
  <c r="N23" i="19"/>
  <c r="M23" i="19"/>
  <c r="L23" i="19"/>
  <c r="P22" i="19"/>
  <c r="O22" i="19"/>
  <c r="N22" i="19"/>
  <c r="M22" i="19"/>
  <c r="L22" i="19"/>
  <c r="P21" i="19"/>
  <c r="O21" i="19"/>
  <c r="N21" i="19"/>
  <c r="M21" i="19"/>
  <c r="L21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O6" i="19"/>
  <c r="F6" i="19"/>
  <c r="AB4" i="18" l="1"/>
  <c r="AA4" i="18"/>
  <c r="Z4" i="18"/>
  <c r="Y4" i="18"/>
  <c r="AB33" i="18"/>
  <c r="AC33" i="18" s="1"/>
  <c r="Z33" i="18"/>
  <c r="Y33" i="18"/>
  <c r="AA33" i="18" s="1"/>
  <c r="AC32" i="18"/>
  <c r="AB32" i="18"/>
  <c r="Z32" i="18"/>
  <c r="Y32" i="18"/>
  <c r="AA32" i="18" s="1"/>
  <c r="AB31" i="18"/>
  <c r="AC31" i="18" s="1"/>
  <c r="Z31" i="18"/>
  <c r="Y31" i="18"/>
  <c r="AA31" i="18" s="1"/>
  <c r="AB30" i="18"/>
  <c r="AC30" i="18" s="1"/>
  <c r="Z30" i="18"/>
  <c r="Y30" i="18"/>
  <c r="AA30" i="18" s="1"/>
  <c r="AB29" i="18"/>
  <c r="AC29" i="18" s="1"/>
  <c r="Z29" i="18"/>
  <c r="Y29" i="18"/>
  <c r="AA29" i="18" s="1"/>
  <c r="AB28" i="18"/>
  <c r="AC28" i="18" s="1"/>
  <c r="Z28" i="18"/>
  <c r="Y28" i="18"/>
  <c r="AA28" i="18" s="1"/>
  <c r="AB27" i="18"/>
  <c r="AC27" i="18" s="1"/>
  <c r="Z27" i="18"/>
  <c r="Y27" i="18"/>
  <c r="AA27" i="18" s="1"/>
  <c r="AB26" i="18"/>
  <c r="AC26" i="18" s="1"/>
  <c r="Z26" i="18"/>
  <c r="Y26" i="18"/>
  <c r="AB25" i="18"/>
  <c r="AC25" i="18" s="1"/>
  <c r="Z25" i="18"/>
  <c r="Y25" i="18"/>
  <c r="AA25" i="18" s="1"/>
  <c r="AB24" i="18"/>
  <c r="AC24" i="18" s="1"/>
  <c r="Z24" i="18"/>
  <c r="Y24" i="18"/>
  <c r="AA24" i="18" s="1"/>
  <c r="AB23" i="18"/>
  <c r="AC23" i="18" s="1"/>
  <c r="Z23" i="18"/>
  <c r="Y23" i="18"/>
  <c r="AB22" i="18"/>
  <c r="AC22" i="18" s="1"/>
  <c r="Z22" i="18"/>
  <c r="AA22" i="18" s="1"/>
  <c r="Y22" i="18"/>
  <c r="AB21" i="18"/>
  <c r="AC21" i="18" s="1"/>
  <c r="Z21" i="18"/>
  <c r="Y21" i="18"/>
  <c r="AA21" i="18" s="1"/>
  <c r="AB20" i="18"/>
  <c r="AC20" i="18" s="1"/>
  <c r="Z20" i="18"/>
  <c r="Y20" i="18"/>
  <c r="AA20" i="18" s="1"/>
  <c r="AB19" i="18"/>
  <c r="AC19" i="18" s="1"/>
  <c r="Z19" i="18"/>
  <c r="Y19" i="18"/>
  <c r="AA19" i="18" s="1"/>
  <c r="AB18" i="18"/>
  <c r="AC18" i="18" s="1"/>
  <c r="Z18" i="18"/>
  <c r="Y18" i="18"/>
  <c r="AA18" i="18" s="1"/>
  <c r="AB17" i="18"/>
  <c r="AC17" i="18" s="1"/>
  <c r="Z17" i="18"/>
  <c r="Y17" i="18"/>
  <c r="AA17" i="18" s="1"/>
  <c r="AB16" i="18"/>
  <c r="AC16" i="18" s="1"/>
  <c r="Z16" i="18"/>
  <c r="Y16" i="18"/>
  <c r="AA16" i="18" s="1"/>
  <c r="AB15" i="18"/>
  <c r="AC15" i="18" s="1"/>
  <c r="Z15" i="18"/>
  <c r="Y15" i="18"/>
  <c r="AB14" i="18"/>
  <c r="AC14" i="18" s="1"/>
  <c r="Z14" i="18"/>
  <c r="Y14" i="18"/>
  <c r="AA14" i="18" s="1"/>
  <c r="AB13" i="18"/>
  <c r="AC13" i="18" s="1"/>
  <c r="Z13" i="18"/>
  <c r="Y13" i="18"/>
  <c r="AA13" i="18" s="1"/>
  <c r="AB12" i="18"/>
  <c r="AC12" i="18" s="1"/>
  <c r="Z12" i="18"/>
  <c r="Y12" i="18"/>
  <c r="AA12" i="18" s="1"/>
  <c r="AB11" i="18"/>
  <c r="AC11" i="18" s="1"/>
  <c r="Z11" i="18"/>
  <c r="AA11" i="18" s="1"/>
  <c r="Y11" i="18"/>
  <c r="AB10" i="18"/>
  <c r="AC10" i="18" s="1"/>
  <c r="Z10" i="18"/>
  <c r="Y10" i="18"/>
  <c r="AB9" i="18"/>
  <c r="AC9" i="18" s="1"/>
  <c r="Z9" i="18"/>
  <c r="Y9" i="18"/>
  <c r="AA9" i="18" s="1"/>
  <c r="AB8" i="18"/>
  <c r="AC8" i="18" s="1"/>
  <c r="Z8" i="18"/>
  <c r="Y8" i="18"/>
  <c r="AA8" i="18" s="1"/>
  <c r="AC7" i="18"/>
  <c r="AB7" i="18"/>
  <c r="Z7" i="18"/>
  <c r="Y7" i="18"/>
  <c r="AA7" i="18" s="1"/>
  <c r="AB6" i="18"/>
  <c r="AC6" i="18" s="1"/>
  <c r="Z6" i="18"/>
  <c r="Y6" i="18"/>
  <c r="AA6" i="18" s="1"/>
  <c r="AB5" i="18"/>
  <c r="AC5" i="18" s="1"/>
  <c r="Z5" i="18"/>
  <c r="Y5" i="18"/>
  <c r="AA5" i="18" s="1"/>
  <c r="AC4" i="18"/>
  <c r="R33" i="18"/>
  <c r="V33" i="18" s="1"/>
  <c r="Q33" i="18"/>
  <c r="M33" i="18"/>
  <c r="O33" i="18" s="1"/>
  <c r="P33" i="18" s="1"/>
  <c r="I33" i="18"/>
  <c r="H33" i="18"/>
  <c r="R32" i="18"/>
  <c r="V32" i="18" s="1"/>
  <c r="Q32" i="18"/>
  <c r="W32" i="18" s="1"/>
  <c r="O32" i="18"/>
  <c r="P32" i="18" s="1"/>
  <c r="M32" i="18"/>
  <c r="I32" i="18"/>
  <c r="H32" i="18"/>
  <c r="R31" i="18"/>
  <c r="V31" i="18" s="1"/>
  <c r="Q31" i="18"/>
  <c r="W31" i="18" s="1"/>
  <c r="M31" i="18"/>
  <c r="O31" i="18" s="1"/>
  <c r="P31" i="18" s="1"/>
  <c r="I31" i="18"/>
  <c r="H31" i="18"/>
  <c r="R30" i="18"/>
  <c r="V30" i="18" s="1"/>
  <c r="Q30" i="18"/>
  <c r="M30" i="18"/>
  <c r="O30" i="18" s="1"/>
  <c r="P30" i="18" s="1"/>
  <c r="I30" i="18"/>
  <c r="H30" i="18"/>
  <c r="R29" i="18"/>
  <c r="V29" i="18" s="1"/>
  <c r="Q29" i="18"/>
  <c r="S29" i="18" s="1"/>
  <c r="U29" i="18" s="1"/>
  <c r="M29" i="18"/>
  <c r="O29" i="18" s="1"/>
  <c r="P29" i="18" s="1"/>
  <c r="I29" i="18"/>
  <c r="H29" i="18"/>
  <c r="R28" i="18"/>
  <c r="V28" i="18" s="1"/>
  <c r="Q28" i="18"/>
  <c r="M28" i="18"/>
  <c r="O28" i="18" s="1"/>
  <c r="P28" i="18" s="1"/>
  <c r="I28" i="18"/>
  <c r="H28" i="18"/>
  <c r="R27" i="18"/>
  <c r="V27" i="18" s="1"/>
  <c r="Q27" i="18"/>
  <c r="S27" i="18" s="1"/>
  <c r="U27" i="18" s="1"/>
  <c r="M27" i="18"/>
  <c r="O27" i="18" s="1"/>
  <c r="P27" i="18" s="1"/>
  <c r="I27" i="18"/>
  <c r="H27" i="18"/>
  <c r="W26" i="18"/>
  <c r="V26" i="18"/>
  <c r="R26" i="18"/>
  <c r="Q26" i="18"/>
  <c r="M26" i="18"/>
  <c r="O26" i="18" s="1"/>
  <c r="P26" i="18" s="1"/>
  <c r="I26" i="18"/>
  <c r="H26" i="18"/>
  <c r="R25" i="18"/>
  <c r="V25" i="18" s="1"/>
  <c r="Q25" i="18"/>
  <c r="S25" i="18" s="1"/>
  <c r="U25" i="18" s="1"/>
  <c r="M25" i="18"/>
  <c r="O25" i="18" s="1"/>
  <c r="P25" i="18" s="1"/>
  <c r="I25" i="18"/>
  <c r="H25" i="18"/>
  <c r="R24" i="18"/>
  <c r="V24" i="18" s="1"/>
  <c r="Q24" i="18"/>
  <c r="S24" i="18" s="1"/>
  <c r="U24" i="18" s="1"/>
  <c r="M24" i="18"/>
  <c r="O24" i="18" s="1"/>
  <c r="P24" i="18" s="1"/>
  <c r="I24" i="18"/>
  <c r="H24" i="18"/>
  <c r="R23" i="18"/>
  <c r="V23" i="18" s="1"/>
  <c r="Q23" i="18"/>
  <c r="W23" i="18" s="1"/>
  <c r="M23" i="18"/>
  <c r="O23" i="18" s="1"/>
  <c r="P23" i="18" s="1"/>
  <c r="I23" i="18"/>
  <c r="H23" i="18"/>
  <c r="R22" i="18"/>
  <c r="V22" i="18" s="1"/>
  <c r="Q22" i="18"/>
  <c r="M22" i="18"/>
  <c r="O22" i="18" s="1"/>
  <c r="P22" i="18" s="1"/>
  <c r="I22" i="18"/>
  <c r="H22" i="18"/>
  <c r="R21" i="18"/>
  <c r="V21" i="18" s="1"/>
  <c r="Q21" i="18"/>
  <c r="M21" i="18"/>
  <c r="O21" i="18" s="1"/>
  <c r="P21" i="18" s="1"/>
  <c r="I21" i="18"/>
  <c r="H21" i="18"/>
  <c r="R20" i="18"/>
  <c r="V20" i="18" s="1"/>
  <c r="Q20" i="18"/>
  <c r="M20" i="18"/>
  <c r="O20" i="18" s="1"/>
  <c r="P20" i="18" s="1"/>
  <c r="I20" i="18"/>
  <c r="H20" i="18"/>
  <c r="R19" i="18"/>
  <c r="V19" i="18" s="1"/>
  <c r="Q19" i="18"/>
  <c r="W19" i="18" s="1"/>
  <c r="M19" i="18"/>
  <c r="O19" i="18" s="1"/>
  <c r="P19" i="18" s="1"/>
  <c r="I19" i="18"/>
  <c r="H19" i="18"/>
  <c r="R18" i="18"/>
  <c r="V18" i="18" s="1"/>
  <c r="Q18" i="18"/>
  <c r="M18" i="18"/>
  <c r="O18" i="18" s="1"/>
  <c r="P18" i="18" s="1"/>
  <c r="I18" i="18"/>
  <c r="H18" i="18"/>
  <c r="R17" i="18"/>
  <c r="V17" i="18" s="1"/>
  <c r="Q17" i="18"/>
  <c r="S17" i="18" s="1"/>
  <c r="U17" i="18" s="1"/>
  <c r="M17" i="18"/>
  <c r="O17" i="18" s="1"/>
  <c r="P17" i="18" s="1"/>
  <c r="I17" i="18"/>
  <c r="H17" i="18"/>
  <c r="R16" i="18"/>
  <c r="V16" i="18" s="1"/>
  <c r="Q16" i="18"/>
  <c r="M16" i="18"/>
  <c r="O16" i="18" s="1"/>
  <c r="P16" i="18" s="1"/>
  <c r="I16" i="18"/>
  <c r="H16" i="18"/>
  <c r="R15" i="18"/>
  <c r="V15" i="18" s="1"/>
  <c r="Q15" i="18"/>
  <c r="W15" i="18" s="1"/>
  <c r="M15" i="18"/>
  <c r="O15" i="18" s="1"/>
  <c r="P15" i="18" s="1"/>
  <c r="I15" i="18"/>
  <c r="H15" i="18"/>
  <c r="V14" i="18"/>
  <c r="R14" i="18"/>
  <c r="Q14" i="18"/>
  <c r="S14" i="18" s="1"/>
  <c r="U14" i="18" s="1"/>
  <c r="M14" i="18"/>
  <c r="O14" i="18" s="1"/>
  <c r="P14" i="18" s="1"/>
  <c r="I14" i="18"/>
  <c r="H14" i="18"/>
  <c r="R13" i="18"/>
  <c r="V13" i="18" s="1"/>
  <c r="Q13" i="18"/>
  <c r="S13" i="18" s="1"/>
  <c r="U13" i="18" s="1"/>
  <c r="M13" i="18"/>
  <c r="O13" i="18" s="1"/>
  <c r="P13" i="18" s="1"/>
  <c r="I13" i="18"/>
  <c r="H13" i="18"/>
  <c r="R12" i="18"/>
  <c r="V12" i="18" s="1"/>
  <c r="Q12" i="18"/>
  <c r="S12" i="18" s="1"/>
  <c r="U12" i="18" s="1"/>
  <c r="M12" i="18"/>
  <c r="O12" i="18" s="1"/>
  <c r="P12" i="18" s="1"/>
  <c r="I12" i="18"/>
  <c r="H12" i="18"/>
  <c r="R11" i="18"/>
  <c r="V11" i="18" s="1"/>
  <c r="Q11" i="18"/>
  <c r="W11" i="18" s="1"/>
  <c r="M11" i="18"/>
  <c r="O11" i="18" s="1"/>
  <c r="P11" i="18" s="1"/>
  <c r="I11" i="18"/>
  <c r="H11" i="18"/>
  <c r="R10" i="18"/>
  <c r="V10" i="18" s="1"/>
  <c r="Q10" i="18"/>
  <c r="M10" i="18"/>
  <c r="O10" i="18" s="1"/>
  <c r="P10" i="18" s="1"/>
  <c r="I10" i="18"/>
  <c r="H10" i="18"/>
  <c r="R9" i="18"/>
  <c r="V9" i="18" s="1"/>
  <c r="Q9" i="18"/>
  <c r="M9" i="18"/>
  <c r="O9" i="18" s="1"/>
  <c r="P9" i="18" s="1"/>
  <c r="I9" i="18"/>
  <c r="H9" i="18"/>
  <c r="R8" i="18"/>
  <c r="V8" i="18" s="1"/>
  <c r="Q8" i="18"/>
  <c r="W8" i="18" s="1"/>
  <c r="M8" i="18"/>
  <c r="O8" i="18" s="1"/>
  <c r="P8" i="18" s="1"/>
  <c r="I8" i="18"/>
  <c r="H8" i="18"/>
  <c r="R7" i="18"/>
  <c r="V7" i="18" s="1"/>
  <c r="Q7" i="18"/>
  <c r="W7" i="18" s="1"/>
  <c r="M7" i="18"/>
  <c r="O7" i="18" s="1"/>
  <c r="P7" i="18" s="1"/>
  <c r="I7" i="18"/>
  <c r="H7" i="18"/>
  <c r="R6" i="18"/>
  <c r="V6" i="18" s="1"/>
  <c r="Q6" i="18"/>
  <c r="W6" i="18" s="1"/>
  <c r="M6" i="18"/>
  <c r="O6" i="18" s="1"/>
  <c r="P6" i="18" s="1"/>
  <c r="I6" i="18"/>
  <c r="H6" i="18"/>
  <c r="R5" i="18"/>
  <c r="W5" i="18" s="1"/>
  <c r="Q5" i="18"/>
  <c r="M5" i="18"/>
  <c r="O5" i="18" s="1"/>
  <c r="P5" i="18" s="1"/>
  <c r="I5" i="18"/>
  <c r="H5" i="18"/>
  <c r="R4" i="18"/>
  <c r="Q4" i="18"/>
  <c r="W4" i="18" s="1"/>
  <c r="M4" i="18"/>
  <c r="O4" i="18" s="1"/>
  <c r="P4" i="18" s="1"/>
  <c r="I4" i="18"/>
  <c r="H4" i="18"/>
  <c r="S4" i="18" l="1"/>
  <c r="U4" i="18" s="1"/>
  <c r="S15" i="18"/>
  <c r="U15" i="18" s="1"/>
  <c r="W17" i="18"/>
  <c r="AA10" i="18"/>
  <c r="W12" i="18"/>
  <c r="W27" i="18"/>
  <c r="W29" i="18"/>
  <c r="V4" i="18"/>
  <c r="W25" i="18"/>
  <c r="S6" i="18"/>
  <c r="U6" i="18" s="1"/>
  <c r="S26" i="18"/>
  <c r="U26" i="18" s="1"/>
  <c r="AA15" i="18"/>
  <c r="V5" i="18"/>
  <c r="AA23" i="18"/>
  <c r="W13" i="18"/>
  <c r="S5" i="18"/>
  <c r="U5" i="18" s="1"/>
  <c r="W14" i="18"/>
  <c r="W20" i="18"/>
  <c r="W24" i="18"/>
  <c r="AA26" i="18"/>
  <c r="W16" i="18"/>
  <c r="W28" i="18"/>
  <c r="S32" i="18"/>
  <c r="U32" i="18" s="1"/>
  <c r="W10" i="18"/>
  <c r="S10" i="18"/>
  <c r="U10" i="18" s="1"/>
  <c r="W22" i="18"/>
  <c r="S22" i="18"/>
  <c r="U22" i="18" s="1"/>
  <c r="S7" i="18"/>
  <c r="U7" i="18" s="1"/>
  <c r="W18" i="18"/>
  <c r="S19" i="18"/>
  <c r="U19" i="18" s="1"/>
  <c r="W30" i="18"/>
  <c r="S31" i="18"/>
  <c r="U31" i="18" s="1"/>
  <c r="S16" i="18"/>
  <c r="U16" i="18" s="1"/>
  <c r="S28" i="18"/>
  <c r="U28" i="18" s="1"/>
  <c r="S8" i="18"/>
  <c r="U8" i="18" s="1"/>
  <c r="S20" i="18"/>
  <c r="U20" i="18" s="1"/>
  <c r="S18" i="18"/>
  <c r="U18" i="18" s="1"/>
  <c r="S30" i="18"/>
  <c r="U30" i="18" s="1"/>
  <c r="W9" i="18"/>
  <c r="S9" i="18"/>
  <c r="U9" i="18" s="1"/>
  <c r="W21" i="18"/>
  <c r="S21" i="18"/>
  <c r="U21" i="18" s="1"/>
  <c r="W33" i="18"/>
  <c r="S33" i="18"/>
  <c r="U33" i="18" s="1"/>
  <c r="S11" i="18"/>
  <c r="U11" i="18" s="1"/>
  <c r="S23" i="18"/>
  <c r="U23" i="18" s="1"/>
  <c r="H27" i="17" l="1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8" i="17"/>
  <c r="Y16" i="1"/>
  <c r="Z16" i="1"/>
  <c r="AA16" i="1"/>
  <c r="AB16" i="1"/>
  <c r="AC16" i="1" s="1"/>
  <c r="Y17" i="1"/>
  <c r="Z17" i="1"/>
  <c r="AA17" i="1"/>
  <c r="AB17" i="1"/>
  <c r="AC17" i="1"/>
  <c r="Y18" i="1"/>
  <c r="Z18" i="1"/>
  <c r="AA18" i="1"/>
  <c r="AB18" i="1"/>
  <c r="AC18" i="1"/>
  <c r="Y19" i="1"/>
  <c r="AA19" i="1" s="1"/>
  <c r="Z19" i="1"/>
  <c r="AB19" i="1"/>
  <c r="AC19" i="1"/>
  <c r="Y20" i="1"/>
  <c r="Z20" i="1"/>
  <c r="AA20" i="1"/>
  <c r="AB20" i="1"/>
  <c r="AC20" i="1"/>
  <c r="Y21" i="1"/>
  <c r="Z21" i="1"/>
  <c r="AA21" i="1"/>
  <c r="AB21" i="1"/>
  <c r="AC21" i="1"/>
  <c r="Y22" i="1"/>
  <c r="Z22" i="1"/>
  <c r="AA22" i="1"/>
  <c r="AB22" i="1"/>
  <c r="AC22" i="1"/>
  <c r="Y23" i="1"/>
  <c r="Z23" i="1"/>
  <c r="AA23" i="1"/>
  <c r="AB23" i="1"/>
  <c r="AC23" i="1"/>
  <c r="Y24" i="1"/>
  <c r="Z24" i="1"/>
  <c r="AA24" i="1"/>
  <c r="AB24" i="1"/>
  <c r="AC24" i="1"/>
  <c r="Y25" i="1"/>
  <c r="Z25" i="1"/>
  <c r="AA25" i="1"/>
  <c r="AB25" i="1"/>
  <c r="AC25" i="1"/>
  <c r="Y26" i="1"/>
  <c r="AA26" i="1" s="1"/>
  <c r="Z26" i="1"/>
  <c r="AB26" i="1"/>
  <c r="AC26" i="1"/>
  <c r="Y27" i="1"/>
  <c r="Z27" i="1"/>
  <c r="AA27" i="1"/>
  <c r="AB27" i="1"/>
  <c r="AC27" i="1"/>
  <c r="Y28" i="1"/>
  <c r="Z28" i="1"/>
  <c r="AA28" i="1"/>
  <c r="AB28" i="1"/>
  <c r="AC28" i="1" s="1"/>
  <c r="Y29" i="1"/>
  <c r="Z29" i="1"/>
  <c r="AA29" i="1"/>
  <c r="AB29" i="1"/>
  <c r="AC29" i="1"/>
  <c r="Y30" i="1"/>
  <c r="Z30" i="1"/>
  <c r="AA30" i="1"/>
  <c r="AB30" i="1"/>
  <c r="AC30" i="1"/>
  <c r="Y31" i="1"/>
  <c r="AA31" i="1" s="1"/>
  <c r="Z31" i="1"/>
  <c r="AB31" i="1"/>
  <c r="AC31" i="1"/>
  <c r="Y32" i="1"/>
  <c r="Z32" i="1"/>
  <c r="AA32" i="1"/>
  <c r="AB32" i="1"/>
  <c r="AC32" i="1"/>
  <c r="Y33" i="1"/>
  <c r="Z33" i="1"/>
  <c r="AA33" i="1"/>
  <c r="AB33" i="1"/>
  <c r="AC33" i="1"/>
  <c r="Y34" i="1"/>
  <c r="Z34" i="1"/>
  <c r="AA34" i="1"/>
  <c r="AB34" i="1"/>
  <c r="AC34" i="1"/>
  <c r="Y35" i="1"/>
  <c r="Z35" i="1"/>
  <c r="AA35" i="1"/>
  <c r="AB35" i="1"/>
  <c r="AC35" i="1"/>
  <c r="Y36" i="1"/>
  <c r="Z36" i="1"/>
  <c r="AA36" i="1"/>
  <c r="AB36" i="1"/>
  <c r="AC36" i="1"/>
  <c r="Y37" i="1"/>
  <c r="Z37" i="1"/>
  <c r="AA37" i="1"/>
  <c r="AB37" i="1"/>
  <c r="AC37" i="1"/>
  <c r="Y38" i="1"/>
  <c r="AA38" i="1" s="1"/>
  <c r="Z38" i="1"/>
  <c r="AB38" i="1"/>
  <c r="AC38" i="1"/>
  <c r="Y39" i="1"/>
  <c r="Z39" i="1"/>
  <c r="AA39" i="1"/>
  <c r="AB39" i="1"/>
  <c r="AC39" i="1"/>
  <c r="Y5" i="1"/>
  <c r="Z5" i="1"/>
  <c r="AA5" i="1"/>
  <c r="AB5" i="1"/>
  <c r="AC5" i="1"/>
  <c r="Y6" i="1"/>
  <c r="Z6" i="1"/>
  <c r="AA6" i="1"/>
  <c r="AB6" i="1"/>
  <c r="AC6" i="1"/>
  <c r="Y7" i="1"/>
  <c r="AA7" i="1" s="1"/>
  <c r="Z7" i="1"/>
  <c r="AB7" i="1"/>
  <c r="AC7" i="1"/>
  <c r="Y8" i="1"/>
  <c r="Z8" i="1"/>
  <c r="AA8" i="1"/>
  <c r="AB8" i="1"/>
  <c r="AC8" i="1"/>
  <c r="Y9" i="1"/>
  <c r="Z9" i="1"/>
  <c r="AA9" i="1"/>
  <c r="AB9" i="1"/>
  <c r="AC9" i="1" s="1"/>
  <c r="Y10" i="1"/>
  <c r="Z10" i="1"/>
  <c r="AA10" i="1"/>
  <c r="AB10" i="1"/>
  <c r="AC10" i="1"/>
  <c r="Y11" i="1"/>
  <c r="Z11" i="1"/>
  <c r="AA11" i="1"/>
  <c r="AB11" i="1"/>
  <c r="AC11" i="1"/>
  <c r="Y12" i="1"/>
  <c r="AA12" i="1" s="1"/>
  <c r="Z12" i="1"/>
  <c r="AB12" i="1"/>
  <c r="AC12" i="1"/>
  <c r="Y13" i="1"/>
  <c r="Z13" i="1"/>
  <c r="AA13" i="1"/>
  <c r="AB13" i="1"/>
  <c r="AC13" i="1"/>
  <c r="Y14" i="1"/>
  <c r="Z14" i="1"/>
  <c r="AA14" i="1"/>
  <c r="AB14" i="1"/>
  <c r="AC14" i="1"/>
  <c r="Y15" i="1"/>
  <c r="Z15" i="1"/>
  <c r="AA15" i="1"/>
  <c r="AB15" i="1"/>
  <c r="AC15" i="1"/>
  <c r="AB4" i="1"/>
  <c r="AA4" i="1"/>
  <c r="Z4" i="1"/>
  <c r="Y4" i="1"/>
  <c r="AC4" i="1"/>
  <c r="Y8" i="16"/>
  <c r="X9" i="16"/>
  <c r="Y9" i="16" s="1"/>
  <c r="X10" i="16"/>
  <c r="Y10" i="16" s="1"/>
  <c r="X11" i="16"/>
  <c r="Y11" i="16" s="1"/>
  <c r="X12" i="16"/>
  <c r="Y12" i="16" s="1"/>
  <c r="X13" i="16"/>
  <c r="Y13" i="16" s="1"/>
  <c r="X14" i="16"/>
  <c r="Y14" i="16" s="1"/>
  <c r="X15" i="16"/>
  <c r="Y15" i="16" s="1"/>
  <c r="X16" i="16"/>
  <c r="Y16" i="16" s="1"/>
  <c r="X17" i="16"/>
  <c r="Y17" i="16" s="1"/>
  <c r="X18" i="16"/>
  <c r="Y18" i="16" s="1"/>
  <c r="X19" i="16"/>
  <c r="Y19" i="16" s="1"/>
  <c r="X20" i="16"/>
  <c r="Y20" i="16" s="1"/>
  <c r="X21" i="16"/>
  <c r="Y21" i="16" s="1"/>
  <c r="X22" i="16"/>
  <c r="Y22" i="16" s="1"/>
  <c r="X23" i="16"/>
  <c r="Y23" i="16" s="1"/>
  <c r="X24" i="16"/>
  <c r="Y24" i="16" s="1"/>
  <c r="X25" i="16"/>
  <c r="Y25" i="16" s="1"/>
  <c r="X26" i="16"/>
  <c r="Y26" i="16" s="1"/>
  <c r="X27" i="16"/>
  <c r="Y27" i="16" s="1"/>
  <c r="X28" i="16"/>
  <c r="Y28" i="16" s="1"/>
  <c r="X29" i="16"/>
  <c r="Y29" i="16" s="1"/>
  <c r="X30" i="16"/>
  <c r="Y30" i="16" s="1"/>
  <c r="X31" i="16"/>
  <c r="Y31" i="16" s="1"/>
  <c r="X32" i="16"/>
  <c r="Y32" i="16" s="1"/>
  <c r="X33" i="16"/>
  <c r="Y33" i="16" s="1"/>
  <c r="X34" i="16"/>
  <c r="Y34" i="16" s="1"/>
  <c r="X35" i="16"/>
  <c r="Y35" i="16" s="1"/>
  <c r="X36" i="16"/>
  <c r="Y36" i="16" s="1"/>
  <c r="X37" i="16"/>
  <c r="Y37" i="16" s="1"/>
  <c r="X38" i="16"/>
  <c r="Y38" i="16" s="1"/>
  <c r="X39" i="16"/>
  <c r="Y39" i="16" s="1"/>
  <c r="X40" i="16"/>
  <c r="Y40" i="16" s="1"/>
  <c r="X41" i="16"/>
  <c r="Y41" i="16" s="1"/>
  <c r="X42" i="16"/>
  <c r="Y42" i="16" s="1"/>
  <c r="X43" i="16"/>
  <c r="Y43" i="16" s="1"/>
  <c r="X44" i="16"/>
  <c r="Y44" i="16" s="1"/>
  <c r="X45" i="16"/>
  <c r="Y45" i="16" s="1"/>
  <c r="X46" i="16"/>
  <c r="Y46" i="16" s="1"/>
  <c r="X47" i="16"/>
  <c r="Y47" i="16" s="1"/>
  <c r="X48" i="16"/>
  <c r="Y48" i="16" s="1"/>
  <c r="X49" i="16"/>
  <c r="Y49" i="16" s="1"/>
  <c r="X50" i="16"/>
  <c r="Y50" i="16" s="1"/>
  <c r="X51" i="16"/>
  <c r="Y51" i="16" s="1"/>
  <c r="X52" i="16"/>
  <c r="Y52" i="16" s="1"/>
  <c r="X53" i="16"/>
  <c r="Y53" i="16" s="1"/>
  <c r="X54" i="16"/>
  <c r="Y54" i="16" s="1"/>
  <c r="X55" i="16"/>
  <c r="Y55" i="16" s="1"/>
  <c r="X56" i="16"/>
  <c r="Y56" i="16" s="1"/>
  <c r="X57" i="16"/>
  <c r="Y57" i="16" s="1"/>
  <c r="X58" i="16"/>
  <c r="Y58" i="16" s="1"/>
  <c r="X59" i="16"/>
  <c r="Y59" i="16" s="1"/>
  <c r="X60" i="16"/>
  <c r="Y60" i="16" s="1"/>
  <c r="X61" i="16"/>
  <c r="Y61" i="16" s="1"/>
  <c r="X62" i="16"/>
  <c r="Y62" i="16" s="1"/>
  <c r="X63" i="16"/>
  <c r="Y63" i="16" s="1"/>
  <c r="X64" i="16"/>
  <c r="Y64" i="16" s="1"/>
  <c r="X65" i="16"/>
  <c r="Y65" i="16" s="1"/>
  <c r="X66" i="16"/>
  <c r="Y66" i="16" s="1"/>
  <c r="X67" i="16"/>
  <c r="Y67" i="16" s="1"/>
  <c r="X68" i="16"/>
  <c r="Y68" i="16" s="1"/>
  <c r="X69" i="16"/>
  <c r="Y69" i="16" s="1"/>
  <c r="X7" i="16"/>
  <c r="Y7" i="16" s="1"/>
  <c r="V8" i="16"/>
  <c r="V9" i="16"/>
  <c r="V10" i="16"/>
  <c r="V11" i="16"/>
  <c r="V12" i="16"/>
  <c r="V13" i="16"/>
  <c r="V14" i="16"/>
  <c r="V15" i="16"/>
  <c r="V16" i="16"/>
  <c r="V17" i="16"/>
  <c r="V18" i="16"/>
  <c r="W18" i="16" s="1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" i="16"/>
  <c r="V6" i="14"/>
  <c r="U6" i="14"/>
  <c r="L69" i="16"/>
  <c r="Q69" i="16" s="1"/>
  <c r="K69" i="16"/>
  <c r="M69" i="16" s="1"/>
  <c r="P69" i="16" s="1"/>
  <c r="E69" i="16"/>
  <c r="U69" i="16" s="1"/>
  <c r="L68" i="16"/>
  <c r="Q68" i="16" s="1"/>
  <c r="K68" i="16"/>
  <c r="E68" i="16"/>
  <c r="U68" i="16" s="1"/>
  <c r="L67" i="16"/>
  <c r="Q67" i="16" s="1"/>
  <c r="K67" i="16"/>
  <c r="E67" i="16"/>
  <c r="U67" i="16" s="1"/>
  <c r="L66" i="16"/>
  <c r="Q66" i="16" s="1"/>
  <c r="K66" i="16"/>
  <c r="M66" i="16" s="1"/>
  <c r="P66" i="16" s="1"/>
  <c r="E66" i="16"/>
  <c r="U66" i="16" s="1"/>
  <c r="L65" i="16"/>
  <c r="Q65" i="16" s="1"/>
  <c r="K65" i="16"/>
  <c r="E65" i="16"/>
  <c r="U65" i="16" s="1"/>
  <c r="L64" i="16"/>
  <c r="Q64" i="16" s="1"/>
  <c r="K64" i="16"/>
  <c r="O64" i="16" s="1"/>
  <c r="R64" i="16" s="1"/>
  <c r="S64" i="16" s="1"/>
  <c r="E64" i="16"/>
  <c r="U64" i="16" s="1"/>
  <c r="W64" i="16" s="1"/>
  <c r="L63" i="16"/>
  <c r="Q63" i="16" s="1"/>
  <c r="K63" i="16"/>
  <c r="O63" i="16" s="1"/>
  <c r="R63" i="16" s="1"/>
  <c r="S63" i="16" s="1"/>
  <c r="E63" i="16"/>
  <c r="U63" i="16" s="1"/>
  <c r="L62" i="16"/>
  <c r="Q62" i="16" s="1"/>
  <c r="K62" i="16"/>
  <c r="E62" i="16"/>
  <c r="U62" i="16" s="1"/>
  <c r="L61" i="16"/>
  <c r="Q61" i="16" s="1"/>
  <c r="K61" i="16"/>
  <c r="E61" i="16"/>
  <c r="U61" i="16" s="1"/>
  <c r="W61" i="16" s="1"/>
  <c r="L60" i="16"/>
  <c r="Q60" i="16" s="1"/>
  <c r="K60" i="16"/>
  <c r="E60" i="16"/>
  <c r="L59" i="16"/>
  <c r="K59" i="16"/>
  <c r="E59" i="16"/>
  <c r="L58" i="16"/>
  <c r="Q58" i="16" s="1"/>
  <c r="K58" i="16"/>
  <c r="O58" i="16" s="1"/>
  <c r="R58" i="16" s="1"/>
  <c r="S58" i="16" s="1"/>
  <c r="E58" i="16"/>
  <c r="U58" i="16" s="1"/>
  <c r="W58" i="16" s="1"/>
  <c r="L57" i="16"/>
  <c r="Q57" i="16" s="1"/>
  <c r="K57" i="16"/>
  <c r="O57" i="16" s="1"/>
  <c r="R57" i="16" s="1"/>
  <c r="S57" i="16" s="1"/>
  <c r="E57" i="16"/>
  <c r="U57" i="16" s="1"/>
  <c r="W57" i="16" s="1"/>
  <c r="L56" i="16"/>
  <c r="Q56" i="16" s="1"/>
  <c r="K56" i="16"/>
  <c r="O56" i="16" s="1"/>
  <c r="R56" i="16" s="1"/>
  <c r="S56" i="16" s="1"/>
  <c r="E56" i="16"/>
  <c r="U56" i="16" s="1"/>
  <c r="L55" i="16"/>
  <c r="Q55" i="16" s="1"/>
  <c r="K55" i="16"/>
  <c r="E55" i="16"/>
  <c r="U55" i="16" s="1"/>
  <c r="L54" i="16"/>
  <c r="Q54" i="16" s="1"/>
  <c r="K54" i="16"/>
  <c r="E54" i="16"/>
  <c r="U54" i="16" s="1"/>
  <c r="L53" i="16"/>
  <c r="K53" i="16"/>
  <c r="E53" i="16"/>
  <c r="U53" i="16" s="1"/>
  <c r="L52" i="16"/>
  <c r="K52" i="16"/>
  <c r="E52" i="16"/>
  <c r="U52" i="16" s="1"/>
  <c r="W52" i="16" s="1"/>
  <c r="L51" i="16"/>
  <c r="Q51" i="16" s="1"/>
  <c r="K51" i="16"/>
  <c r="E51" i="16"/>
  <c r="U51" i="16" s="1"/>
  <c r="L50" i="16"/>
  <c r="Q50" i="16" s="1"/>
  <c r="K50" i="16"/>
  <c r="M50" i="16" s="1"/>
  <c r="P50" i="16" s="1"/>
  <c r="E50" i="16"/>
  <c r="U50" i="16" s="1"/>
  <c r="L49" i="16"/>
  <c r="Q49" i="16" s="1"/>
  <c r="K49" i="16"/>
  <c r="E49" i="16"/>
  <c r="U49" i="16" s="1"/>
  <c r="L48" i="16"/>
  <c r="Q48" i="16" s="1"/>
  <c r="K48" i="16"/>
  <c r="E48" i="16"/>
  <c r="U48" i="16" s="1"/>
  <c r="W48" i="16" s="1"/>
  <c r="L47" i="16"/>
  <c r="Q47" i="16" s="1"/>
  <c r="K47" i="16"/>
  <c r="E47" i="16"/>
  <c r="U47" i="16" s="1"/>
  <c r="L46" i="16"/>
  <c r="Q46" i="16" s="1"/>
  <c r="K46" i="16"/>
  <c r="O46" i="16" s="1"/>
  <c r="R46" i="16" s="1"/>
  <c r="S46" i="16" s="1"/>
  <c r="E46" i="16"/>
  <c r="U46" i="16" s="1"/>
  <c r="L45" i="16"/>
  <c r="Q45" i="16" s="1"/>
  <c r="K45" i="16"/>
  <c r="E45" i="16"/>
  <c r="U45" i="16" s="1"/>
  <c r="L44" i="16"/>
  <c r="Q44" i="16" s="1"/>
  <c r="K44" i="16"/>
  <c r="O44" i="16" s="1"/>
  <c r="R44" i="16" s="1"/>
  <c r="S44" i="16" s="1"/>
  <c r="E44" i="16"/>
  <c r="U44" i="16" s="1"/>
  <c r="L43" i="16"/>
  <c r="Q43" i="16" s="1"/>
  <c r="K43" i="16"/>
  <c r="E43" i="16"/>
  <c r="U43" i="16" s="1"/>
  <c r="L42" i="16"/>
  <c r="Q42" i="16" s="1"/>
  <c r="K42" i="16"/>
  <c r="M42" i="16" s="1"/>
  <c r="P42" i="16" s="1"/>
  <c r="E42" i="16"/>
  <c r="U42" i="16" s="1"/>
  <c r="L41" i="16"/>
  <c r="Q41" i="16" s="1"/>
  <c r="K41" i="16"/>
  <c r="E41" i="16"/>
  <c r="U41" i="16" s="1"/>
  <c r="L40" i="16"/>
  <c r="Q40" i="16" s="1"/>
  <c r="K40" i="16"/>
  <c r="E40" i="16"/>
  <c r="U40" i="16" s="1"/>
  <c r="L39" i="16"/>
  <c r="Q39" i="16" s="1"/>
  <c r="K39" i="16"/>
  <c r="E39" i="16"/>
  <c r="U39" i="16" s="1"/>
  <c r="L38" i="16"/>
  <c r="Q38" i="16" s="1"/>
  <c r="K38" i="16"/>
  <c r="O38" i="16" s="1"/>
  <c r="R38" i="16" s="1"/>
  <c r="S38" i="16" s="1"/>
  <c r="E38" i="16"/>
  <c r="U38" i="16" s="1"/>
  <c r="L37" i="16"/>
  <c r="Q37" i="16" s="1"/>
  <c r="K37" i="16"/>
  <c r="E37" i="16"/>
  <c r="U37" i="16" s="1"/>
  <c r="W37" i="16" s="1"/>
  <c r="Z37" i="16" s="1"/>
  <c r="AA37" i="16" s="1"/>
  <c r="L36" i="16"/>
  <c r="Q36" i="16" s="1"/>
  <c r="K36" i="16"/>
  <c r="O36" i="16" s="1"/>
  <c r="R36" i="16" s="1"/>
  <c r="S36" i="16" s="1"/>
  <c r="E36" i="16"/>
  <c r="U36" i="16" s="1"/>
  <c r="W36" i="16" s="1"/>
  <c r="L35" i="16"/>
  <c r="K35" i="16"/>
  <c r="E35" i="16"/>
  <c r="U35" i="16" s="1"/>
  <c r="L34" i="16"/>
  <c r="Q34" i="16" s="1"/>
  <c r="K34" i="16"/>
  <c r="O34" i="16" s="1"/>
  <c r="R34" i="16" s="1"/>
  <c r="S34" i="16" s="1"/>
  <c r="E34" i="16"/>
  <c r="U34" i="16" s="1"/>
  <c r="L33" i="16"/>
  <c r="Q33" i="16" s="1"/>
  <c r="K33" i="16"/>
  <c r="E33" i="16"/>
  <c r="U33" i="16" s="1"/>
  <c r="L32" i="16"/>
  <c r="Q32" i="16" s="1"/>
  <c r="K32" i="16"/>
  <c r="O32" i="16" s="1"/>
  <c r="R32" i="16" s="1"/>
  <c r="S32" i="16" s="1"/>
  <c r="E32" i="16"/>
  <c r="U32" i="16" s="1"/>
  <c r="L31" i="16"/>
  <c r="Q31" i="16" s="1"/>
  <c r="K31" i="16"/>
  <c r="E31" i="16"/>
  <c r="U31" i="16" s="1"/>
  <c r="L30" i="16"/>
  <c r="Q30" i="16" s="1"/>
  <c r="K30" i="16"/>
  <c r="E30" i="16"/>
  <c r="U30" i="16" s="1"/>
  <c r="L29" i="16"/>
  <c r="Q29" i="16" s="1"/>
  <c r="K29" i="16"/>
  <c r="E29" i="16"/>
  <c r="U29" i="16" s="1"/>
  <c r="L28" i="16"/>
  <c r="Q28" i="16" s="1"/>
  <c r="K28" i="16"/>
  <c r="O28" i="16" s="1"/>
  <c r="R28" i="16" s="1"/>
  <c r="S28" i="16" s="1"/>
  <c r="E28" i="16"/>
  <c r="U28" i="16" s="1"/>
  <c r="W28" i="16" s="1"/>
  <c r="L27" i="16"/>
  <c r="Q27" i="16" s="1"/>
  <c r="K27" i="16"/>
  <c r="E27" i="16"/>
  <c r="U27" i="16" s="1"/>
  <c r="L26" i="16"/>
  <c r="Q26" i="16" s="1"/>
  <c r="K26" i="16"/>
  <c r="O26" i="16" s="1"/>
  <c r="R26" i="16" s="1"/>
  <c r="S26" i="16" s="1"/>
  <c r="E26" i="16"/>
  <c r="U26" i="16" s="1"/>
  <c r="L25" i="16"/>
  <c r="Q25" i="16" s="1"/>
  <c r="K25" i="16"/>
  <c r="E25" i="16"/>
  <c r="U25" i="16" s="1"/>
  <c r="W25" i="16" s="1"/>
  <c r="L24" i="16"/>
  <c r="Q24" i="16" s="1"/>
  <c r="K24" i="16"/>
  <c r="M24" i="16" s="1"/>
  <c r="P24" i="16" s="1"/>
  <c r="E24" i="16"/>
  <c r="U24" i="16" s="1"/>
  <c r="W24" i="16" s="1"/>
  <c r="L23" i="16"/>
  <c r="K23" i="16"/>
  <c r="E23" i="16"/>
  <c r="U23" i="16" s="1"/>
  <c r="W23" i="16" s="1"/>
  <c r="L22" i="16"/>
  <c r="Q22" i="16" s="1"/>
  <c r="K22" i="16"/>
  <c r="E22" i="16"/>
  <c r="U22" i="16" s="1"/>
  <c r="L21" i="16"/>
  <c r="Q21" i="16" s="1"/>
  <c r="K21" i="16"/>
  <c r="M21" i="16" s="1"/>
  <c r="P21" i="16" s="1"/>
  <c r="E21" i="16"/>
  <c r="U21" i="16" s="1"/>
  <c r="L20" i="16"/>
  <c r="Q20" i="16" s="1"/>
  <c r="K20" i="16"/>
  <c r="E20" i="16"/>
  <c r="U20" i="16" s="1"/>
  <c r="W20" i="16" s="1"/>
  <c r="L19" i="16"/>
  <c r="Q19" i="16" s="1"/>
  <c r="K19" i="16"/>
  <c r="E19" i="16"/>
  <c r="U19" i="16" s="1"/>
  <c r="L18" i="16"/>
  <c r="Q18" i="16" s="1"/>
  <c r="K18" i="16"/>
  <c r="M18" i="16" s="1"/>
  <c r="P18" i="16" s="1"/>
  <c r="E18" i="16"/>
  <c r="U18" i="16" s="1"/>
  <c r="L17" i="16"/>
  <c r="K17" i="16"/>
  <c r="E17" i="16"/>
  <c r="U17" i="16" s="1"/>
  <c r="L16" i="16"/>
  <c r="Q16" i="16" s="1"/>
  <c r="K16" i="16"/>
  <c r="O16" i="16" s="1"/>
  <c r="R16" i="16" s="1"/>
  <c r="S16" i="16" s="1"/>
  <c r="E16" i="16"/>
  <c r="U16" i="16" s="1"/>
  <c r="W16" i="16" s="1"/>
  <c r="Z16" i="16" s="1"/>
  <c r="AA16" i="16" s="1"/>
  <c r="L15" i="16"/>
  <c r="Q15" i="16" s="1"/>
  <c r="K15" i="16"/>
  <c r="M15" i="16" s="1"/>
  <c r="P15" i="16" s="1"/>
  <c r="E15" i="16"/>
  <c r="U15" i="16" s="1"/>
  <c r="L14" i="16"/>
  <c r="Q14" i="16" s="1"/>
  <c r="K14" i="16"/>
  <c r="E14" i="16"/>
  <c r="U14" i="16" s="1"/>
  <c r="W14" i="16" s="1"/>
  <c r="Z14" i="16" s="1"/>
  <c r="AA14" i="16" s="1"/>
  <c r="L13" i="16"/>
  <c r="Q13" i="16" s="1"/>
  <c r="K13" i="16"/>
  <c r="E13" i="16"/>
  <c r="U13" i="16" s="1"/>
  <c r="W13" i="16" s="1"/>
  <c r="Z13" i="16" s="1"/>
  <c r="AA13" i="16" s="1"/>
  <c r="L12" i="16"/>
  <c r="Q12" i="16" s="1"/>
  <c r="K12" i="16"/>
  <c r="E12" i="16"/>
  <c r="U12" i="16" s="1"/>
  <c r="L11" i="16"/>
  <c r="Q11" i="16" s="1"/>
  <c r="K11" i="16"/>
  <c r="E11" i="16"/>
  <c r="U11" i="16" s="1"/>
  <c r="L10" i="16"/>
  <c r="Q10" i="16" s="1"/>
  <c r="K10" i="16"/>
  <c r="E10" i="16"/>
  <c r="U10" i="16" s="1"/>
  <c r="L9" i="16"/>
  <c r="Q9" i="16" s="1"/>
  <c r="K9" i="16"/>
  <c r="E9" i="16"/>
  <c r="U9" i="16" s="1"/>
  <c r="L8" i="16"/>
  <c r="Q8" i="16" s="1"/>
  <c r="K8" i="16"/>
  <c r="O8" i="16" s="1"/>
  <c r="R8" i="16" s="1"/>
  <c r="S8" i="16" s="1"/>
  <c r="E8" i="16"/>
  <c r="U8" i="16" s="1"/>
  <c r="L7" i="16"/>
  <c r="Q7" i="16" s="1"/>
  <c r="K7" i="16"/>
  <c r="E7" i="16"/>
  <c r="U7" i="16" s="1"/>
  <c r="U59" i="16" l="1"/>
  <c r="W59" i="16" s="1"/>
  <c r="AA59" i="16"/>
  <c r="U60" i="16"/>
  <c r="W60" i="16" s="1"/>
  <c r="AA60" i="16"/>
  <c r="W9" i="16"/>
  <c r="Z9" i="16" s="1"/>
  <c r="AA9" i="16" s="1"/>
  <c r="W55" i="16"/>
  <c r="W43" i="16"/>
  <c r="W21" i="16"/>
  <c r="W33" i="16"/>
  <c r="W45" i="16"/>
  <c r="W69" i="16"/>
  <c r="W10" i="16"/>
  <c r="Z10" i="16" s="1"/>
  <c r="AA10" i="16" s="1"/>
  <c r="W22" i="16"/>
  <c r="W34" i="16"/>
  <c r="W46" i="16"/>
  <c r="W7" i="16"/>
  <c r="W11" i="16"/>
  <c r="Z11" i="16" s="1"/>
  <c r="AA11" i="16" s="1"/>
  <c r="W56" i="16"/>
  <c r="W26" i="16"/>
  <c r="W41" i="16"/>
  <c r="Z41" i="16" s="1"/>
  <c r="AA41" i="16" s="1"/>
  <c r="W38" i="16"/>
  <c r="Z38" i="16" s="1"/>
  <c r="AA38" i="16" s="1"/>
  <c r="M12" i="16"/>
  <c r="P12" i="16" s="1"/>
  <c r="W27" i="16"/>
  <c r="W35" i="16"/>
  <c r="W30" i="16"/>
  <c r="W42" i="16"/>
  <c r="Z42" i="16" s="1"/>
  <c r="AA42" i="16" s="1"/>
  <c r="W62" i="16"/>
  <c r="W8" i="16"/>
  <c r="AA8" i="16" s="1"/>
  <c r="W19" i="16"/>
  <c r="O27" i="16"/>
  <c r="R27" i="16" s="1"/>
  <c r="S27" i="16" s="1"/>
  <c r="W39" i="16"/>
  <c r="Z39" i="16" s="1"/>
  <c r="AA39" i="16" s="1"/>
  <c r="W67" i="16"/>
  <c r="O52" i="16"/>
  <c r="R52" i="16" s="1"/>
  <c r="S52" i="16" s="1"/>
  <c r="W17" i="16"/>
  <c r="W31" i="16"/>
  <c r="Q52" i="16"/>
  <c r="T52" i="16" s="1"/>
  <c r="W53" i="16"/>
  <c r="W65" i="16"/>
  <c r="W50" i="16"/>
  <c r="W15" i="16"/>
  <c r="Z15" i="16" s="1"/>
  <c r="AA15" i="16" s="1"/>
  <c r="M46" i="16"/>
  <c r="P46" i="16" s="1"/>
  <c r="W54" i="16"/>
  <c r="W12" i="16"/>
  <c r="Z12" i="16" s="1"/>
  <c r="AA12" i="16" s="1"/>
  <c r="O21" i="16"/>
  <c r="R21" i="16" s="1"/>
  <c r="S21" i="16" s="1"/>
  <c r="W66" i="16"/>
  <c r="O18" i="16"/>
  <c r="R18" i="16" s="1"/>
  <c r="S18" i="16" s="1"/>
  <c r="W29" i="16"/>
  <c r="W47" i="16"/>
  <c r="W51" i="16"/>
  <c r="M9" i="16"/>
  <c r="P9" i="16" s="1"/>
  <c r="O15" i="16"/>
  <c r="R15" i="16" s="1"/>
  <c r="S15" i="16" s="1"/>
  <c r="M33" i="16"/>
  <c r="P33" i="16" s="1"/>
  <c r="W40" i="16"/>
  <c r="Z40" i="16" s="1"/>
  <c r="AA40" i="16" s="1"/>
  <c r="W63" i="16"/>
  <c r="W68" i="16"/>
  <c r="W44" i="16"/>
  <c r="W32" i="16"/>
  <c r="T28" i="16"/>
  <c r="T16" i="16"/>
  <c r="T56" i="16"/>
  <c r="O53" i="16"/>
  <c r="R53" i="16" s="1"/>
  <c r="S53" i="16" s="1"/>
  <c r="O60" i="16"/>
  <c r="R60" i="16" s="1"/>
  <c r="S60" i="16" s="1"/>
  <c r="M54" i="16"/>
  <c r="P54" i="16" s="1"/>
  <c r="O54" i="16"/>
  <c r="R54" i="16" s="1"/>
  <c r="S54" i="16" s="1"/>
  <c r="M48" i="16"/>
  <c r="P48" i="16" s="1"/>
  <c r="O48" i="16"/>
  <c r="R48" i="16" s="1"/>
  <c r="S48" i="16" s="1"/>
  <c r="W49" i="16"/>
  <c r="O35" i="16"/>
  <c r="R35" i="16" s="1"/>
  <c r="S35" i="16" s="1"/>
  <c r="O42" i="16"/>
  <c r="R42" i="16" s="1"/>
  <c r="S42" i="16" s="1"/>
  <c r="O65" i="16"/>
  <c r="R65" i="16" s="1"/>
  <c r="S65" i="16" s="1"/>
  <c r="M65" i="16"/>
  <c r="P65" i="16" s="1"/>
  <c r="T18" i="16"/>
  <c r="M36" i="16"/>
  <c r="P36" i="16" s="1"/>
  <c r="O39" i="16"/>
  <c r="R39" i="16" s="1"/>
  <c r="S39" i="16" s="1"/>
  <c r="T46" i="16"/>
  <c r="O59" i="16"/>
  <c r="R59" i="16" s="1"/>
  <c r="S59" i="16" s="1"/>
  <c r="M40" i="16"/>
  <c r="P40" i="16" s="1"/>
  <c r="O40" i="16"/>
  <c r="R40" i="16" s="1"/>
  <c r="S40" i="16" s="1"/>
  <c r="O50" i="16"/>
  <c r="R50" i="16" s="1"/>
  <c r="S50" i="16" s="1"/>
  <c r="M56" i="16"/>
  <c r="P56" i="16" s="1"/>
  <c r="M30" i="16"/>
  <c r="P30" i="16" s="1"/>
  <c r="O30" i="16"/>
  <c r="R30" i="16" s="1"/>
  <c r="S30" i="16" s="1"/>
  <c r="O47" i="16"/>
  <c r="R47" i="16" s="1"/>
  <c r="S47" i="16" s="1"/>
  <c r="Q53" i="16"/>
  <c r="O66" i="16"/>
  <c r="R66" i="16" s="1"/>
  <c r="S66" i="16" s="1"/>
  <c r="M22" i="16"/>
  <c r="P22" i="16" s="1"/>
  <c r="M59" i="16"/>
  <c r="P59" i="16" s="1"/>
  <c r="Q59" i="16"/>
  <c r="O68" i="16"/>
  <c r="R68" i="16" s="1"/>
  <c r="S68" i="16" s="1"/>
  <c r="O9" i="16"/>
  <c r="R9" i="16" s="1"/>
  <c r="S9" i="16" s="1"/>
  <c r="O12" i="16"/>
  <c r="R12" i="16" s="1"/>
  <c r="S12" i="16" s="1"/>
  <c r="O24" i="16"/>
  <c r="R24" i="16" s="1"/>
  <c r="S24" i="16" s="1"/>
  <c r="M60" i="16"/>
  <c r="P60" i="16" s="1"/>
  <c r="T47" i="16"/>
  <c r="T65" i="16"/>
  <c r="T26" i="16"/>
  <c r="O33" i="16"/>
  <c r="R33" i="16" s="1"/>
  <c r="S33" i="16" s="1"/>
  <c r="T44" i="16"/>
  <c r="T57" i="16"/>
  <c r="M61" i="16"/>
  <c r="P61" i="16" s="1"/>
  <c r="O61" i="16"/>
  <c r="R61" i="16" s="1"/>
  <c r="S61" i="16" s="1"/>
  <c r="T12" i="16"/>
  <c r="Q17" i="16"/>
  <c r="O17" i="16"/>
  <c r="R17" i="16" s="1"/>
  <c r="S17" i="16" s="1"/>
  <c r="M55" i="16"/>
  <c r="P55" i="16" s="1"/>
  <c r="O55" i="16"/>
  <c r="R55" i="16" s="1"/>
  <c r="S55" i="16" s="1"/>
  <c r="T8" i="16"/>
  <c r="M17" i="16"/>
  <c r="P17" i="16" s="1"/>
  <c r="O45" i="16"/>
  <c r="R45" i="16" s="1"/>
  <c r="S45" i="16" s="1"/>
  <c r="M45" i="16"/>
  <c r="P45" i="16" s="1"/>
  <c r="M49" i="16"/>
  <c r="P49" i="16" s="1"/>
  <c r="O49" i="16"/>
  <c r="R49" i="16" s="1"/>
  <c r="S49" i="16" s="1"/>
  <c r="T64" i="16"/>
  <c r="M8" i="16"/>
  <c r="P8" i="16" s="1"/>
  <c r="T27" i="16"/>
  <c r="T38" i="16"/>
  <c r="T58" i="16"/>
  <c r="M64" i="16"/>
  <c r="P64" i="16" s="1"/>
  <c r="M68" i="16"/>
  <c r="P68" i="16" s="1"/>
  <c r="O20" i="16"/>
  <c r="R20" i="16" s="1"/>
  <c r="S20" i="16" s="1"/>
  <c r="M20" i="16"/>
  <c r="P20" i="16" s="1"/>
  <c r="M27" i="16"/>
  <c r="P27" i="16" s="1"/>
  <c r="M43" i="16"/>
  <c r="P43" i="16" s="1"/>
  <c r="O43" i="16"/>
  <c r="R43" i="16" s="1"/>
  <c r="S43" i="16" s="1"/>
  <c r="M58" i="16"/>
  <c r="P58" i="16" s="1"/>
  <c r="M11" i="16"/>
  <c r="P11" i="16" s="1"/>
  <c r="T34" i="16"/>
  <c r="T36" i="16"/>
  <c r="M52" i="16"/>
  <c r="P52" i="16" s="1"/>
  <c r="M62" i="16"/>
  <c r="P62" i="16" s="1"/>
  <c r="O11" i="16"/>
  <c r="R11" i="16" s="1"/>
  <c r="S11" i="16" s="1"/>
  <c r="T15" i="16"/>
  <c r="O62" i="16"/>
  <c r="R62" i="16" s="1"/>
  <c r="T32" i="16"/>
  <c r="M37" i="16"/>
  <c r="P37" i="16" s="1"/>
  <c r="O37" i="16"/>
  <c r="R37" i="16" s="1"/>
  <c r="S37" i="16" s="1"/>
  <c r="M39" i="16"/>
  <c r="P39" i="16" s="1"/>
  <c r="O14" i="16"/>
  <c r="R14" i="16" s="1"/>
  <c r="S14" i="16" s="1"/>
  <c r="M14" i="16"/>
  <c r="P14" i="16" s="1"/>
  <c r="T14" i="16"/>
  <c r="T63" i="16"/>
  <c r="O10" i="16"/>
  <c r="R10" i="16" s="1"/>
  <c r="S10" i="16" s="1"/>
  <c r="M10" i="16"/>
  <c r="P10" i="16" s="1"/>
  <c r="O51" i="16"/>
  <c r="R51" i="16" s="1"/>
  <c r="S51" i="16" s="1"/>
  <c r="M51" i="16"/>
  <c r="P51" i="16" s="1"/>
  <c r="Q23" i="16"/>
  <c r="O23" i="16"/>
  <c r="R23" i="16" s="1"/>
  <c r="S23" i="16" s="1"/>
  <c r="M23" i="16"/>
  <c r="P23" i="16" s="1"/>
  <c r="M29" i="16"/>
  <c r="P29" i="16" s="1"/>
  <c r="M7" i="16"/>
  <c r="P7" i="16" s="1"/>
  <c r="O7" i="16"/>
  <c r="R7" i="16" s="1"/>
  <c r="S7" i="16" s="1"/>
  <c r="M16" i="16"/>
  <c r="P16" i="16" s="1"/>
  <c r="M26" i="16"/>
  <c r="P26" i="16" s="1"/>
  <c r="O29" i="16"/>
  <c r="R29" i="16" s="1"/>
  <c r="S29" i="16" s="1"/>
  <c r="M57" i="16"/>
  <c r="P57" i="16" s="1"/>
  <c r="M63" i="16"/>
  <c r="P63" i="16" s="1"/>
  <c r="M19" i="16"/>
  <c r="P19" i="16" s="1"/>
  <c r="O19" i="16"/>
  <c r="R19" i="16" s="1"/>
  <c r="S19" i="16" s="1"/>
  <c r="O22" i="16"/>
  <c r="R22" i="16" s="1"/>
  <c r="S22" i="16" s="1"/>
  <c r="M28" i="16"/>
  <c r="P28" i="16" s="1"/>
  <c r="M38" i="16"/>
  <c r="P38" i="16" s="1"/>
  <c r="O41" i="16"/>
  <c r="R41" i="16" s="1"/>
  <c r="M47" i="16"/>
  <c r="P47" i="16" s="1"/>
  <c r="M25" i="16"/>
  <c r="P25" i="16" s="1"/>
  <c r="O25" i="16"/>
  <c r="R25" i="16" s="1"/>
  <c r="M34" i="16"/>
  <c r="P34" i="16" s="1"/>
  <c r="Q35" i="16"/>
  <c r="M44" i="16"/>
  <c r="P44" i="16" s="1"/>
  <c r="M53" i="16"/>
  <c r="P53" i="16" s="1"/>
  <c r="O69" i="16"/>
  <c r="R69" i="16" s="1"/>
  <c r="S69" i="16" s="1"/>
  <c r="M67" i="16"/>
  <c r="P67" i="16" s="1"/>
  <c r="O67" i="16"/>
  <c r="R67" i="16" s="1"/>
  <c r="S67" i="16" s="1"/>
  <c r="M35" i="16"/>
  <c r="P35" i="16" s="1"/>
  <c r="M13" i="16"/>
  <c r="P13" i="16" s="1"/>
  <c r="O13" i="16"/>
  <c r="R13" i="16" s="1"/>
  <c r="M32" i="16"/>
  <c r="P32" i="16" s="1"/>
  <c r="M41" i="16"/>
  <c r="P41" i="16" s="1"/>
  <c r="M31" i="16"/>
  <c r="P31" i="16" s="1"/>
  <c r="O31" i="16"/>
  <c r="R31" i="16" s="1"/>
  <c r="S31" i="16" s="1"/>
  <c r="T48" i="16" l="1"/>
  <c r="T42" i="16"/>
  <c r="T30" i="16"/>
  <c r="T67" i="16"/>
  <c r="T53" i="16"/>
  <c r="T51" i="16"/>
  <c r="T9" i="16"/>
  <c r="T21" i="16"/>
  <c r="T68" i="16"/>
  <c r="T40" i="16"/>
  <c r="T10" i="16"/>
  <c r="T35" i="16"/>
  <c r="T39" i="16"/>
  <c r="T55" i="16"/>
  <c r="T66" i="16"/>
  <c r="T54" i="16"/>
  <c r="T24" i="16"/>
  <c r="T59" i="16"/>
  <c r="T50" i="16"/>
  <c r="T37" i="16"/>
  <c r="T60" i="16"/>
  <c r="S41" i="16"/>
  <c r="T41" i="16"/>
  <c r="T17" i="16"/>
  <c r="T11" i="16"/>
  <c r="T33" i="16"/>
  <c r="T69" i="16"/>
  <c r="T23" i="16"/>
  <c r="T20" i="16"/>
  <c r="T45" i="16"/>
  <c r="T19" i="16"/>
  <c r="T7" i="16"/>
  <c r="T31" i="16"/>
  <c r="S25" i="16"/>
  <c r="T25" i="16"/>
  <c r="T22" i="16"/>
  <c r="T49" i="16"/>
  <c r="T62" i="16"/>
  <c r="S62" i="16"/>
  <c r="T61" i="16"/>
  <c r="T43" i="16"/>
  <c r="T13" i="16"/>
  <c r="S13" i="16"/>
  <c r="T29" i="16"/>
  <c r="Z41" i="1" l="1"/>
  <c r="Z42" i="1"/>
  <c r="Z43" i="1"/>
  <c r="Z44" i="1"/>
  <c r="Z45" i="1"/>
  <c r="Z46" i="1"/>
  <c r="Z47" i="1"/>
  <c r="Z48" i="1"/>
  <c r="Z49" i="1"/>
  <c r="Z50" i="1"/>
  <c r="Z51" i="1"/>
  <c r="Z40" i="1"/>
  <c r="AD6" i="14"/>
  <c r="AL7" i="14"/>
  <c r="AL8" i="14"/>
  <c r="AL9" i="14"/>
  <c r="AL6" i="14"/>
  <c r="AK7" i="14"/>
  <c r="AK8" i="14"/>
  <c r="AK9" i="14"/>
  <c r="AK6" i="14"/>
  <c r="AH6" i="14"/>
  <c r="AI6" i="14"/>
  <c r="Z6" i="14"/>
  <c r="AI7" i="14"/>
  <c r="AI8" i="14"/>
  <c r="AI9" i="14"/>
  <c r="AH7" i="14"/>
  <c r="AH8" i="14"/>
  <c r="AH9" i="14"/>
  <c r="AE7" i="14"/>
  <c r="AE8" i="14"/>
  <c r="AE9" i="14"/>
  <c r="AE6" i="14"/>
  <c r="AD7" i="14"/>
  <c r="AD8" i="14"/>
  <c r="AD9" i="14"/>
  <c r="AF9" i="14" s="1"/>
  <c r="AF6" i="14"/>
  <c r="AB7" i="14"/>
  <c r="AC7" i="14" s="1"/>
  <c r="AB8" i="14"/>
  <c r="AC8" i="14" s="1"/>
  <c r="AB9" i="14"/>
  <c r="AC9" i="14" s="1"/>
  <c r="AB6" i="14"/>
  <c r="AC6" i="14" s="1"/>
  <c r="Y7" i="14"/>
  <c r="Z7" i="14" s="1"/>
  <c r="Y8" i="14"/>
  <c r="Z8" i="14" s="1"/>
  <c r="Y9" i="14"/>
  <c r="Z9" i="14" s="1"/>
  <c r="Y6" i="14"/>
  <c r="V7" i="14"/>
  <c r="V8" i="14"/>
  <c r="V9" i="14"/>
  <c r="M6" i="14"/>
  <c r="M7" i="14"/>
  <c r="U7" i="14"/>
  <c r="U8" i="14"/>
  <c r="U9" i="14"/>
  <c r="S16" i="14"/>
  <c r="S17" i="14"/>
  <c r="S18" i="14"/>
  <c r="S15" i="14"/>
  <c r="K7" i="14"/>
  <c r="AO7" i="14" s="1"/>
  <c r="K8" i="14"/>
  <c r="AO8" i="14" s="1"/>
  <c r="K9" i="14"/>
  <c r="AM9" i="14" s="1"/>
  <c r="K6" i="14"/>
  <c r="AQ6" i="14" s="1"/>
  <c r="P15" i="14"/>
  <c r="Q15" i="14" s="1"/>
  <c r="P16" i="14"/>
  <c r="Q16" i="14" s="1"/>
  <c r="P17" i="14"/>
  <c r="Q17" i="14" s="1"/>
  <c r="P18" i="14"/>
  <c r="Q18" i="14" s="1"/>
  <c r="P6" i="14"/>
  <c r="Q6" i="14" s="1"/>
  <c r="M27" i="14"/>
  <c r="L27" i="14"/>
  <c r="N27" i="14" s="1"/>
  <c r="M26" i="14"/>
  <c r="L26" i="14"/>
  <c r="M25" i="14"/>
  <c r="L25" i="14"/>
  <c r="M24" i="14"/>
  <c r="L24" i="14"/>
  <c r="L16" i="14"/>
  <c r="M16" i="14"/>
  <c r="L17" i="14"/>
  <c r="M17" i="14"/>
  <c r="L18" i="14"/>
  <c r="M18" i="14"/>
  <c r="N18" i="14"/>
  <c r="L15" i="14"/>
  <c r="M15" i="14"/>
  <c r="S7" i="14"/>
  <c r="T7" i="14" s="1"/>
  <c r="S8" i="14"/>
  <c r="T8" i="14" s="1"/>
  <c r="S9" i="14"/>
  <c r="T9" i="14" s="1"/>
  <c r="S6" i="14"/>
  <c r="T6" i="14" s="1"/>
  <c r="P7" i="14"/>
  <c r="Q7" i="14" s="1"/>
  <c r="P8" i="14"/>
  <c r="Q8" i="14" s="1"/>
  <c r="P9" i="14"/>
  <c r="Q9" i="14" s="1"/>
  <c r="M8" i="14"/>
  <c r="M9" i="14"/>
  <c r="L7" i="14"/>
  <c r="L8" i="14"/>
  <c r="L9" i="14"/>
  <c r="L6" i="14"/>
  <c r="AX27" i="14"/>
  <c r="AW27" i="14"/>
  <c r="AV27" i="14"/>
  <c r="AU27" i="14"/>
  <c r="AT27" i="14"/>
  <c r="AS27" i="14"/>
  <c r="G27" i="14"/>
  <c r="AX26" i="14"/>
  <c r="AW26" i="14"/>
  <c r="AV26" i="14"/>
  <c r="AU26" i="14"/>
  <c r="AT26" i="14"/>
  <c r="AS26" i="14"/>
  <c r="G26" i="14"/>
  <c r="AX25" i="14"/>
  <c r="AW25" i="14"/>
  <c r="AV25" i="14"/>
  <c r="AU25" i="14"/>
  <c r="AT25" i="14"/>
  <c r="AS25" i="14"/>
  <c r="G25" i="14"/>
  <c r="AX24" i="14"/>
  <c r="AW24" i="14"/>
  <c r="AV24" i="14"/>
  <c r="AU24" i="14"/>
  <c r="AT24" i="14"/>
  <c r="AS24" i="14"/>
  <c r="G24" i="14"/>
  <c r="AX18" i="14"/>
  <c r="AW18" i="14"/>
  <c r="AV18" i="14"/>
  <c r="AU18" i="14"/>
  <c r="AT18" i="14"/>
  <c r="AS18" i="14"/>
  <c r="G18" i="14"/>
  <c r="AX17" i="14"/>
  <c r="AW17" i="14"/>
  <c r="AV17" i="14"/>
  <c r="AU17" i="14"/>
  <c r="AT17" i="14"/>
  <c r="AS17" i="14"/>
  <c r="G17" i="14"/>
  <c r="AX16" i="14"/>
  <c r="AW16" i="14"/>
  <c r="AV16" i="14"/>
  <c r="AU16" i="14"/>
  <c r="AT16" i="14"/>
  <c r="AS16" i="14"/>
  <c r="G16" i="14"/>
  <c r="AX15" i="14"/>
  <c r="AW15" i="14"/>
  <c r="AV15" i="14"/>
  <c r="AU15" i="14"/>
  <c r="AT15" i="14"/>
  <c r="AS15" i="14"/>
  <c r="G15" i="14"/>
  <c r="AX9" i="14"/>
  <c r="AW9" i="14"/>
  <c r="AV9" i="14"/>
  <c r="AU9" i="14"/>
  <c r="AT9" i="14"/>
  <c r="AS9" i="14"/>
  <c r="AR9" i="14"/>
  <c r="AP9" i="14"/>
  <c r="AN9" i="14"/>
  <c r="H9" i="14"/>
  <c r="AX8" i="14"/>
  <c r="AW8" i="14"/>
  <c r="AV8" i="14"/>
  <c r="AU8" i="14"/>
  <c r="AT8" i="14"/>
  <c r="AS8" i="14"/>
  <c r="AR8" i="14"/>
  <c r="AP8" i="14"/>
  <c r="AN8" i="14"/>
  <c r="H8" i="14"/>
  <c r="AX7" i="14"/>
  <c r="AW7" i="14"/>
  <c r="AV7" i="14"/>
  <c r="AU7" i="14"/>
  <c r="AT7" i="14"/>
  <c r="AS7" i="14"/>
  <c r="AR7" i="14"/>
  <c r="AP7" i="14"/>
  <c r="AN7" i="14"/>
  <c r="H7" i="14"/>
  <c r="AX6" i="14"/>
  <c r="AW6" i="14"/>
  <c r="AV6" i="14"/>
  <c r="AU6" i="14"/>
  <c r="AT6" i="14"/>
  <c r="AS6" i="14"/>
  <c r="AR6" i="14"/>
  <c r="AP6" i="14"/>
  <c r="AN6" i="14"/>
  <c r="H6" i="14"/>
  <c r="AC24" i="12"/>
  <c r="X24" i="12"/>
  <c r="AC27" i="12"/>
  <c r="AB27" i="12"/>
  <c r="AA27" i="12"/>
  <c r="Z27" i="12"/>
  <c r="Y27" i="12"/>
  <c r="X27" i="12"/>
  <c r="AC26" i="12"/>
  <c r="AB26" i="12"/>
  <c r="AA26" i="12"/>
  <c r="Z26" i="12"/>
  <c r="Y26" i="12"/>
  <c r="X26" i="12"/>
  <c r="AC25" i="12"/>
  <c r="AB25" i="12"/>
  <c r="AA25" i="12"/>
  <c r="Z25" i="12"/>
  <c r="Y25" i="12"/>
  <c r="X25" i="12"/>
  <c r="AB24" i="12"/>
  <c r="AA24" i="12"/>
  <c r="Z24" i="12"/>
  <c r="Y24" i="12"/>
  <c r="AC15" i="12"/>
  <c r="AB15" i="12"/>
  <c r="Z15" i="12"/>
  <c r="Y15" i="12"/>
  <c r="X15" i="12"/>
  <c r="AC18" i="12"/>
  <c r="AB18" i="12"/>
  <c r="AA18" i="12"/>
  <c r="Z18" i="12"/>
  <c r="Y18" i="12"/>
  <c r="X18" i="12"/>
  <c r="AC17" i="12"/>
  <c r="AB17" i="12"/>
  <c r="AA17" i="12"/>
  <c r="Z17" i="12"/>
  <c r="Y17" i="12"/>
  <c r="X17" i="12"/>
  <c r="AC16" i="12"/>
  <c r="AB16" i="12"/>
  <c r="AA16" i="12"/>
  <c r="Z16" i="12"/>
  <c r="Y16" i="12"/>
  <c r="X16" i="12"/>
  <c r="AA15" i="12"/>
  <c r="AB7" i="12"/>
  <c r="AC7" i="12"/>
  <c r="AB8" i="12"/>
  <c r="AC8" i="12"/>
  <c r="AB9" i="12"/>
  <c r="AC9" i="12"/>
  <c r="AC6" i="12"/>
  <c r="AB6" i="12"/>
  <c r="AA6" i="12"/>
  <c r="Z7" i="12"/>
  <c r="AA7" i="12"/>
  <c r="Z8" i="12"/>
  <c r="AA8" i="12"/>
  <c r="Z9" i="12"/>
  <c r="AA9" i="12"/>
  <c r="Z6" i="12"/>
  <c r="Y7" i="12"/>
  <c r="Y6" i="12"/>
  <c r="X7" i="12"/>
  <c r="X8" i="12"/>
  <c r="Y8" i="12"/>
  <c r="X9" i="12"/>
  <c r="Y9" i="12"/>
  <c r="X6" i="12"/>
  <c r="G27" i="12"/>
  <c r="G26" i="12"/>
  <c r="G25" i="12"/>
  <c r="G24" i="12"/>
  <c r="G16" i="12"/>
  <c r="G17" i="12"/>
  <c r="G18" i="12"/>
  <c r="G15" i="12"/>
  <c r="H7" i="12"/>
  <c r="H8" i="12"/>
  <c r="H9" i="12"/>
  <c r="H6" i="12"/>
  <c r="AF8" i="14" l="1"/>
  <c r="AF7" i="14"/>
  <c r="W6" i="14"/>
  <c r="N17" i="14"/>
  <c r="N25" i="14"/>
  <c r="N15" i="14"/>
  <c r="N26" i="14"/>
  <c r="N7" i="14"/>
  <c r="W7" i="14"/>
  <c r="W8" i="14"/>
  <c r="W9" i="14"/>
  <c r="AM7" i="14"/>
  <c r="N16" i="14"/>
  <c r="AM8" i="14"/>
  <c r="AO9" i="14"/>
  <c r="AQ7" i="14"/>
  <c r="AQ8" i="14"/>
  <c r="AQ9" i="14"/>
  <c r="N24" i="14"/>
  <c r="AO6" i="14"/>
  <c r="AM6" i="14"/>
  <c r="N6" i="14"/>
  <c r="N9" i="14"/>
  <c r="N8" i="14"/>
  <c r="T8" i="12"/>
  <c r="R6" i="12"/>
  <c r="S6" i="12"/>
  <c r="W7" i="12" l="1"/>
  <c r="W8" i="12"/>
  <c r="W9" i="12"/>
  <c r="W6" i="12"/>
  <c r="U7" i="12"/>
  <c r="U8" i="12"/>
  <c r="U9" i="12"/>
  <c r="U6" i="12"/>
  <c r="S7" i="12"/>
  <c r="S8" i="12"/>
  <c r="S9" i="12"/>
  <c r="V7" i="12"/>
  <c r="V8" i="12"/>
  <c r="V9" i="12"/>
  <c r="V6" i="12"/>
  <c r="T7" i="12"/>
  <c r="T9" i="12"/>
  <c r="T6" i="12"/>
  <c r="R7" i="12"/>
  <c r="R8" i="12"/>
  <c r="R9" i="12"/>
  <c r="K21" i="4" l="1"/>
  <c r="K17" i="4"/>
  <c r="K18" i="4"/>
  <c r="K19" i="4"/>
  <c r="K20" i="4"/>
  <c r="K16" i="4"/>
  <c r="I6" i="2" l="1"/>
  <c r="L7" i="2"/>
  <c r="L8" i="2"/>
  <c r="L9" i="2"/>
  <c r="L10" i="2"/>
  <c r="L11" i="2"/>
  <c r="L6" i="2"/>
  <c r="K7" i="2"/>
  <c r="K8" i="2"/>
  <c r="K9" i="2"/>
  <c r="K10" i="2"/>
  <c r="K11" i="2"/>
  <c r="K6" i="2"/>
  <c r="J7" i="2"/>
  <c r="J8" i="2"/>
  <c r="J9" i="2"/>
  <c r="J10" i="2"/>
  <c r="J11" i="2"/>
  <c r="J6" i="2"/>
  <c r="I7" i="2"/>
  <c r="I8" i="2"/>
  <c r="I9" i="2"/>
  <c r="I10" i="2"/>
  <c r="I11" i="2"/>
  <c r="K6" i="4" l="1"/>
  <c r="K7" i="4"/>
  <c r="K8" i="4"/>
  <c r="K9" i="4"/>
  <c r="K10" i="4"/>
  <c r="K5" i="4"/>
  <c r="G6" i="4" l="1"/>
  <c r="G7" i="4"/>
  <c r="G8" i="4"/>
  <c r="G9" i="4"/>
  <c r="G10" i="4"/>
  <c r="G5" i="4"/>
  <c r="E6" i="4"/>
  <c r="E7" i="4"/>
  <c r="E8" i="4"/>
  <c r="E9" i="4"/>
  <c r="E10" i="4"/>
  <c r="E5" i="4"/>
  <c r="M9" i="3"/>
  <c r="L9" i="3"/>
  <c r="K9" i="3"/>
  <c r="G9" i="3"/>
  <c r="M8" i="3"/>
  <c r="L8" i="3"/>
  <c r="K8" i="3"/>
  <c r="G8" i="3"/>
  <c r="M7" i="3"/>
  <c r="L7" i="3"/>
  <c r="K7" i="3"/>
  <c r="G7" i="3"/>
  <c r="M6" i="3"/>
  <c r="L6" i="3"/>
  <c r="K6" i="3"/>
  <c r="G6" i="3"/>
  <c r="M5" i="3"/>
  <c r="L5" i="3"/>
  <c r="K5" i="3"/>
  <c r="G5" i="3"/>
  <c r="R11" i="2"/>
  <c r="V11" i="2" s="1"/>
  <c r="N11" i="2"/>
  <c r="R10" i="2"/>
  <c r="V10" i="2" s="1"/>
  <c r="N10" i="2"/>
  <c r="R9" i="2"/>
  <c r="V9" i="2" s="1"/>
  <c r="N9" i="2"/>
  <c r="R8" i="2"/>
  <c r="V8" i="2" s="1"/>
  <c r="N8" i="2"/>
  <c r="R7" i="2"/>
  <c r="V7" i="2" s="1"/>
  <c r="N7" i="2"/>
  <c r="R6" i="2"/>
  <c r="V6" i="2" s="1"/>
  <c r="N6" i="2"/>
  <c r="H41" i="1"/>
  <c r="H42" i="1"/>
  <c r="H43" i="1"/>
  <c r="H44" i="1"/>
  <c r="H45" i="1"/>
  <c r="H46" i="1"/>
  <c r="H47" i="1"/>
  <c r="H48" i="1"/>
  <c r="H49" i="1"/>
  <c r="H50" i="1"/>
  <c r="H51" i="1"/>
  <c r="G17" i="1"/>
  <c r="G18" i="1"/>
  <c r="G19" i="1"/>
  <c r="G20" i="1"/>
  <c r="G21" i="1"/>
  <c r="G22" i="1"/>
  <c r="G23" i="1"/>
  <c r="G24" i="1"/>
  <c r="G25" i="1"/>
  <c r="G26" i="1"/>
  <c r="G27" i="1"/>
  <c r="H5" i="1"/>
  <c r="H6" i="1"/>
  <c r="H7" i="1"/>
  <c r="H8" i="1"/>
  <c r="H9" i="1"/>
  <c r="H10" i="1"/>
  <c r="H11" i="1"/>
  <c r="H12" i="1"/>
  <c r="H13" i="1"/>
  <c r="H14" i="1"/>
  <c r="H15" i="1"/>
  <c r="F51" i="1"/>
  <c r="F50" i="1"/>
  <c r="AB50" i="1" s="1"/>
  <c r="AC50" i="1" s="1"/>
  <c r="F49" i="1"/>
  <c r="F48" i="1"/>
  <c r="AB48" i="1" s="1"/>
  <c r="AC48" i="1" s="1"/>
  <c r="F47" i="1"/>
  <c r="AB47" i="1" s="1"/>
  <c r="AC47" i="1" s="1"/>
  <c r="F46" i="1"/>
  <c r="F45" i="1"/>
  <c r="AB45" i="1" s="1"/>
  <c r="AC45" i="1" s="1"/>
  <c r="F44" i="1"/>
  <c r="F43" i="1"/>
  <c r="F42" i="1"/>
  <c r="AB42" i="1" s="1"/>
  <c r="AC42" i="1" s="1"/>
  <c r="F41" i="1"/>
  <c r="AB41" i="1" s="1"/>
  <c r="AC41" i="1" s="1"/>
  <c r="H40" i="1"/>
  <c r="F40" i="1"/>
  <c r="AB40" i="1" s="1"/>
  <c r="AC40" i="1" s="1"/>
  <c r="F39" i="1"/>
  <c r="M39" i="1" s="1"/>
  <c r="O39" i="1" s="1"/>
  <c r="P39" i="1" s="1"/>
  <c r="F38" i="1"/>
  <c r="R38" i="1" s="1"/>
  <c r="W38" i="1" s="1"/>
  <c r="F37" i="1"/>
  <c r="F36" i="1"/>
  <c r="M36" i="1" s="1"/>
  <c r="O36" i="1" s="1"/>
  <c r="P36" i="1" s="1"/>
  <c r="F35" i="1"/>
  <c r="M35" i="1" s="1"/>
  <c r="O35" i="1" s="1"/>
  <c r="P35" i="1" s="1"/>
  <c r="F34" i="1"/>
  <c r="Q34" i="1" s="1"/>
  <c r="F33" i="1"/>
  <c r="Q33" i="1" s="1"/>
  <c r="F32" i="1"/>
  <c r="R32" i="1" s="1"/>
  <c r="W32" i="1" s="1"/>
  <c r="F31" i="1"/>
  <c r="F30" i="1"/>
  <c r="R30" i="1" s="1"/>
  <c r="W30" i="1" s="1"/>
  <c r="F29" i="1"/>
  <c r="M29" i="1" s="1"/>
  <c r="O29" i="1" s="1"/>
  <c r="P29" i="1" s="1"/>
  <c r="F28" i="1"/>
  <c r="F27" i="1"/>
  <c r="M27" i="1" s="1"/>
  <c r="O27" i="1" s="1"/>
  <c r="P27" i="1" s="1"/>
  <c r="F26" i="1"/>
  <c r="R26" i="1" s="1"/>
  <c r="W26" i="1" s="1"/>
  <c r="F25" i="1"/>
  <c r="F24" i="1"/>
  <c r="F23" i="1"/>
  <c r="M23" i="1" s="1"/>
  <c r="O23" i="1" s="1"/>
  <c r="P23" i="1" s="1"/>
  <c r="F22" i="1"/>
  <c r="M22" i="1" s="1"/>
  <c r="O22" i="1" s="1"/>
  <c r="P22" i="1" s="1"/>
  <c r="F21" i="1"/>
  <c r="F20" i="1"/>
  <c r="M20" i="1" s="1"/>
  <c r="O20" i="1" s="1"/>
  <c r="P20" i="1" s="1"/>
  <c r="F19" i="1"/>
  <c r="F18" i="1"/>
  <c r="R18" i="1" s="1"/>
  <c r="W18" i="1" s="1"/>
  <c r="F17" i="1"/>
  <c r="M17" i="1" s="1"/>
  <c r="O17" i="1" s="1"/>
  <c r="P17" i="1" s="1"/>
  <c r="G16" i="1"/>
  <c r="F16" i="1"/>
  <c r="R16" i="1" s="1"/>
  <c r="W16" i="1" s="1"/>
  <c r="F15" i="1"/>
  <c r="R15" i="1" s="1"/>
  <c r="W15" i="1" s="1"/>
  <c r="F14" i="1"/>
  <c r="F13" i="1"/>
  <c r="F12" i="1"/>
  <c r="Q12" i="1" s="1"/>
  <c r="F11" i="1"/>
  <c r="M11" i="1" s="1"/>
  <c r="O11" i="1" s="1"/>
  <c r="P11" i="1" s="1"/>
  <c r="F10" i="1"/>
  <c r="R10" i="1" s="1"/>
  <c r="W10" i="1" s="1"/>
  <c r="F9" i="1"/>
  <c r="M9" i="1" s="1"/>
  <c r="O9" i="1" s="1"/>
  <c r="P9" i="1" s="1"/>
  <c r="F8" i="1"/>
  <c r="R8" i="1" s="1"/>
  <c r="W8" i="1" s="1"/>
  <c r="F7" i="1"/>
  <c r="F6" i="1"/>
  <c r="Q6" i="1" s="1"/>
  <c r="F5" i="1"/>
  <c r="M5" i="1" s="1"/>
  <c r="O5" i="1" s="1"/>
  <c r="P5" i="1" s="1"/>
  <c r="H4" i="1"/>
  <c r="F4" i="1"/>
  <c r="Q4" i="1" s="1"/>
  <c r="Y43" i="1" l="1"/>
  <c r="AA43" i="1" s="1"/>
  <c r="AB43" i="1"/>
  <c r="AC43" i="1" s="1"/>
  <c r="Y46" i="1"/>
  <c r="AA46" i="1" s="1"/>
  <c r="AB46" i="1"/>
  <c r="AC46" i="1" s="1"/>
  <c r="Y49" i="1"/>
  <c r="AA49" i="1" s="1"/>
  <c r="AB49" i="1"/>
  <c r="AC49" i="1" s="1"/>
  <c r="Y51" i="1"/>
  <c r="AA51" i="1" s="1"/>
  <c r="AB51" i="1"/>
  <c r="AC51" i="1" s="1"/>
  <c r="Y44" i="1"/>
  <c r="AA44" i="1" s="1"/>
  <c r="AB44" i="1"/>
  <c r="AC44" i="1" s="1"/>
  <c r="M42" i="1"/>
  <c r="O42" i="1" s="1"/>
  <c r="P42" i="1" s="1"/>
  <c r="Y42" i="1"/>
  <c r="AA42" i="1" s="1"/>
  <c r="M45" i="1"/>
  <c r="O45" i="1" s="1"/>
  <c r="P45" i="1" s="1"/>
  <c r="Y45" i="1"/>
  <c r="AA45" i="1" s="1"/>
  <c r="R41" i="1"/>
  <c r="W41" i="1" s="1"/>
  <c r="Y41" i="1"/>
  <c r="AA41" i="1" s="1"/>
  <c r="R47" i="1"/>
  <c r="W47" i="1" s="1"/>
  <c r="Y47" i="1"/>
  <c r="AA47" i="1" s="1"/>
  <c r="M48" i="1"/>
  <c r="O48" i="1" s="1"/>
  <c r="P48" i="1" s="1"/>
  <c r="Y48" i="1"/>
  <c r="AA48" i="1" s="1"/>
  <c r="M50" i="1"/>
  <c r="O50" i="1" s="1"/>
  <c r="P50" i="1" s="1"/>
  <c r="Y50" i="1"/>
  <c r="AA50" i="1" s="1"/>
  <c r="M40" i="1"/>
  <c r="O40" i="1" s="1"/>
  <c r="P40" i="1" s="1"/>
  <c r="Y40" i="1"/>
  <c r="AA40" i="1" s="1"/>
  <c r="P6" i="2"/>
  <c r="T6" i="2"/>
  <c r="R17" i="1"/>
  <c r="W17" i="1" s="1"/>
  <c r="R9" i="1"/>
  <c r="W9" i="1" s="1"/>
  <c r="Q48" i="1"/>
  <c r="Q29" i="1"/>
  <c r="R48" i="1"/>
  <c r="W48" i="1" s="1"/>
  <c r="R29" i="1"/>
  <c r="W29" i="1" s="1"/>
  <c r="Q23" i="1"/>
  <c r="R4" i="1"/>
  <c r="W4" i="1" s="1"/>
  <c r="R23" i="1"/>
  <c r="W23" i="1" s="1"/>
  <c r="R33" i="1"/>
  <c r="W33" i="1" s="1"/>
  <c r="M10" i="1"/>
  <c r="O10" i="1" s="1"/>
  <c r="P10" i="1" s="1"/>
  <c r="Q5" i="1"/>
  <c r="Q10" i="1"/>
  <c r="M41" i="1"/>
  <c r="O41" i="1" s="1"/>
  <c r="P41" i="1" s="1"/>
  <c r="Q45" i="1"/>
  <c r="R5" i="1"/>
  <c r="W5" i="1" s="1"/>
  <c r="Q20" i="1"/>
  <c r="M30" i="1"/>
  <c r="O30" i="1" s="1"/>
  <c r="P30" i="1" s="1"/>
  <c r="Q35" i="1"/>
  <c r="R45" i="1"/>
  <c r="W45" i="1" s="1"/>
  <c r="M16" i="1"/>
  <c r="O16" i="1" s="1"/>
  <c r="P16" i="1" s="1"/>
  <c r="R20" i="1"/>
  <c r="W20" i="1" s="1"/>
  <c r="Q30" i="1"/>
  <c r="X30" i="1" s="1"/>
  <c r="R35" i="1"/>
  <c r="W35" i="1" s="1"/>
  <c r="Q41" i="1"/>
  <c r="X41" i="1" s="1"/>
  <c r="R6" i="1"/>
  <c r="W6" i="1" s="1"/>
  <c r="M26" i="1"/>
  <c r="O26" i="1" s="1"/>
  <c r="P26" i="1" s="1"/>
  <c r="Q16" i="1"/>
  <c r="Q26" i="1"/>
  <c r="S26" i="1" s="1"/>
  <c r="V26" i="1" s="1"/>
  <c r="M47" i="1"/>
  <c r="O47" i="1" s="1"/>
  <c r="P47" i="1" s="1"/>
  <c r="Q22" i="1"/>
  <c r="Q42" i="1"/>
  <c r="R22" i="1"/>
  <c r="W22" i="1" s="1"/>
  <c r="R42" i="1"/>
  <c r="W42" i="1" s="1"/>
  <c r="Q47" i="1"/>
  <c r="M4" i="1"/>
  <c r="O4" i="1" s="1"/>
  <c r="P4" i="1" s="1"/>
  <c r="M12" i="1"/>
  <c r="O12" i="1" s="1"/>
  <c r="P12" i="1" s="1"/>
  <c r="M33" i="1"/>
  <c r="O33" i="1" s="1"/>
  <c r="P33" i="1" s="1"/>
  <c r="Q39" i="1"/>
  <c r="Q9" i="1"/>
  <c r="R12" i="1"/>
  <c r="X12" i="1" s="1"/>
  <c r="Q17" i="1"/>
  <c r="R39" i="1"/>
  <c r="W39" i="1" s="1"/>
  <c r="R37" i="1"/>
  <c r="W37" i="1" s="1"/>
  <c r="Q37" i="1"/>
  <c r="M37" i="1"/>
  <c r="O37" i="1" s="1"/>
  <c r="P37" i="1" s="1"/>
  <c r="R14" i="1"/>
  <c r="W14" i="1" s="1"/>
  <c r="Q14" i="1"/>
  <c r="R28" i="1"/>
  <c r="W28" i="1" s="1"/>
  <c r="Q28" i="1"/>
  <c r="M28" i="1"/>
  <c r="O28" i="1" s="1"/>
  <c r="P28" i="1" s="1"/>
  <c r="M14" i="1"/>
  <c r="O14" i="1" s="1"/>
  <c r="P14" i="1" s="1"/>
  <c r="R7" i="1"/>
  <c r="W7" i="1" s="1"/>
  <c r="Q7" i="1"/>
  <c r="M7" i="1"/>
  <c r="O7" i="1" s="1"/>
  <c r="P7" i="1" s="1"/>
  <c r="R46" i="1"/>
  <c r="W46" i="1" s="1"/>
  <c r="Q46" i="1"/>
  <c r="M15" i="1"/>
  <c r="O15" i="1" s="1"/>
  <c r="P15" i="1" s="1"/>
  <c r="R19" i="1"/>
  <c r="W19" i="1" s="1"/>
  <c r="Q19" i="1"/>
  <c r="R24" i="1"/>
  <c r="W24" i="1" s="1"/>
  <c r="Q24" i="1"/>
  <c r="M24" i="1"/>
  <c r="O24" i="1" s="1"/>
  <c r="P24" i="1" s="1"/>
  <c r="Q43" i="1"/>
  <c r="R43" i="1"/>
  <c r="W43" i="1" s="1"/>
  <c r="M43" i="1"/>
  <c r="O43" i="1" s="1"/>
  <c r="P43" i="1" s="1"/>
  <c r="R49" i="1"/>
  <c r="W49" i="1" s="1"/>
  <c r="Q49" i="1"/>
  <c r="M19" i="1"/>
  <c r="O19" i="1" s="1"/>
  <c r="P19" i="1" s="1"/>
  <c r="M49" i="1"/>
  <c r="O49" i="1" s="1"/>
  <c r="P49" i="1" s="1"/>
  <c r="R21" i="1"/>
  <c r="W21" i="1" s="1"/>
  <c r="Q21" i="1"/>
  <c r="M21" i="1"/>
  <c r="O21" i="1" s="1"/>
  <c r="P21" i="1" s="1"/>
  <c r="M32" i="1"/>
  <c r="O32" i="1" s="1"/>
  <c r="P32" i="1" s="1"/>
  <c r="R40" i="1"/>
  <c r="W40" i="1" s="1"/>
  <c r="Q40" i="1"/>
  <c r="R50" i="1"/>
  <c r="W50" i="1" s="1"/>
  <c r="Q50" i="1"/>
  <c r="M38" i="1"/>
  <c r="O38" i="1" s="1"/>
  <c r="P38" i="1" s="1"/>
  <c r="R44" i="1"/>
  <c r="W44" i="1" s="1"/>
  <c r="Q44" i="1"/>
  <c r="R25" i="1"/>
  <c r="W25" i="1" s="1"/>
  <c r="Q25" i="1"/>
  <c r="M34" i="1"/>
  <c r="O34" i="1" s="1"/>
  <c r="P34" i="1" s="1"/>
  <c r="Q36" i="1"/>
  <c r="M44" i="1"/>
  <c r="O44" i="1" s="1"/>
  <c r="P44" i="1" s="1"/>
  <c r="M46" i="1"/>
  <c r="O46" i="1" s="1"/>
  <c r="P46" i="1" s="1"/>
  <c r="M8" i="1"/>
  <c r="O8" i="1" s="1"/>
  <c r="P8" i="1" s="1"/>
  <c r="R13" i="1"/>
  <c r="W13" i="1" s="1"/>
  <c r="M13" i="1"/>
  <c r="O13" i="1" s="1"/>
  <c r="P13" i="1" s="1"/>
  <c r="M25" i="1"/>
  <c r="O25" i="1" s="1"/>
  <c r="P25" i="1" s="1"/>
  <c r="Q32" i="1"/>
  <c r="R34" i="1"/>
  <c r="W34" i="1" s="1"/>
  <c r="R36" i="1"/>
  <c r="W36" i="1" s="1"/>
  <c r="Q11" i="1"/>
  <c r="Q13" i="1"/>
  <c r="Q27" i="1"/>
  <c r="Q38" i="1"/>
  <c r="R11" i="1"/>
  <c r="W11" i="1" s="1"/>
  <c r="Q15" i="1"/>
  <c r="M18" i="1"/>
  <c r="O18" i="1" s="1"/>
  <c r="P18" i="1" s="1"/>
  <c r="R27" i="1"/>
  <c r="W27" i="1" s="1"/>
  <c r="Q8" i="1"/>
  <c r="Q18" i="1"/>
  <c r="R31" i="1"/>
  <c r="W31" i="1" s="1"/>
  <c r="Q31" i="1"/>
  <c r="R51" i="1"/>
  <c r="W51" i="1" s="1"/>
  <c r="Q51" i="1"/>
  <c r="M31" i="1"/>
  <c r="O31" i="1" s="1"/>
  <c r="P31" i="1" s="1"/>
  <c r="M51" i="1"/>
  <c r="O51" i="1" s="1"/>
  <c r="P51" i="1" s="1"/>
  <c r="M6" i="1"/>
  <c r="O6" i="1" s="1"/>
  <c r="P6" i="1" s="1"/>
  <c r="X4" i="1" l="1"/>
  <c r="X47" i="1"/>
  <c r="X35" i="1"/>
  <c r="S17" i="1"/>
  <c r="V17" i="1" s="1"/>
  <c r="X9" i="1"/>
  <c r="X17" i="1"/>
  <c r="X48" i="1"/>
  <c r="S22" i="1"/>
  <c r="V22" i="1" s="1"/>
  <c r="X23" i="1"/>
  <c r="S45" i="1"/>
  <c r="V45" i="1" s="1"/>
  <c r="S20" i="1"/>
  <c r="V20" i="1" s="1"/>
  <c r="S33" i="1"/>
  <c r="V33" i="1" s="1"/>
  <c r="X33" i="1"/>
  <c r="X29" i="1"/>
  <c r="X5" i="1"/>
  <c r="S29" i="1"/>
  <c r="V29" i="1" s="1"/>
  <c r="X26" i="1"/>
  <c r="X20" i="1"/>
  <c r="S48" i="1"/>
  <c r="V48" i="1" s="1"/>
  <c r="X39" i="1"/>
  <c r="W12" i="1"/>
  <c r="S12" i="1"/>
  <c r="V12" i="1" s="1"/>
  <c r="S23" i="1"/>
  <c r="V23" i="1" s="1"/>
  <c r="S4" i="1"/>
  <c r="V4" i="1" s="1"/>
  <c r="S16" i="1"/>
  <c r="V16" i="1" s="1"/>
  <c r="X16" i="1"/>
  <c r="S39" i="1"/>
  <c r="V39" i="1" s="1"/>
  <c r="X10" i="1"/>
  <c r="S10" i="1"/>
  <c r="V10" i="1" s="1"/>
  <c r="S6" i="1"/>
  <c r="V6" i="1" s="1"/>
  <c r="S5" i="1"/>
  <c r="V5" i="1" s="1"/>
  <c r="X22" i="1"/>
  <c r="S42" i="1"/>
  <c r="V42" i="1" s="1"/>
  <c r="X42" i="1"/>
  <c r="S47" i="1"/>
  <c r="V47" i="1" s="1"/>
  <c r="S35" i="1"/>
  <c r="V35" i="1" s="1"/>
  <c r="S30" i="1"/>
  <c r="V30" i="1" s="1"/>
  <c r="X45" i="1"/>
  <c r="X6" i="1"/>
  <c r="S41" i="1"/>
  <c r="V41" i="1" s="1"/>
  <c r="S9" i="1"/>
  <c r="V9" i="1" s="1"/>
  <c r="X8" i="1"/>
  <c r="S8" i="1"/>
  <c r="V8" i="1" s="1"/>
  <c r="S28" i="1"/>
  <c r="V28" i="1" s="1"/>
  <c r="X28" i="1"/>
  <c r="S32" i="1"/>
  <c r="V32" i="1" s="1"/>
  <c r="X32" i="1"/>
  <c r="X25" i="1"/>
  <c r="S25" i="1"/>
  <c r="V25" i="1" s="1"/>
  <c r="X40" i="1"/>
  <c r="S40" i="1"/>
  <c r="V40" i="1" s="1"/>
  <c r="X49" i="1"/>
  <c r="S49" i="1"/>
  <c r="V49" i="1" s="1"/>
  <c r="X46" i="1"/>
  <c r="S46" i="1"/>
  <c r="V46" i="1" s="1"/>
  <c r="X14" i="1"/>
  <c r="S14" i="1"/>
  <c r="V14" i="1" s="1"/>
  <c r="X15" i="1"/>
  <c r="S15" i="1"/>
  <c r="V15" i="1" s="1"/>
  <c r="X34" i="1"/>
  <c r="S44" i="1"/>
  <c r="V44" i="1" s="1"/>
  <c r="X44" i="1"/>
  <c r="S43" i="1"/>
  <c r="V43" i="1" s="1"/>
  <c r="X43" i="1"/>
  <c r="S37" i="1"/>
  <c r="V37" i="1" s="1"/>
  <c r="X37" i="1"/>
  <c r="X51" i="1"/>
  <c r="S51" i="1"/>
  <c r="V51" i="1" s="1"/>
  <c r="S38" i="1"/>
  <c r="V38" i="1" s="1"/>
  <c r="X38" i="1"/>
  <c r="S34" i="1"/>
  <c r="V34" i="1" s="1"/>
  <c r="X24" i="1"/>
  <c r="S24" i="1"/>
  <c r="V24" i="1" s="1"/>
  <c r="S31" i="1"/>
  <c r="V31" i="1" s="1"/>
  <c r="X31" i="1"/>
  <c r="X27" i="1"/>
  <c r="S27" i="1"/>
  <c r="V27" i="1" s="1"/>
  <c r="S50" i="1"/>
  <c r="V50" i="1" s="1"/>
  <c r="X50" i="1"/>
  <c r="X21" i="1"/>
  <c r="S21" i="1"/>
  <c r="V21" i="1" s="1"/>
  <c r="S7" i="1"/>
  <c r="V7" i="1" s="1"/>
  <c r="X7" i="1"/>
  <c r="S13" i="1"/>
  <c r="V13" i="1" s="1"/>
  <c r="X13" i="1"/>
  <c r="X36" i="1"/>
  <c r="S36" i="1"/>
  <c r="V36" i="1" s="1"/>
  <c r="X19" i="1"/>
  <c r="S19" i="1"/>
  <c r="V19" i="1" s="1"/>
  <c r="S18" i="1"/>
  <c r="V18" i="1" s="1"/>
  <c r="X18" i="1"/>
  <c r="X11" i="1"/>
  <c r="S11" i="1"/>
  <c r="V11" i="1" s="1"/>
</calcChain>
</file>

<file path=xl/sharedStrings.xml><?xml version="1.0" encoding="utf-8"?>
<sst xmlns="http://schemas.openxmlformats.org/spreadsheetml/2006/main" count="669" uniqueCount="225">
  <si>
    <t>C37</t>
  </si>
  <si>
    <t>SHALLOW-SPHERICAL SHELL
Blachut 2005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</si>
  <si>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</si>
  <si>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</si>
  <si>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</si>
  <si>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</si>
  <si>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</si>
  <si>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</si>
  <si>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</si>
  <si>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</si>
  <si>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</si>
  <si>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</si>
  <si>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</si>
  <si>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No.</t>
  </si>
  <si>
    <t>ID</t>
  </si>
  <si>
    <t>R [mm]</t>
  </si>
  <si>
    <t>R_Base 
[mm]</t>
  </si>
  <si>
    <t>t [mm]</t>
  </si>
  <si>
    <t>H [mm]</t>
  </si>
  <si>
    <t>H/R_Base</t>
  </si>
  <si>
    <t>R/t</t>
  </si>
  <si>
    <t>Fy 
[MPa]</t>
  </si>
  <si>
    <t>E 
[GPa]</t>
  </si>
  <si>
    <t>possion ratio</t>
  </si>
  <si>
    <t>l_gx</t>
  </si>
  <si>
    <t>U_omax</t>
  </si>
  <si>
    <t>w</t>
  </si>
  <si>
    <t>w/t</t>
  </si>
  <si>
    <t>Pcr</t>
  </si>
  <si>
    <t>Py</t>
  </si>
  <si>
    <t>P_PD</t>
  </si>
  <si>
    <t>P_Imp</t>
  </si>
  <si>
    <t>P_PD/Py</t>
  </si>
  <si>
    <t>P_Imp/Py</t>
  </si>
  <si>
    <t>Pcr/Py</t>
  </si>
  <si>
    <t>REMARKS</t>
  </si>
  <si>
    <t>C1</t>
  </si>
  <si>
    <t>HEMI-SPHERICAL
Zhu 2019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</si>
  <si>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</si>
  <si>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</si>
  <si>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</si>
  <si>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</si>
  <si>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</si>
  <si>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</si>
  <si>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</si>
  <si>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</si>
  <si>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</si>
  <si>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</si>
  <si>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</si>
  <si>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</si>
  <si>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SPHERICAL SHELL
Modified Zhu 2019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</si>
  <si>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</si>
  <si>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</si>
  <si>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</si>
  <si>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</si>
  <si>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</si>
  <si>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</si>
  <si>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</si>
  <si>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</si>
  <si>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</si>
  <si>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</si>
  <si>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</si>
  <si>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</si>
  <si>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DEEP-SPHERICAL SHELL
Zhang 2018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</si>
  <si>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</si>
  <si>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</si>
  <si>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</si>
  <si>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</si>
  <si>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</si>
  <si>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</si>
  <si>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</si>
  <si>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</si>
  <si>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</si>
  <si>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</si>
  <si>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</si>
  <si>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P_Bif</t>
  </si>
  <si>
    <r>
      <t>P</t>
    </r>
    <r>
      <rPr>
        <vertAlign val="subscript"/>
        <sz val="12"/>
        <color theme="1"/>
        <rFont val="Times New Roman"/>
        <family val="1"/>
      </rPr>
      <t>Exp</t>
    </r>
  </si>
  <si>
    <r>
      <t>P</t>
    </r>
    <r>
      <rPr>
        <vertAlign val="subscript"/>
        <sz val="12"/>
        <color theme="1"/>
        <rFont val="Times New Roman"/>
        <family val="1"/>
      </rPr>
      <t>Coll</t>
    </r>
  </si>
  <si>
    <r>
      <t>P</t>
    </r>
    <r>
      <rPr>
        <vertAlign val="subscript"/>
        <sz val="12"/>
        <color theme="1"/>
        <rFont val="Times New Roman"/>
        <family val="1"/>
      </rPr>
      <t>PD 5500</t>
    </r>
  </si>
  <si>
    <t>[MPa]</t>
  </si>
  <si>
    <t>% diff</t>
  </si>
  <si>
    <t>D1</t>
  </si>
  <si>
    <t>D2</t>
  </si>
  <si>
    <t>D3</t>
  </si>
  <si>
    <t>D4</t>
  </si>
  <si>
    <t>D5</t>
  </si>
  <si>
    <t>D6</t>
  </si>
  <si>
    <t>BIL.</t>
  </si>
  <si>
    <t>r [mm]</t>
  </si>
  <si>
    <t>E [GPa]</t>
  </si>
  <si>
    <t>Fy [MPa]</t>
  </si>
  <si>
    <t>Zoelly, 1915</t>
  </si>
  <si>
    <t>Karman &amp; Tsien, 2012</t>
  </si>
  <si>
    <t>Koiter, 2001</t>
  </si>
  <si>
    <t>P_cr [MPa]</t>
  </si>
  <si>
    <t>Sensitive analysis</t>
  </si>
  <si>
    <t>Element number</t>
  </si>
  <si>
    <r>
      <rPr>
        <sz val="12"/>
        <color theme="1"/>
        <rFont val="Calibri"/>
        <family val="2"/>
      </rPr>
      <t>σ</t>
    </r>
    <r>
      <rPr>
        <sz val="12"/>
        <color theme="1"/>
        <rFont val="Times New Roman"/>
        <family val="1"/>
      </rPr>
      <t>yield [MPa]</t>
    </r>
  </si>
  <si>
    <t>υ</t>
  </si>
  <si>
    <t>2Rbased</t>
  </si>
  <si>
    <t>Rbased</t>
  </si>
  <si>
    <t>Lamda</t>
  </si>
  <si>
    <t>Disp</t>
  </si>
  <si>
    <t>Load</t>
  </si>
  <si>
    <t>Pcoll</t>
  </si>
  <si>
    <t>Pyp</t>
  </si>
  <si>
    <t>D6 - GMNA - EPP</t>
  </si>
  <si>
    <t>D6 - GMNA - ESS</t>
  </si>
  <si>
    <t>D6 - GMNA - TSS</t>
  </si>
  <si>
    <t>Yield</t>
  </si>
  <si>
    <t>S</t>
  </si>
  <si>
    <t>VM</t>
  </si>
  <si>
    <t>Coll</t>
  </si>
  <si>
    <t>Post-Coll</t>
  </si>
  <si>
    <r>
      <t>P</t>
    </r>
    <r>
      <rPr>
        <vertAlign val="subscript"/>
        <sz val="12"/>
        <color theme="1"/>
        <rFont val="Times New Roman"/>
        <family val="1"/>
      </rPr>
      <t>DnV</t>
    </r>
  </si>
  <si>
    <r>
      <t>P</t>
    </r>
    <r>
      <rPr>
        <vertAlign val="subscript"/>
        <sz val="12"/>
        <color theme="1"/>
        <rFont val="Times New Roman"/>
        <family val="1"/>
      </rPr>
      <t>ABS</t>
    </r>
  </si>
  <si>
    <t>Pexp</t>
  </si>
  <si>
    <t>PDnV /PExp</t>
  </si>
  <si>
    <t>PABS /PExp</t>
  </si>
  <si>
    <r>
      <t>P</t>
    </r>
    <r>
      <rPr>
        <vertAlign val="subscript"/>
        <sz val="12"/>
        <color theme="1"/>
        <rFont val="Times New Roman"/>
        <family val="1"/>
      </rPr>
      <t>coll</t>
    </r>
    <r>
      <rPr>
        <sz val="12"/>
        <color theme="1"/>
        <rFont val="Times New Roman"/>
        <family val="1"/>
      </rPr>
      <t xml:space="preserve"> /PExp</t>
    </r>
  </si>
  <si>
    <r>
      <t>P</t>
    </r>
    <r>
      <rPr>
        <vertAlign val="subscript"/>
        <sz val="12"/>
        <color theme="1"/>
        <rFont val="Times New Roman"/>
        <family val="1"/>
      </rPr>
      <t>PD 5500</t>
    </r>
    <r>
      <rPr>
        <sz val="12"/>
        <color theme="1"/>
        <rFont val="Times New Roman"/>
        <family val="1"/>
      </rPr>
      <t xml:space="preserve"> /P</t>
    </r>
    <r>
      <rPr>
        <vertAlign val="subscript"/>
        <sz val="12"/>
        <color theme="1"/>
        <rFont val="Times New Roman"/>
        <family val="1"/>
      </rPr>
      <t>Exp</t>
    </r>
  </si>
  <si>
    <t>KD</t>
  </si>
  <si>
    <t>KDF</t>
  </si>
  <si>
    <t>PD5500</t>
  </si>
  <si>
    <t>t/R</t>
  </si>
  <si>
    <t>LBA</t>
  </si>
  <si>
    <t>GMNA</t>
  </si>
  <si>
    <t>GMNIA</t>
  </si>
  <si>
    <t>Kp</t>
  </si>
  <si>
    <t>Kimp</t>
  </si>
  <si>
    <t>ν</t>
  </si>
  <si>
    <t>t</t>
  </si>
  <si>
    <t>R</t>
  </si>
  <si>
    <t>R_base</t>
  </si>
  <si>
    <t>H</t>
  </si>
  <si>
    <t>R_base/H</t>
  </si>
  <si>
    <t>CASE A</t>
  </si>
  <si>
    <t>CASE B</t>
  </si>
  <si>
    <t>CASE C</t>
  </si>
  <si>
    <t>cc</t>
  </si>
  <si>
    <t>Lamda/Cc</t>
  </si>
  <si>
    <t>S_GMNA</t>
  </si>
  <si>
    <t>S_GMNA/Sy</t>
  </si>
  <si>
    <t>S_GMNIA</t>
  </si>
  <si>
    <t>S_GMNIA/Sy</t>
  </si>
  <si>
    <t>S_GMNA/S_Y</t>
  </si>
  <si>
    <t>CASE STUDIES/EXPERIMENTAL</t>
  </si>
  <si>
    <t xml:space="preserve">R </t>
  </si>
  <si>
    <t xml:space="preserve">t </t>
  </si>
  <si>
    <t>E</t>
  </si>
  <si>
    <t>Fy</t>
  </si>
  <si>
    <t>REF</t>
  </si>
  <si>
    <t>YEARS</t>
  </si>
  <si>
    <t>Pe</t>
  </si>
  <si>
    <t>P_PPD</t>
  </si>
  <si>
    <t>P_e/P_y</t>
  </si>
  <si>
    <t>Pexp/P_PD</t>
  </si>
  <si>
    <t>Pexp/P_Py</t>
  </si>
  <si>
    <t>Eq. 8</t>
  </si>
  <si>
    <t>Pred. P</t>
  </si>
  <si>
    <t>mm</t>
  </si>
  <si>
    <t>MPa</t>
  </si>
  <si>
    <t>Jones</t>
  </si>
  <si>
    <t>Wang et al</t>
  </si>
  <si>
    <t>Zhang et al</t>
  </si>
  <si>
    <t>Kolodziej &amp; Marcinowski</t>
  </si>
  <si>
    <t>Btachut</t>
  </si>
  <si>
    <t>Cho et al</t>
  </si>
  <si>
    <t>J. Zhang et al</t>
  </si>
  <si>
    <t>Zhu</t>
  </si>
  <si>
    <t>S_a/S_y</t>
  </si>
  <si>
    <t>Eq (31)</t>
  </si>
  <si>
    <t>Proposed</t>
  </si>
  <si>
    <t>H/R_
Base</t>
  </si>
  <si>
    <t>Zhu 2019
Yield = 200 MPa</t>
  </si>
  <si>
    <t>Zhu 2019
Yield = 300 MPa</t>
  </si>
  <si>
    <t>Zhu 2019
Yield = 400 MPa</t>
  </si>
  <si>
    <t>Results summary - Shallow Spherical Cap</t>
  </si>
  <si>
    <t>P_exp</t>
  </si>
  <si>
    <t>P_coll</t>
  </si>
  <si>
    <t>Pcri</t>
  </si>
  <si>
    <t>P_SLI_BOT</t>
  </si>
  <si>
    <t>P_EM</t>
  </si>
  <si>
    <t>P_exp/P_coll</t>
  </si>
  <si>
    <t>IMPERFECTION ANALYSIS</t>
  </si>
  <si>
    <t>P_SLI_MID</t>
  </si>
  <si>
    <t>P_SLI_TOP</t>
  </si>
  <si>
    <t>EM_1</t>
  </si>
  <si>
    <t>EM_2</t>
  </si>
  <si>
    <t>EM_3</t>
  </si>
  <si>
    <t>D7</t>
  </si>
  <si>
    <t>ASME Code Case 2286</t>
  </si>
  <si>
    <t>Sa</t>
  </si>
  <si>
    <t>Pa</t>
  </si>
  <si>
    <t>Elastic</t>
  </si>
  <si>
    <t>Elastic-Plastic</t>
  </si>
  <si>
    <t>Plastic</t>
  </si>
  <si>
    <t>Refs.</t>
  </si>
  <si>
    <t>Pexp/Pa</t>
  </si>
  <si>
    <t>%Error</t>
  </si>
  <si>
    <t>Remark</t>
  </si>
  <si>
    <t>Elastic-plastic</t>
  </si>
  <si>
    <t>Sa [MPa]</t>
  </si>
  <si>
    <t>Pa [MPa]</t>
  </si>
  <si>
    <t>Pexp [MPa]</t>
  </si>
  <si>
    <t>ECCS material modelling</t>
  </si>
  <si>
    <t xml:space="preserve">1) </t>
  </si>
  <si>
    <t>0&lt;Ts&lt;600</t>
  </si>
  <si>
    <t>Ts [C]</t>
  </si>
  <si>
    <t>fy [MPa]</t>
  </si>
  <si>
    <t>2)</t>
  </si>
  <si>
    <t>3)</t>
  </si>
  <si>
    <t>600&lt;Ts&lt;1000</t>
  </si>
  <si>
    <t>4)</t>
  </si>
  <si>
    <t>600&lt;Ts&lt;800</t>
  </si>
  <si>
    <t>-</t>
  </si>
  <si>
    <t>T</t>
  </si>
  <si>
    <t>K</t>
  </si>
  <si>
    <t>ECCS</t>
  </si>
  <si>
    <t>T/Tref</t>
  </si>
  <si>
    <t>P/Pref</t>
  </si>
  <si>
    <t>EC3</t>
  </si>
  <si>
    <t>AS4100</t>
  </si>
  <si>
    <t>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</si>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</sst>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theme="1"/>
      <name val="Calibri"/>
      <family val="2"/>
      <scheme val="minor"/>
    </font>
    <font>
      <sz val="11"/>
      <name val="Calibri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Times New Roman"/>
      <family val="2"/>
    </font>
    <font>
      <i/>
      <sz val="12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</font>
    <font>
      <sz val="12"/>
      <color theme="1"/>
      <name val="Arial"/>
    </font>
    <font>
      <b/>
      <sz val="12"/>
      <color theme="1"/>
      <name val="Arial"/>
    </font>
    <font>
      <sz val="12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rgb="FFFFC00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" fontId="6" fillId="6" borderId="9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1" fontId="7" fillId="4" borderId="9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 wrapText="1"/>
    </xf>
    <xf numFmtId="164" fontId="2" fillId="7" borderId="9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0" fillId="6" borderId="0" xfId="0" applyFill="1"/>
    <xf numFmtId="0" fontId="4" fillId="8" borderId="8" xfId="0" applyFont="1" applyFill="1" applyBorder="1" applyAlignment="1">
      <alignment horizontal="center" vertical="center" wrapText="1"/>
    </xf>
    <xf numFmtId="11" fontId="0" fillId="6" borderId="0" xfId="0" applyNumberFormat="1" applyFill="1"/>
    <xf numFmtId="11" fontId="0" fillId="0" borderId="0" xfId="0" applyNumberFormat="1"/>
    <xf numFmtId="164" fontId="4" fillId="6" borderId="8" xfId="0" applyNumberFormat="1" applyFont="1" applyFill="1" applyBorder="1" applyAlignment="1">
      <alignment horizontal="center" vertical="center" wrapText="1"/>
    </xf>
    <xf numFmtId="1" fontId="4" fillId="8" borderId="8" xfId="0" applyNumberFormat="1" applyFont="1" applyFill="1" applyBorder="1" applyAlignment="1">
      <alignment horizontal="center" vertical="center" wrapText="1"/>
    </xf>
    <xf numFmtId="164" fontId="2" fillId="9" borderId="2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164" fontId="2" fillId="5" borderId="14" xfId="0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4" fontId="2" fillId="9" borderId="0" xfId="0" applyNumberFormat="1" applyFont="1" applyFill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164" fontId="2" fillId="5" borderId="10" xfId="0" applyNumberFormat="1" applyFont="1" applyFill="1" applyBorder="1" applyAlignment="1">
      <alignment horizontal="center" vertical="center"/>
    </xf>
    <xf numFmtId="164" fontId="2" fillId="4" borderId="15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164" fontId="15" fillId="2" borderId="2" xfId="0" applyNumberFormat="1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10" borderId="1" xfId="0" applyNumberFormat="1" applyFont="1" applyFill="1" applyBorder="1" applyAlignment="1">
      <alignment horizontal="center" vertical="center"/>
    </xf>
    <xf numFmtId="164" fontId="14" fillId="10" borderId="16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/>
    </xf>
    <xf numFmtId="164" fontId="14" fillId="11" borderId="1" xfId="0" applyNumberFormat="1" applyFont="1" applyFill="1" applyBorder="1" applyAlignment="1">
      <alignment horizontal="center" vertical="center"/>
    </xf>
    <xf numFmtId="164" fontId="14" fillId="11" borderId="16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2" borderId="0" xfId="0" applyFill="1"/>
    <xf numFmtId="0" fontId="0" fillId="13" borderId="0" xfId="0" applyFill="1"/>
    <xf numFmtId="1" fontId="3" fillId="4" borderId="9" xfId="0" applyNumberFormat="1" applyFont="1" applyFill="1" applyBorder="1" applyAlignment="1">
      <alignment horizontal="center" vertical="center" wrapText="1"/>
    </xf>
    <xf numFmtId="164" fontId="3" fillId="4" borderId="9" xfId="0" applyNumberFormat="1" applyFont="1" applyFill="1" applyBorder="1" applyAlignment="1">
      <alignment horizontal="center" vertical="center" wrapText="1"/>
    </xf>
    <xf numFmtId="164" fontId="2" fillId="12" borderId="9" xfId="0" applyNumberFormat="1" applyFont="1" applyFill="1" applyBorder="1" applyAlignment="1">
      <alignment horizontal="center" vertical="center"/>
    </xf>
    <xf numFmtId="0" fontId="14" fillId="0" borderId="0" xfId="0" applyFont="1"/>
    <xf numFmtId="1" fontId="15" fillId="2" borderId="2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5" fillId="14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center" vertical="center"/>
    </xf>
    <xf numFmtId="164" fontId="14" fillId="14" borderId="1" xfId="0" applyNumberFormat="1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1" fontId="2" fillId="0" borderId="9" xfId="0" applyNumberFormat="1" applyFont="1" applyBorder="1" applyAlignment="1">
      <alignment horizontal="center" vertical="center"/>
    </xf>
    <xf numFmtId="11" fontId="2" fillId="4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/>
    </xf>
    <xf numFmtId="0" fontId="1" fillId="0" borderId="20" xfId="0" applyFont="1" applyBorder="1"/>
    <xf numFmtId="0" fontId="15" fillId="2" borderId="1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/>
    <xf numFmtId="0" fontId="1" fillId="0" borderId="21" xfId="0" applyFont="1" applyBorder="1"/>
    <xf numFmtId="0" fontId="15" fillId="2" borderId="2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164" fontId="16" fillId="0" borderId="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25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9.xml"/><Relationship Id="rId18" Type="http://schemas.openxmlformats.org/officeDocument/2006/relationships/chartsheet" Target="chartsheets/sheet5.xml"/><Relationship Id="rId26" Type="http://schemas.openxmlformats.org/officeDocument/2006/relationships/chartsheet" Target="chartsheets/sheet8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6.xml"/><Relationship Id="rId34" Type="http://schemas.openxmlformats.org/officeDocument/2006/relationships/styles" Target="styles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18.xml"/><Relationship Id="rId33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5.xml"/><Relationship Id="rId29" Type="http://schemas.openxmlformats.org/officeDocument/2006/relationships/chartsheet" Target="chartsheets/sheet1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17.xml"/><Relationship Id="rId32" Type="http://schemas.openxmlformats.org/officeDocument/2006/relationships/externalLink" Target="externalLinks/externalLink2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6.xml"/><Relationship Id="rId28" Type="http://schemas.openxmlformats.org/officeDocument/2006/relationships/chartsheet" Target="chartsheets/sheet9.xml"/><Relationship Id="rId36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4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chartsheet" Target="chartsheets/sheet7.xml"/><Relationship Id="rId27" Type="http://schemas.openxmlformats.org/officeDocument/2006/relationships/worksheet" Target="worksheets/sheet19.xml"/><Relationship Id="rId30" Type="http://schemas.openxmlformats.org/officeDocument/2006/relationships/worksheet" Target="worksheets/sheet2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'Geometry &amp; Modelling details'!$L$15</c:f>
              <c:strCache>
                <c:ptCount val="1"/>
                <c:pt idx="0">
                  <c:v>Pexp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'Geometry &amp; Modelling details'!$K$16:$K$21</c:f>
              <c:numCache>
                <c:formatCode>General</c:formatCode>
                <c:ptCount val="6"/>
                <c:pt idx="0">
                  <c:v>5.5050922102945225E-4</c:v>
                </c:pt>
                <c:pt idx="1">
                  <c:v>6.3523696830042971E-4</c:v>
                </c:pt>
                <c:pt idx="2">
                  <c:v>1.1723195993626223E-3</c:v>
                </c:pt>
                <c:pt idx="3">
                  <c:v>1.5085283277620639E-3</c:v>
                </c:pt>
                <c:pt idx="4">
                  <c:v>2.3179244040563676E-3</c:v>
                </c:pt>
                <c:pt idx="5">
                  <c:v>3.1238906638267664E-3</c:v>
                </c:pt>
              </c:numCache>
            </c:numRef>
          </c:xVal>
          <c:yVal>
            <c:numRef>
              <c:f>'Geometry &amp; Modelling details'!$L$16:$L$21</c:f>
              <c:numCache>
                <c:formatCode>General</c:formatCode>
                <c:ptCount val="6"/>
                <c:pt idx="0">
                  <c:v>4.5999999999999999E-2</c:v>
                </c:pt>
                <c:pt idx="1">
                  <c:v>5.1999999999999998E-2</c:v>
                </c:pt>
                <c:pt idx="2">
                  <c:v>0.21099999999999999</c:v>
                </c:pt>
                <c:pt idx="3">
                  <c:v>0.33</c:v>
                </c:pt>
                <c:pt idx="4">
                  <c:v>0.65</c:v>
                </c:pt>
                <c:pt idx="5">
                  <c:v>1.1719999999999999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A-458F-BB3C-8CF26F2C400A}"/>
            </c:ext>
          </c:extLst>
        </c:ser>
        <c:ser>
          <c:idx val="1"/>
          <c:order val="1"/>
          <c:tx>
            <c:strRef>
              <c:f>'Geometry &amp; Modelling details'!$M$14</c:f>
              <c:strCache>
                <c:ptCount val="1"/>
                <c:pt idx="0">
                  <c:v>PColl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name>Curve Fit 1</c:name>
            <c:spPr>
              <a:ln w="9525" cap="flat" cmpd="sng" algn="ctr">
                <a:solidFill>
                  <a:schemeClr val="dk1"/>
                </a:solidFill>
                <a:prstDash val="lgDash"/>
                <a:miter lim="800000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6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438.32x - 0.2603</a:t>
                    </a:r>
                    <a:br>
                      <a:rPr lang="en-US" sz="16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6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0.9722</a:t>
                    </a:r>
                    <a:endParaRPr lang="en-US" sz="16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'Geometry &amp; Modelling details'!$K$16:$K$21</c:f>
              <c:numCache>
                <c:formatCode>General</c:formatCode>
                <c:ptCount val="6"/>
                <c:pt idx="0">
                  <c:v>5.5050922102945225E-4</c:v>
                </c:pt>
                <c:pt idx="1">
                  <c:v>6.3523696830042971E-4</c:v>
                </c:pt>
                <c:pt idx="2">
                  <c:v>1.1723195993626223E-3</c:v>
                </c:pt>
                <c:pt idx="3">
                  <c:v>1.5085283277620639E-3</c:v>
                </c:pt>
                <c:pt idx="4">
                  <c:v>2.3179244040563676E-3</c:v>
                </c:pt>
                <c:pt idx="5">
                  <c:v>3.1238906638267664E-3</c:v>
                </c:pt>
              </c:numCache>
            </c:numRef>
          </c:xVal>
          <c:yVal>
            <c:numRef>
              <c:f>'Geometry &amp; Modelling details'!$M$16:$M$21</c:f>
              <c:numCache>
                <c:formatCode>General</c:formatCode>
                <c:ptCount val="6"/>
                <c:pt idx="0">
                  <c:v>4.3999999999999997E-2</c:v>
                </c:pt>
                <c:pt idx="1">
                  <c:v>5.7000000000000002E-2</c:v>
                </c:pt>
                <c:pt idx="2">
                  <c:v>0.20899999999999999</c:v>
                </c:pt>
                <c:pt idx="3">
                  <c:v>0.33800000000000002</c:v>
                </c:pt>
                <c:pt idx="4">
                  <c:v>0.66800000000000004</c:v>
                </c:pt>
                <c:pt idx="5">
                  <c:v>1.202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A-458F-BB3C-8CF26F2C400A}"/>
            </c:ext>
          </c:extLst>
        </c:ser>
        <c:ser>
          <c:idx val="2"/>
          <c:order val="2"/>
          <c:tx>
            <c:strRef>
              <c:f>'Geometry &amp; Modelling details'!$N$14</c:f>
              <c:strCache>
                <c:ptCount val="1"/>
                <c:pt idx="0">
                  <c:v>PPD 5500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'Geometry &amp; Modelling details'!$K$16:$K$21</c:f>
              <c:numCache>
                <c:formatCode>General</c:formatCode>
                <c:ptCount val="6"/>
                <c:pt idx="0">
                  <c:v>5.5050922102945225E-4</c:v>
                </c:pt>
                <c:pt idx="1">
                  <c:v>6.3523696830042971E-4</c:v>
                </c:pt>
                <c:pt idx="2">
                  <c:v>1.1723195993626223E-3</c:v>
                </c:pt>
                <c:pt idx="3">
                  <c:v>1.5085283277620639E-3</c:v>
                </c:pt>
                <c:pt idx="4">
                  <c:v>2.3179244040563676E-3</c:v>
                </c:pt>
                <c:pt idx="5">
                  <c:v>3.1238906638267664E-3</c:v>
                </c:pt>
              </c:numCache>
            </c:numRef>
          </c:xVal>
          <c:yVal>
            <c:numRef>
              <c:f>'Geometry &amp; Modelling details'!$N$16:$N$21</c:f>
              <c:numCache>
                <c:formatCode>General</c:formatCode>
                <c:ptCount val="6"/>
                <c:pt idx="0">
                  <c:v>2.3E-2</c:v>
                </c:pt>
                <c:pt idx="1">
                  <c:v>0.03</c:v>
                </c:pt>
                <c:pt idx="2">
                  <c:v>0.10199999999999999</c:v>
                </c:pt>
                <c:pt idx="3">
                  <c:v>0.16700000000000001</c:v>
                </c:pt>
                <c:pt idx="4">
                  <c:v>0.38600000000000001</c:v>
                </c:pt>
                <c:pt idx="5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4A-458F-BB3C-8CF26F2C400A}"/>
            </c:ext>
          </c:extLst>
        </c:ser>
        <c:ser>
          <c:idx val="3"/>
          <c:order val="3"/>
          <c:tx>
            <c:strRef>
              <c:f>'Geometry &amp; Modelling details'!$O$14</c:f>
              <c:strCache>
                <c:ptCount val="1"/>
                <c:pt idx="0">
                  <c:v>PDnV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'Geometry &amp; Modelling details'!$K$16:$K$21</c:f>
              <c:numCache>
                <c:formatCode>General</c:formatCode>
                <c:ptCount val="6"/>
                <c:pt idx="0">
                  <c:v>5.5050922102945225E-4</c:v>
                </c:pt>
                <c:pt idx="1">
                  <c:v>6.3523696830042971E-4</c:v>
                </c:pt>
                <c:pt idx="2">
                  <c:v>1.1723195993626223E-3</c:v>
                </c:pt>
                <c:pt idx="3">
                  <c:v>1.5085283277620639E-3</c:v>
                </c:pt>
                <c:pt idx="4">
                  <c:v>2.3179244040563676E-3</c:v>
                </c:pt>
                <c:pt idx="5">
                  <c:v>3.1238906638267664E-3</c:v>
                </c:pt>
              </c:numCache>
            </c:numRef>
          </c:xVal>
          <c:yVal>
            <c:numRef>
              <c:f>'Geometry &amp; Modelling details'!$O$16:$O$21</c:f>
              <c:numCache>
                <c:formatCode>General</c:formatCode>
                <c:ptCount val="6"/>
                <c:pt idx="0">
                  <c:v>8.6810279105199711E-3</c:v>
                </c:pt>
                <c:pt idx="1">
                  <c:v>1.2364751331059168E-2</c:v>
                </c:pt>
                <c:pt idx="2">
                  <c:v>5.5674082891160735E-2</c:v>
                </c:pt>
                <c:pt idx="3">
                  <c:v>0.102699397217761</c:v>
                </c:pt>
                <c:pt idx="4">
                  <c:v>0.28624837638776451</c:v>
                </c:pt>
                <c:pt idx="5">
                  <c:v>0.56965496782458214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4A-458F-BB3C-8CF26F2C400A}"/>
            </c:ext>
          </c:extLst>
        </c:ser>
        <c:ser>
          <c:idx val="4"/>
          <c:order val="4"/>
          <c:tx>
            <c:strRef>
              <c:f>'Geometry &amp; Modelling details'!$P$14</c:f>
              <c:strCache>
                <c:ptCount val="1"/>
                <c:pt idx="0">
                  <c:v>PABS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name>Curve Fit 2</c:name>
            <c:spPr>
              <a:ln w="9525" cap="flat" cmpd="sng" algn="ctr">
                <a:solidFill>
                  <a:schemeClr val="dk1"/>
                </a:solidFill>
                <a:prstDash val="lgDash"/>
                <a:miter lim="800000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'Geometry &amp; Modelling details'!$K$16:$K$21</c:f>
              <c:numCache>
                <c:formatCode>General</c:formatCode>
                <c:ptCount val="6"/>
                <c:pt idx="0">
                  <c:v>5.5050922102945225E-4</c:v>
                </c:pt>
                <c:pt idx="1">
                  <c:v>6.3523696830042971E-4</c:v>
                </c:pt>
                <c:pt idx="2">
                  <c:v>1.1723195993626223E-3</c:v>
                </c:pt>
                <c:pt idx="3">
                  <c:v>1.5085283277620639E-3</c:v>
                </c:pt>
                <c:pt idx="4">
                  <c:v>2.3179244040563676E-3</c:v>
                </c:pt>
                <c:pt idx="5">
                  <c:v>3.1238906638267664E-3</c:v>
                </c:pt>
              </c:numCache>
            </c:numRef>
          </c:xVal>
          <c:yVal>
            <c:numRef>
              <c:f>'Geometry &amp; Modelling details'!$P$16:$P$21</c:f>
              <c:numCache>
                <c:formatCode>General</c:formatCode>
                <c:ptCount val="6"/>
                <c:pt idx="0">
                  <c:v>1.6026998221443583E-2</c:v>
                </c:pt>
                <c:pt idx="1">
                  <c:v>2.1340005248977174E-2</c:v>
                </c:pt>
                <c:pt idx="2">
                  <c:v>7.2680021094151698E-2</c:v>
                </c:pt>
                <c:pt idx="3">
                  <c:v>0.12034552144737448</c:v>
                </c:pt>
                <c:pt idx="4">
                  <c:v>0.28413290328843349</c:v>
                </c:pt>
                <c:pt idx="5">
                  <c:v>0.50287109473892866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4A-458F-BB3C-8CF26F2C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12160"/>
        <c:axId val="321076160"/>
      </c:scatterChart>
      <c:valAx>
        <c:axId val="321112160"/>
        <c:scaling>
          <c:orientation val="minMax"/>
          <c:min val="2.0000000000000006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t/R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076160"/>
        <c:crosses val="autoZero"/>
        <c:crossBetween val="midCat"/>
      </c:valAx>
      <c:valAx>
        <c:axId val="321076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Pressure</a:t>
                </a:r>
                <a:r>
                  <a:rPr lang="en-MY" sz="2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[MPa]</a:t>
                </a:r>
                <a:endParaRPr lang="en-MY" sz="2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11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[2]ECCS!$E$6:$E$22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</c:numCache>
            </c:numRef>
          </c:xVal>
          <c:yVal>
            <c:numRef>
              <c:f>[2]ECCS!$G$6:$G$22</c:f>
              <c:numCache>
                <c:formatCode>General</c:formatCode>
                <c:ptCount val="17"/>
                <c:pt idx="0">
                  <c:v>195000</c:v>
                </c:pt>
                <c:pt idx="1">
                  <c:v>195136.01250000001</c:v>
                </c:pt>
                <c:pt idx="2">
                  <c:v>193340.55000000002</c:v>
                </c:pt>
                <c:pt idx="3">
                  <c:v>190584.71249999999</c:v>
                </c:pt>
                <c:pt idx="4">
                  <c:v>187336.5</c:v>
                </c:pt>
                <c:pt idx="5">
                  <c:v>183560.8125</c:v>
                </c:pt>
                <c:pt idx="6">
                  <c:v>178719.45</c:v>
                </c:pt>
                <c:pt idx="7">
                  <c:v>171771.11249999999</c:v>
                </c:pt>
                <c:pt idx="8">
                  <c:v>161171.39999999994</c:v>
                </c:pt>
                <c:pt idx="9">
                  <c:v>144872.8125</c:v>
                </c:pt>
                <c:pt idx="10">
                  <c:v>120324.74999999997</c:v>
                </c:pt>
                <c:pt idx="11">
                  <c:v>84473.512500000026</c:v>
                </c:pt>
                <c:pt idx="12">
                  <c:v>33762.300000000017</c:v>
                </c:pt>
                <c:pt idx="13">
                  <c:v>25330.500000000004</c:v>
                </c:pt>
                <c:pt idx="14">
                  <c:v>16887</c:v>
                </c:pt>
                <c:pt idx="15">
                  <c:v>8443.5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4-49A8-B829-4C7C796D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7232"/>
        <c:axId val="119665408"/>
      </c:scatterChart>
      <c:valAx>
        <c:axId val="1196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5408"/>
        <c:crosses val="autoZero"/>
        <c:crossBetween val="midCat"/>
      </c:valAx>
      <c:valAx>
        <c:axId val="11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'EC3'!$C$3:$C$15</c:f>
              <c:numCache>
                <c:formatCode>General</c:formatCode>
                <c:ptCount val="13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xVal>
          <c:yVal>
            <c:numRef>
              <c:f>'EC3'!$E$3:$E$15</c:f>
              <c:numCache>
                <c:formatCode>General</c:formatCode>
                <c:ptCount val="13"/>
                <c:pt idx="0">
                  <c:v>303.5</c:v>
                </c:pt>
                <c:pt idx="1">
                  <c:v>303.5</c:v>
                </c:pt>
                <c:pt idx="2">
                  <c:v>270.11500000000001</c:v>
                </c:pt>
                <c:pt idx="3">
                  <c:v>236.73000000000002</c:v>
                </c:pt>
                <c:pt idx="4">
                  <c:v>197.27500000000001</c:v>
                </c:pt>
                <c:pt idx="5">
                  <c:v>160.85500000000002</c:v>
                </c:pt>
                <c:pt idx="6">
                  <c:v>91.05</c:v>
                </c:pt>
                <c:pt idx="7">
                  <c:v>39.454999999999998</c:v>
                </c:pt>
                <c:pt idx="8">
                  <c:v>21.245000000000001</c:v>
                </c:pt>
                <c:pt idx="9">
                  <c:v>15.175000000000001</c:v>
                </c:pt>
                <c:pt idx="10">
                  <c:v>9.1050000000000004</c:v>
                </c:pt>
                <c:pt idx="11">
                  <c:v>6.07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9-419B-AE9B-3151D2CE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61184"/>
        <c:axId val="396867904"/>
      </c:scatterChart>
      <c:valAx>
        <c:axId val="3968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67904"/>
        <c:crosses val="autoZero"/>
        <c:crossBetween val="midCat"/>
      </c:valAx>
      <c:valAx>
        <c:axId val="3968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6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'EC3'!$C$3:$C$15</c:f>
              <c:numCache>
                <c:formatCode>General</c:formatCode>
                <c:ptCount val="13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xVal>
          <c:yVal>
            <c:numRef>
              <c:f>'EC3'!$F$3:$F$15</c:f>
              <c:numCache>
                <c:formatCode>General</c:formatCode>
                <c:ptCount val="13"/>
                <c:pt idx="0">
                  <c:v>207000</c:v>
                </c:pt>
                <c:pt idx="1">
                  <c:v>207000</c:v>
                </c:pt>
                <c:pt idx="2">
                  <c:v>184230</c:v>
                </c:pt>
                <c:pt idx="3">
                  <c:v>161460</c:v>
                </c:pt>
                <c:pt idx="4">
                  <c:v>134550</c:v>
                </c:pt>
                <c:pt idx="5">
                  <c:v>109710</c:v>
                </c:pt>
                <c:pt idx="6">
                  <c:v>62100</c:v>
                </c:pt>
                <c:pt idx="7">
                  <c:v>26910</c:v>
                </c:pt>
                <c:pt idx="8">
                  <c:v>14490.000000000002</c:v>
                </c:pt>
                <c:pt idx="9">
                  <c:v>10350</c:v>
                </c:pt>
                <c:pt idx="10">
                  <c:v>6210</c:v>
                </c:pt>
                <c:pt idx="11">
                  <c:v>4140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9-4CC4-B693-6C0413FD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75584"/>
        <c:axId val="396876064"/>
      </c:scatterChart>
      <c:valAx>
        <c:axId val="3968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76064"/>
        <c:crosses val="autoZero"/>
        <c:crossBetween val="midCat"/>
      </c:valAx>
      <c:valAx>
        <c:axId val="3968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'Combined T + EP'!$B$2</c:f>
              <c:strCache>
                <c:ptCount val="1"/>
                <c:pt idx="0">
                  <c:v>ECCS</c:v>
                </c:pt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'Combined T + EP'!$D$5:$D$10</c:f>
              <c:numCache>
                <c:formatCode>General</c:formatCode>
                <c:ptCount val="6"/>
                <c:pt idx="0">
                  <c:v>0</c:v>
                </c:pt>
                <c:pt idx="1">
                  <c:v>0.13333333333333333</c:v>
                </c:pt>
                <c:pt idx="2">
                  <c:v>0.4</c:v>
                </c:pt>
                <c:pt idx="3">
                  <c:v>0.66666666666666663</c:v>
                </c:pt>
                <c:pt idx="4">
                  <c:v>0.93333333333333335</c:v>
                </c:pt>
                <c:pt idx="5">
                  <c:v>1</c:v>
                </c:pt>
              </c:numCache>
            </c:numRef>
          </c:xVal>
          <c:yVal>
            <c:numRef>
              <c:f>'Combined T + EP'!$E$5:$E$10</c:f>
              <c:numCache>
                <c:formatCode>General</c:formatCode>
                <c:ptCount val="6"/>
                <c:pt idx="0">
                  <c:v>1</c:v>
                </c:pt>
                <c:pt idx="1">
                  <c:v>1.4360399334442597</c:v>
                </c:pt>
                <c:pt idx="2">
                  <c:v>1.1168302828618968</c:v>
                </c:pt>
                <c:pt idx="3">
                  <c:v>0.66239850249584031</c:v>
                </c:pt>
                <c:pt idx="4">
                  <c:v>0.13800499168053246</c:v>
                </c:pt>
                <c:pt idx="5">
                  <c:v>8.6468386023294513E-2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5-4927-8DC5-73F919047FA3}"/>
            </c:ext>
          </c:extLst>
        </c:ser>
        <c:ser>
          <c:idx val="1"/>
          <c:order val="1"/>
          <c:tx>
            <c:strRef>
              <c:f>'Combined T + EP'!$G$2</c:f>
              <c:strCache>
                <c:ptCount val="1"/>
                <c:pt idx="0">
                  <c:v>EC3</c:v>
                </c:pt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lgDash"/>
              <a:miter lim="800000"/>
            </a:ln>
            <a:effectLst/>
          </c:spPr>
          <c:marker>
            <c:symbol val="none"/>
          </c:marker>
          <c:xVal>
            <c:numRef>
              <c:f>'Combined T + EP'!$I$5:$I$12</c:f>
              <c:numCache>
                <c:formatCode>General</c:formatCode>
                <c:ptCount val="8"/>
                <c:pt idx="0">
                  <c:v>0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0.45454545454545453</c:v>
                </c:pt>
                <c:pt idx="4">
                  <c:v>0.63636363636363635</c:v>
                </c:pt>
                <c:pt idx="5">
                  <c:v>0.68181818181818177</c:v>
                </c:pt>
                <c:pt idx="6">
                  <c:v>0.86363636363636365</c:v>
                </c:pt>
                <c:pt idx="7">
                  <c:v>1</c:v>
                </c:pt>
              </c:numCache>
            </c:numRef>
          </c:xVal>
          <c:yVal>
            <c:numRef>
              <c:f>'Combined T + EP'!$J$5:$J$12</c:f>
              <c:numCache>
                <c:formatCode>General</c:formatCode>
                <c:ptCount val="8"/>
                <c:pt idx="0">
                  <c:v>1</c:v>
                </c:pt>
                <c:pt idx="1">
                  <c:v>1.5074209650582362</c:v>
                </c:pt>
                <c:pt idx="2">
                  <c:v>1.052396006655574</c:v>
                </c:pt>
                <c:pt idx="3">
                  <c:v>0.69433111480865228</c:v>
                </c:pt>
                <c:pt idx="4">
                  <c:v>0.16285274542429284</c:v>
                </c:pt>
                <c:pt idx="5">
                  <c:v>0.12102995008319467</c:v>
                </c:pt>
                <c:pt idx="6">
                  <c:v>4.7832861896838608E-2</c:v>
                </c:pt>
                <c:pt idx="7">
                  <c:v>2.3515141430948419E-2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5-4582-91C7-15754556CC4C}"/>
            </c:ext>
          </c:extLst>
        </c:ser>
        <c:ser>
          <c:idx val="2"/>
          <c:order val="2"/>
          <c:tx>
            <c:strRef>
              <c:f>'Combined T + EP'!$L$2</c:f>
              <c:strCache>
                <c:ptCount val="1"/>
                <c:pt idx="0">
                  <c:v>AS4100</c:v>
                </c:pt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  <c:marker>
            <c:symbol val="none"/>
          </c:marker>
          <c:xVal>
            <c:numRef>
              <c:f>'Combined T + EP'!$N$5:$N$12</c:f>
              <c:numCache>
                <c:formatCode>General</c:formatCode>
                <c:ptCount val="8"/>
                <c:pt idx="0">
                  <c:v>0</c:v>
                </c:pt>
                <c:pt idx="1">
                  <c:v>0.1111111111111111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0.77777777777777779</c:v>
                </c:pt>
                <c:pt idx="5">
                  <c:v>0.83333333333333337</c:v>
                </c:pt>
                <c:pt idx="6">
                  <c:v>0.88888888888888884</c:v>
                </c:pt>
                <c:pt idx="7">
                  <c:v>1</c:v>
                </c:pt>
              </c:numCache>
            </c:numRef>
          </c:xVal>
          <c:yVal>
            <c:numRef>
              <c:f>'Combined T + EP'!$O$5:$O$12</c:f>
              <c:numCache>
                <c:formatCode>General</c:formatCode>
                <c:ptCount val="8"/>
                <c:pt idx="0">
                  <c:v>1</c:v>
                </c:pt>
                <c:pt idx="1">
                  <c:v>1.4971381031613977</c:v>
                </c:pt>
                <c:pt idx="2">
                  <c:v>1.2251497504159734</c:v>
                </c:pt>
                <c:pt idx="3">
                  <c:v>0.75810149750415978</c:v>
                </c:pt>
                <c:pt idx="4">
                  <c:v>0.37820133111480869</c:v>
                </c:pt>
                <c:pt idx="5">
                  <c:v>0.28624209650582366</c:v>
                </c:pt>
                <c:pt idx="6">
                  <c:v>0.19418718801996673</c:v>
                </c:pt>
                <c:pt idx="7">
                  <c:v>1.3238602329450917E-2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5-4582-91C7-15754556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24847"/>
        <c:axId val="1445714767"/>
      </c:scatterChart>
      <c:valAx>
        <c:axId val="1445724847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T/T</a:t>
                </a:r>
                <a:r>
                  <a:rPr lang="en-MY" sz="1400">
                    <a:latin typeface="Arial" panose="020B0604020202020204" pitchFamily="34" charset="0"/>
                    <a:cs typeface="Arial" panose="020B0604020202020204" pitchFamily="34" charset="0"/>
                  </a:rPr>
                  <a:t>ref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714767"/>
        <c:crosses val="autoZero"/>
        <c:crossBetween val="midCat"/>
      </c:valAx>
      <c:valAx>
        <c:axId val="1445714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P/P</a:t>
                </a:r>
                <a:r>
                  <a:rPr lang="en-MY" sz="1400">
                    <a:latin typeface="Arial" panose="020B0604020202020204" pitchFamily="34" charset="0"/>
                    <a:cs typeface="Arial" panose="020B0604020202020204" pitchFamily="34" charset="0"/>
                  </a:rPr>
                  <a:t>ref</a:t>
                </a:r>
                <a:endParaRPr lang="en-MY" sz="2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7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ECCS</c:v>
                </c:pt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Sheet4!$E$4:$E$34</c:f>
              <c:numCache>
                <c:formatCode>General</c:formatCode>
                <c:ptCount val="31"/>
                <c:pt idx="0">
                  <c:v>3.05267</c:v>
                </c:pt>
                <c:pt idx="1">
                  <c:v>3.0288900000000001</c:v>
                </c:pt>
                <c:pt idx="2">
                  <c:v>3.00501</c:v>
                </c:pt>
                <c:pt idx="3">
                  <c:v>2.9690099999999999</c:v>
                </c:pt>
                <c:pt idx="4">
                  <c:v>2.9145300000000001</c:v>
                </c:pt>
                <c:pt idx="5">
                  <c:v>2.8314499999999998</c:v>
                </c:pt>
                <c:pt idx="6">
                  <c:v>2.7038000000000002</c:v>
                </c:pt>
                <c:pt idx="7">
                  <c:v>2.5055299999999998</c:v>
                </c:pt>
                <c:pt idx="8">
                  <c:v>2.18988</c:v>
                </c:pt>
                <c:pt idx="9">
                  <c:v>1.9801800000000001</c:v>
                </c:pt>
                <c:pt idx="10">
                  <c:v>1.6535599999999999</c:v>
                </c:pt>
                <c:pt idx="11">
                  <c:v>1.16343</c:v>
                </c:pt>
                <c:pt idx="12">
                  <c:v>0.45066299999999998</c:v>
                </c:pt>
                <c:pt idx="13">
                  <c:v>7.1501599999999998E-2</c:v>
                </c:pt>
                <c:pt idx="14">
                  <c:v>-0.47087499999999999</c:v>
                </c:pt>
                <c:pt idx="15">
                  <c:v>-1.2663500000000001</c:v>
                </c:pt>
                <c:pt idx="16">
                  <c:v>-2.3830300000000002</c:v>
                </c:pt>
                <c:pt idx="17">
                  <c:v>-2.6474099999999998</c:v>
                </c:pt>
                <c:pt idx="18">
                  <c:v>-2.9051499999999999</c:v>
                </c:pt>
                <c:pt idx="19">
                  <c:v>-3.2815400000000001</c:v>
                </c:pt>
                <c:pt idx="20">
                  <c:v>-3.8224900000000002</c:v>
                </c:pt>
                <c:pt idx="21">
                  <c:v>-4.5957100000000004</c:v>
                </c:pt>
                <c:pt idx="22">
                  <c:v>-5.7044600000000001</c:v>
                </c:pt>
                <c:pt idx="23">
                  <c:v>-7.2924800000000003</c:v>
                </c:pt>
                <c:pt idx="24">
                  <c:v>-8.8091200000000001</c:v>
                </c:pt>
                <c:pt idx="25">
                  <c:v>-10.2666</c:v>
                </c:pt>
                <c:pt idx="26">
                  <c:v>-11.676</c:v>
                </c:pt>
                <c:pt idx="27">
                  <c:v>-13.027100000000001</c:v>
                </c:pt>
                <c:pt idx="28">
                  <c:v>-13.356</c:v>
                </c:pt>
                <c:pt idx="29">
                  <c:v>-13.6861</c:v>
                </c:pt>
                <c:pt idx="30">
                  <c:v>-14.1745</c:v>
                </c:pt>
              </c:numCache>
            </c:numRef>
          </c:xVal>
          <c:yVal>
            <c:numRef>
              <c:f>Sheet4!$F$4:$F$34</c:f>
              <c:numCache>
                <c:formatCode>General</c:formatCode>
                <c:ptCount val="31"/>
                <c:pt idx="0">
                  <c:v>0</c:v>
                </c:pt>
                <c:pt idx="1">
                  <c:v>4.4388700000000003E-2</c:v>
                </c:pt>
                <c:pt idx="2">
                  <c:v>8.7674699999999994E-2</c:v>
                </c:pt>
                <c:pt idx="3">
                  <c:v>0.15032100000000001</c:v>
                </c:pt>
                <c:pt idx="4">
                  <c:v>0.23897699999999999</c:v>
                </c:pt>
                <c:pt idx="5">
                  <c:v>0.35861799999999999</c:v>
                </c:pt>
                <c:pt idx="6">
                  <c:v>0.509992</c:v>
                </c:pt>
                <c:pt idx="7">
                  <c:v>0.67577200000000004</c:v>
                </c:pt>
                <c:pt idx="8">
                  <c:v>0.795705</c:v>
                </c:pt>
                <c:pt idx="9">
                  <c:v>0.79620299999999999</c:v>
                </c:pt>
                <c:pt idx="10">
                  <c:v>0.74839299999999997</c:v>
                </c:pt>
                <c:pt idx="11">
                  <c:v>0.659049</c:v>
                </c:pt>
                <c:pt idx="12">
                  <c:v>0.551875</c:v>
                </c:pt>
                <c:pt idx="13">
                  <c:v>0.51065799999999995</c:v>
                </c:pt>
                <c:pt idx="14">
                  <c:v>0.46987800000000002</c:v>
                </c:pt>
                <c:pt idx="15">
                  <c:v>0.431757</c:v>
                </c:pt>
                <c:pt idx="16">
                  <c:v>0.41199000000000002</c:v>
                </c:pt>
                <c:pt idx="17">
                  <c:v>0.411578</c:v>
                </c:pt>
                <c:pt idx="18">
                  <c:v>0.41268700000000003</c:v>
                </c:pt>
                <c:pt idx="19">
                  <c:v>0.41405900000000001</c:v>
                </c:pt>
                <c:pt idx="20">
                  <c:v>0.414522</c:v>
                </c:pt>
                <c:pt idx="21">
                  <c:v>0.41582400000000003</c:v>
                </c:pt>
                <c:pt idx="22">
                  <c:v>0.41115299999999999</c:v>
                </c:pt>
                <c:pt idx="23">
                  <c:v>0.39851900000000001</c:v>
                </c:pt>
                <c:pt idx="24">
                  <c:v>0.38729599999999997</c:v>
                </c:pt>
                <c:pt idx="25">
                  <c:v>0.37290600000000002</c:v>
                </c:pt>
                <c:pt idx="26">
                  <c:v>0.34929300000000002</c:v>
                </c:pt>
                <c:pt idx="27">
                  <c:v>0.33083299999999999</c:v>
                </c:pt>
                <c:pt idx="28">
                  <c:v>0.33366200000000001</c:v>
                </c:pt>
                <c:pt idx="29">
                  <c:v>0.33613900000000002</c:v>
                </c:pt>
                <c:pt idx="30">
                  <c:v>0.34230500000000003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0-440A-B7C6-698BD62ED3C9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EC3</c:v>
                </c:pt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lgDash"/>
              <a:miter lim="800000"/>
            </a:ln>
            <a:effectLst/>
          </c:spPr>
          <c:marker>
            <c:symbol val="none"/>
          </c:marker>
          <c:xVal>
            <c:numRef>
              <c:f>Sheet4!$H$4:$H$34</c:f>
              <c:numCache>
                <c:formatCode>General</c:formatCode>
                <c:ptCount val="31"/>
                <c:pt idx="0">
                  <c:v>3.0745900000000002</c:v>
                </c:pt>
                <c:pt idx="1">
                  <c:v>3.0474399999999999</c:v>
                </c:pt>
                <c:pt idx="2">
                  <c:v>3.0201799999999999</c:v>
                </c:pt>
                <c:pt idx="3">
                  <c:v>2.97906</c:v>
                </c:pt>
                <c:pt idx="4">
                  <c:v>2.9168599999999998</c:v>
                </c:pt>
                <c:pt idx="5">
                  <c:v>2.8220800000000001</c:v>
                </c:pt>
                <c:pt idx="6">
                  <c:v>2.6762100000000002</c:v>
                </c:pt>
                <c:pt idx="7">
                  <c:v>2.44767</c:v>
                </c:pt>
                <c:pt idx="8">
                  <c:v>2.07985</c:v>
                </c:pt>
                <c:pt idx="9">
                  <c:v>1.83388</c:v>
                </c:pt>
                <c:pt idx="10">
                  <c:v>1.4576499999999999</c:v>
                </c:pt>
                <c:pt idx="11">
                  <c:v>0.89940500000000001</c:v>
                </c:pt>
                <c:pt idx="12">
                  <c:v>0.36372399999999999</c:v>
                </c:pt>
                <c:pt idx="13">
                  <c:v>-0.142681</c:v>
                </c:pt>
                <c:pt idx="14">
                  <c:v>-0.41416700000000001</c:v>
                </c:pt>
                <c:pt idx="15">
                  <c:v>-0.81573799999999996</c:v>
                </c:pt>
                <c:pt idx="16">
                  <c:v>-1.4127400000000001</c:v>
                </c:pt>
                <c:pt idx="17">
                  <c:v>-2.26573</c:v>
                </c:pt>
                <c:pt idx="18">
                  <c:v>-2.3094600000000001</c:v>
                </c:pt>
                <c:pt idx="19">
                  <c:v>-2.3745699999999998</c:v>
                </c:pt>
                <c:pt idx="20">
                  <c:v>-2.4713500000000002</c:v>
                </c:pt>
                <c:pt idx="21">
                  <c:v>-2.6151800000000001</c:v>
                </c:pt>
                <c:pt idx="22">
                  <c:v>-2.8275199999999998</c:v>
                </c:pt>
                <c:pt idx="23">
                  <c:v>-3.1389900000000002</c:v>
                </c:pt>
                <c:pt idx="24">
                  <c:v>-3.59138</c:v>
                </c:pt>
                <c:pt idx="25">
                  <c:v>-4.2391500000000004</c:v>
                </c:pt>
                <c:pt idx="26">
                  <c:v>-5.1611200000000004</c:v>
                </c:pt>
                <c:pt idx="27">
                  <c:v>-6.0442499999999999</c:v>
                </c:pt>
                <c:pt idx="28">
                  <c:v>-6.9041899999999998</c:v>
                </c:pt>
                <c:pt idx="29">
                  <c:v>-8.1531099999999999</c:v>
                </c:pt>
                <c:pt idx="30">
                  <c:v>-9.3612699999999993</c:v>
                </c:pt>
              </c:numCache>
            </c:numRef>
          </c:xVal>
          <c:yVal>
            <c:numRef>
              <c:f>Sheet4!$I$4:$I$34</c:f>
              <c:numCache>
                <c:formatCode>General</c:formatCode>
                <c:ptCount val="31"/>
                <c:pt idx="0">
                  <c:v>0</c:v>
                </c:pt>
                <c:pt idx="1">
                  <c:v>4.6005200000000003E-2</c:v>
                </c:pt>
                <c:pt idx="2">
                  <c:v>9.1009099999999996E-2</c:v>
                </c:pt>
                <c:pt idx="3">
                  <c:v>0.156445</c:v>
                </c:pt>
                <c:pt idx="4">
                  <c:v>0.249725</c:v>
                </c:pt>
                <c:pt idx="5">
                  <c:v>0.37680599999999997</c:v>
                </c:pt>
                <c:pt idx="6">
                  <c:v>0.53801399999999999</c:v>
                </c:pt>
                <c:pt idx="7">
                  <c:v>0.713592</c:v>
                </c:pt>
                <c:pt idx="8">
                  <c:v>0.83458600000000005</c:v>
                </c:pt>
                <c:pt idx="9">
                  <c:v>0.82902299999999995</c:v>
                </c:pt>
                <c:pt idx="10">
                  <c:v>0.77101200000000003</c:v>
                </c:pt>
                <c:pt idx="11">
                  <c:v>0.673705</c:v>
                </c:pt>
                <c:pt idx="12">
                  <c:v>0.59458</c:v>
                </c:pt>
                <c:pt idx="13">
                  <c:v>0.53920100000000004</c:v>
                </c:pt>
                <c:pt idx="14">
                  <c:v>0.51690599999999998</c:v>
                </c:pt>
                <c:pt idx="15">
                  <c:v>0.49022199999999999</c:v>
                </c:pt>
                <c:pt idx="16">
                  <c:v>0.46266400000000002</c:v>
                </c:pt>
                <c:pt idx="17">
                  <c:v>0.44455600000000001</c:v>
                </c:pt>
                <c:pt idx="18">
                  <c:v>0.44382700000000003</c:v>
                </c:pt>
                <c:pt idx="19">
                  <c:v>0.44285200000000002</c:v>
                </c:pt>
                <c:pt idx="20">
                  <c:v>0.441635</c:v>
                </c:pt>
                <c:pt idx="21">
                  <c:v>0.44004799999999999</c:v>
                </c:pt>
                <c:pt idx="22">
                  <c:v>0.43892500000000001</c:v>
                </c:pt>
                <c:pt idx="23">
                  <c:v>0.43817699999999998</c:v>
                </c:pt>
                <c:pt idx="24">
                  <c:v>0.43824999999999997</c:v>
                </c:pt>
                <c:pt idx="25">
                  <c:v>0.43697200000000003</c:v>
                </c:pt>
                <c:pt idx="26">
                  <c:v>0.43695000000000001</c:v>
                </c:pt>
                <c:pt idx="27">
                  <c:v>0.43470399999999998</c:v>
                </c:pt>
                <c:pt idx="28">
                  <c:v>0.42863800000000002</c:v>
                </c:pt>
                <c:pt idx="29">
                  <c:v>0.41954200000000003</c:v>
                </c:pt>
                <c:pt idx="30">
                  <c:v>0.41010000000000002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A0-440A-B7C6-698BD62ED3C9}"/>
            </c:ext>
          </c:extLst>
        </c:ser>
        <c:ser>
          <c:idx val="2"/>
          <c:order val="2"/>
          <c:tx>
            <c:strRef>
              <c:f>Sheet4!$K$1</c:f>
              <c:strCache>
                <c:ptCount val="1"/>
                <c:pt idx="0">
                  <c:v>AS4100</c:v>
                </c:pt>
              </c:strCache>
            </c:strRef>
          </c:tx>
          <c:spPr>
            <a:ln w="19050" cap="flat" cmpd="sng" algn="ctr">
              <a:solidFill>
                <a:sysClr val="windowText" lastClr="000000"/>
              </a:solidFill>
              <a:prstDash val="dash"/>
              <a:miter lim="800000"/>
            </a:ln>
            <a:effectLst/>
          </c:spPr>
          <c:marker>
            <c:symbol val="none"/>
          </c:marker>
          <c:xVal>
            <c:numRef>
              <c:f>Sheet4!$K$4:$K$34</c:f>
              <c:numCache>
                <c:formatCode>General</c:formatCode>
                <c:ptCount val="31"/>
                <c:pt idx="0">
                  <c:v>3.0679599999999998</c:v>
                </c:pt>
                <c:pt idx="1">
                  <c:v>3.0453100000000002</c:v>
                </c:pt>
                <c:pt idx="2">
                  <c:v>3.02258</c:v>
                </c:pt>
                <c:pt idx="3">
                  <c:v>2.9883299999999999</c:v>
                </c:pt>
                <c:pt idx="4">
                  <c:v>2.9365299999999999</c:v>
                </c:pt>
                <c:pt idx="5">
                  <c:v>2.8578700000000001</c:v>
                </c:pt>
                <c:pt idx="6">
                  <c:v>2.7374100000000001</c:v>
                </c:pt>
                <c:pt idx="7">
                  <c:v>2.5500099999999999</c:v>
                </c:pt>
                <c:pt idx="8">
                  <c:v>2.2553000000000001</c:v>
                </c:pt>
                <c:pt idx="9">
                  <c:v>1.7113100000000001</c:v>
                </c:pt>
                <c:pt idx="10">
                  <c:v>1.15483</c:v>
                </c:pt>
                <c:pt idx="11">
                  <c:v>0.61364099999999999</c:v>
                </c:pt>
                <c:pt idx="12">
                  <c:v>-0.14598800000000001</c:v>
                </c:pt>
                <c:pt idx="13">
                  <c:v>-0.54769100000000004</c:v>
                </c:pt>
                <c:pt idx="14">
                  <c:v>-0.94762900000000005</c:v>
                </c:pt>
                <c:pt idx="15">
                  <c:v>-1.34226</c:v>
                </c:pt>
                <c:pt idx="16">
                  <c:v>-1.91649</c:v>
                </c:pt>
                <c:pt idx="17">
                  <c:v>-2.7248800000000002</c:v>
                </c:pt>
                <c:pt idx="18">
                  <c:v>-3.84056</c:v>
                </c:pt>
                <c:pt idx="19">
                  <c:v>-5.36625</c:v>
                </c:pt>
                <c:pt idx="20">
                  <c:v>-6.8002799999999999</c:v>
                </c:pt>
                <c:pt idx="21">
                  <c:v>-8.1723499999999998</c:v>
                </c:pt>
                <c:pt idx="22">
                  <c:v>-9.4953099999999999</c:v>
                </c:pt>
                <c:pt idx="23">
                  <c:v>-10.7746</c:v>
                </c:pt>
                <c:pt idx="24">
                  <c:v>-12.017300000000001</c:v>
                </c:pt>
                <c:pt idx="25">
                  <c:v>-12.320499999999999</c:v>
                </c:pt>
                <c:pt idx="26">
                  <c:v>-12.6206</c:v>
                </c:pt>
                <c:pt idx="27">
                  <c:v>-13.0646</c:v>
                </c:pt>
                <c:pt idx="28">
                  <c:v>-13.504200000000001</c:v>
                </c:pt>
                <c:pt idx="29">
                  <c:v>-13.942500000000001</c:v>
                </c:pt>
                <c:pt idx="30">
                  <c:v>-14.587199999999999</c:v>
                </c:pt>
              </c:numCache>
            </c:numRef>
          </c:xVal>
          <c:yVal>
            <c:numRef>
              <c:f>Sheet4!$L$4:$L$34</c:f>
              <c:numCache>
                <c:formatCode>General</c:formatCode>
                <c:ptCount val="31"/>
                <c:pt idx="0">
                  <c:v>0</c:v>
                </c:pt>
                <c:pt idx="1">
                  <c:v>4.5749400000000003E-2</c:v>
                </c:pt>
                <c:pt idx="2">
                  <c:v>9.0597300000000006E-2</c:v>
                </c:pt>
                <c:pt idx="3">
                  <c:v>0.15602199999999999</c:v>
                </c:pt>
                <c:pt idx="4">
                  <c:v>0.24917300000000001</c:v>
                </c:pt>
                <c:pt idx="5">
                  <c:v>0.377693</c:v>
                </c:pt>
                <c:pt idx="6">
                  <c:v>0.54627099999999995</c:v>
                </c:pt>
                <c:pt idx="7">
                  <c:v>0.74095</c:v>
                </c:pt>
                <c:pt idx="8">
                  <c:v>0.91123799999999999</c:v>
                </c:pt>
                <c:pt idx="9">
                  <c:v>0.90673400000000004</c:v>
                </c:pt>
                <c:pt idx="10">
                  <c:v>0.79687200000000002</c:v>
                </c:pt>
                <c:pt idx="11">
                  <c:v>0.69766399999999995</c:v>
                </c:pt>
                <c:pt idx="12">
                  <c:v>0.59840499999999996</c:v>
                </c:pt>
                <c:pt idx="13">
                  <c:v>0.56414299999999995</c:v>
                </c:pt>
                <c:pt idx="14">
                  <c:v>0.538107</c:v>
                </c:pt>
                <c:pt idx="15">
                  <c:v>0.51962600000000003</c:v>
                </c:pt>
                <c:pt idx="16">
                  <c:v>0.50407999999999997</c:v>
                </c:pt>
                <c:pt idx="17">
                  <c:v>0.492788</c:v>
                </c:pt>
                <c:pt idx="18">
                  <c:v>0.49042400000000003</c:v>
                </c:pt>
                <c:pt idx="19">
                  <c:v>0.48770999999999998</c:v>
                </c:pt>
                <c:pt idx="20">
                  <c:v>0.47667399999999999</c:v>
                </c:pt>
                <c:pt idx="21">
                  <c:v>0.46727400000000002</c:v>
                </c:pt>
                <c:pt idx="22">
                  <c:v>0.456291</c:v>
                </c:pt>
                <c:pt idx="23">
                  <c:v>0.44195299999999998</c:v>
                </c:pt>
                <c:pt idx="24">
                  <c:v>0.41675099999999998</c:v>
                </c:pt>
                <c:pt idx="25">
                  <c:v>0.41148499999999999</c:v>
                </c:pt>
                <c:pt idx="26">
                  <c:v>0.40744399999999997</c:v>
                </c:pt>
                <c:pt idx="27">
                  <c:v>0.404609</c:v>
                </c:pt>
                <c:pt idx="28">
                  <c:v>0.40695799999999999</c:v>
                </c:pt>
                <c:pt idx="29">
                  <c:v>0.41026800000000002</c:v>
                </c:pt>
                <c:pt idx="30">
                  <c:v>0.42710100000000001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A0-440A-B7C6-698BD62ED3C9}"/>
            </c:ext>
          </c:extLst>
        </c:ser>
        <c:ser>
          <c:idx val="3"/>
          <c:order val="3"/>
          <c:tx>
            <c:strRef>
              <c:f>Sheet4!$N$1</c:f>
              <c:strCache>
                <c:ptCount val="1"/>
                <c:pt idx="0">
                  <c:v>ECCS</c:v>
                </c:pt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Sheet4!$N$4:$N$34</c:f>
              <c:numCache>
                <c:formatCode>General</c:formatCode>
                <c:ptCount val="31"/>
                <c:pt idx="0">
                  <c:v>0.86704300000000001</c:v>
                </c:pt>
                <c:pt idx="1">
                  <c:v>0.84745099999999995</c:v>
                </c:pt>
                <c:pt idx="2">
                  <c:v>0.82785699999999995</c:v>
                </c:pt>
                <c:pt idx="3">
                  <c:v>0.79845200000000005</c:v>
                </c:pt>
                <c:pt idx="4">
                  <c:v>0.75431099999999995</c:v>
                </c:pt>
                <c:pt idx="5">
                  <c:v>0.68800799999999995</c:v>
                </c:pt>
                <c:pt idx="6">
                  <c:v>0.58830199999999999</c:v>
                </c:pt>
                <c:pt idx="7">
                  <c:v>0.43786700000000001</c:v>
                </c:pt>
                <c:pt idx="8">
                  <c:v>0.208597</c:v>
                </c:pt>
                <c:pt idx="9">
                  <c:v>7.6091099999999995E-2</c:v>
                </c:pt>
                <c:pt idx="10">
                  <c:v>-5.4703599999999998E-4</c:v>
                </c:pt>
                <c:pt idx="11">
                  <c:v>-9.8319500000000004E-2</c:v>
                </c:pt>
                <c:pt idx="12">
                  <c:v>-0.207174</c:v>
                </c:pt>
                <c:pt idx="13">
                  <c:v>-0.37013099999999999</c:v>
                </c:pt>
                <c:pt idx="14">
                  <c:v>-0.61221000000000003</c:v>
                </c:pt>
                <c:pt idx="15">
                  <c:v>-0.96715600000000002</c:v>
                </c:pt>
                <c:pt idx="16">
                  <c:v>-1.48214</c:v>
                </c:pt>
                <c:pt idx="17">
                  <c:v>-2.1887500000000002</c:v>
                </c:pt>
                <c:pt idx="18">
                  <c:v>-3.1528299999999998</c:v>
                </c:pt>
                <c:pt idx="19">
                  <c:v>-4.0635000000000003</c:v>
                </c:pt>
                <c:pt idx="20">
                  <c:v>-4.90442</c:v>
                </c:pt>
                <c:pt idx="21">
                  <c:v>-6.0516199999999998</c:v>
                </c:pt>
                <c:pt idx="22">
                  <c:v>-7.6047900000000004</c:v>
                </c:pt>
                <c:pt idx="23">
                  <c:v>-9.0401299999999996</c:v>
                </c:pt>
                <c:pt idx="24">
                  <c:v>-10.387600000000001</c:v>
                </c:pt>
                <c:pt idx="25">
                  <c:v>-10.711600000000001</c:v>
                </c:pt>
                <c:pt idx="26">
                  <c:v>-11.0305</c:v>
                </c:pt>
                <c:pt idx="27">
                  <c:v>-11.3446</c:v>
                </c:pt>
                <c:pt idx="28">
                  <c:v>-11.803800000000001</c:v>
                </c:pt>
                <c:pt idx="29">
                  <c:v>-12.485200000000001</c:v>
                </c:pt>
                <c:pt idx="30">
                  <c:v>-13.444599999999999</c:v>
                </c:pt>
              </c:numCache>
            </c:numRef>
          </c:xVal>
          <c:yVal>
            <c:numRef>
              <c:f>Sheet4!$O$4:$O$34</c:f>
              <c:numCache>
                <c:formatCode>General</c:formatCode>
                <c:ptCount val="31"/>
                <c:pt idx="0">
                  <c:v>0</c:v>
                </c:pt>
                <c:pt idx="1">
                  <c:v>4.97463E-2</c:v>
                </c:pt>
                <c:pt idx="2">
                  <c:v>9.9074099999999998E-2</c:v>
                </c:pt>
                <c:pt idx="3">
                  <c:v>0.17222499999999999</c:v>
                </c:pt>
                <c:pt idx="4">
                  <c:v>0.280059</c:v>
                </c:pt>
                <c:pt idx="5">
                  <c:v>0.43754799999999999</c:v>
                </c:pt>
                <c:pt idx="6">
                  <c:v>0.66415999999999997</c:v>
                </c:pt>
                <c:pt idx="7">
                  <c:v>0.98203499999999999</c:v>
                </c:pt>
                <c:pt idx="8">
                  <c:v>1.40751</c:v>
                </c:pt>
                <c:pt idx="9">
                  <c:v>1.6179600000000001</c:v>
                </c:pt>
                <c:pt idx="10">
                  <c:v>1.7261200000000001</c:v>
                </c:pt>
                <c:pt idx="11">
                  <c:v>1.72387</c:v>
                </c:pt>
                <c:pt idx="12">
                  <c:v>1.66933</c:v>
                </c:pt>
                <c:pt idx="13">
                  <c:v>1.57725</c:v>
                </c:pt>
                <c:pt idx="14">
                  <c:v>1.43015</c:v>
                </c:pt>
                <c:pt idx="15">
                  <c:v>1.2554099999999999</c:v>
                </c:pt>
                <c:pt idx="16">
                  <c:v>1.0696600000000001</c:v>
                </c:pt>
                <c:pt idx="17">
                  <c:v>0.89538099999999998</c:v>
                </c:pt>
                <c:pt idx="18">
                  <c:v>0.75829800000000003</c:v>
                </c:pt>
                <c:pt idx="19">
                  <c:v>0.68230500000000005</c:v>
                </c:pt>
                <c:pt idx="20">
                  <c:v>0.63786600000000004</c:v>
                </c:pt>
                <c:pt idx="21">
                  <c:v>0.59386700000000003</c:v>
                </c:pt>
                <c:pt idx="22">
                  <c:v>0.54978400000000005</c:v>
                </c:pt>
                <c:pt idx="23">
                  <c:v>0.52103900000000003</c:v>
                </c:pt>
                <c:pt idx="24">
                  <c:v>0.50823799999999997</c:v>
                </c:pt>
                <c:pt idx="25">
                  <c:v>0.51085000000000003</c:v>
                </c:pt>
                <c:pt idx="26">
                  <c:v>0.51311799999999996</c:v>
                </c:pt>
                <c:pt idx="27">
                  <c:v>0.51365099999999997</c:v>
                </c:pt>
                <c:pt idx="28">
                  <c:v>0.52590099999999995</c:v>
                </c:pt>
                <c:pt idx="29">
                  <c:v>0.56393400000000005</c:v>
                </c:pt>
                <c:pt idx="30">
                  <c:v>0.74170599999999998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A0-440A-B7C6-698BD62ED3C9}"/>
            </c:ext>
          </c:extLst>
        </c:ser>
        <c:ser>
          <c:idx val="4"/>
          <c:order val="4"/>
          <c:tx>
            <c:strRef>
              <c:f>Sheet4!$Q$1</c:f>
              <c:strCache>
                <c:ptCount val="1"/>
                <c:pt idx="0">
                  <c:v>EC3</c:v>
                </c:pt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lgDash"/>
              <a:miter lim="800000"/>
            </a:ln>
            <a:effectLst/>
          </c:spPr>
          <c:marker>
            <c:symbol val="none"/>
          </c:marker>
          <c:xVal>
            <c:numRef>
              <c:f>Sheet4!$Q$4:$Q$34</c:f>
              <c:numCache>
                <c:formatCode>General</c:formatCode>
                <c:ptCount val="31"/>
                <c:pt idx="0">
                  <c:v>0.86922600000000005</c:v>
                </c:pt>
                <c:pt idx="1">
                  <c:v>0.84987000000000001</c:v>
                </c:pt>
                <c:pt idx="2">
                  <c:v>0.83050800000000002</c:v>
                </c:pt>
                <c:pt idx="3">
                  <c:v>0.80145299999999997</c:v>
                </c:pt>
                <c:pt idx="4">
                  <c:v>0.75783900000000004</c:v>
                </c:pt>
                <c:pt idx="5">
                  <c:v>0.69233900000000004</c:v>
                </c:pt>
                <c:pt idx="6">
                  <c:v>0.593862</c:v>
                </c:pt>
                <c:pt idx="7">
                  <c:v>0.445413</c:v>
                </c:pt>
                <c:pt idx="8">
                  <c:v>0.21976200000000001</c:v>
                </c:pt>
                <c:pt idx="9">
                  <c:v>8.9570800000000006E-2</c:v>
                </c:pt>
                <c:pt idx="10">
                  <c:v>1.45805E-2</c:v>
                </c:pt>
                <c:pt idx="11">
                  <c:v>-2.8494499999999999E-2</c:v>
                </c:pt>
                <c:pt idx="12">
                  <c:v>-6.3638799999999995E-2</c:v>
                </c:pt>
                <c:pt idx="13">
                  <c:v>-0.12515999999999999</c:v>
                </c:pt>
                <c:pt idx="14">
                  <c:v>-0.21601500000000001</c:v>
                </c:pt>
                <c:pt idx="15">
                  <c:v>-0.35153699999999999</c:v>
                </c:pt>
                <c:pt idx="16">
                  <c:v>-0.55436300000000005</c:v>
                </c:pt>
                <c:pt idx="17">
                  <c:v>-0.85353199999999996</c:v>
                </c:pt>
                <c:pt idx="18">
                  <c:v>-1.29044</c:v>
                </c:pt>
                <c:pt idx="19">
                  <c:v>-1.9039999999999999</c:v>
                </c:pt>
                <c:pt idx="20">
                  <c:v>-2.7332999999999998</c:v>
                </c:pt>
                <c:pt idx="21">
                  <c:v>-3.8936899999999999</c:v>
                </c:pt>
                <c:pt idx="22">
                  <c:v>-4.9513999999999996</c:v>
                </c:pt>
                <c:pt idx="23">
                  <c:v>-5.9155100000000003</c:v>
                </c:pt>
                <c:pt idx="24">
                  <c:v>-7.2350700000000003</c:v>
                </c:pt>
                <c:pt idx="25">
                  <c:v>-8.4591100000000008</c:v>
                </c:pt>
                <c:pt idx="26">
                  <c:v>-9.6167899999999999</c:v>
                </c:pt>
                <c:pt idx="27">
                  <c:v>-10.718400000000001</c:v>
                </c:pt>
                <c:pt idx="28">
                  <c:v>-11.314399999999999</c:v>
                </c:pt>
                <c:pt idx="29">
                  <c:v>-12.171099999999999</c:v>
                </c:pt>
                <c:pt idx="30">
                  <c:v>-12.216100000000001</c:v>
                </c:pt>
              </c:numCache>
            </c:numRef>
          </c:xVal>
          <c:yVal>
            <c:numRef>
              <c:f>Sheet4!$R$4:$R$34</c:f>
              <c:numCache>
                <c:formatCode>General</c:formatCode>
                <c:ptCount val="31"/>
                <c:pt idx="0">
                  <c:v>0</c:v>
                </c:pt>
                <c:pt idx="1">
                  <c:v>4.9775199999999999E-2</c:v>
                </c:pt>
                <c:pt idx="2">
                  <c:v>9.9112099999999995E-2</c:v>
                </c:pt>
                <c:pt idx="3">
                  <c:v>0.172288</c:v>
                </c:pt>
                <c:pt idx="4">
                  <c:v>0.28018599999999999</c:v>
                </c:pt>
                <c:pt idx="5">
                  <c:v>0.43783</c:v>
                </c:pt>
                <c:pt idx="6">
                  <c:v>0.66481299999999999</c:v>
                </c:pt>
                <c:pt idx="7">
                  <c:v>0.98378600000000005</c:v>
                </c:pt>
                <c:pt idx="8">
                  <c:v>1.41266</c:v>
                </c:pt>
                <c:pt idx="9">
                  <c:v>1.6253500000000001</c:v>
                </c:pt>
                <c:pt idx="10">
                  <c:v>1.7351700000000001</c:v>
                </c:pt>
                <c:pt idx="11">
                  <c:v>1.79349</c:v>
                </c:pt>
                <c:pt idx="12">
                  <c:v>1.81192</c:v>
                </c:pt>
                <c:pt idx="13">
                  <c:v>1.7874099999999999</c:v>
                </c:pt>
                <c:pt idx="14">
                  <c:v>1.7408999999999999</c:v>
                </c:pt>
                <c:pt idx="15">
                  <c:v>1.6607700000000001</c:v>
                </c:pt>
                <c:pt idx="16">
                  <c:v>1.5351900000000001</c:v>
                </c:pt>
                <c:pt idx="17">
                  <c:v>1.3648899999999999</c:v>
                </c:pt>
                <c:pt idx="18">
                  <c:v>1.1799900000000001</c:v>
                </c:pt>
                <c:pt idx="19">
                  <c:v>0.99723499999999998</c:v>
                </c:pt>
                <c:pt idx="20">
                  <c:v>0.83960199999999996</c:v>
                </c:pt>
                <c:pt idx="21">
                  <c:v>0.71588499999999999</c:v>
                </c:pt>
                <c:pt idx="22">
                  <c:v>0.65362699999999996</c:v>
                </c:pt>
                <c:pt idx="23">
                  <c:v>0.61613399999999996</c:v>
                </c:pt>
                <c:pt idx="24">
                  <c:v>0.57765999999999995</c:v>
                </c:pt>
                <c:pt idx="25">
                  <c:v>0.55312799999999995</c:v>
                </c:pt>
                <c:pt idx="26">
                  <c:v>0.53794699999999995</c:v>
                </c:pt>
                <c:pt idx="27">
                  <c:v>0.53006600000000004</c:v>
                </c:pt>
                <c:pt idx="28">
                  <c:v>0.52984200000000004</c:v>
                </c:pt>
                <c:pt idx="29">
                  <c:v>0.55937000000000003</c:v>
                </c:pt>
                <c:pt idx="30">
                  <c:v>0.56312600000000002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A0-440A-B7C6-698BD62ED3C9}"/>
            </c:ext>
          </c:extLst>
        </c:ser>
        <c:ser>
          <c:idx val="5"/>
          <c:order val="5"/>
          <c:tx>
            <c:strRef>
              <c:f>Sheet4!$T$1</c:f>
              <c:strCache>
                <c:ptCount val="1"/>
                <c:pt idx="0">
                  <c:v>AS4100</c:v>
                </c:pt>
              </c:strCache>
            </c:strRef>
          </c:tx>
          <c:spPr>
            <a:ln w="19050" cap="flat" cmpd="sng" algn="ctr">
              <a:solidFill>
                <a:schemeClr val="dk1"/>
              </a:solidFill>
              <a:prstDash val="dash"/>
              <a:miter lim="800000"/>
            </a:ln>
            <a:effectLst/>
          </c:spPr>
          <c:marker>
            <c:symbol val="none"/>
          </c:marker>
          <c:xVal>
            <c:numRef>
              <c:f>Sheet4!$T$4:$T$34</c:f>
              <c:numCache>
                <c:formatCode>General</c:formatCode>
                <c:ptCount val="31"/>
                <c:pt idx="0">
                  <c:v>0.86977199999999999</c:v>
                </c:pt>
                <c:pt idx="1">
                  <c:v>0.84999899999999995</c:v>
                </c:pt>
                <c:pt idx="2">
                  <c:v>0.83021999999999996</c:v>
                </c:pt>
                <c:pt idx="3">
                  <c:v>0.800539</c:v>
                </c:pt>
                <c:pt idx="4">
                  <c:v>0.75598600000000005</c:v>
                </c:pt>
                <c:pt idx="5">
                  <c:v>0.68907600000000002</c:v>
                </c:pt>
                <c:pt idx="6">
                  <c:v>0.58847700000000003</c:v>
                </c:pt>
                <c:pt idx="7">
                  <c:v>0.43681500000000001</c:v>
                </c:pt>
                <c:pt idx="8">
                  <c:v>0.20615600000000001</c:v>
                </c:pt>
                <c:pt idx="9">
                  <c:v>7.3228799999999997E-2</c:v>
                </c:pt>
                <c:pt idx="10">
                  <c:v>-3.32307E-3</c:v>
                </c:pt>
                <c:pt idx="11">
                  <c:v>-4.7465500000000001E-2</c:v>
                </c:pt>
                <c:pt idx="12">
                  <c:v>-8.5881799999999994E-2</c:v>
                </c:pt>
                <c:pt idx="13">
                  <c:v>-0.14873800000000001</c:v>
                </c:pt>
                <c:pt idx="14">
                  <c:v>-0.24152000000000001</c:v>
                </c:pt>
                <c:pt idx="15">
                  <c:v>-0.37965599999999999</c:v>
                </c:pt>
                <c:pt idx="16">
                  <c:v>-0.58701599999999998</c:v>
                </c:pt>
                <c:pt idx="17">
                  <c:v>-0.89220699999999997</c:v>
                </c:pt>
                <c:pt idx="18">
                  <c:v>-1.3376699999999999</c:v>
                </c:pt>
                <c:pt idx="19">
                  <c:v>-1.96153</c:v>
                </c:pt>
                <c:pt idx="20">
                  <c:v>-2.8033299999999999</c:v>
                </c:pt>
                <c:pt idx="21">
                  <c:v>-3.2570000000000001</c:v>
                </c:pt>
                <c:pt idx="22">
                  <c:v>-3.9140999999999999</c:v>
                </c:pt>
                <c:pt idx="23">
                  <c:v>-4.8314399999999997</c:v>
                </c:pt>
                <c:pt idx="24">
                  <c:v>-6.0748499999999996</c:v>
                </c:pt>
                <c:pt idx="25">
                  <c:v>-7.7449700000000004</c:v>
                </c:pt>
                <c:pt idx="26">
                  <c:v>-9.2774699999999992</c:v>
                </c:pt>
                <c:pt idx="27">
                  <c:v>-9.6446500000000004</c:v>
                </c:pt>
                <c:pt idx="28">
                  <c:v>-10.0059</c:v>
                </c:pt>
                <c:pt idx="29">
                  <c:v>-10.5373</c:v>
                </c:pt>
                <c:pt idx="30">
                  <c:v>-11.3101</c:v>
                </c:pt>
              </c:numCache>
            </c:numRef>
          </c:xVal>
          <c:yVal>
            <c:numRef>
              <c:f>Sheet4!$U$4:$U$34</c:f>
              <c:numCache>
                <c:formatCode>General</c:formatCode>
                <c:ptCount val="31"/>
                <c:pt idx="0">
                  <c:v>0</c:v>
                </c:pt>
                <c:pt idx="1">
                  <c:v>4.9770700000000001E-2</c:v>
                </c:pt>
                <c:pt idx="2">
                  <c:v>9.9093700000000007E-2</c:v>
                </c:pt>
                <c:pt idx="3">
                  <c:v>0.172231</c:v>
                </c:pt>
                <c:pt idx="4">
                  <c:v>0.280032</c:v>
                </c:pt>
                <c:pt idx="5">
                  <c:v>0.437442</c:v>
                </c:pt>
                <c:pt idx="6">
                  <c:v>0.66387600000000002</c:v>
                </c:pt>
                <c:pt idx="7">
                  <c:v>0.98156900000000002</c:v>
                </c:pt>
                <c:pt idx="8">
                  <c:v>1.40741</c:v>
                </c:pt>
                <c:pt idx="9">
                  <c:v>1.6186199999999999</c:v>
                </c:pt>
                <c:pt idx="10">
                  <c:v>1.7276400000000001</c:v>
                </c:pt>
                <c:pt idx="11">
                  <c:v>1.78521</c:v>
                </c:pt>
                <c:pt idx="12">
                  <c:v>1.79956</c:v>
                </c:pt>
                <c:pt idx="13">
                  <c:v>1.7715799999999999</c:v>
                </c:pt>
                <c:pt idx="14">
                  <c:v>1.7233099999999999</c:v>
                </c:pt>
                <c:pt idx="15">
                  <c:v>1.6400600000000001</c:v>
                </c:pt>
                <c:pt idx="16">
                  <c:v>1.51488</c:v>
                </c:pt>
                <c:pt idx="17">
                  <c:v>1.34385</c:v>
                </c:pt>
                <c:pt idx="18">
                  <c:v>1.1600200000000001</c:v>
                </c:pt>
                <c:pt idx="19">
                  <c:v>0.98040499999999997</c:v>
                </c:pt>
                <c:pt idx="20">
                  <c:v>0.82572400000000001</c:v>
                </c:pt>
                <c:pt idx="21">
                  <c:v>0.77285999999999999</c:v>
                </c:pt>
                <c:pt idx="22">
                  <c:v>0.71349200000000002</c:v>
                </c:pt>
                <c:pt idx="23">
                  <c:v>0.65796299999999996</c:v>
                </c:pt>
                <c:pt idx="24">
                  <c:v>0.60641699999999998</c:v>
                </c:pt>
                <c:pt idx="25">
                  <c:v>0.55836300000000005</c:v>
                </c:pt>
                <c:pt idx="26">
                  <c:v>0.53218100000000002</c:v>
                </c:pt>
                <c:pt idx="27">
                  <c:v>0.53208800000000001</c:v>
                </c:pt>
                <c:pt idx="28">
                  <c:v>0.53263700000000003</c:v>
                </c:pt>
                <c:pt idx="29">
                  <c:v>0.53156800000000004</c:v>
                </c:pt>
                <c:pt idx="30">
                  <c:v>0.52983499999999994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A0-440A-B7C6-698BD62ED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07984"/>
        <c:axId val="1273908464"/>
      </c:scatterChart>
      <c:valAx>
        <c:axId val="1273907984"/>
        <c:scaling>
          <c:orientation val="minMax"/>
          <c:min val="-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Displacement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3908464"/>
        <c:crosses val="autoZero"/>
        <c:crossBetween val="midCat"/>
      </c:valAx>
      <c:valAx>
        <c:axId val="1273908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39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Sheet4!$B$4:$B$34</c:f>
              <c:numCache>
                <c:formatCode>General</c:formatCode>
                <c:ptCount val="31"/>
                <c:pt idx="0">
                  <c:v>0</c:v>
                </c:pt>
                <c:pt idx="1">
                  <c:v>2.6806300000000002E-2</c:v>
                </c:pt>
                <c:pt idx="2">
                  <c:v>5.3662300000000003E-2</c:v>
                </c:pt>
                <c:pt idx="3">
                  <c:v>9.4045900000000002E-2</c:v>
                </c:pt>
                <c:pt idx="4">
                  <c:v>0.15486800000000001</c:v>
                </c:pt>
                <c:pt idx="5">
                  <c:v>0.24673800000000001</c:v>
                </c:pt>
                <c:pt idx="6">
                  <c:v>0.38633800000000001</c:v>
                </c:pt>
                <c:pt idx="7">
                  <c:v>0.60144600000000004</c:v>
                </c:pt>
                <c:pt idx="8">
                  <c:v>0.98661600000000005</c:v>
                </c:pt>
                <c:pt idx="9">
                  <c:v>1.7804199999999999</c:v>
                </c:pt>
                <c:pt idx="10">
                  <c:v>2.87798</c:v>
                </c:pt>
                <c:pt idx="11">
                  <c:v>4.2573100000000004</c:v>
                </c:pt>
                <c:pt idx="12">
                  <c:v>6.0690200000000001</c:v>
                </c:pt>
                <c:pt idx="13">
                  <c:v>6.4804300000000001</c:v>
                </c:pt>
                <c:pt idx="14">
                  <c:v>6.8756300000000001</c:v>
                </c:pt>
                <c:pt idx="15">
                  <c:v>7.4429699999999999</c:v>
                </c:pt>
                <c:pt idx="16">
                  <c:v>8.2493499999999997</c:v>
                </c:pt>
                <c:pt idx="17">
                  <c:v>9.0184999999999995</c:v>
                </c:pt>
                <c:pt idx="18">
                  <c:v>9.7533899999999996</c:v>
                </c:pt>
                <c:pt idx="19">
                  <c:v>9.9295299999999997</c:v>
                </c:pt>
                <c:pt idx="20">
                  <c:v>10.194000000000001</c:v>
                </c:pt>
                <c:pt idx="21">
                  <c:v>10.452</c:v>
                </c:pt>
                <c:pt idx="22">
                  <c:v>10.703900000000001</c:v>
                </c:pt>
                <c:pt idx="23">
                  <c:v>11.081899999999999</c:v>
                </c:pt>
                <c:pt idx="24">
                  <c:v>11.457700000000001</c:v>
                </c:pt>
                <c:pt idx="25">
                  <c:v>11.8207</c:v>
                </c:pt>
                <c:pt idx="26">
                  <c:v>12.3413</c:v>
                </c:pt>
                <c:pt idx="27">
                  <c:v>13.0831</c:v>
                </c:pt>
                <c:pt idx="28">
                  <c:v>13.2736</c:v>
                </c:pt>
                <c:pt idx="29">
                  <c:v>13.4612</c:v>
                </c:pt>
                <c:pt idx="30">
                  <c:v>13.7393</c:v>
                </c:pt>
              </c:numCache>
            </c:numRef>
          </c:xVal>
          <c:yVal>
            <c:numRef>
              <c:f>Sheet4!$C$4:$C$34</c:f>
              <c:numCache>
                <c:formatCode>General</c:formatCode>
                <c:ptCount val="31"/>
                <c:pt idx="0">
                  <c:v>0</c:v>
                </c:pt>
                <c:pt idx="1">
                  <c:v>4.96266E-2</c:v>
                </c:pt>
                <c:pt idx="2">
                  <c:v>9.8508700000000005E-2</c:v>
                </c:pt>
                <c:pt idx="3">
                  <c:v>0.170433</c:v>
                </c:pt>
                <c:pt idx="4">
                  <c:v>0.27516499999999999</c:v>
                </c:pt>
                <c:pt idx="5">
                  <c:v>0.42511900000000002</c:v>
                </c:pt>
                <c:pt idx="6">
                  <c:v>0.63377899999999998</c:v>
                </c:pt>
                <c:pt idx="7">
                  <c:v>0.90902700000000003</c:v>
                </c:pt>
                <c:pt idx="8">
                  <c:v>1.18544</c:v>
                </c:pt>
                <c:pt idx="9">
                  <c:v>1.0112300000000001</c:v>
                </c:pt>
                <c:pt idx="10">
                  <c:v>0.77817199999999997</c:v>
                </c:pt>
                <c:pt idx="11">
                  <c:v>0.60801300000000003</c:v>
                </c:pt>
                <c:pt idx="12">
                  <c:v>0.51045399999999996</c:v>
                </c:pt>
                <c:pt idx="13">
                  <c:v>0.50197000000000003</c:v>
                </c:pt>
                <c:pt idx="14">
                  <c:v>0.49662400000000001</c:v>
                </c:pt>
                <c:pt idx="15">
                  <c:v>0.49279000000000001</c:v>
                </c:pt>
                <c:pt idx="16">
                  <c:v>0.490205</c:v>
                </c:pt>
                <c:pt idx="17">
                  <c:v>0.48766599999999999</c:v>
                </c:pt>
                <c:pt idx="18">
                  <c:v>0.48527700000000001</c:v>
                </c:pt>
                <c:pt idx="19">
                  <c:v>0.48658200000000001</c:v>
                </c:pt>
                <c:pt idx="20">
                  <c:v>0.486761</c:v>
                </c:pt>
                <c:pt idx="21">
                  <c:v>0.48779800000000001</c:v>
                </c:pt>
                <c:pt idx="22">
                  <c:v>0.49520599999999998</c:v>
                </c:pt>
                <c:pt idx="23">
                  <c:v>0.51341099999999995</c:v>
                </c:pt>
                <c:pt idx="24">
                  <c:v>0.53354599999999996</c:v>
                </c:pt>
                <c:pt idx="25">
                  <c:v>0.57259499999999997</c:v>
                </c:pt>
                <c:pt idx="26">
                  <c:v>0.68418699999999999</c:v>
                </c:pt>
                <c:pt idx="27">
                  <c:v>1.01712</c:v>
                </c:pt>
                <c:pt idx="28">
                  <c:v>1.10822</c:v>
                </c:pt>
                <c:pt idx="29">
                  <c:v>1.2120899999999999</c:v>
                </c:pt>
                <c:pt idx="30">
                  <c:v>1.39588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8-4FB9-B560-120C5E0A5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24575"/>
        <c:axId val="954551455"/>
      </c:scatterChart>
      <c:valAx>
        <c:axId val="95452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800">
                    <a:latin typeface="Arial" panose="020B0604020202020204" pitchFamily="34" charset="0"/>
                    <a:cs typeface="Arial" panose="020B0604020202020204" pitchFamily="34" charset="0"/>
                  </a:rPr>
                  <a:t>Displacement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4551455"/>
        <c:crosses val="autoZero"/>
        <c:crossBetween val="midCat"/>
      </c:valAx>
      <c:valAx>
        <c:axId val="95455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Pressure</a:t>
                </a:r>
                <a:r>
                  <a:rPr lang="en-MY" sz="2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[MPa]</a:t>
                </a:r>
                <a:endParaRPr lang="en-MY" sz="2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452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'Geometry &amp; Modelling details'!$L$15</c:f>
              <c:strCache>
                <c:ptCount val="1"/>
                <c:pt idx="0">
                  <c:v>Pexp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545947671085782E-2"/>
                  <c:y val="-2.6075382302170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'Geometry &amp; Modelling details'!$K$16:$K$21</c:f>
              <c:numCache>
                <c:formatCode>General</c:formatCode>
                <c:ptCount val="6"/>
                <c:pt idx="0">
                  <c:v>5.5050922102945225E-4</c:v>
                </c:pt>
                <c:pt idx="1">
                  <c:v>6.3523696830042971E-4</c:v>
                </c:pt>
                <c:pt idx="2">
                  <c:v>1.1723195993626223E-3</c:v>
                </c:pt>
                <c:pt idx="3">
                  <c:v>1.5085283277620639E-3</c:v>
                </c:pt>
                <c:pt idx="4">
                  <c:v>2.3179244040563676E-3</c:v>
                </c:pt>
                <c:pt idx="5">
                  <c:v>3.1238906638267664E-3</c:v>
                </c:pt>
              </c:numCache>
            </c:numRef>
          </c:xVal>
          <c:yVal>
            <c:numRef>
              <c:f>'Geometry &amp; Modelling details'!$L$16:$L$21</c:f>
              <c:numCache>
                <c:formatCode>General</c:formatCode>
                <c:ptCount val="6"/>
                <c:pt idx="0">
                  <c:v>4.5999999999999999E-2</c:v>
                </c:pt>
                <c:pt idx="1">
                  <c:v>5.1999999999999998E-2</c:v>
                </c:pt>
                <c:pt idx="2">
                  <c:v>0.21099999999999999</c:v>
                </c:pt>
                <c:pt idx="3">
                  <c:v>0.33</c:v>
                </c:pt>
                <c:pt idx="4">
                  <c:v>0.65</c:v>
                </c:pt>
                <c:pt idx="5">
                  <c:v>1.1719999999999999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C-4599-8EE0-C269E7A75BC6}"/>
            </c:ext>
          </c:extLst>
        </c:ser>
        <c:ser>
          <c:idx val="2"/>
          <c:order val="1"/>
          <c:tx>
            <c:strRef>
              <c:f>'Geometry &amp; Modelling details'!$M$14</c:f>
              <c:strCache>
                <c:ptCount val="1"/>
                <c:pt idx="0">
                  <c:v>PColl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'Geometry &amp; Modelling details'!$K$16:$K$21</c:f>
              <c:numCache>
                <c:formatCode>General</c:formatCode>
                <c:ptCount val="6"/>
                <c:pt idx="0">
                  <c:v>5.5050922102945225E-4</c:v>
                </c:pt>
                <c:pt idx="1">
                  <c:v>6.3523696830042971E-4</c:v>
                </c:pt>
                <c:pt idx="2">
                  <c:v>1.1723195993626223E-3</c:v>
                </c:pt>
                <c:pt idx="3">
                  <c:v>1.5085283277620639E-3</c:v>
                </c:pt>
                <c:pt idx="4">
                  <c:v>2.3179244040563676E-3</c:v>
                </c:pt>
                <c:pt idx="5">
                  <c:v>3.1238906638267664E-3</c:v>
                </c:pt>
              </c:numCache>
            </c:numRef>
          </c:xVal>
          <c:yVal>
            <c:numRef>
              <c:f>'Geometry &amp; Modelling details'!$M$16:$M$21</c:f>
              <c:numCache>
                <c:formatCode>General</c:formatCode>
                <c:ptCount val="6"/>
                <c:pt idx="0">
                  <c:v>4.3999999999999997E-2</c:v>
                </c:pt>
                <c:pt idx="1">
                  <c:v>5.7000000000000002E-2</c:v>
                </c:pt>
                <c:pt idx="2">
                  <c:v>0.20899999999999999</c:v>
                </c:pt>
                <c:pt idx="3">
                  <c:v>0.33800000000000002</c:v>
                </c:pt>
                <c:pt idx="4">
                  <c:v>0.66800000000000004</c:v>
                </c:pt>
                <c:pt idx="5">
                  <c:v>1.202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AC-4599-8EE0-C269E7A7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99584"/>
        <c:axId val="2041602464"/>
      </c:scatterChart>
      <c:valAx>
        <c:axId val="2041599584"/>
        <c:scaling>
          <c:orientation val="minMax"/>
          <c:min val="2.0000000000000006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t/R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1602464"/>
        <c:crosses val="autoZero"/>
        <c:crossBetween val="midCat"/>
      </c:valAx>
      <c:valAx>
        <c:axId val="20416024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 i="0">
                    <a:latin typeface="arial" panose="020B0604020202020204" pitchFamily="34" charset="0"/>
                    <a:cs typeface="arial" panose="020B0604020202020204" pitchFamily="34" charset="0"/>
                  </a:rPr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15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'Geometry &amp; Modelling details'!$L$15</c:f>
              <c:strCache>
                <c:ptCount val="1"/>
                <c:pt idx="0">
                  <c:v>Pexp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545947671085782E-2"/>
                  <c:y val="-2.60753823021706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'Geometry &amp; Modelling details'!$K$16:$K$21</c:f>
              <c:numCache>
                <c:formatCode>General</c:formatCode>
                <c:ptCount val="6"/>
                <c:pt idx="0">
                  <c:v>5.5050922102945225E-4</c:v>
                </c:pt>
                <c:pt idx="1">
                  <c:v>6.3523696830042971E-4</c:v>
                </c:pt>
                <c:pt idx="2">
                  <c:v>1.1723195993626223E-3</c:v>
                </c:pt>
                <c:pt idx="3">
                  <c:v>1.5085283277620639E-3</c:v>
                </c:pt>
                <c:pt idx="4">
                  <c:v>2.3179244040563676E-3</c:v>
                </c:pt>
                <c:pt idx="5">
                  <c:v>3.1238906638267664E-3</c:v>
                </c:pt>
              </c:numCache>
            </c:numRef>
          </c:xVal>
          <c:yVal>
            <c:numRef>
              <c:f>'Geometry &amp; Modelling details'!$L$16:$L$21</c:f>
              <c:numCache>
                <c:formatCode>General</c:formatCode>
                <c:ptCount val="6"/>
                <c:pt idx="0">
                  <c:v>4.5999999999999999E-2</c:v>
                </c:pt>
                <c:pt idx="1">
                  <c:v>5.1999999999999998E-2</c:v>
                </c:pt>
                <c:pt idx="2">
                  <c:v>0.21099999999999999</c:v>
                </c:pt>
                <c:pt idx="3">
                  <c:v>0.33</c:v>
                </c:pt>
                <c:pt idx="4">
                  <c:v>0.65</c:v>
                </c:pt>
                <c:pt idx="5">
                  <c:v>1.1719999999999999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9-48CC-86BA-1D633A321D0A}"/>
            </c:ext>
          </c:extLst>
        </c:ser>
        <c:ser>
          <c:idx val="0"/>
          <c:order val="1"/>
          <c:tx>
            <c:strRef>
              <c:f>'Geometry &amp; Modelling details'!$N$14</c:f>
              <c:strCache>
                <c:ptCount val="1"/>
                <c:pt idx="0">
                  <c:v>PPD 5500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noFill/>
              <a:ln w="9525">
                <a:solidFill>
                  <a:schemeClr val="dk1"/>
                </a:solidFill>
              </a:ln>
              <a:effectLst/>
            </c:spPr>
          </c:marker>
          <c:xVal>
            <c:numRef>
              <c:f>'Geometry &amp; Modelling details'!$K$16:$K$21</c:f>
              <c:numCache>
                <c:formatCode>General</c:formatCode>
                <c:ptCount val="6"/>
                <c:pt idx="0">
                  <c:v>5.5050922102945225E-4</c:v>
                </c:pt>
                <c:pt idx="1">
                  <c:v>6.3523696830042971E-4</c:v>
                </c:pt>
                <c:pt idx="2">
                  <c:v>1.1723195993626223E-3</c:v>
                </c:pt>
                <c:pt idx="3">
                  <c:v>1.5085283277620639E-3</c:v>
                </c:pt>
                <c:pt idx="4">
                  <c:v>2.3179244040563676E-3</c:v>
                </c:pt>
                <c:pt idx="5">
                  <c:v>3.1238906638267664E-3</c:v>
                </c:pt>
              </c:numCache>
            </c:numRef>
          </c:xVal>
          <c:yVal>
            <c:numRef>
              <c:f>'Geometry &amp; Modelling details'!$N$16:$N$21</c:f>
              <c:numCache>
                <c:formatCode>General</c:formatCode>
                <c:ptCount val="6"/>
                <c:pt idx="0">
                  <c:v>2.3E-2</c:v>
                </c:pt>
                <c:pt idx="1">
                  <c:v>0.03</c:v>
                </c:pt>
                <c:pt idx="2">
                  <c:v>0.10199999999999999</c:v>
                </c:pt>
                <c:pt idx="3">
                  <c:v>0.16700000000000001</c:v>
                </c:pt>
                <c:pt idx="4">
                  <c:v>0.38600000000000001</c:v>
                </c:pt>
                <c:pt idx="5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9-48CC-86BA-1D633A321D0A}"/>
            </c:ext>
          </c:extLst>
        </c:ser>
        <c:ser>
          <c:idx val="2"/>
          <c:order val="2"/>
          <c:tx>
            <c:strRef>
              <c:f>'Geometry &amp; Modelling details'!$O$14</c:f>
              <c:strCache>
                <c:ptCount val="1"/>
                <c:pt idx="0">
                  <c:v>PDnV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'Geometry &amp; Modelling details'!$K$16:$K$21</c:f>
              <c:numCache>
                <c:formatCode>General</c:formatCode>
                <c:ptCount val="6"/>
                <c:pt idx="0">
                  <c:v>5.5050922102945225E-4</c:v>
                </c:pt>
                <c:pt idx="1">
                  <c:v>6.3523696830042971E-4</c:v>
                </c:pt>
                <c:pt idx="2">
                  <c:v>1.1723195993626223E-3</c:v>
                </c:pt>
                <c:pt idx="3">
                  <c:v>1.5085283277620639E-3</c:v>
                </c:pt>
                <c:pt idx="4">
                  <c:v>2.3179244040563676E-3</c:v>
                </c:pt>
                <c:pt idx="5">
                  <c:v>3.1238906638267664E-3</c:v>
                </c:pt>
              </c:numCache>
            </c:numRef>
          </c:xVal>
          <c:yVal>
            <c:numRef>
              <c:f>'Geometry &amp; Modelling details'!$O$16:$O$21</c:f>
              <c:numCache>
                <c:formatCode>General</c:formatCode>
                <c:ptCount val="6"/>
                <c:pt idx="0">
                  <c:v>8.6810279105199711E-3</c:v>
                </c:pt>
                <c:pt idx="1">
                  <c:v>1.2364751331059168E-2</c:v>
                </c:pt>
                <c:pt idx="2">
                  <c:v>5.5674082891160735E-2</c:v>
                </c:pt>
                <c:pt idx="3">
                  <c:v>0.102699397217761</c:v>
                </c:pt>
                <c:pt idx="4">
                  <c:v>0.28624837638776451</c:v>
                </c:pt>
                <c:pt idx="5">
                  <c:v>0.56965496782458214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9-48CC-86BA-1D633A321D0A}"/>
            </c:ext>
          </c:extLst>
        </c:ser>
        <c:ser>
          <c:idx val="3"/>
          <c:order val="3"/>
          <c:tx>
            <c:strRef>
              <c:f>'Geometry &amp; Modelling details'!$P$14</c:f>
              <c:strCache>
                <c:ptCount val="1"/>
                <c:pt idx="0">
                  <c:v>PABS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85405847966547"/>
                  <c:y val="5.8146844603445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'Geometry &amp; Modelling details'!$K$16:$K$21</c:f>
              <c:numCache>
                <c:formatCode>General</c:formatCode>
                <c:ptCount val="6"/>
                <c:pt idx="0">
                  <c:v>5.5050922102945225E-4</c:v>
                </c:pt>
                <c:pt idx="1">
                  <c:v>6.3523696830042971E-4</c:v>
                </c:pt>
                <c:pt idx="2">
                  <c:v>1.1723195993626223E-3</c:v>
                </c:pt>
                <c:pt idx="3">
                  <c:v>1.5085283277620639E-3</c:v>
                </c:pt>
                <c:pt idx="4">
                  <c:v>2.3179244040563676E-3</c:v>
                </c:pt>
                <c:pt idx="5">
                  <c:v>3.1238906638267664E-3</c:v>
                </c:pt>
              </c:numCache>
            </c:numRef>
          </c:xVal>
          <c:yVal>
            <c:numRef>
              <c:f>'Geometry &amp; Modelling details'!$P$16:$P$21</c:f>
              <c:numCache>
                <c:formatCode>General</c:formatCode>
                <c:ptCount val="6"/>
                <c:pt idx="0">
                  <c:v>1.6026998221443583E-2</c:v>
                </c:pt>
                <c:pt idx="1">
                  <c:v>2.1340005248977174E-2</c:v>
                </c:pt>
                <c:pt idx="2">
                  <c:v>7.2680021094151698E-2</c:v>
                </c:pt>
                <c:pt idx="3">
                  <c:v>0.12034552144737448</c:v>
                </c:pt>
                <c:pt idx="4">
                  <c:v>0.28413290328843349</c:v>
                </c:pt>
                <c:pt idx="5">
                  <c:v>0.50287109473892866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9-48CC-86BA-1D633A32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99584"/>
        <c:axId val="2041602464"/>
      </c:scatterChart>
      <c:valAx>
        <c:axId val="2041599584"/>
        <c:scaling>
          <c:orientation val="minMax"/>
          <c:min val="2.0000000000000006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t/R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1602464"/>
        <c:crosses val="autoZero"/>
        <c:crossBetween val="midCat"/>
      </c:valAx>
      <c:valAx>
        <c:axId val="20416024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 i="0">
                    <a:latin typeface="arial" panose="020B0604020202020204" pitchFamily="34" charset="0"/>
                    <a:cs typeface="arial" panose="020B0604020202020204" pitchFamily="34" charset="0"/>
                  </a:rPr>
                  <a:t>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15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MY"/>
              <a:t>Steel</a:t>
            </a:r>
            <a:r>
              <a:rPr lang="en-MY" baseline="0"/>
              <a:t> spherical caps buckling pressure: A comparison study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M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Validation!$I$4</c:f>
              <c:strCache>
                <c:ptCount val="1"/>
                <c:pt idx="0">
                  <c:v>PPD 5500 /PExp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Validation!$B$6:$B$11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Validation!$I$6:$I$11</c:f>
              <c:numCache>
                <c:formatCode>0.000</c:formatCode>
                <c:ptCount val="6"/>
                <c:pt idx="0">
                  <c:v>0.5</c:v>
                </c:pt>
                <c:pt idx="1">
                  <c:v>0.57692307692307698</c:v>
                </c:pt>
                <c:pt idx="2">
                  <c:v>0.48341232227488151</c:v>
                </c:pt>
                <c:pt idx="3">
                  <c:v>0.5060606060606061</c:v>
                </c:pt>
                <c:pt idx="4">
                  <c:v>0.5938461538461538</c:v>
                </c:pt>
                <c:pt idx="5">
                  <c:v>0.58020477815699667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9-4ECB-8695-F2F650B8C9F8}"/>
            </c:ext>
          </c:extLst>
        </c:ser>
        <c:ser>
          <c:idx val="1"/>
          <c:order val="1"/>
          <c:tx>
            <c:strRef>
              <c:f>Validation!$J$4</c:f>
              <c:strCache>
                <c:ptCount val="1"/>
                <c:pt idx="0">
                  <c:v>PDnV /PExp</c:v>
                </c:pt>
              </c:strCache>
            </c:strRef>
          </c:tx>
          <c:spPr>
            <a:solidFill>
              <a:srgbClr val="FFFF00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Validation!$J$6:$J$11</c:f>
              <c:numCache>
                <c:formatCode>0.000</c:formatCode>
                <c:ptCount val="6"/>
                <c:pt idx="0">
                  <c:v>0.18871799805478198</c:v>
                </c:pt>
                <c:pt idx="1">
                  <c:v>0.23778367944344556</c:v>
                </c:pt>
                <c:pt idx="2">
                  <c:v>0.26385821275431631</c:v>
                </c:pt>
                <c:pt idx="3">
                  <c:v>0.31121029459927574</c:v>
                </c:pt>
                <c:pt idx="4">
                  <c:v>0.44038211751963768</c:v>
                </c:pt>
                <c:pt idx="5">
                  <c:v>0.48605372681278342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9-4ECB-8695-F2F650B8C9F8}"/>
            </c:ext>
          </c:extLst>
        </c:ser>
        <c:ser>
          <c:idx val="2"/>
          <c:order val="2"/>
          <c:tx>
            <c:strRef>
              <c:f>Validation!$K$4</c:f>
              <c:strCache>
                <c:ptCount val="1"/>
                <c:pt idx="0">
                  <c:v>PABS /PExp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12700" cap="flat" cmpd="sng" algn="ctr">
              <a:solidFill>
                <a:sysClr val="windowText" lastClr="000000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Validation!$K$6:$K$11</c:f>
              <c:numCache>
                <c:formatCode>0.000</c:formatCode>
                <c:ptCount val="6"/>
                <c:pt idx="0">
                  <c:v>0.34841300481399096</c:v>
                </c:pt>
                <c:pt idx="1">
                  <c:v>0.41038471632648416</c:v>
                </c:pt>
                <c:pt idx="2">
                  <c:v>0.34445507627560046</c:v>
                </c:pt>
                <c:pt idx="3">
                  <c:v>0.36468339832537722</c:v>
                </c:pt>
                <c:pt idx="4">
                  <c:v>0.43712754352066691</c:v>
                </c:pt>
                <c:pt idx="5">
                  <c:v>0.42907089994789138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9-4ECB-8695-F2F650B8C9F8}"/>
            </c:ext>
          </c:extLst>
        </c:ser>
        <c:ser>
          <c:idx val="3"/>
          <c:order val="3"/>
          <c:tx>
            <c:strRef>
              <c:f>Validation!$L$4</c:f>
              <c:strCache>
                <c:ptCount val="1"/>
                <c:pt idx="0">
                  <c:v>Pcoll /PExp</c:v>
                </c:pt>
              </c:strCache>
            </c:strRef>
          </c:tx>
          <c:spPr>
            <a:solidFill>
              <a:schemeClr val="bg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Validation!$L$6:$L$11</c:f>
              <c:numCache>
                <c:formatCode>0.000</c:formatCode>
                <c:ptCount val="6"/>
                <c:pt idx="0">
                  <c:v>0.9565217391304347</c:v>
                </c:pt>
                <c:pt idx="1">
                  <c:v>1.0961538461538463</c:v>
                </c:pt>
                <c:pt idx="2">
                  <c:v>0.99052132701421802</c:v>
                </c:pt>
                <c:pt idx="3">
                  <c:v>1.0242424242424242</c:v>
                </c:pt>
                <c:pt idx="4">
                  <c:v>1.0276923076923077</c:v>
                </c:pt>
                <c:pt idx="5">
                  <c:v>1.0255972696245734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9-4ECB-8695-F2F650B8C9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088640"/>
        <c:axId val="321110720"/>
      </c:barChart>
      <c:catAx>
        <c:axId val="3210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110720"/>
        <c:crosses val="autoZero"/>
        <c:auto val="1"/>
        <c:lblAlgn val="ctr"/>
        <c:lblOffset val="100"/>
        <c:noMultiLvlLbl val="0"/>
      </c:catAx>
      <c:valAx>
        <c:axId val="32111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 sz="1800"/>
                  <a:t>Ratio</a:t>
                </a:r>
                <a:r>
                  <a:rPr lang="en-MY" sz="1800" baseline="0"/>
                  <a:t> of estimated pressure to experimental data</a:t>
                </a:r>
                <a:endParaRPr lang="en-MY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MY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10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0716907261592301"/>
          <c:y val="5.1400554097404488E-2"/>
          <c:w val="0.83728193350831137"/>
          <c:h val="0.8326195683872849"/>
        </c:manualLayout>
      </c:layout>
      <c:scatterChart>
        <c:scatterStyle val="lineMarker"/>
        <c:varyColors val="1"/>
        <c:ser>
          <c:idx val="0"/>
          <c:order val="0"/>
          <c:tx>
            <c:v>EM_1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'[1]GMNIA - D6'!$H$11:$H$18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2.5</c:v>
                </c:pt>
              </c:numCache>
            </c:numRef>
          </c:xVal>
          <c:yVal>
            <c:numRef>
              <c:f>'[1]GMNIA - D6'!$N$21:$N$28</c:f>
              <c:numCache>
                <c:formatCode>General</c:formatCode>
                <c:ptCount val="8"/>
                <c:pt idx="0">
                  <c:v>0.49470276372459382</c:v>
                </c:pt>
                <c:pt idx="1">
                  <c:v>0.48800246339727577</c:v>
                </c:pt>
                <c:pt idx="2">
                  <c:v>0.47099654143629388</c:v>
                </c:pt>
                <c:pt idx="3">
                  <c:v>0.4560566825983548</c:v>
                </c:pt>
                <c:pt idx="4">
                  <c:v>0.41746822076239976</c:v>
                </c:pt>
                <c:pt idx="5">
                  <c:v>0.40583612075312503</c:v>
                </c:pt>
                <c:pt idx="6">
                  <c:v>0.39459994758137368</c:v>
                </c:pt>
                <c:pt idx="7">
                  <c:v>0.36773207252191537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2-4EF0-A7F9-869967C323E9}"/>
            </c:ext>
          </c:extLst>
        </c:ser>
        <c:ser>
          <c:idx val="1"/>
          <c:order val="1"/>
          <c:tx>
            <c:v>EM_2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'[1]GMNIA - D6'!$H$11:$H$18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2.5</c:v>
                </c:pt>
              </c:numCache>
            </c:numRef>
          </c:xVal>
          <c:yVal>
            <c:numRef>
              <c:f>'[1]GMNIA - D6'!$O$21:$O$28</c:f>
              <c:numCache>
                <c:formatCode>General</c:formatCode>
                <c:ptCount val="8"/>
                <c:pt idx="0">
                  <c:v>0.49470276372459382</c:v>
                </c:pt>
                <c:pt idx="1">
                  <c:v>0.29461483941687672</c:v>
                </c:pt>
                <c:pt idx="2">
                  <c:v>0.29380981561833652</c:v>
                </c:pt>
                <c:pt idx="3">
                  <c:v>0.29789666956491323</c:v>
                </c:pt>
                <c:pt idx="4">
                  <c:v>0.31355553483232557</c:v>
                </c:pt>
                <c:pt idx="5">
                  <c:v>0.31790249871789894</c:v>
                </c:pt>
                <c:pt idx="6">
                  <c:v>0.32199511459350405</c:v>
                </c:pt>
                <c:pt idx="7">
                  <c:v>0.33056557245689921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B2-4EF0-A7F9-869967C323E9}"/>
            </c:ext>
          </c:extLst>
        </c:ser>
        <c:ser>
          <c:idx val="2"/>
          <c:order val="2"/>
          <c:tx>
            <c:v>EM_3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'[1]GMNIA - D6'!$H$11:$H$18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2.5</c:v>
                </c:pt>
              </c:numCache>
            </c:numRef>
          </c:xVal>
          <c:yVal>
            <c:numRef>
              <c:f>'[1]GMNIA - D6'!$P$21:$P$28</c:f>
              <c:numCache>
                <c:formatCode>General</c:formatCode>
                <c:ptCount val="8"/>
                <c:pt idx="0">
                  <c:v>0.49470276372459382</c:v>
                </c:pt>
                <c:pt idx="1">
                  <c:v>0.29461936664682759</c:v>
                </c:pt>
                <c:pt idx="2">
                  <c:v>0.29336408925135338</c:v>
                </c:pt>
                <c:pt idx="3">
                  <c:v>0.29789214233496236</c:v>
                </c:pt>
                <c:pt idx="4">
                  <c:v>0.31355059603601554</c:v>
                </c:pt>
                <c:pt idx="5">
                  <c:v>0.31789755992158886</c:v>
                </c:pt>
                <c:pt idx="6">
                  <c:v>0.32198976423083481</c:v>
                </c:pt>
                <c:pt idx="7">
                  <c:v>0.33056104522694824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B2-4EF0-A7F9-869967C323E9}"/>
            </c:ext>
          </c:extLst>
        </c:ser>
        <c:ser>
          <c:idx val="3"/>
          <c:order val="3"/>
          <c:tx>
            <c:v>P_SLI_MID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'[1]GMNIA - D6'!$H$11:$H$18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  <c:pt idx="7">
                  <c:v>2.5</c:v>
                </c:pt>
              </c:numCache>
            </c:numRef>
          </c:xVal>
          <c:yVal>
            <c:numRef>
              <c:f>'[1]GMNIA - D6'!$L$21:$L$28</c:f>
              <c:numCache>
                <c:formatCode>General</c:formatCode>
                <c:ptCount val="8"/>
                <c:pt idx="0">
                  <c:v>0.49470276372459382</c:v>
                </c:pt>
                <c:pt idx="1">
                  <c:v>0.51588196856757851</c:v>
                </c:pt>
                <c:pt idx="2">
                  <c:v>0.51508352983078509</c:v>
                </c:pt>
                <c:pt idx="3">
                  <c:v>0.50856843436509425</c:v>
                </c:pt>
                <c:pt idx="4">
                  <c:v>0.49322524049516681</c:v>
                </c:pt>
                <c:pt idx="5">
                  <c:v>0.48645085822319778</c:v>
                </c:pt>
                <c:pt idx="6">
                  <c:v>0.47875045164309199</c:v>
                </c:pt>
                <c:pt idx="7">
                  <c:v>0.45406470141996286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B2-4EF0-A7F9-869967C3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90312"/>
        <c:axId val="177296780"/>
      </c:scatterChart>
      <c:valAx>
        <c:axId val="714590312"/>
        <c:scaling>
          <c:orientation val="minMax"/>
          <c:max val="2.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Y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296780"/>
        <c:crosses val="autoZero"/>
        <c:crossBetween val="midCat"/>
      </c:valAx>
      <c:valAx>
        <c:axId val="1772967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Y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4590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575776088333801"/>
          <c:y val="0.46897116337279032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73486487756506E-2"/>
          <c:y val="2.3001685363288324E-2"/>
          <c:w val="0.94006555281436122"/>
          <c:h val="0.84850566430908991"/>
        </c:manualLayout>
      </c:layout>
      <c:scatterChart>
        <c:scatterStyle val="smoothMarker"/>
        <c:varyColors val="0"/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Sheet3!$G$12:$G$25</c:f>
              <c:numCache>
                <c:formatCode>General</c:formatCode>
                <c:ptCount val="14"/>
                <c:pt idx="0">
                  <c:v>0.30499999999999999</c:v>
                </c:pt>
                <c:pt idx="1">
                  <c:v>0.41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0.45</c:v>
                </c:pt>
                <c:pt idx="6">
                  <c:v>0.46</c:v>
                </c:pt>
                <c:pt idx="7">
                  <c:v>0.47</c:v>
                </c:pt>
                <c:pt idx="8">
                  <c:v>0.48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0.83330000000000004</c:v>
                </c:pt>
              </c:numCache>
            </c:numRef>
          </c:xVal>
          <c:yVal>
            <c:numRef>
              <c:f>Sheet3!$H$12:$H$25</c:f>
              <c:numCache>
                <c:formatCode>General</c:formatCode>
                <c:ptCount val="14"/>
                <c:pt idx="0">
                  <c:v>0.99849999999999994</c:v>
                </c:pt>
                <c:pt idx="1">
                  <c:v>0.86199999999999999</c:v>
                </c:pt>
                <c:pt idx="2">
                  <c:v>0.84899999999999998</c:v>
                </c:pt>
                <c:pt idx="3">
                  <c:v>0.83599999999999997</c:v>
                </c:pt>
                <c:pt idx="4">
                  <c:v>0.82299999999999995</c:v>
                </c:pt>
                <c:pt idx="5">
                  <c:v>0.80999999999999994</c:v>
                </c:pt>
                <c:pt idx="6">
                  <c:v>0.79699999999999993</c:v>
                </c:pt>
                <c:pt idx="7">
                  <c:v>0.78400000000000003</c:v>
                </c:pt>
                <c:pt idx="8">
                  <c:v>0.77100000000000002</c:v>
                </c:pt>
                <c:pt idx="9">
                  <c:v>0.745</c:v>
                </c:pt>
                <c:pt idx="10">
                  <c:v>0.61499999999999999</c:v>
                </c:pt>
                <c:pt idx="11">
                  <c:v>0.4850000000000001</c:v>
                </c:pt>
                <c:pt idx="12">
                  <c:v>0.35499999999999998</c:v>
                </c:pt>
                <c:pt idx="13">
                  <c:v>0.31170999999999993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C52-4843-B019-60E71FD215D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Sheet3!$G$4:$G$11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0.30399999999999999</c:v>
                </c:pt>
              </c:numCache>
            </c:numRef>
          </c:xVal>
          <c:yVal>
            <c:numRef>
              <c:f>Sheet3!$H$4:$H$11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C52-4843-B019-60E71FD215D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Sheet3!$D$9:$D$21</c:f>
              <c:numCache>
                <c:formatCode>General</c:formatCode>
                <c:ptCount val="13"/>
                <c:pt idx="0">
                  <c:v>0.41</c:v>
                </c:pt>
                <c:pt idx="1">
                  <c:v>0.42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  <c:pt idx="5">
                  <c:v>0.46</c:v>
                </c:pt>
                <c:pt idx="6">
                  <c:v>0.47</c:v>
                </c:pt>
                <c:pt idx="7">
                  <c:v>0.48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0.83330000000000004</c:v>
                </c:pt>
              </c:numCache>
            </c:numRef>
          </c:xVal>
          <c:yVal>
            <c:numRef>
              <c:f>Sheet3!$E$9:$E$21</c:f>
              <c:numCache>
                <c:formatCode>General</c:formatCode>
                <c:ptCount val="13"/>
                <c:pt idx="0">
                  <c:v>0.59279999999999999</c:v>
                </c:pt>
                <c:pt idx="1">
                  <c:v>0.58560000000000001</c:v>
                </c:pt>
                <c:pt idx="2">
                  <c:v>0.57840000000000003</c:v>
                </c:pt>
                <c:pt idx="3">
                  <c:v>0.57120000000000004</c:v>
                </c:pt>
                <c:pt idx="4">
                  <c:v>0.56400000000000006</c:v>
                </c:pt>
                <c:pt idx="5">
                  <c:v>0.55679999999999996</c:v>
                </c:pt>
                <c:pt idx="6">
                  <c:v>0.54960000000000009</c:v>
                </c:pt>
                <c:pt idx="7">
                  <c:v>0.54239999999999999</c:v>
                </c:pt>
                <c:pt idx="8">
                  <c:v>0.52800000000000002</c:v>
                </c:pt>
                <c:pt idx="9">
                  <c:v>0.45600000000000002</c:v>
                </c:pt>
                <c:pt idx="10">
                  <c:v>0.38400000000000001</c:v>
                </c:pt>
                <c:pt idx="11">
                  <c:v>0.31200000000000006</c:v>
                </c:pt>
                <c:pt idx="12">
                  <c:v>0.28802400000000006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C52-4843-B019-60E71FD215D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Sheet3!$G$25:$G$42</c:f>
              <c:numCache>
                <c:formatCode>General</c:formatCode>
                <c:ptCount val="18"/>
                <c:pt idx="0">
                  <c:v>0.83330000000000004</c:v>
                </c:pt>
                <c:pt idx="1">
                  <c:v>0.84</c:v>
                </c:pt>
                <c:pt idx="2">
                  <c:v>0.85</c:v>
                </c:pt>
                <c:pt idx="3">
                  <c:v>0.88</c:v>
                </c:pt>
                <c:pt idx="4">
                  <c:v>0.89</c:v>
                </c:pt>
                <c:pt idx="5">
                  <c:v>0.89500000000000002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</c:numCache>
            </c:numRef>
          </c:xVal>
          <c:yVal>
            <c:numRef>
              <c:f>Sheet3!$H$25:$H$42</c:f>
              <c:numCache>
                <c:formatCode>General</c:formatCode>
                <c:ptCount val="18"/>
                <c:pt idx="0">
                  <c:v>0.31170999999999993</c:v>
                </c:pt>
                <c:pt idx="1">
                  <c:v>0.30470521541950119</c:v>
                </c:pt>
                <c:pt idx="2">
                  <c:v>0.29757785467128028</c:v>
                </c:pt>
                <c:pt idx="3">
                  <c:v>0.27763429752066116</c:v>
                </c:pt>
                <c:pt idx="4">
                  <c:v>0.27143037495265748</c:v>
                </c:pt>
                <c:pt idx="5">
                  <c:v>0.26840610467838083</c:v>
                </c:pt>
                <c:pt idx="6">
                  <c:v>0.26543209876543206</c:v>
                </c:pt>
                <c:pt idx="7">
                  <c:v>0.215</c:v>
                </c:pt>
                <c:pt idx="8">
                  <c:v>0.17768595041322313</c:v>
                </c:pt>
                <c:pt idx="9">
                  <c:v>0.14930555555555555</c:v>
                </c:pt>
                <c:pt idx="10">
                  <c:v>0.12721893491124259</c:v>
                </c:pt>
                <c:pt idx="11">
                  <c:v>0.10969387755102043</c:v>
                </c:pt>
                <c:pt idx="12">
                  <c:v>9.5555555555555546E-2</c:v>
                </c:pt>
                <c:pt idx="13">
                  <c:v>8.3984374999999986E-2</c:v>
                </c:pt>
                <c:pt idx="14">
                  <c:v>7.4394463667820071E-2</c:v>
                </c:pt>
                <c:pt idx="15">
                  <c:v>6.6358024691358014E-2</c:v>
                </c:pt>
                <c:pt idx="16">
                  <c:v>5.9556786703601108E-2</c:v>
                </c:pt>
                <c:pt idx="17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C52-4843-B019-60E71FD2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11088"/>
        <c:axId val="356819248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'Parametric - Equation'!$N$6:$N$9</c:f>
              <c:numCache>
                <c:formatCode>0.000</c:formatCode>
                <c:ptCount val="4"/>
                <c:pt idx="0">
                  <c:v>0.65418010065655541</c:v>
                </c:pt>
                <c:pt idx="1">
                  <c:v>0.92515037058309724</c:v>
                </c:pt>
                <c:pt idx="2">
                  <c:v>1.0946526807467558</c:v>
                </c:pt>
                <c:pt idx="3">
                  <c:v>1.3083602013131108</c:v>
                </c:pt>
              </c:numCache>
            </c:numRef>
          </c:xVal>
          <c:yVal>
            <c:numRef>
              <c:f>'Parametric - Equation'!$Q$6:$Q$9</c:f>
              <c:numCache>
                <c:formatCode>General</c:formatCode>
                <c:ptCount val="4"/>
                <c:pt idx="0">
                  <c:v>0.72823324312333637</c:v>
                </c:pt>
                <c:pt idx="1">
                  <c:v>0.72180563398402842</c:v>
                </c:pt>
                <c:pt idx="2">
                  <c:v>0.60876457789613847</c:v>
                </c:pt>
                <c:pt idx="3">
                  <c:v>0.55657515452930728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2-4843-B019-60E71FD215D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'Parametric - Equation'!$N$6:$N$9</c:f>
              <c:numCache>
                <c:formatCode>0.000</c:formatCode>
                <c:ptCount val="4"/>
                <c:pt idx="0">
                  <c:v>0.65418010065655541</c:v>
                </c:pt>
                <c:pt idx="1">
                  <c:v>0.92515037058309724</c:v>
                </c:pt>
                <c:pt idx="2">
                  <c:v>1.0946526807467558</c:v>
                </c:pt>
                <c:pt idx="3">
                  <c:v>1.3083602013131108</c:v>
                </c:pt>
              </c:numCache>
            </c:numRef>
          </c:xVal>
          <c:yVal>
            <c:numRef>
              <c:f>'Parametric - Equation'!$T$6:$T$9</c:f>
              <c:numCache>
                <c:formatCode>0.000</c:formatCode>
                <c:ptCount val="4"/>
                <c:pt idx="0">
                  <c:v>0.79715850931677013</c:v>
                </c:pt>
                <c:pt idx="1">
                  <c:v>0.67971560470275061</c:v>
                </c:pt>
                <c:pt idx="2">
                  <c:v>0.50069267976031961</c:v>
                </c:pt>
                <c:pt idx="3">
                  <c:v>0.33742456305506219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2-4843-B019-60E71FD215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'Parametric - Equation'!$W$6:$W$9</c:f>
              <c:numCache>
                <c:formatCode>0.000</c:formatCode>
                <c:ptCount val="4"/>
                <c:pt idx="0">
                  <c:v>0.80120372324554978</c:v>
                </c:pt>
                <c:pt idx="1">
                  <c:v>1.1330731716376763</c:v>
                </c:pt>
                <c:pt idx="2">
                  <c:v>1.3406702566996438</c:v>
                </c:pt>
                <c:pt idx="3">
                  <c:v>1.6024074464910996</c:v>
                </c:pt>
              </c:numCache>
            </c:numRef>
          </c:xVal>
          <c:yVal>
            <c:numRef>
              <c:f>'Parametric - Equation'!$Z$6:$Z$9</c:f>
              <c:numCache>
                <c:formatCode>General</c:formatCode>
                <c:ptCount val="4"/>
                <c:pt idx="0">
                  <c:v>0.62135221384205841</c:v>
                </c:pt>
                <c:pt idx="1">
                  <c:v>0.60931685004436564</c:v>
                </c:pt>
                <c:pt idx="2">
                  <c:v>0.50404919840213047</c:v>
                </c:pt>
                <c:pt idx="3">
                  <c:v>0.39612457193605688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2-4843-B019-60E71FD215D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'Parametric - Equation'!$W$6:$W$9</c:f>
              <c:numCache>
                <c:formatCode>0.000</c:formatCode>
                <c:ptCount val="4"/>
                <c:pt idx="0">
                  <c:v>0.80120372324554978</c:v>
                </c:pt>
                <c:pt idx="1">
                  <c:v>1.1330731716376763</c:v>
                </c:pt>
                <c:pt idx="2">
                  <c:v>1.3406702566996438</c:v>
                </c:pt>
                <c:pt idx="3">
                  <c:v>1.6024074464910996</c:v>
                </c:pt>
              </c:numCache>
            </c:numRef>
          </c:xVal>
          <c:yVal>
            <c:numRef>
              <c:f>'Parametric - Equation'!$AC$6:$AC$9</c:f>
              <c:numCache>
                <c:formatCode>0.000</c:formatCode>
                <c:ptCount val="4"/>
                <c:pt idx="0">
                  <c:v>0.64599367346938763</c:v>
                </c:pt>
                <c:pt idx="1">
                  <c:v>0.54087566459627334</c:v>
                </c:pt>
                <c:pt idx="2">
                  <c:v>0.3547919600532623</c:v>
                </c:pt>
                <c:pt idx="3">
                  <c:v>0.26141226287744229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52-4843-B019-60E71FD215D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'Parametric - Equation'!$AF$6:$AF$9</c:f>
              <c:numCache>
                <c:formatCode>0.000</c:formatCode>
                <c:ptCount val="4"/>
                <c:pt idx="0">
                  <c:v>0.92515037058309724</c:v>
                </c:pt>
                <c:pt idx="1">
                  <c:v>1.308360201313111</c:v>
                </c:pt>
                <c:pt idx="2">
                  <c:v>1.5480726672001279</c:v>
                </c:pt>
                <c:pt idx="3">
                  <c:v>1.8503007411661945</c:v>
                </c:pt>
              </c:numCache>
            </c:numRef>
          </c:xVal>
          <c:yVal>
            <c:numRef>
              <c:f>'Parametric - Equation'!$AI$6:$AI$9</c:f>
              <c:numCache>
                <c:formatCode>General</c:formatCode>
                <c:ptCount val="4"/>
                <c:pt idx="0">
                  <c:v>0.53791702307009759</c:v>
                </c:pt>
                <c:pt idx="1">
                  <c:v>0.51603028283052343</c:v>
                </c:pt>
                <c:pt idx="2">
                  <c:v>0.40206016977363518</c:v>
                </c:pt>
                <c:pt idx="3">
                  <c:v>0.29709342895204266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52-4843-B019-60E71FD215D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'Parametric - Equation'!$AF$6:$AF$9</c:f>
              <c:numCache>
                <c:formatCode>0.000</c:formatCode>
                <c:ptCount val="4"/>
                <c:pt idx="0">
                  <c:v>0.92515037058309724</c:v>
                </c:pt>
                <c:pt idx="1">
                  <c:v>1.308360201313111</c:v>
                </c:pt>
                <c:pt idx="2">
                  <c:v>1.5480726672001279</c:v>
                </c:pt>
                <c:pt idx="3">
                  <c:v>1.8503007411661945</c:v>
                </c:pt>
              </c:numCache>
            </c:numRef>
          </c:xVal>
          <c:yVal>
            <c:numRef>
              <c:f>'Parametric - Equation'!$AL$6:$AL$9</c:f>
              <c:numCache>
                <c:formatCode>General</c:formatCode>
                <c:ptCount val="4"/>
                <c:pt idx="0">
                  <c:v>0.54245684228039037</c:v>
                </c:pt>
                <c:pt idx="1">
                  <c:v>0.43080790927240459</c:v>
                </c:pt>
                <c:pt idx="2">
                  <c:v>0.26637904593874828</c:v>
                </c:pt>
                <c:pt idx="3">
                  <c:v>0.19792051865008883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52-4843-B019-60E71FD215D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'Bifurcation study'!$AA$40:$AA$51</c:f>
              <c:numCache>
                <c:formatCode>0.000</c:formatCode>
                <c:ptCount val="12"/>
                <c:pt idx="0">
                  <c:v>0.65418010065655541</c:v>
                </c:pt>
                <c:pt idx="1">
                  <c:v>0.80120372324554978</c:v>
                </c:pt>
                <c:pt idx="2">
                  <c:v>0.92515037058309724</c:v>
                </c:pt>
                <c:pt idx="3">
                  <c:v>0.92515037058309713</c:v>
                </c:pt>
                <c:pt idx="4">
                  <c:v>1.1330731716376763</c:v>
                </c:pt>
                <c:pt idx="5">
                  <c:v>1.3083602013131108</c:v>
                </c:pt>
                <c:pt idx="6">
                  <c:v>1.1330731716376763</c:v>
                </c:pt>
                <c:pt idx="7">
                  <c:v>1.3877255558746457</c:v>
                </c:pt>
                <c:pt idx="8">
                  <c:v>1.6024074464910996</c:v>
                </c:pt>
                <c:pt idx="9">
                  <c:v>1.3083602013131108</c:v>
                </c:pt>
                <c:pt idx="10">
                  <c:v>1.6024074464910996</c:v>
                </c:pt>
                <c:pt idx="11">
                  <c:v>1.8503007411661945</c:v>
                </c:pt>
              </c:numCache>
            </c:numRef>
          </c:xVal>
          <c:yVal>
            <c:numRef>
              <c:f>'Bifurcation study'!$AC$40:$AC$51</c:f>
              <c:numCache>
                <c:formatCode>0.000</c:formatCode>
                <c:ptCount val="12"/>
                <c:pt idx="0">
                  <c:v>0.7972999999999999</c:v>
                </c:pt>
                <c:pt idx="1">
                  <c:v>0.65564583333333326</c:v>
                </c:pt>
                <c:pt idx="2">
                  <c:v>0.54255312499999997</c:v>
                </c:pt>
                <c:pt idx="3">
                  <c:v>0.67983625000000003</c:v>
                </c:pt>
                <c:pt idx="4">
                  <c:v>0.54097166666666674</c:v>
                </c:pt>
                <c:pt idx="5">
                  <c:v>0.43088437499999999</c:v>
                </c:pt>
                <c:pt idx="6">
                  <c:v>0.50055937500000003</c:v>
                </c:pt>
                <c:pt idx="7">
                  <c:v>0.3546975</c:v>
                </c:pt>
                <c:pt idx="8">
                  <c:v>0.26630812499999995</c:v>
                </c:pt>
                <c:pt idx="9">
                  <c:v>0.33718500000000001</c:v>
                </c:pt>
                <c:pt idx="10">
                  <c:v>0.26122666666666661</c:v>
                </c:pt>
                <c:pt idx="11">
                  <c:v>0.19778000000000001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52-4843-B019-60E71FD215D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 - DATA'!$W$7:$W$69</c:f>
              <c:numCache>
                <c:formatCode>0.000</c:formatCode>
                <c:ptCount val="63"/>
                <c:pt idx="0">
                  <c:v>1.2081143189493235</c:v>
                </c:pt>
                <c:pt idx="1">
                  <c:v>0.53852345540053137</c:v>
                </c:pt>
                <c:pt idx="2">
                  <c:v>0.53619049083342507</c:v>
                </c:pt>
                <c:pt idx="3">
                  <c:v>0.5349074296720977</c:v>
                </c:pt>
                <c:pt idx="4">
                  <c:v>0.55353740304292132</c:v>
                </c:pt>
                <c:pt idx="5">
                  <c:v>0.55007025920238017</c:v>
                </c:pt>
                <c:pt idx="6">
                  <c:v>0.54954261374837832</c:v>
                </c:pt>
                <c:pt idx="7">
                  <c:v>0.55113012580978782</c:v>
                </c:pt>
                <c:pt idx="8">
                  <c:v>0.54875398486023952</c:v>
                </c:pt>
                <c:pt idx="9">
                  <c:v>0.55033465251695124</c:v>
                </c:pt>
                <c:pt idx="10">
                  <c:v>1.4332129766087716</c:v>
                </c:pt>
                <c:pt idx="11">
                  <c:v>1.4423957882809515</c:v>
                </c:pt>
                <c:pt idx="12">
                  <c:v>1.4354900550638543</c:v>
                </c:pt>
                <c:pt idx="13">
                  <c:v>1.4386994278630223</c:v>
                </c:pt>
                <c:pt idx="14">
                  <c:v>1.432301131596563</c:v>
                </c:pt>
                <c:pt idx="15">
                  <c:v>1.2481484676140377</c:v>
                </c:pt>
                <c:pt idx="16">
                  <c:v>1.2493308036756399</c:v>
                </c:pt>
                <c:pt idx="17">
                  <c:v>1.2426685613679265</c:v>
                </c:pt>
                <c:pt idx="18">
                  <c:v>1.2481484676140377</c:v>
                </c:pt>
                <c:pt idx="19">
                  <c:v>1.2509215716357123</c:v>
                </c:pt>
                <c:pt idx="20">
                  <c:v>1.0151896844917145</c:v>
                </c:pt>
                <c:pt idx="21">
                  <c:v>1.0132393114091383</c:v>
                </c:pt>
                <c:pt idx="22">
                  <c:v>1.027755747920917</c:v>
                </c:pt>
                <c:pt idx="23">
                  <c:v>1.0283583543496384</c:v>
                </c:pt>
                <c:pt idx="24">
                  <c:v>1.0256385387673324</c:v>
                </c:pt>
                <c:pt idx="25">
                  <c:v>0.86859176776867375</c:v>
                </c:pt>
                <c:pt idx="26">
                  <c:v>0.87091622616173703</c:v>
                </c:pt>
                <c:pt idx="27">
                  <c:v>0.86705349961472444</c:v>
                </c:pt>
                <c:pt idx="28">
                  <c:v>0.86705349961472444</c:v>
                </c:pt>
                <c:pt idx="29">
                  <c:v>0.86705349961472444</c:v>
                </c:pt>
                <c:pt idx="30">
                  <c:v>2.0975042897416478</c:v>
                </c:pt>
                <c:pt idx="31">
                  <c:v>1.9526179366965277</c:v>
                </c:pt>
                <c:pt idx="32">
                  <c:v>1.4373487105923373</c:v>
                </c:pt>
                <c:pt idx="33">
                  <c:v>1.2670927956224913</c:v>
                </c:pt>
                <c:pt idx="34">
                  <c:v>1.0221991668336072</c:v>
                </c:pt>
                <c:pt idx="35">
                  <c:v>0.88051598380639462</c:v>
                </c:pt>
                <c:pt idx="36">
                  <c:v>0.45098621351844015</c:v>
                </c:pt>
                <c:pt idx="37">
                  <c:v>0.34910007497103596</c:v>
                </c:pt>
                <c:pt idx="38">
                  <c:v>0.59692446282928913</c:v>
                </c:pt>
                <c:pt idx="39">
                  <c:v>0.48678839694839354</c:v>
                </c:pt>
                <c:pt idx="40">
                  <c:v>1.1705012236977708</c:v>
                </c:pt>
                <c:pt idx="41">
                  <c:v>0.9438361062094035</c:v>
                </c:pt>
                <c:pt idx="42">
                  <c:v>0.84233107954232478</c:v>
                </c:pt>
                <c:pt idx="43">
                  <c:v>0.81819405718740235</c:v>
                </c:pt>
                <c:pt idx="44">
                  <c:v>0.79687554460954446</c:v>
                </c:pt>
                <c:pt idx="45">
                  <c:v>0.68356724457301932</c:v>
                </c:pt>
                <c:pt idx="46">
                  <c:v>0.67990963986538877</c:v>
                </c:pt>
                <c:pt idx="47">
                  <c:v>0.51740351226946779</c:v>
                </c:pt>
                <c:pt idx="48">
                  <c:v>0.52079635853959971</c:v>
                </c:pt>
                <c:pt idx="49">
                  <c:v>0.52079635853959971</c:v>
                </c:pt>
                <c:pt idx="50">
                  <c:v>0.52079635853959971</c:v>
                </c:pt>
                <c:pt idx="51">
                  <c:v>0.51740351226946779</c:v>
                </c:pt>
                <c:pt idx="52">
                  <c:v>0.30819113374765733</c:v>
                </c:pt>
                <c:pt idx="53">
                  <c:v>0.30406776791267692</c:v>
                </c:pt>
                <c:pt idx="54">
                  <c:v>0.48832541712527944</c:v>
                </c:pt>
                <c:pt idx="55">
                  <c:v>0.48880406043779084</c:v>
                </c:pt>
                <c:pt idx="56">
                  <c:v>0.42744768667050109</c:v>
                </c:pt>
                <c:pt idx="57">
                  <c:v>0.43236953366480579</c:v>
                </c:pt>
                <c:pt idx="58">
                  <c:v>0.48885911394091885</c:v>
                </c:pt>
                <c:pt idx="59">
                  <c:v>0.4943230678631344</c:v>
                </c:pt>
                <c:pt idx="60">
                  <c:v>0.49466168445527187</c:v>
                </c:pt>
                <c:pt idx="61">
                  <c:v>0.5039693053732871</c:v>
                </c:pt>
                <c:pt idx="62">
                  <c:v>0.49838979914812798</c:v>
                </c:pt>
              </c:numCache>
            </c:numRef>
          </c:xVal>
          <c:yVal>
            <c:numRef>
              <c:f>'EXP - DATA'!$Y$7:$Y$69</c:f>
              <c:numCache>
                <c:formatCode>0.000</c:formatCode>
                <c:ptCount val="63"/>
                <c:pt idx="0">
                  <c:v>0.15438596491228068</c:v>
                </c:pt>
                <c:pt idx="1">
                  <c:v>0.63069952614924707</c:v>
                </c:pt>
                <c:pt idx="2">
                  <c:v>0.62019752747659374</c:v>
                </c:pt>
                <c:pt idx="3">
                  <c:v>0.69971856541558375</c:v>
                </c:pt>
                <c:pt idx="4">
                  <c:v>0.6930011576817483</c:v>
                </c:pt>
                <c:pt idx="5">
                  <c:v>0.71973081328554589</c:v>
                </c:pt>
                <c:pt idx="6">
                  <c:v>0.67980063227412191</c:v>
                </c:pt>
                <c:pt idx="7">
                  <c:v>0.72602001708387254</c:v>
                </c:pt>
                <c:pt idx="8">
                  <c:v>0.69087907000671034</c:v>
                </c:pt>
                <c:pt idx="9">
                  <c:v>0.73261802674767629</c:v>
                </c:pt>
                <c:pt idx="10">
                  <c:v>0.187216393732934</c:v>
                </c:pt>
                <c:pt idx="11">
                  <c:v>0.19284754998927173</c:v>
                </c:pt>
                <c:pt idx="12">
                  <c:v>0.19123486654341421</c:v>
                </c:pt>
                <c:pt idx="13">
                  <c:v>0.19013159530660775</c:v>
                </c:pt>
                <c:pt idx="14">
                  <c:v>0.1903861584901668</c:v>
                </c:pt>
                <c:pt idx="15">
                  <c:v>0.39466490844922769</c:v>
                </c:pt>
                <c:pt idx="16">
                  <c:v>0.39528224427516478</c:v>
                </c:pt>
                <c:pt idx="17">
                  <c:v>0.35417661572747533</c:v>
                </c:pt>
                <c:pt idx="18">
                  <c:v>0.54591247350152583</c:v>
                </c:pt>
                <c:pt idx="19">
                  <c:v>0.35767678733664127</c:v>
                </c:pt>
                <c:pt idx="20">
                  <c:v>0.3913845609135212</c:v>
                </c:pt>
                <c:pt idx="21">
                  <c:v>0.39921799856669654</c:v>
                </c:pt>
                <c:pt idx="22">
                  <c:v>0.35411015697776943</c:v>
                </c:pt>
                <c:pt idx="23">
                  <c:v>0.36398441308065083</c:v>
                </c:pt>
                <c:pt idx="24">
                  <c:v>0.34871581586587119</c:v>
                </c:pt>
                <c:pt idx="25">
                  <c:v>0.53316842275759735</c:v>
                </c:pt>
                <c:pt idx="26">
                  <c:v>0.57438701507583223</c:v>
                </c:pt>
                <c:pt idx="27">
                  <c:v>0.59380124593654782</c:v>
                </c:pt>
                <c:pt idx="28">
                  <c:v>0.58591111601934598</c:v>
                </c:pt>
                <c:pt idx="29">
                  <c:v>0.59622897821876386</c:v>
                </c:pt>
                <c:pt idx="30">
                  <c:v>0.13706046128500823</c:v>
                </c:pt>
                <c:pt idx="31">
                  <c:v>0.13563670575314146</c:v>
                </c:pt>
                <c:pt idx="32">
                  <c:v>0.29651573071447995</c:v>
                </c:pt>
                <c:pt idx="33">
                  <c:v>0.36038920922570022</c:v>
                </c:pt>
                <c:pt idx="34">
                  <c:v>0.4619823648345065</c:v>
                </c:pt>
                <c:pt idx="35">
                  <c:v>0.61807772951924511</c:v>
                </c:pt>
                <c:pt idx="36">
                  <c:v>0.82786236881559205</c:v>
                </c:pt>
                <c:pt idx="37">
                  <c:v>0.90502454862210957</c:v>
                </c:pt>
                <c:pt idx="38">
                  <c:v>0.6248554216867469</c:v>
                </c:pt>
                <c:pt idx="39">
                  <c:v>0.74006337520623733</c:v>
                </c:pt>
                <c:pt idx="40">
                  <c:v>0.15599142233889157</c:v>
                </c:pt>
                <c:pt idx="41">
                  <c:v>0.2408262675974715</c:v>
                </c:pt>
                <c:pt idx="42">
                  <c:v>0.11739407154222407</c:v>
                </c:pt>
                <c:pt idx="43">
                  <c:v>0.13758730158730159</c:v>
                </c:pt>
                <c:pt idx="44">
                  <c:v>0.13549776803108057</c:v>
                </c:pt>
                <c:pt idx="45">
                  <c:v>0.31420376164403041</c:v>
                </c:pt>
                <c:pt idx="46">
                  <c:v>0.47108982108317216</c:v>
                </c:pt>
                <c:pt idx="47">
                  <c:v>1.0795250089960418</c:v>
                </c:pt>
                <c:pt idx="48">
                  <c:v>1.0975051057481411</c:v>
                </c:pt>
                <c:pt idx="49">
                  <c:v>1.0660399364319673</c:v>
                </c:pt>
                <c:pt idx="50">
                  <c:v>1.1226772412010801</c:v>
                </c:pt>
                <c:pt idx="51">
                  <c:v>1.176421384947355</c:v>
                </c:pt>
                <c:pt idx="52">
                  <c:v>0.87987082741181111</c:v>
                </c:pt>
                <c:pt idx="53">
                  <c:v>0.93615726553805212</c:v>
                </c:pt>
                <c:pt idx="54">
                  <c:v>0.86865855388415414</c:v>
                </c:pt>
                <c:pt idx="55">
                  <c:v>0.84696542455474566</c:v>
                </c:pt>
                <c:pt idx="56">
                  <c:v>1.0609822950442258</c:v>
                </c:pt>
                <c:pt idx="57">
                  <c:v>0.88418837535114014</c:v>
                </c:pt>
                <c:pt idx="58">
                  <c:v>0.89927664859981926</c:v>
                </c:pt>
                <c:pt idx="59">
                  <c:v>0.8430651947751705</c:v>
                </c:pt>
                <c:pt idx="60">
                  <c:v>0.88197584039670185</c:v>
                </c:pt>
                <c:pt idx="61">
                  <c:v>0.88017307461251948</c:v>
                </c:pt>
                <c:pt idx="62">
                  <c:v>0.81486923302967984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52-4843-B019-60E71FD215DF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'Bifurcation study'!$AA$4:$AA$39</c:f>
              <c:numCache>
                <c:formatCode>0.000</c:formatCode>
                <c:ptCount val="36"/>
                <c:pt idx="0">
                  <c:v>0.65418010065655541</c:v>
                </c:pt>
                <c:pt idx="1">
                  <c:v>0.80120372324554978</c:v>
                </c:pt>
                <c:pt idx="2">
                  <c:v>0.92515037058309724</c:v>
                </c:pt>
                <c:pt idx="3">
                  <c:v>0.92515037058309724</c:v>
                </c:pt>
                <c:pt idx="4">
                  <c:v>1.1330731716376763</c:v>
                </c:pt>
                <c:pt idx="5">
                  <c:v>1.308360201313111</c:v>
                </c:pt>
                <c:pt idx="6">
                  <c:v>1.1330731716376763</c:v>
                </c:pt>
                <c:pt idx="7">
                  <c:v>1.3877255558746457</c:v>
                </c:pt>
                <c:pt idx="8">
                  <c:v>1.6024074464910996</c:v>
                </c:pt>
                <c:pt idx="9">
                  <c:v>1.3083602013131108</c:v>
                </c:pt>
                <c:pt idx="10">
                  <c:v>1.6024074464910996</c:v>
                </c:pt>
                <c:pt idx="11">
                  <c:v>1.8503007411661945</c:v>
                </c:pt>
                <c:pt idx="12">
                  <c:v>0.65418010065655541</c:v>
                </c:pt>
                <c:pt idx="13">
                  <c:v>0.80120372324554978</c:v>
                </c:pt>
                <c:pt idx="14">
                  <c:v>0.92515037058309724</c:v>
                </c:pt>
                <c:pt idx="15">
                  <c:v>0.92515037058309724</c:v>
                </c:pt>
                <c:pt idx="16">
                  <c:v>1.1330731716376763</c:v>
                </c:pt>
                <c:pt idx="17">
                  <c:v>1.308360201313111</c:v>
                </c:pt>
                <c:pt idx="18">
                  <c:v>1.1330731716376763</c:v>
                </c:pt>
                <c:pt idx="19">
                  <c:v>1.3877255558746457</c:v>
                </c:pt>
                <c:pt idx="20">
                  <c:v>1.6024074464910996</c:v>
                </c:pt>
                <c:pt idx="21">
                  <c:v>1.3083602013131108</c:v>
                </c:pt>
                <c:pt idx="22">
                  <c:v>1.6024074464910996</c:v>
                </c:pt>
                <c:pt idx="23">
                  <c:v>1.8503007411661945</c:v>
                </c:pt>
                <c:pt idx="24">
                  <c:v>0.65418010065655541</c:v>
                </c:pt>
                <c:pt idx="25">
                  <c:v>0.80120372324554978</c:v>
                </c:pt>
                <c:pt idx="26">
                  <c:v>0.92515037058309724</c:v>
                </c:pt>
                <c:pt idx="27">
                  <c:v>0.92515037058309724</c:v>
                </c:pt>
                <c:pt idx="28">
                  <c:v>1.1330731716376763</c:v>
                </c:pt>
                <c:pt idx="29">
                  <c:v>1.308360201313111</c:v>
                </c:pt>
                <c:pt idx="30">
                  <c:v>1.1330731716376763</c:v>
                </c:pt>
                <c:pt idx="31">
                  <c:v>1.3877255558746457</c:v>
                </c:pt>
                <c:pt idx="32">
                  <c:v>1.6024074464910996</c:v>
                </c:pt>
                <c:pt idx="33">
                  <c:v>1.3083602013131108</c:v>
                </c:pt>
                <c:pt idx="34">
                  <c:v>1.6024074464910996</c:v>
                </c:pt>
                <c:pt idx="35">
                  <c:v>1.8503007411661945</c:v>
                </c:pt>
              </c:numCache>
            </c:numRef>
          </c:xVal>
          <c:yVal>
            <c:numRef>
              <c:f>'Bifurcation study'!$AC$4:$AC$39</c:f>
              <c:numCache>
                <c:formatCode>0.000</c:formatCode>
                <c:ptCount val="36"/>
                <c:pt idx="0">
                  <c:v>0.89063749999999997</c:v>
                </c:pt>
                <c:pt idx="1">
                  <c:v>0.74170416666666661</c:v>
                </c:pt>
                <c:pt idx="2">
                  <c:v>0.63195937499999988</c:v>
                </c:pt>
                <c:pt idx="3">
                  <c:v>0.58533500000000005</c:v>
                </c:pt>
                <c:pt idx="4">
                  <c:v>0.42587999999999998</c:v>
                </c:pt>
                <c:pt idx="5">
                  <c:v>0.319638125</c:v>
                </c:pt>
                <c:pt idx="6">
                  <c:v>0.57330749999999997</c:v>
                </c:pt>
                <c:pt idx="7">
                  <c:v>0.40564749999999999</c:v>
                </c:pt>
                <c:pt idx="8">
                  <c:v>0.31088625000000003</c:v>
                </c:pt>
                <c:pt idx="9">
                  <c:v>0.24850000000000003</c:v>
                </c:pt>
                <c:pt idx="10">
                  <c:v>0.16578999999999999</c:v>
                </c:pt>
                <c:pt idx="11">
                  <c:v>0.12199237499999999</c:v>
                </c:pt>
                <c:pt idx="12">
                  <c:v>0.38457749999999996</c:v>
                </c:pt>
                <c:pt idx="13">
                  <c:v>0.31179875000000001</c:v>
                </c:pt>
                <c:pt idx="14">
                  <c:v>0.25593250000000001</c:v>
                </c:pt>
                <c:pt idx="15">
                  <c:v>0.18185999999999999</c:v>
                </c:pt>
                <c:pt idx="16">
                  <c:v>0.12833</c:v>
                </c:pt>
                <c:pt idx="17">
                  <c:v>9.7345625000000005E-2</c:v>
                </c:pt>
                <c:pt idx="18">
                  <c:v>0.10374656250000001</c:v>
                </c:pt>
                <c:pt idx="19">
                  <c:v>7.0358875000000015E-2</c:v>
                </c:pt>
                <c:pt idx="20">
                  <c:v>5.2769156250000011E-2</c:v>
                </c:pt>
                <c:pt idx="21">
                  <c:v>7.2671250000000007E-2</c:v>
                </c:pt>
                <c:pt idx="22">
                  <c:v>4.8468333333333335E-2</c:v>
                </c:pt>
                <c:pt idx="23">
                  <c:v>3.6351250000000002E-2</c:v>
                </c:pt>
                <c:pt idx="24">
                  <c:v>0.90969374999999997</c:v>
                </c:pt>
                <c:pt idx="25">
                  <c:v>0.81957916666666653</c:v>
                </c:pt>
                <c:pt idx="26">
                  <c:v>0.77734687499999988</c:v>
                </c:pt>
                <c:pt idx="27">
                  <c:v>0.69291749999999996</c:v>
                </c:pt>
                <c:pt idx="28">
                  <c:v>0.65362666666666669</c:v>
                </c:pt>
                <c:pt idx="29">
                  <c:v>0.49022749999999993</c:v>
                </c:pt>
                <c:pt idx="30">
                  <c:v>0.61327312499999997</c:v>
                </c:pt>
                <c:pt idx="31">
                  <c:v>0.44268500000000005</c:v>
                </c:pt>
                <c:pt idx="32">
                  <c:v>0.32633249999999997</c:v>
                </c:pt>
                <c:pt idx="33">
                  <c:v>0.45837999999999995</c:v>
                </c:pt>
                <c:pt idx="34">
                  <c:v>0.32237999999999994</c:v>
                </c:pt>
                <c:pt idx="35">
                  <c:v>0.23905750000000001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52-4843-B019-60E71FD215D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Sheet3!$D$4:$D$52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0.41</c:v>
                </c:pt>
                <c:pt idx="6">
                  <c:v>0.42</c:v>
                </c:pt>
                <c:pt idx="7">
                  <c:v>0.43</c:v>
                </c:pt>
                <c:pt idx="8">
                  <c:v>0.44</c:v>
                </c:pt>
                <c:pt idx="9">
                  <c:v>0.45</c:v>
                </c:pt>
                <c:pt idx="10">
                  <c:v>0.46</c:v>
                </c:pt>
                <c:pt idx="11">
                  <c:v>0.47</c:v>
                </c:pt>
                <c:pt idx="12">
                  <c:v>0.48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0.83330000000000004</c:v>
                </c:pt>
                <c:pt idx="18">
                  <c:v>0.85</c:v>
                </c:pt>
                <c:pt idx="19">
                  <c:v>0.88</c:v>
                </c:pt>
                <c:pt idx="20">
                  <c:v>0.89</c:v>
                </c:pt>
                <c:pt idx="21">
                  <c:v>0.89500000000000002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  <c:pt idx="27">
                  <c:v>1.4</c:v>
                </c:pt>
                <c:pt idx="28">
                  <c:v>1.5</c:v>
                </c:pt>
                <c:pt idx="29">
                  <c:v>1.6</c:v>
                </c:pt>
                <c:pt idx="30">
                  <c:v>1.7</c:v>
                </c:pt>
                <c:pt idx="31">
                  <c:v>1.8</c:v>
                </c:pt>
                <c:pt idx="32">
                  <c:v>1.9</c:v>
                </c:pt>
                <c:pt idx="33">
                  <c:v>2</c:v>
                </c:pt>
                <c:pt idx="34">
                  <c:v>2.1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2.5</c:v>
                </c:pt>
                <c:pt idx="39">
                  <c:v>2.6</c:v>
                </c:pt>
                <c:pt idx="40">
                  <c:v>2.7</c:v>
                </c:pt>
                <c:pt idx="41">
                  <c:v>2.8</c:v>
                </c:pt>
                <c:pt idx="42">
                  <c:v>2.9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3.3</c:v>
                </c:pt>
                <c:pt idx="47">
                  <c:v>3.4</c:v>
                </c:pt>
                <c:pt idx="48">
                  <c:v>3.5</c:v>
                </c:pt>
              </c:numCache>
            </c:numRef>
          </c:xVal>
          <c:yVal>
            <c:numRef>
              <c:f>Sheet3!$E$4:$E$52</c:f>
              <c:numCache>
                <c:formatCode>General</c:formatCode>
                <c:ptCount val="4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0.60000000000000009</c:v>
                </c:pt>
                <c:pt idx="5">
                  <c:v>0.59279999999999999</c:v>
                </c:pt>
                <c:pt idx="6">
                  <c:v>0.58560000000000001</c:v>
                </c:pt>
                <c:pt idx="7">
                  <c:v>0.57840000000000003</c:v>
                </c:pt>
                <c:pt idx="8">
                  <c:v>0.57120000000000004</c:v>
                </c:pt>
                <c:pt idx="9">
                  <c:v>0.56400000000000006</c:v>
                </c:pt>
                <c:pt idx="10">
                  <c:v>0.55679999999999996</c:v>
                </c:pt>
                <c:pt idx="11">
                  <c:v>0.54960000000000009</c:v>
                </c:pt>
                <c:pt idx="12">
                  <c:v>0.54239999999999999</c:v>
                </c:pt>
                <c:pt idx="13">
                  <c:v>0.52800000000000002</c:v>
                </c:pt>
                <c:pt idx="14">
                  <c:v>0.45600000000000002</c:v>
                </c:pt>
                <c:pt idx="15">
                  <c:v>0.38400000000000001</c:v>
                </c:pt>
                <c:pt idx="16">
                  <c:v>0.31200000000000006</c:v>
                </c:pt>
                <c:pt idx="17">
                  <c:v>0.28802400000000006</c:v>
                </c:pt>
                <c:pt idx="18">
                  <c:v>0.27681660899653981</c:v>
                </c:pt>
                <c:pt idx="19">
                  <c:v>0.25826446280991738</c:v>
                </c:pt>
                <c:pt idx="20">
                  <c:v>0.2524933720489837</c:v>
                </c:pt>
                <c:pt idx="21">
                  <c:v>0.249680097375238</c:v>
                </c:pt>
                <c:pt idx="22">
                  <c:v>0.24691358024691357</c:v>
                </c:pt>
                <c:pt idx="23">
                  <c:v>0.2</c:v>
                </c:pt>
                <c:pt idx="24">
                  <c:v>0.16528925619834711</c:v>
                </c:pt>
                <c:pt idx="25">
                  <c:v>0.1388888888888889</c:v>
                </c:pt>
                <c:pt idx="26">
                  <c:v>0.11834319526627218</c:v>
                </c:pt>
                <c:pt idx="27">
                  <c:v>0.10204081632653064</c:v>
                </c:pt>
                <c:pt idx="28">
                  <c:v>8.8888888888888892E-2</c:v>
                </c:pt>
                <c:pt idx="29">
                  <c:v>7.8125E-2</c:v>
                </c:pt>
                <c:pt idx="30">
                  <c:v>6.9204152249134954E-2</c:v>
                </c:pt>
                <c:pt idx="31">
                  <c:v>6.1728395061728392E-2</c:v>
                </c:pt>
                <c:pt idx="32">
                  <c:v>5.5401662049861501E-2</c:v>
                </c:pt>
                <c:pt idx="33">
                  <c:v>0.05</c:v>
                </c:pt>
                <c:pt idx="34">
                  <c:v>4.5351473922902494E-2</c:v>
                </c:pt>
                <c:pt idx="35">
                  <c:v>4.1322314049586778E-2</c:v>
                </c:pt>
                <c:pt idx="36">
                  <c:v>3.7807183364839327E-2</c:v>
                </c:pt>
                <c:pt idx="37">
                  <c:v>3.4722222222222224E-2</c:v>
                </c:pt>
                <c:pt idx="38">
                  <c:v>3.2000000000000001E-2</c:v>
                </c:pt>
                <c:pt idx="39">
                  <c:v>2.9585798816568046E-2</c:v>
                </c:pt>
                <c:pt idx="40">
                  <c:v>2.743484224965706E-2</c:v>
                </c:pt>
                <c:pt idx="41">
                  <c:v>2.5510204081632661E-2</c:v>
                </c:pt>
                <c:pt idx="42">
                  <c:v>2.3781212841854936E-2</c:v>
                </c:pt>
                <c:pt idx="43">
                  <c:v>2.2222222222222223E-2</c:v>
                </c:pt>
                <c:pt idx="44">
                  <c:v>2.0811654526534856E-2</c:v>
                </c:pt>
                <c:pt idx="45">
                  <c:v>1.953125E-2</c:v>
                </c:pt>
                <c:pt idx="46">
                  <c:v>1.8365472910927459E-2</c:v>
                </c:pt>
                <c:pt idx="47">
                  <c:v>1.7301038062283738E-2</c:v>
                </c:pt>
                <c:pt idx="48">
                  <c:v>1.6326530612244896E-2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C52-4843-B019-60E71FD215DF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Sheet1!$AA$4:$AA$33</c:f>
              <c:numCache>
                <c:formatCode>0.000</c:formatCode>
                <c:ptCount val="30"/>
                <c:pt idx="0">
                  <c:v>0.48286061543133946</c:v>
                </c:pt>
                <c:pt idx="1">
                  <c:v>0.48605054831762357</c:v>
                </c:pt>
                <c:pt idx="2">
                  <c:v>0.49152266536859757</c:v>
                </c:pt>
                <c:pt idx="3">
                  <c:v>0.50074738130204988</c:v>
                </c:pt>
                <c:pt idx="4">
                  <c:v>0.51525575701104231</c:v>
                </c:pt>
                <c:pt idx="5">
                  <c:v>0.53672602861571084</c:v>
                </c:pt>
                <c:pt idx="6">
                  <c:v>0.5691185852371079</c:v>
                </c:pt>
                <c:pt idx="7">
                  <c:v>0.61853117062217911</c:v>
                </c:pt>
                <c:pt idx="8">
                  <c:v>0.69784889152360419</c:v>
                </c:pt>
                <c:pt idx="9">
                  <c:v>0.8400902528154226</c:v>
                </c:pt>
                <c:pt idx="10">
                  <c:v>0.59138106234651944</c:v>
                </c:pt>
                <c:pt idx="11">
                  <c:v>0.59528791628907929</c:v>
                </c:pt>
                <c:pt idx="12">
                  <c:v>0.60198986358291406</c:v>
                </c:pt>
                <c:pt idx="13">
                  <c:v>0.61328778711245402</c:v>
                </c:pt>
                <c:pt idx="14">
                  <c:v>0.63105684585426491</c:v>
                </c:pt>
                <c:pt idx="15">
                  <c:v>0.65735245088946703</c:v>
                </c:pt>
                <c:pt idx="16">
                  <c:v>0.69702506848278478</c:v>
                </c:pt>
                <c:pt idx="17">
                  <c:v>0.75754287901534989</c:v>
                </c:pt>
                <c:pt idx="18">
                  <c:v>0.85468685089983965</c:v>
                </c:pt>
                <c:pt idx="19">
                  <c:v>1.0288962286417522</c:v>
                </c:pt>
                <c:pt idx="20">
                  <c:v>0.68286803107881966</c:v>
                </c:pt>
                <c:pt idx="21">
                  <c:v>0.68737927742966265</c:v>
                </c:pt>
                <c:pt idx="22">
                  <c:v>0.69511801957804309</c:v>
                </c:pt>
                <c:pt idx="23">
                  <c:v>0.70816373796017051</c:v>
                </c:pt>
                <c:pt idx="24">
                  <c:v>0.72868167965583197</c:v>
                </c:pt>
                <c:pt idx="25">
                  <c:v>0.75904522894698812</c:v>
                </c:pt>
                <c:pt idx="26">
                  <c:v>0.8048552218409063</c:v>
                </c:pt>
                <c:pt idx="27">
                  <c:v>0.87473517024439262</c:v>
                </c:pt>
                <c:pt idx="28">
                  <c:v>0.98690736687971192</c:v>
                </c:pt>
                <c:pt idx="29">
                  <c:v>1.1880670291490127</c:v>
                </c:pt>
              </c:numCache>
            </c:numRef>
          </c:xVal>
          <c:yVal>
            <c:numRef>
              <c:f>Sheet1!$AC$4:$AC$33</c:f>
              <c:numCache>
                <c:formatCode>0.000</c:formatCode>
                <c:ptCount val="30"/>
                <c:pt idx="0">
                  <c:v>0.98436119212962969</c:v>
                </c:pt>
                <c:pt idx="1">
                  <c:v>0.98263282638888882</c:v>
                </c:pt>
                <c:pt idx="2">
                  <c:v>0.98048792592592593</c:v>
                </c:pt>
                <c:pt idx="3">
                  <c:v>0.97737571296296311</c:v>
                </c:pt>
                <c:pt idx="4">
                  <c:v>0.97210098379629628</c:v>
                </c:pt>
                <c:pt idx="5">
                  <c:v>0.96514719328703702</c:v>
                </c:pt>
                <c:pt idx="6">
                  <c:v>0.9513911597222221</c:v>
                </c:pt>
                <c:pt idx="7">
                  <c:v>0.9276622337962962</c:v>
                </c:pt>
                <c:pt idx="8">
                  <c:v>0.87180053819444436</c:v>
                </c:pt>
                <c:pt idx="9">
                  <c:v>0.72224759137152772</c:v>
                </c:pt>
                <c:pt idx="10">
                  <c:v>0.9373833996913582</c:v>
                </c:pt>
                <c:pt idx="11">
                  <c:v>0.9322824483024692</c:v>
                </c:pt>
                <c:pt idx="12">
                  <c:v>0.93071928163580253</c:v>
                </c:pt>
                <c:pt idx="13">
                  <c:v>0.92144908333333342</c:v>
                </c:pt>
                <c:pt idx="14">
                  <c:v>0.91869097222222218</c:v>
                </c:pt>
                <c:pt idx="15">
                  <c:v>0.90233545910493829</c:v>
                </c:pt>
                <c:pt idx="16">
                  <c:v>0.87354894675925909</c:v>
                </c:pt>
                <c:pt idx="17">
                  <c:v>0.8471219521604938</c:v>
                </c:pt>
                <c:pt idx="18">
                  <c:v>0.77980334490740744</c:v>
                </c:pt>
                <c:pt idx="19">
                  <c:v>0.56665717790509262</c:v>
                </c:pt>
                <c:pt idx="20">
                  <c:v>0.91089802199074088</c:v>
                </c:pt>
                <c:pt idx="21">
                  <c:v>0.90802157060185185</c:v>
                </c:pt>
                <c:pt idx="22">
                  <c:v>0.90535863136574068</c:v>
                </c:pt>
                <c:pt idx="23">
                  <c:v>0.89542664814814832</c:v>
                </c:pt>
                <c:pt idx="24">
                  <c:v>0.88692413194444442</c:v>
                </c:pt>
                <c:pt idx="25">
                  <c:v>0.85157658275462966</c:v>
                </c:pt>
                <c:pt idx="26">
                  <c:v>0.83054320543981464</c:v>
                </c:pt>
                <c:pt idx="27">
                  <c:v>0.7766212688078703</c:v>
                </c:pt>
                <c:pt idx="28">
                  <c:v>0.67097852430555549</c:v>
                </c:pt>
                <c:pt idx="29">
                  <c:v>0.43532164643229165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0-42D0-8665-4B6E175C3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11088"/>
        <c:axId val="356819248"/>
      </c:scatterChart>
      <c:valAx>
        <c:axId val="356811088"/>
        <c:scaling>
          <c:orientation val="minMax"/>
          <c:max val="2.29999999999999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19248"/>
        <c:crosses val="autoZero"/>
        <c:crossBetween val="midCat"/>
      </c:valAx>
      <c:valAx>
        <c:axId val="356819248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1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>
                <a:latin typeface="Arial" panose="020B0604020202020204" pitchFamily="34" charset="0"/>
                <a:cs typeface="Arial" panose="020B0604020202020204" pitchFamily="34" charset="0"/>
              </a:rPr>
              <a:t>GMNA vs. t/R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 A - Fy = 200 MPa</c:v>
          </c:tx>
          <c:spPr>
            <a:ln w="12700" cap="flat" cmpd="sng" algn="ctr">
              <a:noFill/>
              <a:prstDash val="solid"/>
              <a:miter lim="800000"/>
            </a:ln>
            <a:effectLst/>
          </c:spPr>
          <c:marker>
            <c:symbol val="circle"/>
            <c:size val="12"/>
            <c:spPr>
              <a:solidFill>
                <a:schemeClr val="lt1"/>
              </a:solidFill>
              <a:ln w="12700" cap="flat" cmpd="sng" algn="ctr">
                <a:solidFill>
                  <a:schemeClr val="tx1"/>
                </a:solidFill>
                <a:prstDash val="solid"/>
                <a:miter lim="800000"/>
              </a:ln>
              <a:effectLst/>
            </c:spPr>
          </c:marker>
          <c:xVal>
            <c:numRef>
              <c:f>'Parametric - Study'!$E$6:$E$9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2E-3</c:v>
                </c:pt>
                <c:pt idx="2">
                  <c:v>1.3333333333333333E-3</c:v>
                </c:pt>
                <c:pt idx="3">
                  <c:v>1E-3</c:v>
                </c:pt>
              </c:numCache>
            </c:numRef>
          </c:xVal>
          <c:yVal>
            <c:numRef>
              <c:f>'Parametric - Study'!$X$6:$X$9</c:f>
              <c:numCache>
                <c:formatCode>General</c:formatCode>
                <c:ptCount val="4"/>
                <c:pt idx="0">
                  <c:v>5.8269000000000003E-3</c:v>
                </c:pt>
                <c:pt idx="1">
                  <c:v>2.8877350000000002E-3</c:v>
                </c:pt>
                <c:pt idx="2">
                  <c:v>1.62294E-3</c:v>
                </c:pt>
                <c:pt idx="3">
                  <c:v>1.11236E-3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1-4736-B892-CE9DE8064C9B}"/>
            </c:ext>
          </c:extLst>
        </c:ser>
        <c:ser>
          <c:idx val="1"/>
          <c:order val="1"/>
          <c:tx>
            <c:v>CASE A - Fy = 300 MPa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/>
              </a:solidFill>
              <a:ln w="9525">
                <a:solidFill>
                  <a:schemeClr val="dk1"/>
                </a:solidFill>
              </a:ln>
              <a:effectLst/>
            </c:spPr>
          </c:marker>
          <c:xVal>
            <c:numRef>
              <c:f>'Parametric - Study'!$E$6:$E$9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2E-3</c:v>
                </c:pt>
                <c:pt idx="2">
                  <c:v>1.3333333333333333E-3</c:v>
                </c:pt>
                <c:pt idx="3">
                  <c:v>1E-3</c:v>
                </c:pt>
              </c:numCache>
            </c:numRef>
          </c:xVal>
          <c:yVal>
            <c:numRef>
              <c:f>'Parametric - Study'!$Z$6:$Z$9</c:f>
              <c:numCache>
                <c:formatCode>General</c:formatCode>
                <c:ptCount val="4"/>
                <c:pt idx="0">
                  <c:v>4.9716999999999999E-3</c:v>
                </c:pt>
                <c:pt idx="1">
                  <c:v>2.4377000000000001E-3</c:v>
                </c:pt>
                <c:pt idx="2">
                  <c:v>1.3437733333333333E-3</c:v>
                </c:pt>
                <c:pt idx="3">
                  <c:v>7.9168666666666664E-4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1-4736-B892-CE9DE8064C9B}"/>
            </c:ext>
          </c:extLst>
        </c:ser>
        <c:ser>
          <c:idx val="2"/>
          <c:order val="2"/>
          <c:tx>
            <c:v>CASE A - Fy = 400 MPa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accent3"/>
              </a:solidFill>
              <a:ln w="9525">
                <a:solidFill>
                  <a:schemeClr val="dk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lgDash"/>
                <a:miter lim="800000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1.2241x - 0.0005</a:t>
                    </a:r>
                    <a:br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0.9956</a:t>
                    </a:r>
                    <a:endParaRPr lang="en-US" sz="14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'Parametric - Study'!$E$6:$E$9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2E-3</c:v>
                </c:pt>
                <c:pt idx="2">
                  <c:v>1.3333333333333333E-3</c:v>
                </c:pt>
                <c:pt idx="3">
                  <c:v>1E-3</c:v>
                </c:pt>
              </c:numCache>
            </c:numRef>
          </c:xVal>
          <c:yVal>
            <c:numRef>
              <c:f>'Parametric - Study'!$AB$6:$AB$9</c:f>
              <c:numCache>
                <c:formatCode>General</c:formatCode>
                <c:ptCount val="4"/>
                <c:pt idx="0">
                  <c:v>4.3040999999999999E-3</c:v>
                </c:pt>
                <c:pt idx="1">
                  <c:v>2.0644875E-3</c:v>
                </c:pt>
                <c:pt idx="2">
                  <c:v>1.0718750000000001E-3</c:v>
                </c:pt>
                <c:pt idx="3">
                  <c:v>5.93765E-4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1-4736-B892-CE9DE8064C9B}"/>
            </c:ext>
          </c:extLst>
        </c:ser>
        <c:ser>
          <c:idx val="3"/>
          <c:order val="3"/>
          <c:tx>
            <c:v>CASE B - Fy = 200 MPa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4"/>
              </a:solidFill>
              <a:ln w="9525">
                <a:solidFill>
                  <a:schemeClr val="dk1"/>
                </a:solidFill>
              </a:ln>
              <a:effectLst/>
            </c:spPr>
          </c:marker>
          <c:xVal>
            <c:numRef>
              <c:f>'Parametric - Study'!$E$15:$E$18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2E-3</c:v>
                </c:pt>
                <c:pt idx="2">
                  <c:v>1.3333333333333333E-3</c:v>
                </c:pt>
                <c:pt idx="3">
                  <c:v>1E-3</c:v>
                </c:pt>
              </c:numCache>
            </c:numRef>
          </c:xVal>
          <c:yVal>
            <c:numRef>
              <c:f>'Parametric - Study'!$X$15:$X$18</c:f>
              <c:numCache>
                <c:formatCode>General</c:formatCode>
                <c:ptCount val="4"/>
                <c:pt idx="0">
                  <c:v>3.3044199999999996E-2</c:v>
                </c:pt>
                <c:pt idx="1">
                  <c:v>1.5326050000000001E-2</c:v>
                </c:pt>
                <c:pt idx="2">
                  <c:v>9.7496500000000003E-3</c:v>
                </c:pt>
                <c:pt idx="3">
                  <c:v>7.0660500000000008E-3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6-4906-A0CD-237868FE5702}"/>
            </c:ext>
          </c:extLst>
        </c:ser>
        <c:ser>
          <c:idx val="4"/>
          <c:order val="4"/>
          <c:tx>
            <c:v>CASE B - Fy = 300 MPa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lgDash"/>
                <a:miter lim="800000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'Parametric - Study'!$E$15:$E$18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2E-3</c:v>
                </c:pt>
                <c:pt idx="2">
                  <c:v>1.3333333333333333E-3</c:v>
                </c:pt>
                <c:pt idx="3">
                  <c:v>1E-3</c:v>
                </c:pt>
              </c:numCache>
            </c:numRef>
          </c:xVal>
          <c:yVal>
            <c:numRef>
              <c:f>'Parametric - Study'!$Z$15:$Z$18</c:f>
              <c:numCache>
                <c:formatCode>General</c:formatCode>
                <c:ptCount val="4"/>
                <c:pt idx="0">
                  <c:v>3.259313333333333E-2</c:v>
                </c:pt>
                <c:pt idx="1">
                  <c:v>1.4959033333333333E-2</c:v>
                </c:pt>
                <c:pt idx="2">
                  <c:v>9.4579666666666663E-3</c:v>
                </c:pt>
                <c:pt idx="3">
                  <c:v>6.8380666666666657E-3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6-4906-A0CD-237868FE5702}"/>
            </c:ext>
          </c:extLst>
        </c:ser>
        <c:ser>
          <c:idx val="5"/>
          <c:order val="5"/>
          <c:tx>
            <c:v>CASE B - Fy = 400 MPa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'Parametric - Study'!$E$15:$E$18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2E-3</c:v>
                </c:pt>
                <c:pt idx="2">
                  <c:v>1.3333333333333333E-3</c:v>
                </c:pt>
                <c:pt idx="3">
                  <c:v>1E-3</c:v>
                </c:pt>
              </c:numCache>
            </c:numRef>
          </c:xVal>
          <c:yVal>
            <c:numRef>
              <c:f>'Parametric - Study'!$AB$15:$AB$18</c:f>
              <c:numCache>
                <c:formatCode>General</c:formatCode>
                <c:ptCount val="4"/>
                <c:pt idx="0">
                  <c:v>3.2161250000000002E-2</c:v>
                </c:pt>
                <c:pt idx="1">
                  <c:v>1.4653724999999999E-2</c:v>
                </c:pt>
                <c:pt idx="2">
                  <c:v>9.1302249999999988E-3</c:v>
                </c:pt>
                <c:pt idx="3">
                  <c:v>6.6118000000000001E-3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6-4906-A0CD-237868FE5702}"/>
            </c:ext>
          </c:extLst>
        </c:ser>
        <c:ser>
          <c:idx val="6"/>
          <c:order val="6"/>
          <c:tx>
            <c:v>CASE C - Fy = 200 MPa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'Parametric - Study'!$E$24:$E$27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2E-3</c:v>
                </c:pt>
                <c:pt idx="2">
                  <c:v>1.3333333333333333E-3</c:v>
                </c:pt>
                <c:pt idx="3">
                  <c:v>1E-3</c:v>
                </c:pt>
              </c:numCache>
            </c:numRef>
          </c:xVal>
          <c:yVal>
            <c:numRef>
              <c:f>'Parametric - Study'!$X$24:$X$27</c:f>
              <c:numCache>
                <c:formatCode>General</c:formatCode>
                <c:ptCount val="4"/>
                <c:pt idx="0">
                  <c:v>1.31707E-2</c:v>
                </c:pt>
                <c:pt idx="1">
                  <c:v>5.8365500000000002E-3</c:v>
                </c:pt>
                <c:pt idx="2">
                  <c:v>3.5080299999999997E-3</c:v>
                </c:pt>
                <c:pt idx="3">
                  <c:v>2.4557399999999997E-3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6-4906-A0CD-237868FE5702}"/>
            </c:ext>
          </c:extLst>
        </c:ser>
        <c:ser>
          <c:idx val="7"/>
          <c:order val="7"/>
          <c:tx>
            <c:v>CASE C - Fy = 300 MPa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'Parametric - Study'!$E$24:$E$27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2E-3</c:v>
                </c:pt>
                <c:pt idx="2">
                  <c:v>1.3333333333333333E-3</c:v>
                </c:pt>
                <c:pt idx="3">
                  <c:v>1E-3</c:v>
                </c:pt>
              </c:numCache>
            </c:numRef>
          </c:xVal>
          <c:yVal>
            <c:numRef>
              <c:f>'Parametric - Study'!$Z$24:$Z$27</c:f>
              <c:numCache>
                <c:formatCode>General</c:formatCode>
                <c:ptCount val="4"/>
                <c:pt idx="0">
                  <c:v>1.2674633333333333E-2</c:v>
                </c:pt>
                <c:pt idx="1">
                  <c:v>5.3880333333333327E-3</c:v>
                </c:pt>
                <c:pt idx="2">
                  <c:v>3.0738933333333334E-3</c:v>
                </c:pt>
                <c:pt idx="3">
                  <c:v>2.1874533333333334E-3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86-4906-A0CD-237868FE5702}"/>
            </c:ext>
          </c:extLst>
        </c:ser>
        <c:ser>
          <c:idx val="8"/>
          <c:order val="8"/>
          <c:tx>
            <c:v>CASE C - Fy = 400 MPa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'Parametric - Study'!$E$24:$E$27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2E-3</c:v>
                </c:pt>
                <c:pt idx="2">
                  <c:v>1.3333333333333333E-3</c:v>
                </c:pt>
                <c:pt idx="3">
                  <c:v>1E-3</c:v>
                </c:pt>
              </c:numCache>
            </c:numRef>
          </c:xVal>
          <c:yVal>
            <c:numRef>
              <c:f>'Parametric - Study'!$AB$24:$AB$27</c:f>
              <c:numCache>
                <c:formatCode>General</c:formatCode>
                <c:ptCount val="4"/>
                <c:pt idx="0">
                  <c:v>1.21733E-2</c:v>
                </c:pt>
                <c:pt idx="1">
                  <c:v>4.988625E-3</c:v>
                </c:pt>
                <c:pt idx="2">
                  <c:v>2.9373749999999999E-3</c:v>
                </c:pt>
                <c:pt idx="3">
                  <c:v>1.939795E-3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86-4906-A0CD-237868FE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23183"/>
        <c:axId val="2055335663"/>
      </c:scatterChart>
      <c:valAx>
        <c:axId val="2055323183"/>
        <c:scaling>
          <c:orientation val="minMax"/>
          <c:min val="5.0000000000000012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t/R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5335663"/>
        <c:crossesAt val="0"/>
        <c:crossBetween val="midCat"/>
      </c:valAx>
      <c:valAx>
        <c:axId val="2055335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en-US" sz="2400" b="0" i="0" u="none" strike="noStrike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GMNA</a:t>
                </a: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/</a:t>
                </a:r>
                <a:r>
                  <a:rPr lang="el-GR" sz="24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2400" b="0" i="0" u="none" strike="noStrike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yield</a:t>
                </a:r>
                <a:endParaRPr lang="en-MY" sz="2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532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7.7860313614644322E-2"/>
          <c:y val="7.4911472315519409E-2"/>
          <c:w val="0.87290891715458652"/>
          <c:h val="0.11819585932326385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GMNA - Fy = 200 MPa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'Parametric - Study'!$D$6:$D$9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'Parametric - Study'!$X$6:$X$9</c:f>
              <c:numCache>
                <c:formatCode>General</c:formatCode>
                <c:ptCount val="4"/>
                <c:pt idx="0">
                  <c:v>5.8269000000000003E-3</c:v>
                </c:pt>
                <c:pt idx="1">
                  <c:v>2.8877350000000002E-3</c:v>
                </c:pt>
                <c:pt idx="2">
                  <c:v>1.62294E-3</c:v>
                </c:pt>
                <c:pt idx="3">
                  <c:v>1.11236E-3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8-43D8-99E8-1797597A4540}"/>
            </c:ext>
          </c:extLst>
        </c:ser>
        <c:ser>
          <c:idx val="1"/>
          <c:order val="1"/>
          <c:tx>
            <c:v>GMNA - Fy = 300 MPa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'Parametric - Study'!$D$6:$D$9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'Parametric - Study'!$Z$6:$Z$9</c:f>
              <c:numCache>
                <c:formatCode>General</c:formatCode>
                <c:ptCount val="4"/>
                <c:pt idx="0">
                  <c:v>4.9716999999999999E-3</c:v>
                </c:pt>
                <c:pt idx="1">
                  <c:v>2.4377000000000001E-3</c:v>
                </c:pt>
                <c:pt idx="2">
                  <c:v>1.3437733333333333E-3</c:v>
                </c:pt>
                <c:pt idx="3">
                  <c:v>7.9168666666666664E-4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A8-43D8-99E8-1797597A4540}"/>
            </c:ext>
          </c:extLst>
        </c:ser>
        <c:ser>
          <c:idx val="2"/>
          <c:order val="2"/>
          <c:tx>
            <c:v>GMNA - Fy = 400 MPa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'Parametric - Study'!$D$6:$D$9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'Parametric - Study'!$AB$6:$AB$9</c:f>
              <c:numCache>
                <c:formatCode>General</c:formatCode>
                <c:ptCount val="4"/>
                <c:pt idx="0">
                  <c:v>4.3040999999999999E-3</c:v>
                </c:pt>
                <c:pt idx="1">
                  <c:v>2.0644875E-3</c:v>
                </c:pt>
                <c:pt idx="2">
                  <c:v>1.0718750000000001E-3</c:v>
                </c:pt>
                <c:pt idx="3">
                  <c:v>5.93765E-4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A8-43D8-99E8-1797597A4540}"/>
            </c:ext>
          </c:extLst>
        </c:ser>
        <c:ser>
          <c:idx val="3"/>
          <c:order val="3"/>
          <c:tx>
            <c:v>GMNIA - Fy = 200 MPa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'Parametric - Study'!$D$6:$D$9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'Parametric - Study'!$Y$6:$Y$9</c:f>
              <c:numCache>
                <c:formatCode>General</c:formatCode>
                <c:ptCount val="4"/>
                <c:pt idx="0">
                  <c:v>6.3783999999999993E-3</c:v>
                </c:pt>
                <c:pt idx="1">
                  <c:v>2.7193450000000002E-3</c:v>
                </c:pt>
                <c:pt idx="2">
                  <c:v>1.334825E-3</c:v>
                </c:pt>
                <c:pt idx="3">
                  <c:v>6.7436999999999998E-4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A8-43D8-99E8-1797597A4540}"/>
            </c:ext>
          </c:extLst>
        </c:ser>
        <c:ser>
          <c:idx val="4"/>
          <c:order val="4"/>
          <c:tx>
            <c:v>GMNIA - Fy = 300 MPa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'Parametric - Study'!$D$6:$D$9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'Parametric - Study'!$AA$6:$AA$9</c:f>
              <c:numCache>
                <c:formatCode>General</c:formatCode>
                <c:ptCount val="4"/>
                <c:pt idx="0">
                  <c:v>5.1688666666666666E-3</c:v>
                </c:pt>
                <c:pt idx="1">
                  <c:v>2.1638866666666666E-3</c:v>
                </c:pt>
                <c:pt idx="2">
                  <c:v>9.4586000000000008E-4</c:v>
                </c:pt>
                <c:pt idx="3">
                  <c:v>5.2245333333333325E-4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A8-43D8-99E8-1797597A4540}"/>
            </c:ext>
          </c:extLst>
        </c:ser>
        <c:ser>
          <c:idx val="5"/>
          <c:order val="5"/>
          <c:tx>
            <c:v>GMNIA - Fy = 400 MPa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'Parametric - Study'!$D$6:$D$9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700</c:v>
                </c:pt>
                <c:pt idx="3">
                  <c:v>1000</c:v>
                </c:pt>
              </c:numCache>
            </c:numRef>
          </c:xVal>
          <c:yVal>
            <c:numRef>
              <c:f>'Parametric - Study'!$AC$6:$AC$9</c:f>
              <c:numCache>
                <c:formatCode>General</c:formatCode>
                <c:ptCount val="4"/>
                <c:pt idx="0">
                  <c:v>4.3404250000000002E-3</c:v>
                </c:pt>
                <c:pt idx="1">
                  <c:v>1.7235375E-3</c:v>
                </c:pt>
                <c:pt idx="2">
                  <c:v>7.1015499999999997E-4</c:v>
                </c:pt>
                <c:pt idx="3">
                  <c:v>3.9555999999999999E-4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A8-43D8-99E8-1797597A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23183"/>
        <c:axId val="2055335663"/>
      </c:scatterChart>
      <c:valAx>
        <c:axId val="2055323183"/>
        <c:scaling>
          <c:orientation val="minMax"/>
          <c:max val="11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R/t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5335663"/>
        <c:crossesAt val="0"/>
        <c:crossBetween val="midCat"/>
      </c:valAx>
      <c:valAx>
        <c:axId val="2055335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</a:t>
                </a:r>
                <a:r>
                  <a:rPr lang="en-US" sz="2400" b="0" i="0" u="none" strike="noStrike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GMNA, GMNIA</a:t>
                </a:r>
                <a:r>
                  <a:rPr lang="en-MY" sz="2400">
                    <a:latin typeface="Arial" panose="020B0604020202020204" pitchFamily="34" charset="0"/>
                    <a:cs typeface="Arial" panose="020B0604020202020204" pitchFamily="34" charset="0"/>
                  </a:rPr>
                  <a:t>/</a:t>
                </a:r>
                <a:r>
                  <a:rPr lang="el-GR" sz="24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2400" b="0" i="0" u="none" strike="noStrike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yield</a:t>
                </a:r>
                <a:endParaRPr lang="en-MY" sz="2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53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850857392825897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Fy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[2]ECCS!$E$6:$E$26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[2]ECCS!$F$6:$F$26</c:f>
              <c:numCache>
                <c:formatCode>General</c:formatCode>
                <c:ptCount val="21"/>
                <c:pt idx="0">
                  <c:v>215</c:v>
                </c:pt>
                <c:pt idx="1">
                  <c:v>211.05786968556151</c:v>
                </c:pt>
                <c:pt idx="2">
                  <c:v>205.20638595637203</c:v>
                </c:pt>
                <c:pt idx="3">
                  <c:v>197.88503933557081</c:v>
                </c:pt>
                <c:pt idx="4">
                  <c:v>189.15343775179039</c:v>
                </c:pt>
                <c:pt idx="5">
                  <c:v>178.98691538152008</c:v>
                </c:pt>
                <c:pt idx="6">
                  <c:v>167.3166159055065</c:v>
                </c:pt>
                <c:pt idx="7">
                  <c:v>154.04112930168083</c:v>
                </c:pt>
                <c:pt idx="8">
                  <c:v>139.02963096396712</c:v>
                </c:pt>
                <c:pt idx="9">
                  <c:v>122.12125236325737</c:v>
                </c:pt>
                <c:pt idx="10">
                  <c:v>103.12212905358244</c:v>
                </c:pt>
                <c:pt idx="11">
                  <c:v>81.800529063733379</c:v>
                </c:pt>
                <c:pt idx="12">
                  <c:v>57.880009479823045</c:v>
                </c:pt>
                <c:pt idx="13">
                  <c:v>38.699999999999996</c:v>
                </c:pt>
                <c:pt idx="14">
                  <c:v>26.792307692307698</c:v>
                </c:pt>
                <c:pt idx="15">
                  <c:v>18.725806451612904</c:v>
                </c:pt>
                <c:pt idx="16">
                  <c:v>12.899999999999997</c:v>
                </c:pt>
                <c:pt idx="17">
                  <c:v>8.4951219512195131</c:v>
                </c:pt>
                <c:pt idx="18">
                  <c:v>5.0478260869565208</c:v>
                </c:pt>
                <c:pt idx="19">
                  <c:v>2.2764705882352962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8-4088-8AC6-8F729C9BD75B}"/>
            </c:ext>
          </c:extLst>
        </c:ser>
        <c:ser>
          <c:idx val="1"/>
          <c:order val="1"/>
          <c:tx>
            <c:v>Gillie</c:v>
          </c:tx>
          <c:marker>
            <c:symbol val="none"/>
          </c:marker>
          <c:xVal>
            <c:numRef>
              <c:f>[2]ECCS!$E$29:$E$30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[2]ECCS!$F$29:$F$30</c:f>
              <c:numCache>
                <c:formatCode>General</c:formatCode>
                <c:ptCount val="2"/>
                <c:pt idx="0">
                  <c:v>215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78-4088-8AC6-8F729C9B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34944"/>
        <c:axId val="119636736"/>
      </c:scatterChart>
      <c:valAx>
        <c:axId val="1196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6736"/>
        <c:crosses val="autoZero"/>
        <c:crossBetween val="midCat"/>
        <c:majorUnit val="100"/>
      </c:valAx>
      <c:valAx>
        <c:axId val="1196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5F1214-FCEB-4F97-B988-185E14C2994B}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79A332-1FB1-48D4-84DF-2B1CC565DB51}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9B4D5C-D0AD-49D1-B84A-C0752F78C201}">
  <sheetPr/>
  <sheetViews>
    <sheetView tabSelected="1" zoomScale="5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F063CD-1694-4A4F-B384-E3F43D6E7B3F}">
  <sheetPr/>
  <sheetViews>
    <sheetView zoomScale="6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8C6032-9005-4A7A-9C55-F8DD7B806BCC}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B5AD72-F9F8-4E8B-B405-0F1F41C6EE98}">
  <sheetPr/>
  <sheetViews>
    <sheetView zoomScale="5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C68B1C-6B47-4BA9-ABCD-07EB5A1534F6}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EDB3AC-DA4E-4E8C-BBF2-1110340F0996}">
  <sheetPr/>
  <sheetViews>
    <sheetView zoomScale="5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AF5DB8-1DCE-4ACE-AC3B-81A5DEB8A3FC}">
  <sheetPr/>
  <sheetViews>
    <sheetView zoomScale="5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CEA9FB-9FF4-4D51-B56D-F66BAC8E4A63}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A951A-E478-1C39-DC73-FA4466EBDD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1</xdr:row>
      <xdr:rowOff>109537</xdr:rowOff>
    </xdr:from>
    <xdr:to>
      <xdr:col>16</xdr:col>
      <xdr:colOff>274320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03577-6AE2-4239-AFB1-D964EAA9A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16</xdr:row>
      <xdr:rowOff>90487</xdr:rowOff>
    </xdr:from>
    <xdr:to>
      <xdr:col>16</xdr:col>
      <xdr:colOff>266700</xdr:colOff>
      <xdr:row>28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75CCA-0D3B-4940-A2A3-B5E1B5599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579120</xdr:colOff>
      <xdr:row>3</xdr:row>
      <xdr:rowOff>144780</xdr:rowOff>
    </xdr:from>
    <xdr:to>
      <xdr:col>11</xdr:col>
      <xdr:colOff>228600</xdr:colOff>
      <xdr:row>15</xdr:row>
      <xdr:rowOff>7620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05A2ED7-1C6E-4D6E-AA89-60EC9973FC63}"/>
            </a:ext>
          </a:extLst>
        </xdr:cNvPr>
        <xdr:cNvSpPr/>
      </xdr:nvSpPr>
      <xdr:spPr>
        <a:xfrm>
          <a:off x="6497320" y="735330"/>
          <a:ext cx="1554480" cy="2225040"/>
        </a:xfrm>
        <a:prstGeom prst="ellipse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0</xdr:row>
      <xdr:rowOff>165100</xdr:rowOff>
    </xdr:from>
    <xdr:to>
      <xdr:col>14</xdr:col>
      <xdr:colOff>219075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9887E-949A-7B66-3CB1-5CE969BFF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365125</xdr:colOff>
      <xdr:row>1</xdr:row>
      <xdr:rowOff>0</xdr:rowOff>
    </xdr:from>
    <xdr:to>
      <xdr:col>22</xdr:col>
      <xdr:colOff>60325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15B4F-53D6-3F7D-4D65-0334C7D44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0671E-78D2-7E4C-896E-DD299AC602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2C477-F5DE-AF86-0726-F6A19E9887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542BC-58EE-9AD7-AFC6-971E3B7FD9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641E5-C38F-C0B3-C0CE-9FB2A296D7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E4C5D-6575-6ECC-FA26-1990B54F77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603250</xdr:colOff>
      <xdr:row>12</xdr:row>
      <xdr:rowOff>0</xdr:rowOff>
    </xdr:from>
    <xdr:to>
      <xdr:col>7</xdr:col>
      <xdr:colOff>711300</xdr:colOff>
      <xdr:row>14</xdr:row>
      <xdr:rowOff>171480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D5923D-0D17-E6A3-84DC-BD3FF944B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650" y="2349500"/>
          <a:ext cx="1936850" cy="5842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29F0A-598B-1BD3-F3B0-F1CE87D9A1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18</xdr:row>
      <xdr:rowOff>104775</xdr:rowOff>
    </xdr:from>
    <xdr:ext cx="4419600" cy="2876550"/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99FE8279-9F81-45AC-BF25-36276DCCB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84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255CE-55D2-94F6-63D0-5C58FCEBB5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101AF-CDDC-6133-AC9C-7A0DD1D1A6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15E72-791D-D657-09A0-EB9BB01146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hd%20Shahrom%20Ismail\Desktop\Buckling%20references%20data\SPHERICAL%20SHELL%20-%20GUIDELINE.xlsx" TargetMode="External"/><Relationship Id="rId1" Type="http://schemas.openxmlformats.org/officeDocument/2006/relationships/externalLinkPath" Target="/Users/Mohd%20Shahrom%20Ismail/Desktop/Buckling%20references%20data/SPHERICAL%20SHELL%20-%20GUID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hd%20Shahrom%20Ismail\Downloads\EXPERIMENT%20DATA%20ON%20HEATED%20STRUCTURE%20UNDER%20AXIAL%20COMPRESSION%20-%20ZHAF.xlsx" TargetMode="External"/><Relationship Id="rId1" Type="http://schemas.openxmlformats.org/officeDocument/2006/relationships/externalLinkPath" Target="/Users/Mohd%20Shahrom%20Ismail/Downloads/EXPERIMENT%20DATA%20ON%20HEATED%20STRUCTURE%20UNDER%20AXIAL%20COMPRESSION%20-%20ZHA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 STUDY"/>
      <sheetName val="PD5500 Curve + Exp"/>
      <sheetName val="PD5500"/>
      <sheetName val="ECCS"/>
      <sheetName val="DnV"/>
      <sheetName val="ABS"/>
      <sheetName val="Statistical analysis"/>
      <sheetName val="DISTRIBUTION ANALYSIS"/>
      <sheetName val="GMNA - BM ANALYSIS"/>
      <sheetName val="LBA"/>
      <sheetName val="Load vs Disp"/>
      <sheetName val="GMNIA - UNHS1 "/>
      <sheetName val="GMNIA - D6"/>
      <sheetName val="GMNIA - 1"/>
      <sheetName val="PROPOSED EQUATION"/>
      <sheetName val="PROPOSED EQUATION - NEW DESIGN"/>
      <sheetName val="SUMMARY"/>
      <sheetName val="EXP LAMDA"/>
      <sheetName val="With LAM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H11">
            <v>0</v>
          </cell>
        </row>
        <row r="12">
          <cell r="H12">
            <v>0.6</v>
          </cell>
        </row>
        <row r="13">
          <cell r="H13">
            <v>0.8</v>
          </cell>
        </row>
        <row r="14">
          <cell r="H14">
            <v>1</v>
          </cell>
        </row>
        <row r="15">
          <cell r="H15">
            <v>1.6</v>
          </cell>
        </row>
        <row r="16">
          <cell r="H16">
            <v>1.8</v>
          </cell>
        </row>
        <row r="17">
          <cell r="H17">
            <v>2</v>
          </cell>
        </row>
        <row r="18">
          <cell r="H18">
            <v>2.5</v>
          </cell>
        </row>
        <row r="21">
          <cell r="L21">
            <v>0.49470276372459382</v>
          </cell>
          <cell r="N21">
            <v>0.49470276372459382</v>
          </cell>
          <cell r="O21">
            <v>0.49470276372459382</v>
          </cell>
          <cell r="P21">
            <v>0.49470276372459382</v>
          </cell>
        </row>
        <row r="22">
          <cell r="L22">
            <v>0.51588196856757851</v>
          </cell>
          <cell r="N22">
            <v>0.48800246339727577</v>
          </cell>
          <cell r="O22">
            <v>0.29461483941687672</v>
          </cell>
          <cell r="P22">
            <v>0.29461936664682759</v>
          </cell>
        </row>
        <row r="23">
          <cell r="L23">
            <v>0.51508352983078509</v>
          </cell>
          <cell r="N23">
            <v>0.47099654143629388</v>
          </cell>
          <cell r="O23">
            <v>0.29380981561833652</v>
          </cell>
          <cell r="P23">
            <v>0.29336408925135338</v>
          </cell>
        </row>
        <row r="24">
          <cell r="L24">
            <v>0.50856843436509425</v>
          </cell>
          <cell r="N24">
            <v>0.4560566825983548</v>
          </cell>
          <cell r="O24">
            <v>0.29789666956491323</v>
          </cell>
          <cell r="P24">
            <v>0.29789214233496236</v>
          </cell>
        </row>
        <row r="25">
          <cell r="L25">
            <v>0.49322524049516681</v>
          </cell>
          <cell r="N25">
            <v>0.41746822076239976</v>
          </cell>
          <cell r="O25">
            <v>0.31355553483232557</v>
          </cell>
          <cell r="P25">
            <v>0.31355059603601554</v>
          </cell>
        </row>
        <row r="26">
          <cell r="L26">
            <v>0.48645085822319778</v>
          </cell>
          <cell r="N26">
            <v>0.40583612075312503</v>
          </cell>
          <cell r="O26">
            <v>0.31790249871789894</v>
          </cell>
          <cell r="P26">
            <v>0.31789755992158886</v>
          </cell>
        </row>
        <row r="27">
          <cell r="L27">
            <v>0.47875045164309199</v>
          </cell>
          <cell r="N27">
            <v>0.39459994758137368</v>
          </cell>
          <cell r="O27">
            <v>0.32199511459350405</v>
          </cell>
          <cell r="P27">
            <v>0.32198976423083481</v>
          </cell>
        </row>
        <row r="28">
          <cell r="L28">
            <v>0.45406470141996286</v>
          </cell>
          <cell r="N28">
            <v>0.36773207252191537</v>
          </cell>
          <cell r="O28">
            <v>0.33056557245689921</v>
          </cell>
          <cell r="P28">
            <v>0.33056104522694824</v>
          </cell>
        </row>
      </sheetData>
      <sheetData sheetId="13"/>
      <sheetData sheetId="14"/>
      <sheetData sheetId="15"/>
      <sheetData sheetId="16"/>
      <sheetData sheetId="17" refreshError="1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CCS"/>
      <sheetName val="Gillie et al."/>
      <sheetName val="EXPERIMENT"/>
      <sheetName val="RESULTS SUMMARY"/>
      <sheetName val="Result plotting - 1 mm"/>
      <sheetName val="Result plotting - 2 mm"/>
      <sheetName val="EC3"/>
    </sheetNames>
    <sheetDataSet>
      <sheetData sheetId="0">
        <row r="6">
          <cell r="E6">
            <v>0</v>
          </cell>
          <cell r="F6">
            <v>215</v>
          </cell>
          <cell r="G6">
            <v>195000</v>
          </cell>
        </row>
        <row r="7">
          <cell r="E7">
            <v>50</v>
          </cell>
          <cell r="F7">
            <v>211.05786968556151</v>
          </cell>
          <cell r="G7">
            <v>195136.01250000001</v>
          </cell>
        </row>
        <row r="8">
          <cell r="E8">
            <v>100</v>
          </cell>
          <cell r="F8">
            <v>205.20638595637203</v>
          </cell>
          <cell r="G8">
            <v>193340.55000000002</v>
          </cell>
        </row>
        <row r="9">
          <cell r="E9">
            <v>150</v>
          </cell>
          <cell r="F9">
            <v>197.88503933557081</v>
          </cell>
          <cell r="G9">
            <v>190584.71249999999</v>
          </cell>
        </row>
        <row r="10">
          <cell r="E10">
            <v>200</v>
          </cell>
          <cell r="F10">
            <v>189.15343775179039</v>
          </cell>
          <cell r="G10">
            <v>187336.5</v>
          </cell>
        </row>
        <row r="11">
          <cell r="E11">
            <v>250</v>
          </cell>
          <cell r="F11">
            <v>178.98691538152008</v>
          </cell>
          <cell r="G11">
            <v>183560.8125</v>
          </cell>
        </row>
        <row r="12">
          <cell r="E12">
            <v>300</v>
          </cell>
          <cell r="F12">
            <v>167.3166159055065</v>
          </cell>
          <cell r="G12">
            <v>178719.45</v>
          </cell>
        </row>
        <row r="13">
          <cell r="E13">
            <v>350</v>
          </cell>
          <cell r="F13">
            <v>154.04112930168083</v>
          </cell>
          <cell r="G13">
            <v>171771.11249999999</v>
          </cell>
        </row>
        <row r="14">
          <cell r="E14">
            <v>400</v>
          </cell>
          <cell r="F14">
            <v>139.02963096396712</v>
          </cell>
          <cell r="G14">
            <v>161171.39999999994</v>
          </cell>
        </row>
        <row r="15">
          <cell r="E15">
            <v>450</v>
          </cell>
          <cell r="F15">
            <v>122.12125236325737</v>
          </cell>
          <cell r="G15">
            <v>144872.8125</v>
          </cell>
        </row>
        <row r="16">
          <cell r="E16">
            <v>500</v>
          </cell>
          <cell r="F16">
            <v>103.12212905358244</v>
          </cell>
          <cell r="G16">
            <v>120324.74999999997</v>
          </cell>
        </row>
        <row r="17">
          <cell r="E17">
            <v>550</v>
          </cell>
          <cell r="F17">
            <v>81.800529063733379</v>
          </cell>
          <cell r="G17">
            <v>84473.512500000026</v>
          </cell>
        </row>
        <row r="18">
          <cell r="E18">
            <v>600</v>
          </cell>
          <cell r="F18">
            <v>57.880009479823045</v>
          </cell>
          <cell r="G18">
            <v>33762.300000000017</v>
          </cell>
        </row>
        <row r="19">
          <cell r="E19">
            <v>650</v>
          </cell>
          <cell r="F19">
            <v>38.699999999999996</v>
          </cell>
          <cell r="G19">
            <v>25330.500000000004</v>
          </cell>
        </row>
        <row r="20">
          <cell r="E20">
            <v>700</v>
          </cell>
          <cell r="F20">
            <v>26.792307692307698</v>
          </cell>
          <cell r="G20">
            <v>16887</v>
          </cell>
        </row>
        <row r="21">
          <cell r="E21">
            <v>750</v>
          </cell>
          <cell r="F21">
            <v>18.725806451612904</v>
          </cell>
          <cell r="G21">
            <v>8443.5</v>
          </cell>
        </row>
        <row r="22">
          <cell r="E22">
            <v>800</v>
          </cell>
          <cell r="F22">
            <v>12.899999999999997</v>
          </cell>
          <cell r="G22">
            <v>0</v>
          </cell>
        </row>
        <row r="23">
          <cell r="E23">
            <v>850</v>
          </cell>
          <cell r="F23">
            <v>8.4951219512195131</v>
          </cell>
        </row>
        <row r="24">
          <cell r="E24">
            <v>900</v>
          </cell>
          <cell r="F24">
            <v>5.0478260869565208</v>
          </cell>
        </row>
        <row r="25">
          <cell r="E25">
            <v>950</v>
          </cell>
          <cell r="F25">
            <v>2.2764705882352962</v>
          </cell>
        </row>
        <row r="26">
          <cell r="E26">
            <v>1000</v>
          </cell>
          <cell r="F26">
            <v>0</v>
          </cell>
        </row>
        <row r="29">
          <cell r="E29">
            <v>0</v>
          </cell>
          <cell r="F29">
            <v>215</v>
          </cell>
        </row>
        <row r="30">
          <cell r="E30">
            <v>1000</v>
          </cell>
          <cell r="F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CCD8-6EF6-4A45-88EC-CBF251D1268D}">
  <dimension ref="B2:P28"/>
  <sheetViews>
    <sheetView workbookViewId="0">
      <selection activeCell="E12" sqref="E12"/>
    </sheetView>
  </sheetViews>
  <sheetFormatPr defaultRowHeight="14.5"/>
  <cols>
    <col min="8" max="8" width="11.1796875" bestFit="1" customWidth="1"/>
    <col min="11" max="11" width="11.08984375" bestFit="1" customWidth="1"/>
  </cols>
  <sheetData>
    <row r="2" spans="2:16" ht="15" thickBot="1"/>
    <row r="3" spans="2:16" ht="15.5" customHeight="1">
      <c r="B3" s="153" t="s">
        <v>14</v>
      </c>
      <c r="C3" s="153" t="s">
        <v>15</v>
      </c>
      <c r="D3" s="153" t="s">
        <v>17</v>
      </c>
      <c r="E3" s="153" t="s">
        <v>20</v>
      </c>
      <c r="F3" s="153" t="s">
        <v>99</v>
      </c>
      <c r="G3" s="153" t="s">
        <v>100</v>
      </c>
      <c r="H3" s="155" t="s">
        <v>89</v>
      </c>
      <c r="I3" s="156" t="s">
        <v>97</v>
      </c>
      <c r="J3" s="151" t="s">
        <v>98</v>
      </c>
      <c r="K3" s="149" t="s">
        <v>101</v>
      </c>
    </row>
    <row r="4" spans="2:16" ht="15" thickBot="1">
      <c r="B4" s="154"/>
      <c r="C4" s="154"/>
      <c r="D4" s="154"/>
      <c r="E4" s="154"/>
      <c r="F4" s="154"/>
      <c r="G4" s="154"/>
      <c r="H4" s="152"/>
      <c r="I4" s="152"/>
      <c r="J4" s="152"/>
      <c r="K4" s="150"/>
    </row>
    <row r="5" spans="2:16" ht="16" thickBot="1">
      <c r="B5" s="40" t="s">
        <v>81</v>
      </c>
      <c r="C5" s="41">
        <v>1816.5</v>
      </c>
      <c r="D5" s="41">
        <v>1</v>
      </c>
      <c r="E5" s="41">
        <f>C5/D5</f>
        <v>1816.5</v>
      </c>
      <c r="F5" s="41">
        <v>166.12</v>
      </c>
      <c r="G5" s="41">
        <f>F5/2</f>
        <v>83.06</v>
      </c>
      <c r="H5" s="47">
        <v>207000</v>
      </c>
      <c r="I5" s="43">
        <v>303.5</v>
      </c>
      <c r="J5" s="43">
        <v>0.28000000000000003</v>
      </c>
      <c r="K5" s="46">
        <f>(3*(1-J5^2))^0.25*(I5/H5)^0.5*(E5)^0.5</f>
        <v>2.1043976409458507</v>
      </c>
      <c r="L5" s="42"/>
      <c r="M5" s="42"/>
      <c r="N5" s="44"/>
      <c r="O5" s="42"/>
      <c r="P5" s="45"/>
    </row>
    <row r="6" spans="2:16" ht="16" thickBot="1">
      <c r="B6" s="40" t="s">
        <v>82</v>
      </c>
      <c r="C6" s="41">
        <v>1605.7</v>
      </c>
      <c r="D6" s="41">
        <v>1.02</v>
      </c>
      <c r="E6" s="41">
        <f t="shared" ref="E6:E10" si="0">C6/D6</f>
        <v>1574.2156862745098</v>
      </c>
      <c r="F6" s="41">
        <v>166.13</v>
      </c>
      <c r="G6" s="41">
        <f t="shared" ref="G6:G10" si="1">F6/2</f>
        <v>83.064999999999998</v>
      </c>
      <c r="H6" s="47">
        <v>207000</v>
      </c>
      <c r="I6" s="43">
        <v>303.5</v>
      </c>
      <c r="J6" s="43">
        <v>0.28000000000000003</v>
      </c>
      <c r="K6" s="46">
        <f t="shared" ref="K6:K10" si="2">(3*(1-J6^2))^0.25*(I6/H6)^0.5*(E6)^0.5</f>
        <v>1.9590351255771918</v>
      </c>
      <c r="L6" s="42"/>
      <c r="M6" s="42"/>
      <c r="N6" s="42"/>
      <c r="O6" s="42"/>
    </row>
    <row r="7" spans="2:16" ht="16" thickBot="1">
      <c r="B7" s="40" t="s">
        <v>83</v>
      </c>
      <c r="C7" s="41">
        <v>878.6</v>
      </c>
      <c r="D7" s="41">
        <v>1.03</v>
      </c>
      <c r="E7" s="41">
        <f t="shared" si="0"/>
        <v>853.00970873786412</v>
      </c>
      <c r="F7" s="41">
        <v>166.1</v>
      </c>
      <c r="G7" s="41">
        <f t="shared" si="1"/>
        <v>83.05</v>
      </c>
      <c r="H7" s="47">
        <v>207000</v>
      </c>
      <c r="I7" s="43">
        <v>303.5</v>
      </c>
      <c r="J7" s="43">
        <v>0.28000000000000003</v>
      </c>
      <c r="K7" s="46">
        <f t="shared" si="2"/>
        <v>1.4420724909028138</v>
      </c>
      <c r="L7" s="42"/>
      <c r="M7" s="42"/>
      <c r="N7" s="42"/>
      <c r="O7" s="42"/>
    </row>
    <row r="8" spans="2:16" ht="16" thickBot="1">
      <c r="B8" s="40" t="s">
        <v>84</v>
      </c>
      <c r="C8" s="41">
        <v>1166.7</v>
      </c>
      <c r="D8" s="41">
        <v>1.76</v>
      </c>
      <c r="E8" s="41">
        <f t="shared" si="0"/>
        <v>662.89772727272725</v>
      </c>
      <c r="F8" s="41">
        <v>166.12</v>
      </c>
      <c r="G8" s="41">
        <f t="shared" si="1"/>
        <v>83.06</v>
      </c>
      <c r="H8" s="47">
        <v>207000</v>
      </c>
      <c r="I8" s="43">
        <v>303.5</v>
      </c>
      <c r="J8" s="43">
        <v>0.28000000000000003</v>
      </c>
      <c r="K8" s="46">
        <f t="shared" si="2"/>
        <v>1.2712570377130841</v>
      </c>
      <c r="L8" s="42"/>
      <c r="M8" s="42"/>
      <c r="N8" s="42"/>
      <c r="O8" s="42"/>
    </row>
    <row r="9" spans="2:16" ht="16" thickBot="1">
      <c r="B9" s="40" t="s">
        <v>85</v>
      </c>
      <c r="C9" s="41">
        <v>759.3</v>
      </c>
      <c r="D9" s="41">
        <v>1.76</v>
      </c>
      <c r="E9" s="41">
        <f t="shared" si="0"/>
        <v>431.4204545454545</v>
      </c>
      <c r="F9" s="41">
        <v>166.1</v>
      </c>
      <c r="G9" s="41">
        <f t="shared" si="1"/>
        <v>83.05</v>
      </c>
      <c r="H9" s="47">
        <v>207000</v>
      </c>
      <c r="I9" s="43">
        <v>303.5</v>
      </c>
      <c r="J9" s="43">
        <v>0.28000000000000003</v>
      </c>
      <c r="K9" s="46">
        <f t="shared" si="2"/>
        <v>1.0255585772968372</v>
      </c>
      <c r="L9" s="42"/>
      <c r="M9" s="42"/>
      <c r="N9" s="42"/>
      <c r="O9" s="42"/>
    </row>
    <row r="10" spans="2:16" ht="16" thickBot="1">
      <c r="B10" s="40" t="s">
        <v>86</v>
      </c>
      <c r="C10" s="41">
        <v>563.4</v>
      </c>
      <c r="D10" s="41">
        <v>1.76</v>
      </c>
      <c r="E10" s="41">
        <f t="shared" si="0"/>
        <v>320.11363636363637</v>
      </c>
      <c r="F10" s="41">
        <v>166.18</v>
      </c>
      <c r="G10" s="41">
        <f t="shared" si="1"/>
        <v>83.09</v>
      </c>
      <c r="H10" s="47">
        <v>207000</v>
      </c>
      <c r="I10" s="43">
        <v>303.5</v>
      </c>
      <c r="J10" s="43">
        <v>0.28000000000000003</v>
      </c>
      <c r="K10" s="46">
        <f t="shared" si="2"/>
        <v>0.88340975901676122</v>
      </c>
      <c r="L10" s="42"/>
      <c r="M10" s="42"/>
      <c r="N10" s="42"/>
      <c r="O10" s="42"/>
    </row>
    <row r="11" spans="2:16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3" spans="2:16" ht="15" thickBot="1">
      <c r="N13" s="45"/>
    </row>
    <row r="14" spans="2:16" ht="17.5">
      <c r="M14" s="16" t="s">
        <v>77</v>
      </c>
      <c r="N14" s="16" t="s">
        <v>78</v>
      </c>
      <c r="O14" s="16" t="s">
        <v>114</v>
      </c>
      <c r="P14" s="16" t="s">
        <v>115</v>
      </c>
    </row>
    <row r="15" spans="2:16" ht="16" thickBot="1">
      <c r="K15" t="s">
        <v>124</v>
      </c>
      <c r="L15" t="s">
        <v>116</v>
      </c>
      <c r="M15" s="18" t="s">
        <v>79</v>
      </c>
      <c r="N15" s="18" t="s">
        <v>79</v>
      </c>
      <c r="O15" s="18" t="s">
        <v>79</v>
      </c>
      <c r="P15" s="18" t="s">
        <v>79</v>
      </c>
    </row>
    <row r="16" spans="2:16" ht="16" thickBot="1">
      <c r="I16">
        <f>(M16-L16)/(L16)*100</f>
        <v>-4.3478260869565259</v>
      </c>
      <c r="K16">
        <f>D5/C5</f>
        <v>5.5050922102945225E-4</v>
      </c>
      <c r="L16" s="19">
        <v>4.5999999999999999E-2</v>
      </c>
      <c r="M16" s="19">
        <v>4.3999999999999997E-2</v>
      </c>
      <c r="N16" s="19">
        <v>2.3E-2</v>
      </c>
      <c r="O16" s="19">
        <v>8.6810279105199711E-3</v>
      </c>
      <c r="P16" s="19">
        <v>1.6026998221443583E-2</v>
      </c>
    </row>
    <row r="17" spans="9:16" ht="16" thickBot="1">
      <c r="I17">
        <f t="shared" ref="I17:I21" si="3">(M17-L17)/(L17)*100</f>
        <v>9.6153846153846239</v>
      </c>
      <c r="K17">
        <f t="shared" ref="K17:K20" si="4">D6/C6</f>
        <v>6.3523696830042971E-4</v>
      </c>
      <c r="L17" s="19">
        <v>5.1999999999999998E-2</v>
      </c>
      <c r="M17" s="19">
        <v>5.7000000000000002E-2</v>
      </c>
      <c r="N17" s="19">
        <v>0.03</v>
      </c>
      <c r="O17" s="19">
        <v>1.2364751331059168E-2</v>
      </c>
      <c r="P17" s="19">
        <v>2.1340005248977174E-2</v>
      </c>
    </row>
    <row r="18" spans="9:16" ht="16" thickBot="1">
      <c r="I18">
        <f t="shared" si="3"/>
        <v>-0.94786729857819996</v>
      </c>
      <c r="K18">
        <f t="shared" si="4"/>
        <v>1.1723195993626223E-3</v>
      </c>
      <c r="L18" s="19">
        <v>0.21099999999999999</v>
      </c>
      <c r="M18" s="19">
        <v>0.20899999999999999</v>
      </c>
      <c r="N18" s="19">
        <v>0.10199999999999999</v>
      </c>
      <c r="O18" s="19">
        <v>5.5674082891160735E-2</v>
      </c>
      <c r="P18" s="19">
        <v>7.2680021094151698E-2</v>
      </c>
    </row>
    <row r="19" spans="9:16" ht="16" thickBot="1">
      <c r="I19">
        <f t="shared" si="3"/>
        <v>2.4242424242424265</v>
      </c>
      <c r="K19">
        <f t="shared" si="4"/>
        <v>1.5085283277620639E-3</v>
      </c>
      <c r="L19" s="19">
        <v>0.33</v>
      </c>
      <c r="M19" s="19">
        <v>0.33800000000000002</v>
      </c>
      <c r="N19" s="19">
        <v>0.16700000000000001</v>
      </c>
      <c r="O19" s="19">
        <v>0.102699397217761</v>
      </c>
      <c r="P19" s="19">
        <v>0.12034552144737448</v>
      </c>
    </row>
    <row r="20" spans="9:16" ht="16" thickBot="1">
      <c r="I20">
        <f t="shared" si="3"/>
        <v>2.7692307692307718</v>
      </c>
      <c r="K20">
        <f t="shared" si="4"/>
        <v>2.3179244040563676E-3</v>
      </c>
      <c r="L20" s="19">
        <v>0.65</v>
      </c>
      <c r="M20" s="19">
        <v>0.66800000000000004</v>
      </c>
      <c r="N20" s="19">
        <v>0.38600000000000001</v>
      </c>
      <c r="O20" s="19">
        <v>0.28624837638776451</v>
      </c>
      <c r="P20" s="19">
        <v>0.28413290328843349</v>
      </c>
    </row>
    <row r="21" spans="9:16" ht="16" thickBot="1">
      <c r="I21">
        <f t="shared" si="3"/>
        <v>2.5597269624573404</v>
      </c>
      <c r="K21">
        <f>D10/C10</f>
        <v>3.1238906638267664E-3</v>
      </c>
      <c r="L21" s="19">
        <v>1.1719999999999999</v>
      </c>
      <c r="M21" s="19">
        <v>1.202</v>
      </c>
      <c r="N21" s="19">
        <v>0.68</v>
      </c>
      <c r="O21" s="19">
        <v>0.56965496782458214</v>
      </c>
      <c r="P21" s="19">
        <v>0.50287109473892866</v>
      </c>
    </row>
    <row r="23" spans="9:16">
      <c r="L23">
        <f>L16/$I$5</f>
        <v>1.5156507413509061E-4</v>
      </c>
      <c r="M23">
        <f t="shared" ref="M23:P23" si="5">M16/$I$5</f>
        <v>1.4497528830313014E-4</v>
      </c>
      <c r="N23">
        <f t="shared" si="5"/>
        <v>7.5782537067545304E-5</v>
      </c>
      <c r="O23">
        <f t="shared" si="5"/>
        <v>2.8603057365798916E-5</v>
      </c>
      <c r="P23">
        <f t="shared" si="5"/>
        <v>5.280724290426222E-5</v>
      </c>
    </row>
    <row r="24" spans="9:16">
      <c r="L24">
        <f t="shared" ref="L24:P28" si="6">L17/$I$5</f>
        <v>1.71334431630972E-4</v>
      </c>
      <c r="M24">
        <f t="shared" si="6"/>
        <v>1.8780889621087315E-4</v>
      </c>
      <c r="N24">
        <f t="shared" si="6"/>
        <v>9.8846787479406914E-5</v>
      </c>
      <c r="O24">
        <f t="shared" si="6"/>
        <v>4.074053156856398E-5</v>
      </c>
      <c r="P24">
        <f t="shared" si="6"/>
        <v>7.0313032121835833E-5</v>
      </c>
    </row>
    <row r="25" spans="9:16">
      <c r="L25">
        <f t="shared" si="6"/>
        <v>6.9522240527182869E-4</v>
      </c>
      <c r="M25">
        <f t="shared" si="6"/>
        <v>6.8863261943986822E-4</v>
      </c>
      <c r="N25">
        <f t="shared" si="6"/>
        <v>3.3607907742998352E-4</v>
      </c>
      <c r="O25">
        <f t="shared" si="6"/>
        <v>1.8344014132178166E-4</v>
      </c>
      <c r="P25">
        <f t="shared" si="6"/>
        <v>2.3947288663641415E-4</v>
      </c>
    </row>
    <row r="26" spans="9:16">
      <c r="L26">
        <f t="shared" si="6"/>
        <v>1.0873146622734761E-3</v>
      </c>
      <c r="M26">
        <f t="shared" si="6"/>
        <v>1.113673805601318E-3</v>
      </c>
      <c r="N26">
        <f t="shared" si="6"/>
        <v>5.5024711696869853E-4</v>
      </c>
      <c r="O26">
        <f t="shared" si="6"/>
        <v>3.3838351636824053E-4</v>
      </c>
      <c r="P26">
        <f t="shared" si="6"/>
        <v>3.965256060869011E-4</v>
      </c>
    </row>
    <row r="27" spans="9:16">
      <c r="L27">
        <f t="shared" si="6"/>
        <v>2.1416803953871501E-3</v>
      </c>
      <c r="M27">
        <f t="shared" si="6"/>
        <v>2.2009884678747941E-3</v>
      </c>
      <c r="N27">
        <f t="shared" si="6"/>
        <v>1.2718286655683691E-3</v>
      </c>
      <c r="O27">
        <f t="shared" si="6"/>
        <v>9.4315774757088803E-4</v>
      </c>
      <c r="P27">
        <f t="shared" si="6"/>
        <v>9.3618749024195554E-4</v>
      </c>
    </row>
    <row r="28" spans="9:16">
      <c r="L28">
        <f t="shared" si="6"/>
        <v>3.86161449752883E-3</v>
      </c>
      <c r="M28">
        <f t="shared" si="6"/>
        <v>3.9604612850082368E-3</v>
      </c>
      <c r="N28">
        <f t="shared" si="6"/>
        <v>2.2405271828665569E-3</v>
      </c>
      <c r="O28">
        <f t="shared" si="6"/>
        <v>1.8769521180381618E-3</v>
      </c>
      <c r="P28">
        <f t="shared" si="6"/>
        <v>1.6569064077065195E-3</v>
      </c>
    </row>
  </sheetData>
  <mergeCells count="10">
    <mergeCell ref="K3:K4"/>
    <mergeCell ref="J3:J4"/>
    <mergeCell ref="F3:F4"/>
    <mergeCell ref="G3:G4"/>
    <mergeCell ref="B3:B4"/>
    <mergeCell ref="E3:E4"/>
    <mergeCell ref="C3:C4"/>
    <mergeCell ref="D3:D4"/>
    <mergeCell ref="H3:H4"/>
    <mergeCell ref="I3:I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E590-6A58-482B-9567-A6E9A0332E68}">
  <dimension ref="A1:AB1000"/>
  <sheetViews>
    <sheetView zoomScale="55" zoomScaleNormal="55" workbookViewId="0">
      <selection activeCell="N59" sqref="N59:N60"/>
    </sheetView>
  </sheetViews>
  <sheetFormatPr defaultColWidth="14.453125" defaultRowHeight="15.5"/>
  <cols>
    <col min="1" max="7" width="9.08984375" customWidth="1"/>
    <col min="8" max="8" width="12" customWidth="1"/>
    <col min="9" max="9" width="26.08984375" customWidth="1"/>
    <col min="10" max="10" width="10.54296875" customWidth="1"/>
    <col min="11" max="17" width="9.08984375" customWidth="1"/>
    <col min="18" max="19" width="9.08984375" style="36" customWidth="1"/>
    <col min="20" max="20" width="9.08984375" hidden="1" customWidth="1"/>
    <col min="21" max="27" width="9.08984375" customWidth="1"/>
  </cols>
  <sheetData>
    <row r="1" spans="1:28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/>
      <c r="P1" s="77"/>
      <c r="Q1" s="77"/>
      <c r="R1" s="37"/>
      <c r="S1" s="37"/>
      <c r="T1" s="76"/>
      <c r="U1" s="76"/>
      <c r="V1" s="76"/>
      <c r="W1" s="76"/>
      <c r="X1" s="76"/>
      <c r="Y1" s="76"/>
      <c r="Z1" s="76"/>
      <c r="AA1" s="76"/>
    </row>
    <row r="2" spans="1:28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/>
      <c r="P2" s="77"/>
      <c r="Q2" s="77"/>
      <c r="R2" s="37"/>
      <c r="S2" s="37"/>
      <c r="T2" s="76"/>
      <c r="U2" s="76"/>
      <c r="V2" s="76"/>
      <c r="W2" s="76"/>
      <c r="X2" s="76"/>
      <c r="Y2" s="76"/>
      <c r="Z2" s="76"/>
      <c r="AA2" s="76"/>
    </row>
    <row r="3" spans="1:28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7"/>
      <c r="P3" s="77"/>
      <c r="Q3" s="77"/>
      <c r="R3" s="37"/>
      <c r="S3" s="37"/>
      <c r="T3" s="76"/>
      <c r="U3" s="76"/>
      <c r="V3" s="76"/>
      <c r="W3" s="76"/>
      <c r="X3" s="76"/>
      <c r="Y3" s="76"/>
      <c r="Z3" s="76"/>
      <c r="AA3" s="76"/>
    </row>
    <row r="4" spans="1:28">
      <c r="A4" s="76"/>
      <c r="B4" s="179" t="s">
        <v>146</v>
      </c>
      <c r="C4" s="180"/>
      <c r="D4" s="181"/>
      <c r="E4" s="181"/>
      <c r="F4" s="181"/>
      <c r="G4" s="77"/>
      <c r="H4" s="77"/>
      <c r="I4" s="77"/>
      <c r="J4" s="77"/>
      <c r="K4" s="77"/>
      <c r="L4" s="77"/>
      <c r="M4" s="77"/>
      <c r="N4" s="76"/>
      <c r="O4" s="77"/>
      <c r="P4" s="77"/>
      <c r="Q4" s="77"/>
      <c r="R4" s="37"/>
      <c r="S4" s="37"/>
      <c r="T4" s="76"/>
      <c r="U4" s="76"/>
      <c r="V4" s="76"/>
      <c r="W4" s="76"/>
      <c r="X4" s="76"/>
      <c r="Y4" s="76"/>
      <c r="Z4" s="76"/>
      <c r="AA4" s="76"/>
    </row>
    <row r="5" spans="1:28" ht="28.5" customHeight="1">
      <c r="A5" s="76"/>
      <c r="B5" s="101"/>
      <c r="C5" s="103" t="s">
        <v>147</v>
      </c>
      <c r="D5" s="100" t="s">
        <v>148</v>
      </c>
      <c r="E5" s="79" t="s">
        <v>20</v>
      </c>
      <c r="F5" s="80" t="s">
        <v>149</v>
      </c>
      <c r="G5" s="78" t="s">
        <v>150</v>
      </c>
      <c r="H5" s="81" t="s">
        <v>23</v>
      </c>
      <c r="I5" s="82" t="s">
        <v>151</v>
      </c>
      <c r="J5" s="79" t="s">
        <v>152</v>
      </c>
      <c r="K5" s="78" t="s">
        <v>153</v>
      </c>
      <c r="L5" s="78" t="s">
        <v>29</v>
      </c>
      <c r="M5" s="182" t="s">
        <v>154</v>
      </c>
      <c r="N5" s="83" t="s">
        <v>116</v>
      </c>
      <c r="O5" s="184" t="s">
        <v>155</v>
      </c>
      <c r="P5" s="185" t="s">
        <v>156</v>
      </c>
      <c r="Q5" s="184" t="s">
        <v>157</v>
      </c>
      <c r="R5" s="175" t="s">
        <v>158</v>
      </c>
      <c r="S5" s="177" t="s">
        <v>159</v>
      </c>
      <c r="T5" s="178"/>
      <c r="U5" s="174" t="s">
        <v>101</v>
      </c>
      <c r="V5" s="174" t="s">
        <v>139</v>
      </c>
      <c r="W5" s="176" t="s">
        <v>140</v>
      </c>
      <c r="X5" s="176" t="s">
        <v>141</v>
      </c>
      <c r="Y5" s="176" t="s">
        <v>145</v>
      </c>
      <c r="Z5" s="76"/>
      <c r="AA5" s="76"/>
    </row>
    <row r="6" spans="1:28" ht="31" customHeight="1">
      <c r="A6" s="76"/>
      <c r="B6" s="103" t="s">
        <v>87</v>
      </c>
      <c r="C6" s="171" t="s">
        <v>160</v>
      </c>
      <c r="D6" s="172"/>
      <c r="E6" s="86"/>
      <c r="F6" s="173" t="s">
        <v>161</v>
      </c>
      <c r="G6" s="172"/>
      <c r="H6" s="87"/>
      <c r="I6" s="88"/>
      <c r="J6" s="86"/>
      <c r="K6" s="78" t="s">
        <v>161</v>
      </c>
      <c r="L6" s="78" t="s">
        <v>161</v>
      </c>
      <c r="M6" s="183"/>
      <c r="N6" s="89"/>
      <c r="O6" s="185"/>
      <c r="P6" s="185"/>
      <c r="Q6" s="185"/>
      <c r="R6" s="175"/>
      <c r="S6" s="177"/>
      <c r="T6" s="178"/>
      <c r="U6" s="174"/>
      <c r="V6" s="174"/>
      <c r="W6" s="176"/>
      <c r="X6" s="176"/>
      <c r="Y6" s="176"/>
      <c r="Z6" s="76" t="s">
        <v>192</v>
      </c>
      <c r="AA6" s="76" t="s">
        <v>193</v>
      </c>
    </row>
    <row r="7" spans="1:28" ht="17.25" customHeight="1">
      <c r="A7" s="76"/>
      <c r="B7" s="102">
        <v>1</v>
      </c>
      <c r="C7" s="90">
        <v>3000</v>
      </c>
      <c r="D7" s="90">
        <v>4.75</v>
      </c>
      <c r="E7" s="90">
        <f t="shared" ref="E7:E69" si="0">C7/D7</f>
        <v>631.57894736842104</v>
      </c>
      <c r="F7" s="91">
        <v>193000</v>
      </c>
      <c r="G7" s="90">
        <v>270</v>
      </c>
      <c r="H7" s="90">
        <v>0.3</v>
      </c>
      <c r="I7" s="92" t="s">
        <v>162</v>
      </c>
      <c r="J7" s="90">
        <v>1994</v>
      </c>
      <c r="K7" s="90">
        <f t="shared" ref="K7:K69" si="1">((2*F7)/(3*(1-H7^2))^0.5)*(D7/C7)^2</f>
        <v>0.58566691505046498</v>
      </c>
      <c r="L7" s="92">
        <f t="shared" ref="L7:L69" si="2">(2*G7*D7)/C7</f>
        <v>0.85499999999999998</v>
      </c>
      <c r="M7" s="93">
        <f t="shared" ref="M7:M69" si="3">1/((1/(0.3*K7)^2+1/(L7)^2)^0.5)</f>
        <v>0.17210375721065865</v>
      </c>
      <c r="N7" s="94">
        <v>0.13200000000000001</v>
      </c>
      <c r="O7" s="104">
        <f t="shared" ref="O7:O69" si="4">K7/L7</f>
        <v>0.68499054391867253</v>
      </c>
      <c r="P7" s="104">
        <f t="shared" ref="P7:P69" si="5">N7/M7</f>
        <v>0.76697918824880273</v>
      </c>
      <c r="Q7" s="104">
        <f>N7/L7</f>
        <v>0.15438596491228071</v>
      </c>
      <c r="R7" s="23">
        <f>0.0281*O7^3-0.2689*O7^2+0.8688*O7</f>
        <v>0.47798016896272139</v>
      </c>
      <c r="S7" s="23">
        <f>R7*L7</f>
        <v>0.4086730444631268</v>
      </c>
      <c r="T7" s="76">
        <f>Q7/R7</f>
        <v>0.32299659052240215</v>
      </c>
      <c r="U7" s="58">
        <f>5.711*(E7)^0.5</f>
        <v>143.52448021523239</v>
      </c>
      <c r="V7" s="58">
        <f>(2*3.142^2*F7/(G7))^0.5</f>
        <v>118.80041314306513</v>
      </c>
      <c r="W7" s="58">
        <f>U7/V7</f>
        <v>1.2081143189493235</v>
      </c>
      <c r="X7" s="58">
        <f>(N7*C7)/(2*D7)</f>
        <v>41.684210526315788</v>
      </c>
      <c r="Y7" s="58">
        <f>X7/G7</f>
        <v>0.15438596491228068</v>
      </c>
      <c r="Z7" s="76"/>
      <c r="AA7" s="76"/>
    </row>
    <row r="8" spans="1:28" ht="17.25" customHeight="1">
      <c r="A8" s="76"/>
      <c r="B8" s="90">
        <v>2</v>
      </c>
      <c r="C8" s="90">
        <v>86</v>
      </c>
      <c r="D8" s="90">
        <v>1.032</v>
      </c>
      <c r="E8" s="90">
        <f t="shared" si="0"/>
        <v>83.333333333333329</v>
      </c>
      <c r="F8" s="91">
        <v>159208</v>
      </c>
      <c r="G8" s="90">
        <v>335.40800000000002</v>
      </c>
      <c r="H8" s="90">
        <v>0.29099999999999998</v>
      </c>
      <c r="I8" s="92" t="s">
        <v>163</v>
      </c>
      <c r="J8" s="90">
        <v>2019</v>
      </c>
      <c r="K8" s="90">
        <f t="shared" si="1"/>
        <v>27.670085963011836</v>
      </c>
      <c r="L8" s="92">
        <f t="shared" si="2"/>
        <v>8.0497920000000018</v>
      </c>
      <c r="M8" s="93">
        <f t="shared" si="3"/>
        <v>5.778840137824381</v>
      </c>
      <c r="N8" s="94">
        <v>5.077</v>
      </c>
      <c r="O8" s="104">
        <f t="shared" si="4"/>
        <v>3.4373665758086456</v>
      </c>
      <c r="P8" s="104">
        <f t="shared" si="5"/>
        <v>0.87854999946605028</v>
      </c>
      <c r="Q8" s="104">
        <f t="shared" ref="Q8:Q69" si="6">N8/L8</f>
        <v>0.63069952614924696</v>
      </c>
      <c r="R8" s="23">
        <f t="shared" ref="R8:R69" si="7">0.0281*O8^3-0.2689*O8^2+0.8688*O8</f>
        <v>0.95045718474288643</v>
      </c>
      <c r="S8" s="23">
        <f t="shared" ref="S8:S69" si="8">R8*L8</f>
        <v>7.6509826420858111</v>
      </c>
      <c r="T8" s="76">
        <f>Q8/R8</f>
        <v>0.66357489455967555</v>
      </c>
      <c r="U8" s="58">
        <f t="shared" ref="U8:U69" si="9">5.711*(E8)^0.5</f>
        <v>52.134058765200059</v>
      </c>
      <c r="V8" s="58">
        <f t="shared" ref="V8:V69" si="10">(2*3.142^2*F8/(G8))^0.5</f>
        <v>96.8092628879552</v>
      </c>
      <c r="W8" s="58">
        <f t="shared" ref="W8:W69" si="11">U8/V8</f>
        <v>0.53852345540053137</v>
      </c>
      <c r="X8" s="58">
        <f>(N8*C8)/(2*D8)</f>
        <v>211.54166666666666</v>
      </c>
      <c r="Y8" s="58">
        <f t="shared" ref="Y8:Y69" si="12">X8/G8</f>
        <v>0.63069952614924707</v>
      </c>
      <c r="Z8" s="76">
        <f t="shared" ref="Z8:Z16" si="13">(1.395-1.3*W8)*G8</f>
        <v>233.08156233232415</v>
      </c>
      <c r="AA8" s="76">
        <f>(2*Z8*D8)/(E8)</f>
        <v>5.7729641358470047</v>
      </c>
      <c r="AB8" s="158" t="s">
        <v>195</v>
      </c>
    </row>
    <row r="9" spans="1:28" ht="17.25" customHeight="1">
      <c r="A9" s="76"/>
      <c r="B9" s="90">
        <v>3</v>
      </c>
      <c r="C9" s="90">
        <v>86</v>
      </c>
      <c r="D9" s="90">
        <v>1.0409999999999999</v>
      </c>
      <c r="E9" s="90">
        <f t="shared" si="0"/>
        <v>82.61287223823247</v>
      </c>
      <c r="F9" s="91">
        <v>159208</v>
      </c>
      <c r="G9" s="90">
        <v>335.40800000000002</v>
      </c>
      <c r="H9" s="90">
        <v>0.29099999999999998</v>
      </c>
      <c r="I9" s="92" t="s">
        <v>163</v>
      </c>
      <c r="J9" s="90">
        <v>2019</v>
      </c>
      <c r="K9" s="90">
        <f t="shared" si="1"/>
        <v>28.154808179423775</v>
      </c>
      <c r="L9" s="92">
        <f t="shared" si="2"/>
        <v>8.1199936744186036</v>
      </c>
      <c r="M9" s="93">
        <f t="shared" si="3"/>
        <v>5.8537089207896527</v>
      </c>
      <c r="N9" s="94">
        <v>5.0359999999999996</v>
      </c>
      <c r="O9" s="104">
        <f t="shared" si="4"/>
        <v>3.4673436099000008</v>
      </c>
      <c r="P9" s="104">
        <f t="shared" si="5"/>
        <v>0.86030926172541122</v>
      </c>
      <c r="Q9" s="104">
        <f t="shared" si="6"/>
        <v>0.62019752747659374</v>
      </c>
      <c r="R9" s="23">
        <f t="shared" si="7"/>
        <v>0.95096322250828269</v>
      </c>
      <c r="S9" s="23">
        <f t="shared" si="8"/>
        <v>7.7218153513719869</v>
      </c>
      <c r="T9" s="76">
        <f t="shared" ref="T9:T69" si="14">Q9/R9</f>
        <v>0.65217824706274796</v>
      </c>
      <c r="U9" s="58">
        <f t="shared" si="9"/>
        <v>51.908206185114778</v>
      </c>
      <c r="V9" s="58">
        <f t="shared" si="10"/>
        <v>96.8092628879552</v>
      </c>
      <c r="W9" s="58">
        <f t="shared" si="11"/>
        <v>0.53619049083342507</v>
      </c>
      <c r="X9" s="58">
        <f t="shared" ref="X9:X69" si="15">(N9*C9)/(2*D9)</f>
        <v>208.01921229586935</v>
      </c>
      <c r="Y9" s="58">
        <f t="shared" si="12"/>
        <v>0.62019752747659374</v>
      </c>
      <c r="Z9" s="76">
        <f t="shared" si="13"/>
        <v>234.09880580570535</v>
      </c>
      <c r="AA9" s="76">
        <f t="shared" ref="AA9:AA16" si="16">(2*Z9*D9)/(E9)</f>
        <v>5.8997308831240129</v>
      </c>
      <c r="AB9" s="158"/>
    </row>
    <row r="10" spans="1:28" ht="17.25" customHeight="1">
      <c r="A10" s="76"/>
      <c r="B10" s="90">
        <v>4</v>
      </c>
      <c r="C10" s="90">
        <v>86</v>
      </c>
      <c r="D10" s="90">
        <v>1.046</v>
      </c>
      <c r="E10" s="90">
        <f t="shared" si="0"/>
        <v>82.217973231357547</v>
      </c>
      <c r="F10" s="91">
        <v>159208</v>
      </c>
      <c r="G10" s="90">
        <v>335.40800000000002</v>
      </c>
      <c r="H10" s="90">
        <v>0.29099999999999998</v>
      </c>
      <c r="I10" s="92" t="s">
        <v>163</v>
      </c>
      <c r="J10" s="90">
        <v>2019</v>
      </c>
      <c r="K10" s="90">
        <f t="shared" si="1"/>
        <v>28.425916949765135</v>
      </c>
      <c r="L10" s="92">
        <f t="shared" si="2"/>
        <v>8.1589946046511628</v>
      </c>
      <c r="M10" s="93">
        <f t="shared" si="3"/>
        <v>5.8953429831605613</v>
      </c>
      <c r="N10" s="94">
        <v>5.7089999999999996</v>
      </c>
      <c r="O10" s="104">
        <f t="shared" si="4"/>
        <v>3.4839975177285316</v>
      </c>
      <c r="P10" s="104">
        <f t="shared" si="5"/>
        <v>0.96839149415176839</v>
      </c>
      <c r="Q10" s="104">
        <f t="shared" si="6"/>
        <v>0.69971856541558375</v>
      </c>
      <c r="R10" s="23">
        <f t="shared" si="7"/>
        <v>0.95126223372859275</v>
      </c>
      <c r="S10" s="23">
        <f t="shared" si="8"/>
        <v>7.7613434326000013</v>
      </c>
      <c r="T10" s="76">
        <f t="shared" si="14"/>
        <v>0.73556853263578881</v>
      </c>
      <c r="U10" s="58">
        <f t="shared" si="9"/>
        <v>51.783993979846514</v>
      </c>
      <c r="V10" s="58">
        <f t="shared" si="10"/>
        <v>96.8092628879552</v>
      </c>
      <c r="W10" s="58">
        <f t="shared" si="11"/>
        <v>0.5349074296720977</v>
      </c>
      <c r="X10" s="58">
        <f t="shared" si="15"/>
        <v>234.69120458891013</v>
      </c>
      <c r="Y10" s="58">
        <f t="shared" si="12"/>
        <v>0.69971856541558375</v>
      </c>
      <c r="Z10" s="76">
        <f t="shared" si="13"/>
        <v>234.65825947710337</v>
      </c>
      <c r="AA10" s="76">
        <f t="shared" si="16"/>
        <v>5.9707757261872203</v>
      </c>
      <c r="AB10" s="158"/>
    </row>
    <row r="11" spans="1:28" ht="17.25" customHeight="1">
      <c r="A11" s="76"/>
      <c r="B11" s="95">
        <v>5</v>
      </c>
      <c r="C11" s="95">
        <v>90.51</v>
      </c>
      <c r="D11" s="95">
        <v>1.028</v>
      </c>
      <c r="E11" s="95">
        <f t="shared" si="0"/>
        <v>88.04474708171206</v>
      </c>
      <c r="F11" s="96">
        <v>159208</v>
      </c>
      <c r="G11" s="95">
        <v>335.40800000000002</v>
      </c>
      <c r="H11" s="95">
        <v>0.29099999999999998</v>
      </c>
      <c r="I11" s="97" t="s">
        <v>164</v>
      </c>
      <c r="J11" s="95">
        <v>2018</v>
      </c>
      <c r="K11" s="95">
        <f t="shared" si="1"/>
        <v>24.787978786258179</v>
      </c>
      <c r="L11" s="97">
        <f t="shared" si="2"/>
        <v>7.6190348911722463</v>
      </c>
      <c r="M11" s="93">
        <f t="shared" si="3"/>
        <v>5.3217228681431328</v>
      </c>
      <c r="N11" s="94">
        <v>5.28</v>
      </c>
      <c r="O11" s="98">
        <f t="shared" si="4"/>
        <v>3.2534276506567306</v>
      </c>
      <c r="P11" s="98">
        <f t="shared" si="5"/>
        <v>0.99215989460990284</v>
      </c>
      <c r="Q11" s="98">
        <f t="shared" si="6"/>
        <v>0.6930011576817483</v>
      </c>
      <c r="R11" s="99">
        <f t="shared" si="7"/>
        <v>0.94800309136011629</v>
      </c>
      <c r="S11" s="99">
        <f t="shared" si="8"/>
        <v>7.2228686300118765</v>
      </c>
      <c r="T11" s="105">
        <f t="shared" si="14"/>
        <v>0.73101149563498535</v>
      </c>
      <c r="U11" s="74">
        <f t="shared" si="9"/>
        <v>53.587547969498182</v>
      </c>
      <c r="V11" s="74">
        <f t="shared" si="10"/>
        <v>96.8092628879552</v>
      </c>
      <c r="W11" s="74">
        <f t="shared" si="11"/>
        <v>0.55353740304292132</v>
      </c>
      <c r="X11" s="74">
        <f t="shared" si="15"/>
        <v>232.43813229571984</v>
      </c>
      <c r="Y11" s="74">
        <f t="shared" si="12"/>
        <v>0.6930011576817483</v>
      </c>
      <c r="Z11" s="105">
        <f t="shared" si="13"/>
        <v>226.53502473623379</v>
      </c>
      <c r="AA11" s="105">
        <f t="shared" si="16"/>
        <v>5.2899920358160673</v>
      </c>
      <c r="AB11" s="158"/>
    </row>
    <row r="12" spans="1:28" ht="17.25" customHeight="1">
      <c r="A12" s="76"/>
      <c r="B12" s="95">
        <v>6</v>
      </c>
      <c r="C12" s="95">
        <v>90.51</v>
      </c>
      <c r="D12" s="95">
        <v>1.0409999999999999</v>
      </c>
      <c r="E12" s="95">
        <f t="shared" si="0"/>
        <v>86.945244956772342</v>
      </c>
      <c r="F12" s="96">
        <v>159208</v>
      </c>
      <c r="G12" s="95">
        <v>335.40800000000002</v>
      </c>
      <c r="H12" s="95">
        <v>0.29099999999999998</v>
      </c>
      <c r="I12" s="97" t="s">
        <v>164</v>
      </c>
      <c r="J12" s="95">
        <v>2018</v>
      </c>
      <c r="K12" s="95">
        <f t="shared" si="1"/>
        <v>25.418876174384785</v>
      </c>
      <c r="L12" s="97">
        <f t="shared" si="2"/>
        <v>7.715384554192906</v>
      </c>
      <c r="M12" s="93">
        <f t="shared" si="3"/>
        <v>5.4236010486428938</v>
      </c>
      <c r="N12" s="94">
        <v>5.5529999999999999</v>
      </c>
      <c r="O12" s="98">
        <f t="shared" si="4"/>
        <v>3.2945702182234018</v>
      </c>
      <c r="P12" s="98">
        <f t="shared" si="5"/>
        <v>1.0238584936828059</v>
      </c>
      <c r="Q12" s="98">
        <f t="shared" si="6"/>
        <v>0.719730813285546</v>
      </c>
      <c r="R12" s="99">
        <f t="shared" si="7"/>
        <v>0.94848333962201958</v>
      </c>
      <c r="S12" s="99">
        <f t="shared" si="8"/>
        <v>7.3179137084290344</v>
      </c>
      <c r="T12" s="105">
        <f t="shared" si="14"/>
        <v>0.75882283137663353</v>
      </c>
      <c r="U12" s="74">
        <f t="shared" si="9"/>
        <v>53.251896329968879</v>
      </c>
      <c r="V12" s="74">
        <f t="shared" si="10"/>
        <v>96.8092628879552</v>
      </c>
      <c r="W12" s="74">
        <f t="shared" si="11"/>
        <v>0.55007025920238017</v>
      </c>
      <c r="X12" s="74">
        <f t="shared" si="15"/>
        <v>241.4034726224784</v>
      </c>
      <c r="Y12" s="74">
        <f t="shared" si="12"/>
        <v>0.71973081328554589</v>
      </c>
      <c r="Z12" s="105">
        <f t="shared" si="13"/>
        <v>228.04680485188251</v>
      </c>
      <c r="AA12" s="105">
        <f t="shared" si="16"/>
        <v>5.4608328257362251</v>
      </c>
      <c r="AB12" s="158"/>
    </row>
    <row r="13" spans="1:28" ht="17.25" customHeight="1">
      <c r="A13" s="76"/>
      <c r="B13" s="95">
        <v>7</v>
      </c>
      <c r="C13" s="95">
        <v>90.51</v>
      </c>
      <c r="D13" s="95">
        <v>1.0429999999999999</v>
      </c>
      <c r="E13" s="95">
        <f t="shared" si="0"/>
        <v>86.778523489932894</v>
      </c>
      <c r="F13" s="96">
        <v>159208</v>
      </c>
      <c r="G13" s="95">
        <v>335.40800000000002</v>
      </c>
      <c r="H13" s="95">
        <v>0.29099999999999998</v>
      </c>
      <c r="I13" s="97" t="s">
        <v>164</v>
      </c>
      <c r="J13" s="95">
        <v>2018</v>
      </c>
      <c r="K13" s="95">
        <f t="shared" si="1"/>
        <v>25.516640992532217</v>
      </c>
      <c r="L13" s="97">
        <f t="shared" si="2"/>
        <v>7.7302075792730074</v>
      </c>
      <c r="M13" s="93">
        <f t="shared" si="3"/>
        <v>5.439294574912326</v>
      </c>
      <c r="N13" s="94">
        <v>5.2549999999999999</v>
      </c>
      <c r="O13" s="98">
        <f t="shared" si="4"/>
        <v>3.3008998440028887</v>
      </c>
      <c r="P13" s="98">
        <f t="shared" si="5"/>
        <v>0.9661179271734337</v>
      </c>
      <c r="Q13" s="98">
        <f t="shared" si="6"/>
        <v>0.67980063227412191</v>
      </c>
      <c r="R13" s="99">
        <f t="shared" si="7"/>
        <v>0.94855958395722917</v>
      </c>
      <c r="S13" s="99">
        <f t="shared" si="8"/>
        <v>7.3325624852982232</v>
      </c>
      <c r="T13" s="105">
        <f t="shared" si="14"/>
        <v>0.71666624192242023</v>
      </c>
      <c r="U13" s="74">
        <f t="shared" si="9"/>
        <v>53.200815362500784</v>
      </c>
      <c r="V13" s="74">
        <f t="shared" si="10"/>
        <v>96.8092628879552</v>
      </c>
      <c r="W13" s="74">
        <f t="shared" si="11"/>
        <v>0.54954261374837832</v>
      </c>
      <c r="X13" s="74">
        <f t="shared" si="15"/>
        <v>228.01057046979869</v>
      </c>
      <c r="Y13" s="74">
        <f t="shared" si="12"/>
        <v>0.67980063227412191</v>
      </c>
      <c r="Z13" s="105">
        <f t="shared" si="13"/>
        <v>228.27687431024913</v>
      </c>
      <c r="AA13" s="105">
        <f t="shared" si="16"/>
        <v>5.487366466501606</v>
      </c>
      <c r="AB13" s="158"/>
    </row>
    <row r="14" spans="1:28" ht="17.25" customHeight="1">
      <c r="A14" s="76"/>
      <c r="B14" s="95">
        <v>8</v>
      </c>
      <c r="C14" s="95">
        <v>90.51</v>
      </c>
      <c r="D14" s="95">
        <v>1.0369999999999999</v>
      </c>
      <c r="E14" s="95">
        <f t="shared" si="0"/>
        <v>87.280617164898757</v>
      </c>
      <c r="F14" s="96">
        <v>159208</v>
      </c>
      <c r="G14" s="95">
        <v>335.40800000000002</v>
      </c>
      <c r="H14" s="95">
        <v>0.29099999999999998</v>
      </c>
      <c r="I14" s="97" t="s">
        <v>164</v>
      </c>
      <c r="J14" s="95">
        <v>2018</v>
      </c>
      <c r="K14" s="95">
        <f t="shared" si="1"/>
        <v>25.223909483299959</v>
      </c>
      <c r="L14" s="97">
        <f t="shared" si="2"/>
        <v>7.6857385040327024</v>
      </c>
      <c r="M14" s="93">
        <f t="shared" si="3"/>
        <v>5.3922297634207803</v>
      </c>
      <c r="N14" s="94">
        <v>5.58</v>
      </c>
      <c r="O14" s="98">
        <f t="shared" si="4"/>
        <v>3.2819109666644253</v>
      </c>
      <c r="P14" s="98">
        <f t="shared" si="5"/>
        <v>1.0348223730845068</v>
      </c>
      <c r="Q14" s="98">
        <f t="shared" si="6"/>
        <v>0.72602001708387265</v>
      </c>
      <c r="R14" s="99">
        <f t="shared" si="7"/>
        <v>0.94833293134098984</v>
      </c>
      <c r="S14" s="99">
        <f t="shared" si="8"/>
        <v>7.2886389250496464</v>
      </c>
      <c r="T14" s="105">
        <f t="shared" si="14"/>
        <v>0.76557503497979795</v>
      </c>
      <c r="U14" s="74">
        <f t="shared" si="9"/>
        <v>53.354501234991567</v>
      </c>
      <c r="V14" s="74">
        <f t="shared" si="10"/>
        <v>96.8092628879552</v>
      </c>
      <c r="W14" s="74">
        <f t="shared" si="11"/>
        <v>0.55113012580978782</v>
      </c>
      <c r="X14" s="74">
        <f t="shared" si="15"/>
        <v>243.51292189006753</v>
      </c>
      <c r="Y14" s="74">
        <f t="shared" si="12"/>
        <v>0.72602001708387254</v>
      </c>
      <c r="Z14" s="105">
        <f t="shared" si="13"/>
        <v>227.5846707911079</v>
      </c>
      <c r="AA14" s="105">
        <f t="shared" si="16"/>
        <v>5.4079659671630287</v>
      </c>
      <c r="AB14" s="158"/>
    </row>
    <row r="15" spans="1:28" ht="17.25" customHeight="1">
      <c r="A15" s="76"/>
      <c r="B15" s="95">
        <v>9</v>
      </c>
      <c r="C15" s="95">
        <v>90.51</v>
      </c>
      <c r="D15" s="95">
        <v>1.046</v>
      </c>
      <c r="E15" s="95">
        <f t="shared" si="0"/>
        <v>86.529636711281071</v>
      </c>
      <c r="F15" s="96">
        <v>159208</v>
      </c>
      <c r="G15" s="95">
        <v>335.40800000000002</v>
      </c>
      <c r="H15" s="95">
        <v>0.29099999999999998</v>
      </c>
      <c r="I15" s="97" t="s">
        <v>164</v>
      </c>
      <c r="J15" s="95">
        <v>2018</v>
      </c>
      <c r="K15" s="95">
        <f t="shared" si="1"/>
        <v>25.663640060509675</v>
      </c>
      <c r="L15" s="97">
        <f t="shared" si="2"/>
        <v>7.7524421168931603</v>
      </c>
      <c r="M15" s="93">
        <f t="shared" si="3"/>
        <v>5.4628445951160547</v>
      </c>
      <c r="N15" s="94">
        <v>5.3559999999999999</v>
      </c>
      <c r="O15" s="98">
        <f t="shared" si="4"/>
        <v>3.3103942826721213</v>
      </c>
      <c r="P15" s="98">
        <f t="shared" si="5"/>
        <v>0.98044158253896196</v>
      </c>
      <c r="Q15" s="98">
        <f t="shared" si="6"/>
        <v>0.69087907000671045</v>
      </c>
      <c r="R15" s="99">
        <f t="shared" si="7"/>
        <v>0.9486753709531679</v>
      </c>
      <c r="S15" s="99">
        <f t="shared" si="8"/>
        <v>7.354550901036581</v>
      </c>
      <c r="T15" s="105">
        <f t="shared" si="14"/>
        <v>0.72825656822160323</v>
      </c>
      <c r="U15" s="74">
        <f t="shared" si="9"/>
        <v>53.124468781147911</v>
      </c>
      <c r="V15" s="74">
        <f t="shared" si="10"/>
        <v>96.8092628879552</v>
      </c>
      <c r="W15" s="74">
        <f t="shared" si="11"/>
        <v>0.54875398486023952</v>
      </c>
      <c r="X15" s="74">
        <f t="shared" si="15"/>
        <v>231.72636711281072</v>
      </c>
      <c r="Y15" s="74">
        <f t="shared" si="12"/>
        <v>0.69087907000671034</v>
      </c>
      <c r="Z15" s="105">
        <f t="shared" si="13"/>
        <v>228.62074047979581</v>
      </c>
      <c r="AA15" s="105">
        <f t="shared" si="16"/>
        <v>5.5272922349086793</v>
      </c>
      <c r="AB15" s="158"/>
    </row>
    <row r="16" spans="1:28" ht="17.25" customHeight="1">
      <c r="A16" s="76"/>
      <c r="B16" s="95">
        <v>10</v>
      </c>
      <c r="C16" s="95">
        <v>90.51</v>
      </c>
      <c r="D16" s="95">
        <v>1.04</v>
      </c>
      <c r="E16" s="95">
        <f t="shared" si="0"/>
        <v>87.02884615384616</v>
      </c>
      <c r="F16" s="96">
        <v>159208</v>
      </c>
      <c r="G16" s="95">
        <v>335.40800000000002</v>
      </c>
      <c r="H16" s="95">
        <v>0.29099999999999998</v>
      </c>
      <c r="I16" s="97" t="s">
        <v>164</v>
      </c>
      <c r="J16" s="95">
        <v>2018</v>
      </c>
      <c r="K16" s="95">
        <f t="shared" si="1"/>
        <v>25.370064133462318</v>
      </c>
      <c r="L16" s="97">
        <f t="shared" si="2"/>
        <v>7.7079730416528554</v>
      </c>
      <c r="M16" s="93">
        <f t="shared" si="3"/>
        <v>5.4157562481342412</v>
      </c>
      <c r="N16" s="94">
        <v>5.6470000000000002</v>
      </c>
      <c r="O16" s="98">
        <f t="shared" si="4"/>
        <v>3.291405405333657</v>
      </c>
      <c r="P16" s="98">
        <f t="shared" si="5"/>
        <v>1.042698330809372</v>
      </c>
      <c r="Q16" s="98">
        <f t="shared" si="6"/>
        <v>0.7326180267476764</v>
      </c>
      <c r="R16" s="99">
        <f t="shared" si="7"/>
        <v>0.94844548551973817</v>
      </c>
      <c r="S16" s="99">
        <f t="shared" si="8"/>
        <v>7.3105922338634954</v>
      </c>
      <c r="T16" s="105">
        <f t="shared" si="14"/>
        <v>0.77244083917612771</v>
      </c>
      <c r="U16" s="74">
        <f t="shared" si="9"/>
        <v>53.277492051865011</v>
      </c>
      <c r="V16" s="74">
        <f t="shared" si="10"/>
        <v>96.8092628879552</v>
      </c>
      <c r="W16" s="74">
        <f t="shared" si="11"/>
        <v>0.55033465251695124</v>
      </c>
      <c r="X16" s="74">
        <f t="shared" si="15"/>
        <v>245.72594711538463</v>
      </c>
      <c r="Y16" s="74">
        <f t="shared" si="12"/>
        <v>0.73261802674767629</v>
      </c>
      <c r="Z16" s="105">
        <f t="shared" si="13"/>
        <v>227.93152132917277</v>
      </c>
      <c r="AA16" s="105">
        <f t="shared" si="16"/>
        <v>5.447591061090117</v>
      </c>
      <c r="AB16" s="158"/>
    </row>
    <row r="17" spans="1:27" ht="17.25" customHeight="1">
      <c r="A17" s="76"/>
      <c r="B17" s="90">
        <v>11</v>
      </c>
      <c r="C17" s="90">
        <v>518.85</v>
      </c>
      <c r="D17" s="90">
        <v>0.52</v>
      </c>
      <c r="E17" s="90">
        <f t="shared" si="0"/>
        <v>997.78846153846155</v>
      </c>
      <c r="F17" s="91">
        <v>210000</v>
      </c>
      <c r="G17" s="90">
        <v>261.70999999999998</v>
      </c>
      <c r="H17" s="90">
        <v>0.3</v>
      </c>
      <c r="I17" s="106" t="s">
        <v>165</v>
      </c>
      <c r="J17" s="90">
        <v>2018</v>
      </c>
      <c r="K17" s="90">
        <f t="shared" si="1"/>
        <v>0.25532363101821859</v>
      </c>
      <c r="L17" s="92">
        <f t="shared" si="2"/>
        <v>0.52458012913173369</v>
      </c>
      <c r="M17" s="92">
        <f t="shared" si="3"/>
        <v>7.5793367961890026E-2</v>
      </c>
      <c r="N17" s="107">
        <v>9.8210000000000006E-2</v>
      </c>
      <c r="O17" s="104">
        <f t="shared" si="4"/>
        <v>0.48671998201842137</v>
      </c>
      <c r="P17" s="104">
        <f t="shared" si="5"/>
        <v>1.2957598090822586</v>
      </c>
      <c r="Q17" s="104">
        <f t="shared" si="6"/>
        <v>0.18721639373293397</v>
      </c>
      <c r="R17" s="23">
        <f t="shared" si="7"/>
        <v>0.36240088564681672</v>
      </c>
      <c r="S17" s="23">
        <f t="shared" si="8"/>
        <v>0.19010830339006177</v>
      </c>
      <c r="T17" s="76">
        <f t="shared" si="14"/>
        <v>0.51660026547338123</v>
      </c>
      <c r="U17" s="58">
        <f t="shared" si="9"/>
        <v>180.3978672846921</v>
      </c>
      <c r="V17" s="58">
        <f t="shared" si="10"/>
        <v>125.86954641699134</v>
      </c>
      <c r="W17" s="58">
        <f t="shared" si="11"/>
        <v>1.4332129766087716</v>
      </c>
      <c r="X17" s="58">
        <f t="shared" si="15"/>
        <v>48.996402403846155</v>
      </c>
      <c r="Y17" s="58">
        <f t="shared" si="12"/>
        <v>0.187216393732934</v>
      </c>
      <c r="Z17" s="76"/>
      <c r="AA17" s="76"/>
    </row>
    <row r="18" spans="1:27" ht="17.25" customHeight="1">
      <c r="A18" s="76"/>
      <c r="B18" s="90">
        <v>12</v>
      </c>
      <c r="C18" s="90">
        <v>525.52</v>
      </c>
      <c r="D18" s="90">
        <v>0.52</v>
      </c>
      <c r="E18" s="90">
        <f t="shared" si="0"/>
        <v>1010.6153846153845</v>
      </c>
      <c r="F18" s="91">
        <v>210000</v>
      </c>
      <c r="G18" s="90">
        <v>261.70999999999998</v>
      </c>
      <c r="H18" s="90">
        <v>0.3</v>
      </c>
      <c r="I18" s="106" t="s">
        <v>165</v>
      </c>
      <c r="J18" s="90">
        <v>2018</v>
      </c>
      <c r="K18" s="90">
        <f t="shared" si="1"/>
        <v>0.24888352916136849</v>
      </c>
      <c r="L18" s="92">
        <f t="shared" si="2"/>
        <v>0.51792205815192571</v>
      </c>
      <c r="M18" s="92">
        <f t="shared" si="3"/>
        <v>7.3901068804666376E-2</v>
      </c>
      <c r="N18" s="107">
        <v>9.9879999999999997E-2</v>
      </c>
      <c r="O18" s="104">
        <f t="shared" si="4"/>
        <v>0.48054243924162376</v>
      </c>
      <c r="P18" s="104">
        <f t="shared" si="5"/>
        <v>1.3515366098966788</v>
      </c>
      <c r="Q18" s="104">
        <f t="shared" si="6"/>
        <v>0.19284754998927173</v>
      </c>
      <c r="R18" s="23">
        <f t="shared" si="7"/>
        <v>0.35851878741244086</v>
      </c>
      <c r="S18" s="23">
        <f t="shared" si="8"/>
        <v>0.18568478826278409</v>
      </c>
      <c r="T18" s="76">
        <f t="shared" si="14"/>
        <v>0.53790082071046241</v>
      </c>
      <c r="U18" s="58">
        <f t="shared" si="9"/>
        <v>181.55370362470205</v>
      </c>
      <c r="V18" s="58">
        <f t="shared" si="10"/>
        <v>125.86954641699134</v>
      </c>
      <c r="W18" s="58">
        <f t="shared" si="11"/>
        <v>1.4423957882809515</v>
      </c>
      <c r="X18" s="58">
        <f t="shared" si="15"/>
        <v>50.470132307692303</v>
      </c>
      <c r="Y18" s="58">
        <f t="shared" si="12"/>
        <v>0.19284754998927173</v>
      </c>
      <c r="Z18" s="76"/>
      <c r="AA18" s="76"/>
    </row>
    <row r="19" spans="1:27" ht="17.25" customHeight="1">
      <c r="A19" s="76"/>
      <c r="B19" s="90">
        <v>13</v>
      </c>
      <c r="C19" s="90">
        <v>520.5</v>
      </c>
      <c r="D19" s="90">
        <v>0.52</v>
      </c>
      <c r="E19" s="90">
        <f t="shared" si="0"/>
        <v>1000.9615384615385</v>
      </c>
      <c r="F19" s="91">
        <v>210000</v>
      </c>
      <c r="G19" s="90">
        <v>261.70999999999998</v>
      </c>
      <c r="H19" s="90">
        <v>0.3</v>
      </c>
      <c r="I19" s="106" t="s">
        <v>165</v>
      </c>
      <c r="J19" s="90">
        <v>2018</v>
      </c>
      <c r="K19" s="90">
        <f t="shared" si="1"/>
        <v>0.25370743024978959</v>
      </c>
      <c r="L19" s="92">
        <f t="shared" si="2"/>
        <v>0.52291719500480305</v>
      </c>
      <c r="M19" s="92">
        <f t="shared" si="3"/>
        <v>7.531857185688054E-2</v>
      </c>
      <c r="N19" s="107">
        <v>0.1</v>
      </c>
      <c r="O19" s="104">
        <f t="shared" si="4"/>
        <v>0.48517706564891072</v>
      </c>
      <c r="P19" s="104">
        <f t="shared" si="5"/>
        <v>1.3276937883264546</v>
      </c>
      <c r="Q19" s="104">
        <f t="shared" si="6"/>
        <v>0.19123486654341421</v>
      </c>
      <c r="R19" s="23">
        <f t="shared" si="7"/>
        <v>0.36143291545279149</v>
      </c>
      <c r="S19" s="23">
        <f t="shared" si="8"/>
        <v>0.18899948633098188</v>
      </c>
      <c r="T19" s="76">
        <f t="shared" si="14"/>
        <v>0.5291019671073437</v>
      </c>
      <c r="U19" s="58">
        <f t="shared" si="9"/>
        <v>180.68448211698927</v>
      </c>
      <c r="V19" s="58">
        <f t="shared" si="10"/>
        <v>125.86954641699134</v>
      </c>
      <c r="W19" s="58">
        <f t="shared" si="11"/>
        <v>1.4354900550638543</v>
      </c>
      <c r="X19" s="58">
        <f t="shared" si="15"/>
        <v>50.048076923076927</v>
      </c>
      <c r="Y19" s="58">
        <f t="shared" si="12"/>
        <v>0.19123486654341421</v>
      </c>
      <c r="Z19" s="76"/>
      <c r="AA19" s="76"/>
    </row>
    <row r="20" spans="1:27" ht="17.25" customHeight="1">
      <c r="A20" s="76"/>
      <c r="B20" s="90">
        <v>14</v>
      </c>
      <c r="C20" s="90">
        <v>522.83000000000004</v>
      </c>
      <c r="D20" s="90">
        <v>0.52</v>
      </c>
      <c r="E20" s="90">
        <f t="shared" si="0"/>
        <v>1005.4423076923077</v>
      </c>
      <c r="F20" s="91">
        <v>210000</v>
      </c>
      <c r="G20" s="90">
        <v>261.70999999999998</v>
      </c>
      <c r="H20" s="90">
        <v>0.3</v>
      </c>
      <c r="I20" s="106" t="s">
        <v>165</v>
      </c>
      <c r="J20" s="90">
        <v>2018</v>
      </c>
      <c r="K20" s="90">
        <f t="shared" si="1"/>
        <v>0.25145116682207791</v>
      </c>
      <c r="L20" s="92">
        <f t="shared" si="2"/>
        <v>0.52058680641891242</v>
      </c>
      <c r="M20" s="92">
        <f t="shared" si="3"/>
        <v>7.4655638234896349E-2</v>
      </c>
      <c r="N20" s="107">
        <v>9.8979999999999999E-2</v>
      </c>
      <c r="O20" s="104">
        <f t="shared" si="4"/>
        <v>0.48301486653454867</v>
      </c>
      <c r="P20" s="104">
        <f t="shared" si="5"/>
        <v>1.3258208266677665</v>
      </c>
      <c r="Q20" s="104">
        <f t="shared" si="6"/>
        <v>0.19013159530660773</v>
      </c>
      <c r="R20" s="23">
        <f t="shared" si="7"/>
        <v>0.36007460286629683</v>
      </c>
      <c r="S20" s="23">
        <f t="shared" si="8"/>
        <v>0.18745008757872364</v>
      </c>
      <c r="T20" s="76">
        <f t="shared" si="14"/>
        <v>0.52803389573467785</v>
      </c>
      <c r="U20" s="58">
        <f t="shared" si="9"/>
        <v>181.08844441550357</v>
      </c>
      <c r="V20" s="58">
        <f t="shared" si="10"/>
        <v>125.86954641699134</v>
      </c>
      <c r="W20" s="58">
        <f t="shared" si="11"/>
        <v>1.4386994278630223</v>
      </c>
      <c r="X20" s="58">
        <f t="shared" si="15"/>
        <v>49.759339807692314</v>
      </c>
      <c r="Y20" s="58">
        <f t="shared" si="12"/>
        <v>0.19013159530660775</v>
      </c>
      <c r="Z20" s="76"/>
      <c r="AA20" s="76"/>
    </row>
    <row r="21" spans="1:27" ht="17.25" customHeight="1">
      <c r="A21" s="76"/>
      <c r="B21" s="90">
        <v>15</v>
      </c>
      <c r="C21" s="90">
        <v>518.19000000000005</v>
      </c>
      <c r="D21" s="90">
        <v>0.52</v>
      </c>
      <c r="E21" s="90">
        <f t="shared" si="0"/>
        <v>996.51923076923083</v>
      </c>
      <c r="F21" s="91">
        <v>210000</v>
      </c>
      <c r="G21" s="90">
        <v>261.70999999999998</v>
      </c>
      <c r="H21" s="90">
        <v>0.3</v>
      </c>
      <c r="I21" s="106" t="s">
        <v>165</v>
      </c>
      <c r="J21" s="90">
        <v>2018</v>
      </c>
      <c r="K21" s="90">
        <f t="shared" si="1"/>
        <v>0.25597443829482036</v>
      </c>
      <c r="L21" s="92">
        <f t="shared" si="2"/>
        <v>0.52524826800980329</v>
      </c>
      <c r="M21" s="92">
        <f t="shared" si="3"/>
        <v>7.5984539925244746E-2</v>
      </c>
      <c r="N21" s="107">
        <v>0.1</v>
      </c>
      <c r="O21" s="104">
        <f t="shared" si="4"/>
        <v>0.48733989978629083</v>
      </c>
      <c r="P21" s="104">
        <f t="shared" si="5"/>
        <v>1.3160571887173653</v>
      </c>
      <c r="Q21" s="104">
        <f t="shared" si="6"/>
        <v>0.19038615849016677</v>
      </c>
      <c r="R21" s="23">
        <f t="shared" si="7"/>
        <v>0.36278949418337408</v>
      </c>
      <c r="S21" s="23">
        <f t="shared" si="8"/>
        <v>0.19055455347196984</v>
      </c>
      <c r="T21" s="76">
        <f t="shared" si="14"/>
        <v>0.52478410081504445</v>
      </c>
      <c r="U21" s="58">
        <f t="shared" si="9"/>
        <v>180.2830937666028</v>
      </c>
      <c r="V21" s="58">
        <f t="shared" si="10"/>
        <v>125.86954641699134</v>
      </c>
      <c r="W21" s="58">
        <f t="shared" si="11"/>
        <v>1.432301131596563</v>
      </c>
      <c r="X21" s="58">
        <f t="shared" si="15"/>
        <v>49.825961538461549</v>
      </c>
      <c r="Y21" s="58">
        <f t="shared" si="12"/>
        <v>0.1903861584901668</v>
      </c>
      <c r="Z21" s="76"/>
      <c r="AA21" s="76"/>
    </row>
    <row r="22" spans="1:27" ht="17.25" customHeight="1">
      <c r="A22" s="76"/>
      <c r="B22" s="90">
        <v>16</v>
      </c>
      <c r="C22" s="90">
        <v>517.03</v>
      </c>
      <c r="D22" s="90">
        <v>0.82</v>
      </c>
      <c r="E22" s="90">
        <f t="shared" si="0"/>
        <v>630.52439024390242</v>
      </c>
      <c r="F22" s="91">
        <v>210000</v>
      </c>
      <c r="G22" s="90">
        <v>314.10000000000002</v>
      </c>
      <c r="H22" s="90">
        <v>0.3</v>
      </c>
      <c r="I22" s="106" t="s">
        <v>165</v>
      </c>
      <c r="J22" s="90">
        <v>2018</v>
      </c>
      <c r="K22" s="90">
        <f t="shared" si="1"/>
        <v>0.639387564277761</v>
      </c>
      <c r="L22" s="92">
        <f t="shared" si="2"/>
        <v>0.9963135601415779</v>
      </c>
      <c r="M22" s="92">
        <f t="shared" si="3"/>
        <v>0.18835718308503671</v>
      </c>
      <c r="N22" s="107">
        <v>0.39321</v>
      </c>
      <c r="O22" s="104">
        <f>K22/L22</f>
        <v>0.64175334940428086</v>
      </c>
      <c r="P22" s="104">
        <f t="shared" si="5"/>
        <v>2.087576345960108</v>
      </c>
      <c r="Q22" s="104">
        <f t="shared" si="6"/>
        <v>0.39466490844922775</v>
      </c>
      <c r="R22" s="23">
        <f>0.0281*O22^3-0.2689*O22^2+0.8688*O22</f>
        <v>0.45423650876778549</v>
      </c>
      <c r="S22" s="23">
        <f>R22*L22</f>
        <v>0.45256199319671342</v>
      </c>
      <c r="T22" s="76">
        <f t="shared" si="14"/>
        <v>0.86885334144505788</v>
      </c>
      <c r="U22" s="58">
        <f t="shared" si="9"/>
        <v>143.40460763522276</v>
      </c>
      <c r="V22" s="58">
        <f t="shared" si="10"/>
        <v>114.89386988501072</v>
      </c>
      <c r="W22" s="58">
        <f t="shared" si="11"/>
        <v>1.2481484676140377</v>
      </c>
      <c r="X22" s="58">
        <f t="shared" si="15"/>
        <v>123.96424774390243</v>
      </c>
      <c r="Y22" s="58">
        <f t="shared" si="12"/>
        <v>0.39466490844922769</v>
      </c>
      <c r="Z22" s="76"/>
      <c r="AA22" s="76"/>
    </row>
    <row r="23" spans="1:27" ht="17.25" customHeight="1">
      <c r="A23" s="76"/>
      <c r="B23" s="90">
        <v>17</v>
      </c>
      <c r="C23" s="90">
        <v>518.01</v>
      </c>
      <c r="D23" s="90">
        <v>0.82</v>
      </c>
      <c r="E23" s="90">
        <f t="shared" si="0"/>
        <v>631.71951219512198</v>
      </c>
      <c r="F23" s="91">
        <v>210000</v>
      </c>
      <c r="G23" s="90">
        <v>314.10000000000002</v>
      </c>
      <c r="H23" s="90">
        <v>0.3</v>
      </c>
      <c r="I23" s="106" t="s">
        <v>165</v>
      </c>
      <c r="J23" s="90">
        <v>2018</v>
      </c>
      <c r="K23" s="90">
        <f t="shared" si="1"/>
        <v>0.63697059512704257</v>
      </c>
      <c r="L23" s="92">
        <f t="shared" si="2"/>
        <v>0.99442867898303133</v>
      </c>
      <c r="M23" s="92">
        <f t="shared" si="3"/>
        <v>0.1876578455532035</v>
      </c>
      <c r="N23" s="107">
        <v>0.39307999999999998</v>
      </c>
      <c r="O23" s="104">
        <f t="shared" si="4"/>
        <v>0.64053924488425951</v>
      </c>
      <c r="P23" s="104">
        <f t="shared" si="5"/>
        <v>2.0946632891432007</v>
      </c>
      <c r="Q23" s="104">
        <f t="shared" si="6"/>
        <v>0.39528224427516473</v>
      </c>
      <c r="R23" s="23">
        <f t="shared" si="7"/>
        <v>0.45355825581858111</v>
      </c>
      <c r="S23" s="23">
        <f t="shared" si="8"/>
        <v>0.45103133717551941</v>
      </c>
      <c r="T23" s="76">
        <f t="shared" si="14"/>
        <v>0.87151372332923371</v>
      </c>
      <c r="U23" s="58">
        <f t="shared" si="9"/>
        <v>143.54045080084484</v>
      </c>
      <c r="V23" s="58">
        <f t="shared" si="10"/>
        <v>114.89386988501072</v>
      </c>
      <c r="W23" s="58">
        <f t="shared" si="11"/>
        <v>1.2493308036756399</v>
      </c>
      <c r="X23" s="58">
        <f t="shared" si="15"/>
        <v>124.15815292682926</v>
      </c>
      <c r="Y23" s="58">
        <f t="shared" si="12"/>
        <v>0.39528224427516478</v>
      </c>
      <c r="Z23" s="76"/>
      <c r="AA23" s="76"/>
    </row>
    <row r="24" spans="1:27" ht="17.25" customHeight="1">
      <c r="A24" s="76"/>
      <c r="B24" s="90">
        <v>18</v>
      </c>
      <c r="C24" s="90">
        <v>512.5</v>
      </c>
      <c r="D24" s="90">
        <v>0.82</v>
      </c>
      <c r="E24" s="90">
        <f t="shared" si="0"/>
        <v>625</v>
      </c>
      <c r="F24" s="91">
        <v>210000</v>
      </c>
      <c r="G24" s="90">
        <v>314.10000000000002</v>
      </c>
      <c r="H24" s="90">
        <v>0.3</v>
      </c>
      <c r="I24" s="106" t="s">
        <v>165</v>
      </c>
      <c r="J24" s="90">
        <v>2018</v>
      </c>
      <c r="K24" s="90">
        <f t="shared" si="1"/>
        <v>0.65074064312549629</v>
      </c>
      <c r="L24" s="92">
        <f t="shared" si="2"/>
        <v>1.00512</v>
      </c>
      <c r="M24" s="92">
        <f t="shared" si="3"/>
        <v>0.19164088554683661</v>
      </c>
      <c r="N24" s="107">
        <v>0.35598999999999997</v>
      </c>
      <c r="O24" s="104">
        <f t="shared" si="4"/>
        <v>0.64742582291218587</v>
      </c>
      <c r="P24" s="104">
        <f t="shared" si="5"/>
        <v>1.857588995084229</v>
      </c>
      <c r="Q24" s="104">
        <f t="shared" si="6"/>
        <v>0.35417661572747527</v>
      </c>
      <c r="R24" s="23">
        <f t="shared" si="7"/>
        <v>0.45739701948685219</v>
      </c>
      <c r="S24" s="23">
        <f t="shared" si="8"/>
        <v>0.4597388922266249</v>
      </c>
      <c r="T24" s="76">
        <f t="shared" si="14"/>
        <v>0.77433083434785266</v>
      </c>
      <c r="U24" s="58">
        <f t="shared" si="9"/>
        <v>142.77500000000001</v>
      </c>
      <c r="V24" s="58">
        <f t="shared" si="10"/>
        <v>114.89386988501072</v>
      </c>
      <c r="W24" s="58">
        <f t="shared" si="11"/>
        <v>1.2426685613679265</v>
      </c>
      <c r="X24" s="58">
        <f t="shared" si="15"/>
        <v>111.246875</v>
      </c>
      <c r="Y24" s="58">
        <f t="shared" si="12"/>
        <v>0.35417661572747533</v>
      </c>
      <c r="Z24" s="76"/>
      <c r="AA24" s="76"/>
    </row>
    <row r="25" spans="1:27" ht="17.25" customHeight="1">
      <c r="A25" s="76"/>
      <c r="B25" s="90">
        <v>19</v>
      </c>
      <c r="C25" s="90">
        <v>517.03</v>
      </c>
      <c r="D25" s="90">
        <v>0.82</v>
      </c>
      <c r="E25" s="90">
        <f t="shared" si="0"/>
        <v>630.52439024390242</v>
      </c>
      <c r="F25" s="91">
        <v>210000</v>
      </c>
      <c r="G25" s="90">
        <v>314.10000000000002</v>
      </c>
      <c r="H25" s="90">
        <v>0.3</v>
      </c>
      <c r="I25" s="106" t="s">
        <v>165</v>
      </c>
      <c r="J25" s="90">
        <v>2018</v>
      </c>
      <c r="K25" s="90">
        <f t="shared" si="1"/>
        <v>0.639387564277761</v>
      </c>
      <c r="L25" s="92">
        <f t="shared" si="2"/>
        <v>0.9963135601415779</v>
      </c>
      <c r="M25" s="92">
        <f t="shared" si="3"/>
        <v>0.18835718308503671</v>
      </c>
      <c r="N25" s="107">
        <v>0.54390000000000005</v>
      </c>
      <c r="O25" s="104">
        <f t="shared" si="4"/>
        <v>0.64175334940428086</v>
      </c>
      <c r="P25" s="104">
        <f t="shared" si="5"/>
        <v>2.8875989282258918</v>
      </c>
      <c r="Q25" s="104">
        <f t="shared" si="6"/>
        <v>0.54591247350152583</v>
      </c>
      <c r="R25" s="23">
        <f t="shared" si="7"/>
        <v>0.45423650876778549</v>
      </c>
      <c r="S25" s="23">
        <f t="shared" si="8"/>
        <v>0.45256199319671342</v>
      </c>
      <c r="T25" s="76">
        <f t="shared" si="14"/>
        <v>1.2018242984969023</v>
      </c>
      <c r="U25" s="58">
        <f t="shared" si="9"/>
        <v>143.40460763522276</v>
      </c>
      <c r="V25" s="58">
        <f t="shared" si="10"/>
        <v>114.89386988501072</v>
      </c>
      <c r="W25" s="58">
        <f t="shared" si="11"/>
        <v>1.2481484676140377</v>
      </c>
      <c r="X25" s="58">
        <f t="shared" si="15"/>
        <v>171.47110792682929</v>
      </c>
      <c r="Y25" s="58">
        <f t="shared" si="12"/>
        <v>0.54591247350152583</v>
      </c>
      <c r="Z25" s="76"/>
      <c r="AA25" s="76"/>
    </row>
    <row r="26" spans="1:27" ht="17.25" customHeight="1">
      <c r="A26" s="76"/>
      <c r="B26" s="90">
        <v>20</v>
      </c>
      <c r="C26" s="90">
        <v>519.33000000000004</v>
      </c>
      <c r="D26" s="90">
        <v>0.82</v>
      </c>
      <c r="E26" s="90">
        <f t="shared" si="0"/>
        <v>633.32926829268297</v>
      </c>
      <c r="F26" s="91">
        <v>210000</v>
      </c>
      <c r="G26" s="90">
        <v>314.10000000000002</v>
      </c>
      <c r="H26" s="90">
        <v>0.3</v>
      </c>
      <c r="I26" s="106" t="s">
        <v>165</v>
      </c>
      <c r="J26" s="90">
        <v>2018</v>
      </c>
      <c r="K26" s="90">
        <f t="shared" si="1"/>
        <v>0.63373668744580014</v>
      </c>
      <c r="L26" s="92">
        <f t="shared" si="2"/>
        <v>0.99190110334469406</v>
      </c>
      <c r="M26" s="92">
        <f t="shared" si="3"/>
        <v>0.18672198459745992</v>
      </c>
      <c r="N26" s="107">
        <v>0.35477999999999998</v>
      </c>
      <c r="O26" s="104">
        <f t="shared" si="4"/>
        <v>0.63891116292626127</v>
      </c>
      <c r="P26" s="104">
        <f t="shared" si="5"/>
        <v>1.9000440722866345</v>
      </c>
      <c r="Q26" s="104">
        <f t="shared" si="6"/>
        <v>0.35767678733664127</v>
      </c>
      <c r="R26" s="23">
        <f t="shared" si="7"/>
        <v>0.45264774212887482</v>
      </c>
      <c r="S26" s="23">
        <f t="shared" si="8"/>
        <v>0.44898179484411549</v>
      </c>
      <c r="T26" s="76">
        <f t="shared" si="14"/>
        <v>0.79018794096802525</v>
      </c>
      <c r="U26" s="58">
        <f t="shared" si="9"/>
        <v>143.72322028786664</v>
      </c>
      <c r="V26" s="58">
        <f t="shared" si="10"/>
        <v>114.89386988501072</v>
      </c>
      <c r="W26" s="58">
        <f t="shared" si="11"/>
        <v>1.2509215716357123</v>
      </c>
      <c r="X26" s="58">
        <f t="shared" si="15"/>
        <v>112.34627890243902</v>
      </c>
      <c r="Y26" s="58">
        <f t="shared" si="12"/>
        <v>0.35767678733664127</v>
      </c>
      <c r="Z26" s="76"/>
      <c r="AA26" s="76"/>
    </row>
    <row r="27" spans="1:27" ht="17.25" customHeight="1">
      <c r="A27" s="76"/>
      <c r="B27" s="90">
        <v>21</v>
      </c>
      <c r="C27" s="90">
        <v>474.12</v>
      </c>
      <c r="D27" s="90">
        <v>1.03</v>
      </c>
      <c r="E27" s="90">
        <f t="shared" si="0"/>
        <v>460.31067961165047</v>
      </c>
      <c r="F27" s="91">
        <v>210000</v>
      </c>
      <c r="G27" s="90">
        <v>284.63</v>
      </c>
      <c r="H27" s="90">
        <v>0.3</v>
      </c>
      <c r="I27" s="106" t="s">
        <v>165</v>
      </c>
      <c r="J27" s="90">
        <v>2018</v>
      </c>
      <c r="K27" s="90">
        <f t="shared" si="1"/>
        <v>1.1996812322593782</v>
      </c>
      <c r="L27" s="92">
        <f t="shared" si="2"/>
        <v>1.2366864928710031</v>
      </c>
      <c r="M27" s="92">
        <f t="shared" si="3"/>
        <v>0.34556791168177381</v>
      </c>
      <c r="N27" s="107">
        <v>0.48402000000000001</v>
      </c>
      <c r="O27" s="104">
        <f t="shared" si="4"/>
        <v>0.97007708839310103</v>
      </c>
      <c r="P27" s="104">
        <f t="shared" si="5"/>
        <v>1.4006508811666629</v>
      </c>
      <c r="Q27" s="104">
        <f t="shared" si="6"/>
        <v>0.3913845609135212</v>
      </c>
      <c r="R27" s="23">
        <f t="shared" si="7"/>
        <v>0.6154069746773696</v>
      </c>
      <c r="S27" s="23">
        <f t="shared" si="8"/>
        <v>0.76106549320211037</v>
      </c>
      <c r="T27" s="76">
        <f t="shared" si="14"/>
        <v>0.63597680399821055</v>
      </c>
      <c r="U27" s="58">
        <f t="shared" si="9"/>
        <v>122.52866047336869</v>
      </c>
      <c r="V27" s="58">
        <f t="shared" si="10"/>
        <v>120.69533639392363</v>
      </c>
      <c r="W27" s="58">
        <f t="shared" si="11"/>
        <v>1.0151896844917145</v>
      </c>
      <c r="X27" s="58">
        <f t="shared" si="15"/>
        <v>111.39978757281554</v>
      </c>
      <c r="Y27" s="58">
        <f t="shared" si="12"/>
        <v>0.3913845609135212</v>
      </c>
      <c r="Z27" s="76"/>
      <c r="AA27" s="76"/>
    </row>
    <row r="28" spans="1:27" ht="17.25" customHeight="1">
      <c r="A28" s="76"/>
      <c r="B28" s="90">
        <v>22</v>
      </c>
      <c r="C28" s="90">
        <v>472.3</v>
      </c>
      <c r="D28" s="90">
        <v>1.03</v>
      </c>
      <c r="E28" s="90">
        <f t="shared" si="0"/>
        <v>458.54368932038835</v>
      </c>
      <c r="F28" s="91">
        <v>210000</v>
      </c>
      <c r="G28" s="90">
        <v>284.63</v>
      </c>
      <c r="H28" s="90">
        <v>0.3</v>
      </c>
      <c r="I28" s="106" t="s">
        <v>165</v>
      </c>
      <c r="J28" s="90">
        <v>2018</v>
      </c>
      <c r="K28" s="90">
        <f t="shared" si="1"/>
        <v>1.2089449490846444</v>
      </c>
      <c r="L28" s="92">
        <f t="shared" si="2"/>
        <v>1.2414520431928859</v>
      </c>
      <c r="M28" s="92">
        <f t="shared" si="3"/>
        <v>0.34813138961175405</v>
      </c>
      <c r="N28" s="107">
        <v>0.49560999999999999</v>
      </c>
      <c r="O28" s="104">
        <f t="shared" si="4"/>
        <v>0.97381526391898587</v>
      </c>
      <c r="P28" s="104">
        <f t="shared" si="5"/>
        <v>1.4236291664268432</v>
      </c>
      <c r="Q28" s="104">
        <f t="shared" si="6"/>
        <v>0.39921799856669649</v>
      </c>
      <c r="R28" s="23">
        <f t="shared" si="7"/>
        <v>0.61699840539894857</v>
      </c>
      <c r="S28" s="23">
        <f t="shared" si="8"/>
        <v>0.76597393102927724</v>
      </c>
      <c r="T28" s="76">
        <f t="shared" si="14"/>
        <v>0.64703246406052506</v>
      </c>
      <c r="U28" s="58">
        <f t="shared" si="9"/>
        <v>122.29325953807349</v>
      </c>
      <c r="V28" s="58">
        <f t="shared" si="10"/>
        <v>120.69533639392363</v>
      </c>
      <c r="W28" s="58">
        <f t="shared" si="11"/>
        <v>1.0132393114091383</v>
      </c>
      <c r="X28" s="58">
        <f t="shared" si="15"/>
        <v>113.62941893203883</v>
      </c>
      <c r="Y28" s="58">
        <f t="shared" si="12"/>
        <v>0.39921799856669654</v>
      </c>
      <c r="Z28" s="76"/>
      <c r="AA28" s="76"/>
    </row>
    <row r="29" spans="1:27" ht="17.25" customHeight="1">
      <c r="A29" s="76"/>
      <c r="B29" s="90">
        <v>23</v>
      </c>
      <c r="C29" s="90">
        <v>485.93</v>
      </c>
      <c r="D29" s="90">
        <v>1.03</v>
      </c>
      <c r="E29" s="90">
        <f t="shared" si="0"/>
        <v>471.77669902912623</v>
      </c>
      <c r="F29" s="91">
        <v>210000</v>
      </c>
      <c r="G29" s="90">
        <v>284.63</v>
      </c>
      <c r="H29" s="90">
        <v>0.3</v>
      </c>
      <c r="I29" s="106" t="s">
        <v>165</v>
      </c>
      <c r="J29" s="90">
        <v>2018</v>
      </c>
      <c r="K29" s="90">
        <f t="shared" si="1"/>
        <v>1.1420759657404715</v>
      </c>
      <c r="L29" s="92">
        <f t="shared" si="2"/>
        <v>1.2066301730701954</v>
      </c>
      <c r="M29" s="92">
        <f t="shared" si="3"/>
        <v>0.32959317060942994</v>
      </c>
      <c r="N29" s="107">
        <v>0.42727999999999999</v>
      </c>
      <c r="O29" s="104">
        <f t="shared" si="4"/>
        <v>0.94650042012005242</v>
      </c>
      <c r="P29" s="104">
        <f t="shared" si="5"/>
        <v>1.2963860847296791</v>
      </c>
      <c r="Q29" s="104">
        <f t="shared" si="6"/>
        <v>0.35411015697776943</v>
      </c>
      <c r="R29" s="23">
        <f t="shared" si="7"/>
        <v>0.60524895856195204</v>
      </c>
      <c r="S29" s="23">
        <f t="shared" si="8"/>
        <v>0.73031165562016376</v>
      </c>
      <c r="T29" s="76">
        <f t="shared" si="14"/>
        <v>0.58506528919788869</v>
      </c>
      <c r="U29" s="58">
        <f t="shared" si="9"/>
        <v>124.04532572610364</v>
      </c>
      <c r="V29" s="58">
        <f t="shared" si="10"/>
        <v>120.69533639392363</v>
      </c>
      <c r="W29" s="58">
        <f t="shared" si="11"/>
        <v>1.027755747920917</v>
      </c>
      <c r="X29" s="58">
        <f t="shared" si="15"/>
        <v>100.79037398058252</v>
      </c>
      <c r="Y29" s="58">
        <f t="shared" si="12"/>
        <v>0.35411015697776943</v>
      </c>
      <c r="Z29" s="76"/>
      <c r="AA29" s="76"/>
    </row>
    <row r="30" spans="1:27" ht="17.25" customHeight="1">
      <c r="A30" s="76"/>
      <c r="B30" s="90">
        <v>24</v>
      </c>
      <c r="C30" s="90">
        <v>486.5</v>
      </c>
      <c r="D30" s="90">
        <v>1.03</v>
      </c>
      <c r="E30" s="90">
        <f t="shared" si="0"/>
        <v>472.33009708737865</v>
      </c>
      <c r="F30" s="91">
        <v>210000</v>
      </c>
      <c r="G30" s="90">
        <v>284.63</v>
      </c>
      <c r="H30" s="90">
        <v>0.3</v>
      </c>
      <c r="I30" s="106" t="s">
        <v>165</v>
      </c>
      <c r="J30" s="90">
        <v>2018</v>
      </c>
      <c r="K30" s="90">
        <f t="shared" si="1"/>
        <v>1.1394013431573331</v>
      </c>
      <c r="L30" s="92">
        <f t="shared" si="2"/>
        <v>1.2052164439876671</v>
      </c>
      <c r="M30" s="92">
        <f t="shared" si="3"/>
        <v>0.32885002961387094</v>
      </c>
      <c r="N30" s="107">
        <v>0.43868000000000001</v>
      </c>
      <c r="O30" s="104">
        <f t="shared" si="4"/>
        <v>0.94539146793203932</v>
      </c>
      <c r="P30" s="104">
        <f t="shared" si="5"/>
        <v>1.3339819385605323</v>
      </c>
      <c r="Q30" s="104">
        <f t="shared" si="6"/>
        <v>0.36398441308065077</v>
      </c>
      <c r="R30" s="23">
        <f t="shared" si="7"/>
        <v>0.6047660064714957</v>
      </c>
      <c r="S30" s="23">
        <f t="shared" si="8"/>
        <v>0.72887393576419857</v>
      </c>
      <c r="T30" s="76">
        <f t="shared" si="14"/>
        <v>0.60185990810613854</v>
      </c>
      <c r="U30" s="58">
        <f t="shared" si="9"/>
        <v>124.11805751173131</v>
      </c>
      <c r="V30" s="58">
        <f t="shared" si="10"/>
        <v>120.69533639392363</v>
      </c>
      <c r="W30" s="58">
        <f t="shared" si="11"/>
        <v>1.0283583543496384</v>
      </c>
      <c r="X30" s="58">
        <f t="shared" si="15"/>
        <v>103.60088349514564</v>
      </c>
      <c r="Y30" s="58">
        <f t="shared" si="12"/>
        <v>0.36398441308065083</v>
      </c>
      <c r="Z30" s="76"/>
      <c r="AA30" s="76"/>
    </row>
    <row r="31" spans="1:27" ht="17.25" customHeight="1">
      <c r="A31" s="76"/>
      <c r="B31" s="90">
        <v>25</v>
      </c>
      <c r="C31" s="90">
        <v>483.93</v>
      </c>
      <c r="D31" s="90">
        <v>1.03</v>
      </c>
      <c r="E31" s="90">
        <f t="shared" si="0"/>
        <v>469.83495145631065</v>
      </c>
      <c r="F31" s="91">
        <v>210000</v>
      </c>
      <c r="G31" s="90">
        <v>284.63</v>
      </c>
      <c r="H31" s="90">
        <v>0.3</v>
      </c>
      <c r="I31" s="106" t="s">
        <v>165</v>
      </c>
      <c r="J31" s="90">
        <v>2018</v>
      </c>
      <c r="K31" s="90">
        <f t="shared" si="1"/>
        <v>1.1515354823494799</v>
      </c>
      <c r="L31" s="92">
        <f t="shared" si="2"/>
        <v>1.2116169693964003</v>
      </c>
      <c r="M31" s="92">
        <f t="shared" si="3"/>
        <v>0.33222046592583365</v>
      </c>
      <c r="N31" s="107">
        <v>0.42251</v>
      </c>
      <c r="O31" s="104">
        <f t="shared" si="4"/>
        <v>0.95041214462615886</v>
      </c>
      <c r="P31" s="104">
        <f t="shared" si="5"/>
        <v>1.2717759540266342</v>
      </c>
      <c r="Q31" s="104">
        <f t="shared" si="6"/>
        <v>0.34871581586587119</v>
      </c>
      <c r="R31" s="23">
        <f t="shared" si="7"/>
        <v>0.60694881414177115</v>
      </c>
      <c r="S31" s="23">
        <f t="shared" si="8"/>
        <v>0.7353894827691918</v>
      </c>
      <c r="T31" s="76">
        <f t="shared" si="14"/>
        <v>0.57453908425368161</v>
      </c>
      <c r="U31" s="58">
        <f t="shared" si="9"/>
        <v>123.78978845509545</v>
      </c>
      <c r="V31" s="58">
        <f t="shared" si="10"/>
        <v>120.69533639392363</v>
      </c>
      <c r="W31" s="58">
        <f t="shared" si="11"/>
        <v>1.0256385387673324</v>
      </c>
      <c r="X31" s="58">
        <f t="shared" si="15"/>
        <v>99.254982669902915</v>
      </c>
      <c r="Y31" s="58">
        <f t="shared" si="12"/>
        <v>0.34871581586587119</v>
      </c>
      <c r="Z31" s="76"/>
      <c r="AA31" s="76"/>
    </row>
    <row r="32" spans="1:27" ht="17.25" customHeight="1">
      <c r="A32" s="76"/>
      <c r="B32" s="90">
        <v>26</v>
      </c>
      <c r="C32" s="90">
        <v>488.86</v>
      </c>
      <c r="D32" s="90">
        <v>1.5</v>
      </c>
      <c r="E32" s="90">
        <f t="shared" si="0"/>
        <v>325.90666666666669</v>
      </c>
      <c r="F32" s="91">
        <v>210000</v>
      </c>
      <c r="G32" s="90">
        <v>294.29000000000002</v>
      </c>
      <c r="H32" s="90">
        <v>0.3</v>
      </c>
      <c r="I32" s="106" t="s">
        <v>165</v>
      </c>
      <c r="J32" s="90">
        <v>2018</v>
      </c>
      <c r="K32" s="90">
        <f t="shared" si="1"/>
        <v>2.3932136879788395</v>
      </c>
      <c r="L32" s="92">
        <f t="shared" si="2"/>
        <v>1.8059771713783088</v>
      </c>
      <c r="M32" s="92">
        <f t="shared" si="3"/>
        <v>0.6671753648884714</v>
      </c>
      <c r="N32" s="107">
        <v>0.96289000000000002</v>
      </c>
      <c r="O32" s="104">
        <f t="shared" si="4"/>
        <v>1.3251627572636235</v>
      </c>
      <c r="P32" s="104">
        <f t="shared" si="5"/>
        <v>1.4432337443409078</v>
      </c>
      <c r="Q32" s="104">
        <f t="shared" si="6"/>
        <v>0.53316842275759735</v>
      </c>
      <c r="R32" s="23">
        <f t="shared" si="7"/>
        <v>0.74448825421705145</v>
      </c>
      <c r="S32" s="23">
        <f t="shared" si="8"/>
        <v>1.3445287914752859</v>
      </c>
      <c r="T32" s="76">
        <f t="shared" si="14"/>
        <v>0.71615424385480642</v>
      </c>
      <c r="U32" s="58">
        <f t="shared" si="9"/>
        <v>103.10002779197816</v>
      </c>
      <c r="V32" s="58">
        <f t="shared" si="10"/>
        <v>118.69791036223141</v>
      </c>
      <c r="W32" s="58">
        <f t="shared" si="11"/>
        <v>0.86859176776867375</v>
      </c>
      <c r="X32" s="58">
        <f t="shared" si="15"/>
        <v>156.90613513333335</v>
      </c>
      <c r="Y32" s="58">
        <f t="shared" si="12"/>
        <v>0.53316842275759735</v>
      </c>
      <c r="Z32" s="76"/>
      <c r="AA32" s="76"/>
    </row>
    <row r="33" spans="1:28" ht="17.25" customHeight="1">
      <c r="A33" s="76"/>
      <c r="B33" s="90">
        <v>27</v>
      </c>
      <c r="C33" s="90">
        <v>491.48</v>
      </c>
      <c r="D33" s="90">
        <v>1.5</v>
      </c>
      <c r="E33" s="90">
        <f t="shared" si="0"/>
        <v>327.65333333333336</v>
      </c>
      <c r="F33" s="91">
        <v>210000</v>
      </c>
      <c r="G33" s="90">
        <v>294.29000000000002</v>
      </c>
      <c r="H33" s="90">
        <v>0.3</v>
      </c>
      <c r="I33" s="106" t="s">
        <v>165</v>
      </c>
      <c r="J33" s="90">
        <v>2018</v>
      </c>
      <c r="K33" s="90">
        <f t="shared" si="1"/>
        <v>2.36776603150855</v>
      </c>
      <c r="L33" s="92">
        <f t="shared" si="2"/>
        <v>1.7963498006022627</v>
      </c>
      <c r="M33" s="92">
        <f t="shared" si="3"/>
        <v>0.660560588440672</v>
      </c>
      <c r="N33" s="107">
        <v>1.0318000000000001</v>
      </c>
      <c r="O33" s="104">
        <f t="shared" si="4"/>
        <v>1.3180985299826953</v>
      </c>
      <c r="P33" s="104">
        <f t="shared" si="5"/>
        <v>1.5620066017497058</v>
      </c>
      <c r="Q33" s="104">
        <f t="shared" si="6"/>
        <v>0.57438701507583223</v>
      </c>
      <c r="R33" s="23">
        <f t="shared" si="7"/>
        <v>0.74233172338121378</v>
      </c>
      <c r="S33" s="23">
        <f t="shared" si="8"/>
        <v>1.3334874432765773</v>
      </c>
      <c r="T33" s="76">
        <f t="shared" si="14"/>
        <v>0.7737605668522185</v>
      </c>
      <c r="U33" s="58">
        <f t="shared" si="9"/>
        <v>103.37593614595872</v>
      </c>
      <c r="V33" s="58">
        <f t="shared" si="10"/>
        <v>118.69791036223141</v>
      </c>
      <c r="W33" s="58">
        <f t="shared" si="11"/>
        <v>0.87091622616173703</v>
      </c>
      <c r="X33" s="58">
        <f t="shared" si="15"/>
        <v>169.03635466666668</v>
      </c>
      <c r="Y33" s="58">
        <f t="shared" si="12"/>
        <v>0.57438701507583223</v>
      </c>
      <c r="Z33" s="76"/>
      <c r="AA33" s="76"/>
    </row>
    <row r="34" spans="1:28" ht="17.25" customHeight="1">
      <c r="A34" s="76"/>
      <c r="B34" s="90">
        <v>28</v>
      </c>
      <c r="C34" s="90">
        <v>487.13</v>
      </c>
      <c r="D34" s="90">
        <v>1.5</v>
      </c>
      <c r="E34" s="90">
        <f t="shared" si="0"/>
        <v>324.75333333333333</v>
      </c>
      <c r="F34" s="91">
        <v>210000</v>
      </c>
      <c r="G34" s="90">
        <v>294.29000000000002</v>
      </c>
      <c r="H34" s="90">
        <v>0.3</v>
      </c>
      <c r="I34" s="106" t="s">
        <v>165</v>
      </c>
      <c r="J34" s="90">
        <v>2018</v>
      </c>
      <c r="K34" s="90">
        <f t="shared" si="1"/>
        <v>2.4102424547023702</v>
      </c>
      <c r="L34" s="92">
        <f t="shared" si="2"/>
        <v>1.8123909428694602</v>
      </c>
      <c r="M34" s="92">
        <f t="shared" si="3"/>
        <v>0.67159660115968267</v>
      </c>
      <c r="N34" s="107">
        <v>1.0762</v>
      </c>
      <c r="O34" s="104">
        <f t="shared" si="4"/>
        <v>1.329868958010993</v>
      </c>
      <c r="P34" s="104">
        <f t="shared" si="5"/>
        <v>1.6024500394160222</v>
      </c>
      <c r="Q34" s="104">
        <f t="shared" si="6"/>
        <v>0.59380124593654782</v>
      </c>
      <c r="R34" s="23">
        <f t="shared" si="7"/>
        <v>0.74591622790059064</v>
      </c>
      <c r="S34" s="23">
        <f t="shared" si="8"/>
        <v>1.3518918155863826</v>
      </c>
      <c r="T34" s="76">
        <f t="shared" si="14"/>
        <v>0.79606961710408664</v>
      </c>
      <c r="U34" s="58">
        <f t="shared" si="9"/>
        <v>102.91743857652762</v>
      </c>
      <c r="V34" s="58">
        <f t="shared" si="10"/>
        <v>118.69791036223141</v>
      </c>
      <c r="W34" s="58">
        <f t="shared" si="11"/>
        <v>0.86705349961472444</v>
      </c>
      <c r="X34" s="58">
        <f t="shared" si="15"/>
        <v>174.74976866666668</v>
      </c>
      <c r="Y34" s="58">
        <f t="shared" si="12"/>
        <v>0.59380124593654782</v>
      </c>
      <c r="Z34" s="76"/>
      <c r="AA34" s="76"/>
    </row>
    <row r="35" spans="1:28" ht="17.25" customHeight="1">
      <c r="A35" s="76"/>
      <c r="B35" s="90">
        <v>29</v>
      </c>
      <c r="C35" s="90">
        <v>487.13</v>
      </c>
      <c r="D35" s="90">
        <v>1.5</v>
      </c>
      <c r="E35" s="90">
        <f t="shared" si="0"/>
        <v>324.75333333333333</v>
      </c>
      <c r="F35" s="91">
        <v>210000</v>
      </c>
      <c r="G35" s="90">
        <v>294.29000000000002</v>
      </c>
      <c r="H35" s="90">
        <v>0.3</v>
      </c>
      <c r="I35" s="106" t="s">
        <v>165</v>
      </c>
      <c r="J35" s="90">
        <v>2018</v>
      </c>
      <c r="K35" s="90">
        <f t="shared" si="1"/>
        <v>2.4102424547023702</v>
      </c>
      <c r="L35" s="92">
        <f t="shared" si="2"/>
        <v>1.8123909428694602</v>
      </c>
      <c r="M35" s="92">
        <f t="shared" si="3"/>
        <v>0.67159660115968267</v>
      </c>
      <c r="N35" s="107">
        <v>1.0619000000000001</v>
      </c>
      <c r="O35" s="104">
        <f t="shared" si="4"/>
        <v>1.329868958010993</v>
      </c>
      <c r="P35" s="104">
        <f t="shared" si="5"/>
        <v>1.5811574956846999</v>
      </c>
      <c r="Q35" s="104">
        <f t="shared" si="6"/>
        <v>0.58591111601934598</v>
      </c>
      <c r="R35" s="23">
        <f t="shared" si="7"/>
        <v>0.74591622790059064</v>
      </c>
      <c r="S35" s="23">
        <f t="shared" si="8"/>
        <v>1.3518918155863826</v>
      </c>
      <c r="T35" s="76">
        <f t="shared" si="14"/>
        <v>0.78549184761459734</v>
      </c>
      <c r="U35" s="58">
        <f t="shared" si="9"/>
        <v>102.91743857652762</v>
      </c>
      <c r="V35" s="58">
        <f t="shared" si="10"/>
        <v>118.69791036223141</v>
      </c>
      <c r="W35" s="58">
        <f t="shared" si="11"/>
        <v>0.86705349961472444</v>
      </c>
      <c r="X35" s="58">
        <f t="shared" si="15"/>
        <v>172.42778233333334</v>
      </c>
      <c r="Y35" s="58">
        <f t="shared" si="12"/>
        <v>0.58591111601934598</v>
      </c>
      <c r="Z35" s="76"/>
      <c r="AA35" s="76"/>
    </row>
    <row r="36" spans="1:28" ht="17.25" customHeight="1">
      <c r="A36" s="76"/>
      <c r="B36" s="90">
        <v>30</v>
      </c>
      <c r="C36" s="90">
        <v>487.13</v>
      </c>
      <c r="D36" s="90">
        <v>1.5</v>
      </c>
      <c r="E36" s="90">
        <f t="shared" si="0"/>
        <v>324.75333333333333</v>
      </c>
      <c r="F36" s="91">
        <v>210000</v>
      </c>
      <c r="G36" s="90">
        <v>294.29000000000002</v>
      </c>
      <c r="H36" s="90">
        <v>0.3</v>
      </c>
      <c r="I36" s="106" t="s">
        <v>165</v>
      </c>
      <c r="J36" s="90">
        <v>2018</v>
      </c>
      <c r="K36" s="90">
        <f t="shared" si="1"/>
        <v>2.4102424547023702</v>
      </c>
      <c r="L36" s="92">
        <f t="shared" si="2"/>
        <v>1.8123909428694602</v>
      </c>
      <c r="M36" s="92">
        <f t="shared" si="3"/>
        <v>0.67159660115968267</v>
      </c>
      <c r="N36" s="107">
        <v>1.0806</v>
      </c>
      <c r="O36" s="104">
        <f t="shared" si="4"/>
        <v>1.329868958010993</v>
      </c>
      <c r="P36" s="104">
        <f t="shared" si="5"/>
        <v>1.6090015913333522</v>
      </c>
      <c r="Q36" s="104">
        <f t="shared" si="6"/>
        <v>0.59622897821876375</v>
      </c>
      <c r="R36" s="23">
        <f t="shared" si="7"/>
        <v>0.74591622790059064</v>
      </c>
      <c r="S36" s="23">
        <f t="shared" si="8"/>
        <v>1.3518918155863826</v>
      </c>
      <c r="T36" s="76">
        <f t="shared" si="14"/>
        <v>0.79932431540854487</v>
      </c>
      <c r="U36" s="58">
        <f t="shared" si="9"/>
        <v>102.91743857652762</v>
      </c>
      <c r="V36" s="58">
        <f t="shared" si="10"/>
        <v>118.69791036223141</v>
      </c>
      <c r="W36" s="58">
        <f t="shared" si="11"/>
        <v>0.86705349961472444</v>
      </c>
      <c r="X36" s="58">
        <f t="shared" si="15"/>
        <v>175.46422600000002</v>
      </c>
      <c r="Y36" s="58">
        <f t="shared" si="12"/>
        <v>0.59622897821876386</v>
      </c>
      <c r="Z36" s="76"/>
      <c r="AA36" s="76"/>
    </row>
    <row r="37" spans="1:28" ht="17.25" customHeight="1">
      <c r="A37" s="76"/>
      <c r="B37" s="108">
        <v>31</v>
      </c>
      <c r="C37" s="108">
        <v>1816.5</v>
      </c>
      <c r="D37" s="108">
        <v>1</v>
      </c>
      <c r="E37" s="108">
        <f t="shared" si="0"/>
        <v>1816.5</v>
      </c>
      <c r="F37" s="109">
        <v>207000</v>
      </c>
      <c r="G37" s="108">
        <v>303.5</v>
      </c>
      <c r="H37" s="108">
        <v>0.28000000000000003</v>
      </c>
      <c r="I37" s="110" t="s">
        <v>166</v>
      </c>
      <c r="J37" s="108">
        <v>2005</v>
      </c>
      <c r="K37" s="108">
        <f t="shared" si="1"/>
        <v>7.5456677125440602E-2</v>
      </c>
      <c r="L37" s="111">
        <f t="shared" si="2"/>
        <v>0.33415909716487752</v>
      </c>
      <c r="M37" s="112">
        <f t="shared" si="3"/>
        <v>2.2585239048534045E-2</v>
      </c>
      <c r="N37" s="113">
        <v>4.58E-2</v>
      </c>
      <c r="O37" s="98">
        <f t="shared" si="4"/>
        <v>0.22581063261674275</v>
      </c>
      <c r="P37" s="98">
        <f t="shared" si="5"/>
        <v>2.027873156515152</v>
      </c>
      <c r="Q37" s="98">
        <f t="shared" si="6"/>
        <v>0.13706046128500823</v>
      </c>
      <c r="R37" s="99">
        <f t="shared" si="7"/>
        <v>0.18279649638483733</v>
      </c>
      <c r="S37" s="99">
        <f t="shared" si="8"/>
        <v>6.1083112196860037E-2</v>
      </c>
      <c r="T37" s="105">
        <f t="shared" si="14"/>
        <v>0.7497980759787537</v>
      </c>
      <c r="U37" s="74">
        <f t="shared" si="9"/>
        <v>243.40520515490215</v>
      </c>
      <c r="V37" s="74">
        <f t="shared" si="10"/>
        <v>116.04515249162264</v>
      </c>
      <c r="W37" s="74">
        <f t="shared" si="11"/>
        <v>2.0975042897416478</v>
      </c>
      <c r="X37" s="74">
        <f t="shared" si="15"/>
        <v>41.597850000000001</v>
      </c>
      <c r="Y37" s="74">
        <f t="shared" si="12"/>
        <v>0.13706046128500823</v>
      </c>
      <c r="Z37" s="76">
        <f>(0.215*(W37)^-2)*G37</f>
        <v>14.831717331020718</v>
      </c>
      <c r="AA37" s="76">
        <f>(2*Z37*D37)/(E37)</f>
        <v>1.6329994308858484E-2</v>
      </c>
      <c r="AB37" s="158" t="s">
        <v>194</v>
      </c>
    </row>
    <row r="38" spans="1:28" ht="17.25" customHeight="1">
      <c r="A38" s="76"/>
      <c r="B38" s="108">
        <v>32</v>
      </c>
      <c r="C38" s="108">
        <v>1605.7</v>
      </c>
      <c r="D38" s="108">
        <v>1.02</v>
      </c>
      <c r="E38" s="108">
        <f t="shared" si="0"/>
        <v>1574.2156862745098</v>
      </c>
      <c r="F38" s="109">
        <v>207000</v>
      </c>
      <c r="G38" s="108">
        <v>303.5</v>
      </c>
      <c r="H38" s="108">
        <v>0.28000000000000003</v>
      </c>
      <c r="I38" s="110" t="s">
        <v>166</v>
      </c>
      <c r="J38" s="108">
        <v>2005</v>
      </c>
      <c r="K38" s="108">
        <f t="shared" si="1"/>
        <v>0.10047083450554226</v>
      </c>
      <c r="L38" s="111">
        <f t="shared" si="2"/>
        <v>0.38558883975836084</v>
      </c>
      <c r="M38" s="112">
        <f t="shared" si="3"/>
        <v>3.0049581849404997E-2</v>
      </c>
      <c r="N38" s="113">
        <v>5.2299999999999999E-2</v>
      </c>
      <c r="O38" s="98">
        <f t="shared" si="4"/>
        <v>0.26056468482984335</v>
      </c>
      <c r="P38" s="98">
        <f t="shared" si="5"/>
        <v>1.7404568310502324</v>
      </c>
      <c r="Q38" s="98">
        <f t="shared" si="6"/>
        <v>0.13563670575314146</v>
      </c>
      <c r="R38" s="99">
        <f t="shared" si="7"/>
        <v>0.20861902423809364</v>
      </c>
      <c r="S38" s="99">
        <f t="shared" si="8"/>
        <v>8.0441167507487879E-2</v>
      </c>
      <c r="T38" s="105">
        <f t="shared" si="14"/>
        <v>0.65016460626496553</v>
      </c>
      <c r="U38" s="74">
        <f t="shared" si="9"/>
        <v>226.59184622182613</v>
      </c>
      <c r="V38" s="74">
        <f t="shared" si="10"/>
        <v>116.04515249162264</v>
      </c>
      <c r="W38" s="74">
        <f t="shared" si="11"/>
        <v>1.9526179366965277</v>
      </c>
      <c r="X38" s="74">
        <f t="shared" si="15"/>
        <v>41.165740196078431</v>
      </c>
      <c r="Y38" s="74">
        <f t="shared" si="12"/>
        <v>0.13563670575314146</v>
      </c>
      <c r="Z38" s="76">
        <f t="shared" ref="Z38:Z42" si="17">(0.215*(W38)^-2)*G38</f>
        <v>17.114436583692541</v>
      </c>
      <c r="AA38" s="76">
        <f t="shared" ref="AA38:AA42" si="18">(2*Z38*D38)/(E38)</f>
        <v>2.2178314531573418E-2</v>
      </c>
      <c r="AB38" s="158"/>
    </row>
    <row r="39" spans="1:28" ht="17.25" customHeight="1">
      <c r="A39" s="76"/>
      <c r="B39" s="108">
        <v>33</v>
      </c>
      <c r="C39" s="108">
        <v>878.6</v>
      </c>
      <c r="D39" s="108">
        <v>1.03</v>
      </c>
      <c r="E39" s="108">
        <f t="shared" si="0"/>
        <v>853.00970873786412</v>
      </c>
      <c r="F39" s="109">
        <v>207000</v>
      </c>
      <c r="G39" s="108">
        <v>303.5</v>
      </c>
      <c r="H39" s="108">
        <v>0.28000000000000003</v>
      </c>
      <c r="I39" s="110" t="s">
        <v>166</v>
      </c>
      <c r="J39" s="108">
        <v>2005</v>
      </c>
      <c r="K39" s="108">
        <f t="shared" si="1"/>
        <v>0.34218465675212661</v>
      </c>
      <c r="L39" s="111">
        <f t="shared" si="2"/>
        <v>0.71159799681311176</v>
      </c>
      <c r="M39" s="112">
        <f t="shared" si="3"/>
        <v>0.10160360191017349</v>
      </c>
      <c r="N39" s="113">
        <v>0.21099999999999999</v>
      </c>
      <c r="O39" s="98">
        <f t="shared" si="4"/>
        <v>0.48086793145090201</v>
      </c>
      <c r="P39" s="98">
        <f t="shared" si="5"/>
        <v>2.0766980307109835</v>
      </c>
      <c r="Q39" s="98">
        <f t="shared" si="6"/>
        <v>0.29651573071447995</v>
      </c>
      <c r="R39" s="99">
        <f t="shared" si="7"/>
        <v>0.35872376827402258</v>
      </c>
      <c r="S39" s="99">
        <f t="shared" si="8"/>
        <v>0.25526711491304538</v>
      </c>
      <c r="T39" s="105">
        <f t="shared" si="14"/>
        <v>0.82658512465217238</v>
      </c>
      <c r="U39" s="74">
        <f t="shared" si="9"/>
        <v>166.79735030432497</v>
      </c>
      <c r="V39" s="74">
        <f t="shared" si="10"/>
        <v>116.04515249162264</v>
      </c>
      <c r="W39" s="74">
        <f t="shared" si="11"/>
        <v>1.4373487105923373</v>
      </c>
      <c r="X39" s="74">
        <f t="shared" si="15"/>
        <v>89.992524271844658</v>
      </c>
      <c r="Y39" s="74">
        <f t="shared" si="12"/>
        <v>0.29651573071447995</v>
      </c>
      <c r="Z39" s="76">
        <f t="shared" si="17"/>
        <v>31.584417218020835</v>
      </c>
      <c r="AA39" s="76">
        <f t="shared" si="18"/>
        <v>7.6275684558612111E-2</v>
      </c>
      <c r="AB39" s="158"/>
    </row>
    <row r="40" spans="1:28" ht="17.25" customHeight="1">
      <c r="A40" s="76"/>
      <c r="B40" s="108">
        <v>34</v>
      </c>
      <c r="C40" s="108">
        <v>1166.7</v>
      </c>
      <c r="D40" s="108">
        <v>1.76</v>
      </c>
      <c r="E40" s="108">
        <f t="shared" si="0"/>
        <v>662.89772727272725</v>
      </c>
      <c r="F40" s="109">
        <v>207000</v>
      </c>
      <c r="G40" s="108">
        <v>303.5</v>
      </c>
      <c r="H40" s="108">
        <v>0.28000000000000003</v>
      </c>
      <c r="I40" s="110" t="s">
        <v>166</v>
      </c>
      <c r="J40" s="108">
        <v>2005</v>
      </c>
      <c r="K40" s="108">
        <f t="shared" si="1"/>
        <v>0.5665985002230437</v>
      </c>
      <c r="L40" s="111">
        <f t="shared" si="2"/>
        <v>0.91567669495157267</v>
      </c>
      <c r="M40" s="112">
        <f t="shared" si="3"/>
        <v>0.16712442583266329</v>
      </c>
      <c r="N40" s="113">
        <v>0.33</v>
      </c>
      <c r="O40" s="98">
        <f t="shared" si="4"/>
        <v>0.61877571346621352</v>
      </c>
      <c r="P40" s="98">
        <f t="shared" si="5"/>
        <v>1.9745767164544767</v>
      </c>
      <c r="Q40" s="98">
        <f t="shared" si="6"/>
        <v>0.36038920922570022</v>
      </c>
      <c r="R40" s="99">
        <f t="shared" si="7"/>
        <v>0.4412924201975445</v>
      </c>
      <c r="S40" s="99">
        <f t="shared" si="8"/>
        <v>0.40408118483366817</v>
      </c>
      <c r="T40" s="105">
        <f t="shared" si="14"/>
        <v>0.81666757173026461</v>
      </c>
      <c r="U40" s="74">
        <f t="shared" si="9"/>
        <v>147.03997668904844</v>
      </c>
      <c r="V40" s="74">
        <f t="shared" si="10"/>
        <v>116.04515249162264</v>
      </c>
      <c r="W40" s="74">
        <f t="shared" si="11"/>
        <v>1.2670927956224913</v>
      </c>
      <c r="X40" s="74">
        <f t="shared" si="15"/>
        <v>109.37812500000001</v>
      </c>
      <c r="Y40" s="74">
        <f t="shared" si="12"/>
        <v>0.36038920922570022</v>
      </c>
      <c r="Z40" s="76">
        <f t="shared" si="17"/>
        <v>40.642490422530628</v>
      </c>
      <c r="AA40" s="76">
        <f t="shared" si="18"/>
        <v>0.21581242535841413</v>
      </c>
      <c r="AB40" s="158"/>
    </row>
    <row r="41" spans="1:28" ht="17.25" customHeight="1">
      <c r="A41" s="76"/>
      <c r="B41" s="108">
        <v>35</v>
      </c>
      <c r="C41" s="108">
        <v>759.3</v>
      </c>
      <c r="D41" s="108">
        <v>1.76</v>
      </c>
      <c r="E41" s="108">
        <f t="shared" si="0"/>
        <v>431.4204545454545</v>
      </c>
      <c r="F41" s="109">
        <v>207000</v>
      </c>
      <c r="G41" s="108">
        <v>303.5</v>
      </c>
      <c r="H41" s="108">
        <v>0.28000000000000003</v>
      </c>
      <c r="I41" s="110" t="s">
        <v>166</v>
      </c>
      <c r="J41" s="108">
        <v>2005</v>
      </c>
      <c r="K41" s="108">
        <f t="shared" si="1"/>
        <v>1.3377255333730389</v>
      </c>
      <c r="L41" s="111">
        <f t="shared" si="2"/>
        <v>1.4069801132622153</v>
      </c>
      <c r="M41" s="112">
        <f t="shared" si="3"/>
        <v>0.38592552974653727</v>
      </c>
      <c r="N41" s="113">
        <v>0.65</v>
      </c>
      <c r="O41" s="98">
        <f t="shared" si="4"/>
        <v>0.95077785447258156</v>
      </c>
      <c r="P41" s="98">
        <f t="shared" si="5"/>
        <v>1.6842627654793862</v>
      </c>
      <c r="Q41" s="98">
        <f t="shared" si="6"/>
        <v>0.4619823648345065</v>
      </c>
      <c r="R41" s="99">
        <f t="shared" si="7"/>
        <v>0.60710743935813527</v>
      </c>
      <c r="S41" s="99">
        <f t="shared" si="8"/>
        <v>0.85418809379044269</v>
      </c>
      <c r="T41" s="105">
        <f t="shared" si="14"/>
        <v>0.760956520847344</v>
      </c>
      <c r="U41" s="74">
        <f t="shared" si="9"/>
        <v>118.62125819201557</v>
      </c>
      <c r="V41" s="74">
        <f t="shared" si="10"/>
        <v>116.04515249162264</v>
      </c>
      <c r="W41" s="74">
        <f t="shared" si="11"/>
        <v>1.0221991668336072</v>
      </c>
      <c r="X41" s="74">
        <f t="shared" si="15"/>
        <v>140.21164772727272</v>
      </c>
      <c r="Y41" s="74">
        <f t="shared" si="12"/>
        <v>0.4619823648345065</v>
      </c>
      <c r="Z41" s="76">
        <f t="shared" si="17"/>
        <v>62.44908939281769</v>
      </c>
      <c r="AA41" s="76">
        <f t="shared" si="18"/>
        <v>0.50952798446777847</v>
      </c>
      <c r="AB41" s="158"/>
    </row>
    <row r="42" spans="1:28" ht="17.25" customHeight="1">
      <c r="A42" s="76"/>
      <c r="B42" s="108">
        <v>36</v>
      </c>
      <c r="C42" s="108">
        <v>563.4</v>
      </c>
      <c r="D42" s="108">
        <v>1.76</v>
      </c>
      <c r="E42" s="108">
        <f t="shared" si="0"/>
        <v>320.11363636363637</v>
      </c>
      <c r="F42" s="109">
        <v>207000</v>
      </c>
      <c r="G42" s="108">
        <v>303.5</v>
      </c>
      <c r="H42" s="108">
        <v>0.28000000000000003</v>
      </c>
      <c r="I42" s="110" t="s">
        <v>166</v>
      </c>
      <c r="J42" s="108">
        <v>2005</v>
      </c>
      <c r="K42" s="108">
        <f t="shared" si="1"/>
        <v>2.4297418331569416</v>
      </c>
      <c r="L42" s="111">
        <f t="shared" si="2"/>
        <v>1.896201632942847</v>
      </c>
      <c r="M42" s="112">
        <f t="shared" si="3"/>
        <v>0.68038302630080993</v>
      </c>
      <c r="N42" s="113">
        <v>1.1719999999999999</v>
      </c>
      <c r="O42" s="98">
        <f t="shared" si="4"/>
        <v>1.2813731361395657</v>
      </c>
      <c r="P42" s="98">
        <f t="shared" si="5"/>
        <v>1.7225591390368358</v>
      </c>
      <c r="Q42" s="98">
        <f t="shared" si="6"/>
        <v>0.61807772951924511</v>
      </c>
      <c r="R42" s="99">
        <f t="shared" si="7"/>
        <v>0.73086529705305503</v>
      </c>
      <c r="S42" s="99">
        <f t="shared" si="8"/>
        <v>1.3858679697332619</v>
      </c>
      <c r="T42" s="105">
        <f t="shared" si="14"/>
        <v>0.84567940496205773</v>
      </c>
      <c r="U42" s="74">
        <f t="shared" si="9"/>
        <v>102.17961161212421</v>
      </c>
      <c r="V42" s="74">
        <f t="shared" si="10"/>
        <v>116.04515249162264</v>
      </c>
      <c r="W42" s="74">
        <f t="shared" si="11"/>
        <v>0.88051598380639462</v>
      </c>
      <c r="X42" s="74">
        <f t="shared" si="15"/>
        <v>187.58659090909089</v>
      </c>
      <c r="Y42" s="74">
        <f t="shared" si="12"/>
        <v>0.61807772951924511</v>
      </c>
      <c r="Z42" s="76">
        <f t="shared" si="17"/>
        <v>84.163282882439617</v>
      </c>
      <c r="AA42" s="76">
        <f t="shared" si="18"/>
        <v>0.92546746558979398</v>
      </c>
      <c r="AB42" s="158"/>
    </row>
    <row r="43" spans="1:28" ht="17.25" customHeight="1">
      <c r="A43" s="76"/>
      <c r="B43" s="90">
        <v>37</v>
      </c>
      <c r="C43" s="90">
        <v>502.9</v>
      </c>
      <c r="D43" s="90">
        <v>5.75</v>
      </c>
      <c r="E43" s="90">
        <f t="shared" si="0"/>
        <v>87.460869565217394</v>
      </c>
      <c r="F43" s="91">
        <v>206000</v>
      </c>
      <c r="G43" s="90">
        <v>290</v>
      </c>
      <c r="H43" s="90">
        <v>0.3</v>
      </c>
      <c r="I43" s="92" t="s">
        <v>167</v>
      </c>
      <c r="J43" s="90">
        <v>2020</v>
      </c>
      <c r="K43" s="90">
        <f t="shared" si="1"/>
        <v>32.597801485254131</v>
      </c>
      <c r="L43" s="92">
        <f t="shared" si="2"/>
        <v>6.6315370849075368</v>
      </c>
      <c r="M43" s="92">
        <f t="shared" si="3"/>
        <v>5.4885948634197854</v>
      </c>
      <c r="N43" s="107">
        <v>5.49</v>
      </c>
      <c r="O43" s="104">
        <f t="shared" si="4"/>
        <v>4.9155725238183807</v>
      </c>
      <c r="P43" s="104">
        <f t="shared" si="5"/>
        <v>1.0002560102567561</v>
      </c>
      <c r="Q43" s="104">
        <f t="shared" si="6"/>
        <v>0.82786236881559216</v>
      </c>
      <c r="R43" s="23">
        <f t="shared" si="7"/>
        <v>1.1108148081495823</v>
      </c>
      <c r="S43" s="23">
        <f t="shared" si="8"/>
        <v>7.3664095947084061</v>
      </c>
      <c r="T43" s="76">
        <f t="shared" si="14"/>
        <v>0.74527487637175271</v>
      </c>
      <c r="U43" s="58">
        <f t="shared" si="9"/>
        <v>53.40956682077293</v>
      </c>
      <c r="V43" s="58">
        <f t="shared" si="10"/>
        <v>118.4283803358195</v>
      </c>
      <c r="W43" s="58">
        <f t="shared" si="11"/>
        <v>0.45098621351844015</v>
      </c>
      <c r="X43" s="58">
        <f t="shared" si="15"/>
        <v>240.08008695652171</v>
      </c>
      <c r="Y43" s="58">
        <f t="shared" si="12"/>
        <v>0.82786236881559205</v>
      </c>
      <c r="Z43" s="76"/>
      <c r="AA43" s="76"/>
    </row>
    <row r="44" spans="1:28" ht="17.25" customHeight="1">
      <c r="A44" s="76"/>
      <c r="B44" s="90">
        <v>38</v>
      </c>
      <c r="C44" s="90">
        <v>302.89999999999998</v>
      </c>
      <c r="D44" s="90">
        <v>5.72</v>
      </c>
      <c r="E44" s="90">
        <f t="shared" si="0"/>
        <v>52.954545454545453</v>
      </c>
      <c r="F44" s="91">
        <v>206000</v>
      </c>
      <c r="G44" s="90">
        <v>287</v>
      </c>
      <c r="H44" s="90">
        <v>0.3</v>
      </c>
      <c r="I44" s="92" t="s">
        <v>167</v>
      </c>
      <c r="J44" s="90">
        <v>2020</v>
      </c>
      <c r="K44" s="90">
        <f t="shared" si="1"/>
        <v>88.922037123115615</v>
      </c>
      <c r="L44" s="92">
        <f t="shared" si="2"/>
        <v>10.839484978540773</v>
      </c>
      <c r="M44" s="92">
        <f t="shared" si="3"/>
        <v>10.04214333000138</v>
      </c>
      <c r="N44" s="107">
        <v>9.81</v>
      </c>
      <c r="O44" s="104">
        <f t="shared" si="4"/>
        <v>8.2035297155867664</v>
      </c>
      <c r="P44" s="104">
        <f t="shared" si="5"/>
        <v>0.97688308935923662</v>
      </c>
      <c r="Q44" s="104">
        <f t="shared" si="6"/>
        <v>0.90502454862210968</v>
      </c>
      <c r="R44" s="23">
        <f t="shared" si="7"/>
        <v>4.5442783755375507</v>
      </c>
      <c r="S44" s="23">
        <f t="shared" si="8"/>
        <v>49.257637189946941</v>
      </c>
      <c r="T44" s="76">
        <f t="shared" si="14"/>
        <v>0.19915693402366724</v>
      </c>
      <c r="U44" s="58">
        <f t="shared" si="9"/>
        <v>41.558874976570067</v>
      </c>
      <c r="V44" s="58">
        <f t="shared" si="10"/>
        <v>119.04573489426524</v>
      </c>
      <c r="W44" s="58">
        <f t="shared" si="11"/>
        <v>0.34910007497103596</v>
      </c>
      <c r="X44" s="58">
        <f t="shared" si="15"/>
        <v>259.74204545454546</v>
      </c>
      <c r="Y44" s="58">
        <f t="shared" si="12"/>
        <v>0.90502454862210957</v>
      </c>
      <c r="Z44" s="76"/>
      <c r="AA44" s="76"/>
    </row>
    <row r="45" spans="1:28" ht="17.25" customHeight="1">
      <c r="A45" s="76"/>
      <c r="B45" s="90">
        <v>39</v>
      </c>
      <c r="C45" s="90">
        <v>501.9</v>
      </c>
      <c r="D45" s="90">
        <v>3.75</v>
      </c>
      <c r="E45" s="90">
        <f t="shared" si="0"/>
        <v>133.84</v>
      </c>
      <c r="F45" s="91">
        <v>206000</v>
      </c>
      <c r="G45" s="90">
        <v>332</v>
      </c>
      <c r="H45" s="90">
        <v>0.3</v>
      </c>
      <c r="I45" s="92" t="s">
        <v>167</v>
      </c>
      <c r="J45" s="90">
        <v>2020</v>
      </c>
      <c r="K45" s="90">
        <f t="shared" si="1"/>
        <v>13.920153892990557</v>
      </c>
      <c r="L45" s="92">
        <f t="shared" si="2"/>
        <v>4.9611476389719069</v>
      </c>
      <c r="M45" s="92">
        <f t="shared" si="3"/>
        <v>3.194863593932328</v>
      </c>
      <c r="N45" s="107">
        <v>3.1</v>
      </c>
      <c r="O45" s="104">
        <f t="shared" si="4"/>
        <v>2.8058334292738798</v>
      </c>
      <c r="P45" s="104">
        <f t="shared" si="5"/>
        <v>0.97030746661219203</v>
      </c>
      <c r="Q45" s="104">
        <f t="shared" si="6"/>
        <v>0.62485542168674701</v>
      </c>
      <c r="R45" s="23">
        <f t="shared" si="7"/>
        <v>0.94145334301206285</v>
      </c>
      <c r="S45" s="23">
        <f t="shared" si="8"/>
        <v>4.6706890298865043</v>
      </c>
      <c r="T45" s="76">
        <f t="shared" si="14"/>
        <v>0.66371363628876157</v>
      </c>
      <c r="U45" s="58">
        <f t="shared" si="9"/>
        <v>66.07012434254986</v>
      </c>
      <c r="V45" s="58">
        <f t="shared" si="10"/>
        <v>110.68422967521245</v>
      </c>
      <c r="W45" s="58">
        <f t="shared" si="11"/>
        <v>0.59692446282928913</v>
      </c>
      <c r="X45" s="58">
        <f t="shared" si="15"/>
        <v>207.45199999999997</v>
      </c>
      <c r="Y45" s="58">
        <f t="shared" si="12"/>
        <v>0.6248554216867469</v>
      </c>
      <c r="Z45" s="76"/>
      <c r="AA45" s="76"/>
    </row>
    <row r="46" spans="1:28" ht="17.25" customHeight="1">
      <c r="A46" s="76"/>
      <c r="B46" s="90">
        <v>40</v>
      </c>
      <c r="C46" s="90">
        <v>577.9</v>
      </c>
      <c r="D46" s="90">
        <v>5.73</v>
      </c>
      <c r="E46" s="90">
        <f t="shared" si="0"/>
        <v>100.85514834205932</v>
      </c>
      <c r="F46" s="91">
        <v>206000</v>
      </c>
      <c r="G46" s="90">
        <v>293</v>
      </c>
      <c r="H46" s="90">
        <v>0.3</v>
      </c>
      <c r="I46" s="92" t="s">
        <v>167</v>
      </c>
      <c r="J46" s="90">
        <v>2020</v>
      </c>
      <c r="K46" s="90">
        <f t="shared" si="1"/>
        <v>24.514314164123938</v>
      </c>
      <c r="L46" s="92">
        <f t="shared" si="2"/>
        <v>5.8103132029762943</v>
      </c>
      <c r="M46" s="92">
        <f t="shared" si="3"/>
        <v>4.5591205355601074</v>
      </c>
      <c r="N46" s="107">
        <v>4.3</v>
      </c>
      <c r="O46" s="104">
        <f t="shared" si="4"/>
        <v>4.2191037398064264</v>
      </c>
      <c r="P46" s="104">
        <f t="shared" si="5"/>
        <v>0.9431643595428052</v>
      </c>
      <c r="Q46" s="104">
        <f t="shared" si="6"/>
        <v>0.74006337520623733</v>
      </c>
      <c r="R46" s="23">
        <f t="shared" si="7"/>
        <v>0.98932289560429609</v>
      </c>
      <c r="S46" s="23">
        <f t="shared" si="8"/>
        <v>5.7482758823363795</v>
      </c>
      <c r="T46" s="76">
        <f t="shared" si="14"/>
        <v>0.74805038728452089</v>
      </c>
      <c r="U46" s="58">
        <f t="shared" si="9"/>
        <v>57.353667787758368</v>
      </c>
      <c r="V46" s="58">
        <f t="shared" si="10"/>
        <v>117.82053176965651</v>
      </c>
      <c r="W46" s="58">
        <f t="shared" si="11"/>
        <v>0.48678839694839354</v>
      </c>
      <c r="X46" s="58">
        <f t="shared" si="15"/>
        <v>216.83856893542753</v>
      </c>
      <c r="Y46" s="58">
        <f t="shared" si="12"/>
        <v>0.74006337520623733</v>
      </c>
      <c r="Z46" s="76"/>
      <c r="AA46" s="76"/>
    </row>
    <row r="47" spans="1:28" ht="17.25" customHeight="1">
      <c r="A47" s="76"/>
      <c r="B47" s="108">
        <v>41</v>
      </c>
      <c r="C47" s="108">
        <v>299.42</v>
      </c>
      <c r="D47" s="108">
        <v>0.73099999999999998</v>
      </c>
      <c r="E47" s="108">
        <f t="shared" si="0"/>
        <v>409.60328317373467</v>
      </c>
      <c r="F47" s="109">
        <v>201000</v>
      </c>
      <c r="G47" s="108">
        <v>407</v>
      </c>
      <c r="H47" s="108">
        <v>0.3</v>
      </c>
      <c r="I47" s="110" t="s">
        <v>166</v>
      </c>
      <c r="J47" s="108">
        <v>1995</v>
      </c>
      <c r="K47" s="108">
        <f t="shared" si="1"/>
        <v>1.4501665102499481</v>
      </c>
      <c r="L47" s="111">
        <f t="shared" si="2"/>
        <v>1.9872887582659808</v>
      </c>
      <c r="M47" s="112">
        <f t="shared" si="3"/>
        <v>0.42498554492567214</v>
      </c>
      <c r="N47" s="113">
        <v>0.31</v>
      </c>
      <c r="O47" s="98">
        <f t="shared" si="4"/>
        <v>0.72972108568424576</v>
      </c>
      <c r="P47" s="98">
        <f t="shared" si="5"/>
        <v>0.72943657425858444</v>
      </c>
      <c r="Q47" s="98">
        <f t="shared" si="6"/>
        <v>0.15599142233889157</v>
      </c>
      <c r="R47" s="99">
        <f t="shared" si="7"/>
        <v>0.50171320109857109</v>
      </c>
      <c r="S47" s="99">
        <f t="shared" si="8"/>
        <v>0.99704900441682964</v>
      </c>
      <c r="T47" s="105">
        <f t="shared" si="14"/>
        <v>0.31091751621708691</v>
      </c>
      <c r="U47" s="74">
        <f t="shared" si="9"/>
        <v>115.5829766186262</v>
      </c>
      <c r="V47" s="74">
        <f t="shared" si="10"/>
        <v>98.746566238934832</v>
      </c>
      <c r="W47" s="74">
        <f t="shared" si="11"/>
        <v>1.1705012236977708</v>
      </c>
      <c r="X47" s="74">
        <f t="shared" si="15"/>
        <v>63.488508891928866</v>
      </c>
      <c r="Y47" s="74">
        <f t="shared" si="12"/>
        <v>0.15599142233889157</v>
      </c>
      <c r="Z47" s="76"/>
      <c r="AA47" s="76"/>
    </row>
    <row r="48" spans="1:28" ht="17.25" customHeight="1">
      <c r="A48" s="76"/>
      <c r="B48" s="108">
        <v>42</v>
      </c>
      <c r="C48" s="108">
        <v>279.91000000000003</v>
      </c>
      <c r="D48" s="108">
        <v>0.76300000000000001</v>
      </c>
      <c r="E48" s="108">
        <f t="shared" si="0"/>
        <v>366.85452162516384</v>
      </c>
      <c r="F48" s="109">
        <v>200000</v>
      </c>
      <c r="G48" s="108">
        <v>294</v>
      </c>
      <c r="H48" s="108">
        <v>0.3</v>
      </c>
      <c r="I48" s="110" t="s">
        <v>166</v>
      </c>
      <c r="J48" s="108">
        <v>1995</v>
      </c>
      <c r="K48" s="108">
        <f t="shared" si="1"/>
        <v>1.7988332858873046</v>
      </c>
      <c r="L48" s="111">
        <f t="shared" si="2"/>
        <v>1.6028151905969774</v>
      </c>
      <c r="M48" s="112">
        <f t="shared" si="3"/>
        <v>0.51143975673057596</v>
      </c>
      <c r="N48" s="113">
        <v>0.38600000000000001</v>
      </c>
      <c r="O48" s="98">
        <f t="shared" si="4"/>
        <v>1.1222961302340286</v>
      </c>
      <c r="P48" s="98">
        <f t="shared" si="5"/>
        <v>0.75473209683099196</v>
      </c>
      <c r="Q48" s="98">
        <f t="shared" si="6"/>
        <v>0.24082626759747153</v>
      </c>
      <c r="R48" s="99">
        <f t="shared" si="7"/>
        <v>0.67608003967389085</v>
      </c>
      <c r="S48" s="99">
        <f t="shared" si="8"/>
        <v>1.0836313576487193</v>
      </c>
      <c r="T48" s="105">
        <f t="shared" si="14"/>
        <v>0.35620969924453733</v>
      </c>
      <c r="U48" s="74">
        <f t="shared" si="9"/>
        <v>109.38533427297503</v>
      </c>
      <c r="V48" s="74">
        <f t="shared" si="10"/>
        <v>115.89441594079717</v>
      </c>
      <c r="W48" s="74">
        <f t="shared" si="11"/>
        <v>0.9438361062094035</v>
      </c>
      <c r="X48" s="74">
        <f t="shared" si="15"/>
        <v>70.802922673656624</v>
      </c>
      <c r="Y48" s="74">
        <f t="shared" si="12"/>
        <v>0.2408262675974715</v>
      </c>
      <c r="Z48" s="76"/>
      <c r="AA48" s="76"/>
    </row>
    <row r="49" spans="1:28" ht="17.25" customHeight="1">
      <c r="A49" s="76"/>
      <c r="B49" s="108">
        <v>43</v>
      </c>
      <c r="C49" s="108">
        <v>289.17</v>
      </c>
      <c r="D49" s="108">
        <v>0.71699999999999997</v>
      </c>
      <c r="E49" s="108">
        <f t="shared" si="0"/>
        <v>403.30543933054395</v>
      </c>
      <c r="F49" s="109">
        <v>200000</v>
      </c>
      <c r="G49" s="108">
        <v>213</v>
      </c>
      <c r="H49" s="108">
        <v>0.3</v>
      </c>
      <c r="I49" s="110" t="s">
        <v>166</v>
      </c>
      <c r="J49" s="108">
        <v>1995</v>
      </c>
      <c r="K49" s="108">
        <f t="shared" si="1"/>
        <v>1.4883686342478426</v>
      </c>
      <c r="L49" s="111">
        <f t="shared" si="2"/>
        <v>1.0562713974478679</v>
      </c>
      <c r="M49" s="112">
        <f t="shared" si="3"/>
        <v>0.41127379314033563</v>
      </c>
      <c r="N49" s="113">
        <v>0.124</v>
      </c>
      <c r="O49" s="98">
        <f t="shared" si="4"/>
        <v>1.409077854274948</v>
      </c>
      <c r="P49" s="98">
        <f t="shared" si="5"/>
        <v>0.30150231322346494</v>
      </c>
      <c r="Q49" s="98">
        <f t="shared" si="6"/>
        <v>0.11739407154222407</v>
      </c>
      <c r="R49" s="99">
        <f t="shared" si="7"/>
        <v>0.76892184484636528</v>
      </c>
      <c r="S49" s="99">
        <f t="shared" si="8"/>
        <v>0.81219015158406294</v>
      </c>
      <c r="T49" s="105">
        <f t="shared" si="14"/>
        <v>0.15267360698495963</v>
      </c>
      <c r="U49" s="74">
        <f t="shared" si="9"/>
        <v>114.69096313964576</v>
      </c>
      <c r="V49" s="74">
        <f t="shared" si="10"/>
        <v>136.15900674347949</v>
      </c>
      <c r="W49" s="74">
        <f t="shared" si="11"/>
        <v>0.84233107954232478</v>
      </c>
      <c r="X49" s="74">
        <f t="shared" si="15"/>
        <v>25.004937238493728</v>
      </c>
      <c r="Y49" s="74">
        <f t="shared" si="12"/>
        <v>0.11739407154222407</v>
      </c>
      <c r="Z49" s="76"/>
      <c r="AA49" s="76"/>
    </row>
    <row r="50" spans="1:28" ht="17.25" customHeight="1">
      <c r="A50" s="76"/>
      <c r="B50" s="108">
        <v>44</v>
      </c>
      <c r="C50" s="108">
        <v>283.68</v>
      </c>
      <c r="D50" s="108">
        <v>0.63</v>
      </c>
      <c r="E50" s="108">
        <f t="shared" si="0"/>
        <v>450.28571428571428</v>
      </c>
      <c r="F50" s="109">
        <v>200000</v>
      </c>
      <c r="G50" s="108">
        <v>180</v>
      </c>
      <c r="H50" s="108">
        <v>0.3</v>
      </c>
      <c r="I50" s="110" t="s">
        <v>166</v>
      </c>
      <c r="J50" s="108">
        <v>1995</v>
      </c>
      <c r="K50" s="108">
        <f t="shared" si="1"/>
        <v>1.1939945108081937</v>
      </c>
      <c r="L50" s="111">
        <f t="shared" si="2"/>
        <v>0.79949238578680204</v>
      </c>
      <c r="M50" s="112">
        <f t="shared" si="3"/>
        <v>0.3268890583805843</v>
      </c>
      <c r="N50" s="113">
        <v>0.11</v>
      </c>
      <c r="O50" s="98">
        <f t="shared" si="4"/>
        <v>1.4934407532013598</v>
      </c>
      <c r="P50" s="98">
        <f t="shared" si="5"/>
        <v>0.33650560390409656</v>
      </c>
      <c r="Q50" s="98">
        <f t="shared" si="6"/>
        <v>0.13758730158730159</v>
      </c>
      <c r="R50" s="99">
        <f t="shared" si="7"/>
        <v>0.79135490897865335</v>
      </c>
      <c r="S50" s="99">
        <f t="shared" si="8"/>
        <v>0.63268222418344111</v>
      </c>
      <c r="T50" s="105">
        <f t="shared" si="14"/>
        <v>0.17386295330482746</v>
      </c>
      <c r="U50" s="74">
        <f t="shared" si="9"/>
        <v>121.18705859243269</v>
      </c>
      <c r="V50" s="74">
        <f t="shared" si="10"/>
        <v>148.11530043254217</v>
      </c>
      <c r="W50" s="74">
        <f t="shared" si="11"/>
        <v>0.81819405718740235</v>
      </c>
      <c r="X50" s="74">
        <f t="shared" si="15"/>
        <v>24.765714285714289</v>
      </c>
      <c r="Y50" s="74">
        <f t="shared" si="12"/>
        <v>0.13758730158730159</v>
      </c>
      <c r="Z50" s="76"/>
      <c r="AA50" s="76"/>
    </row>
    <row r="51" spans="1:28" ht="17.25" customHeight="1">
      <c r="A51" s="76"/>
      <c r="B51" s="108">
        <v>45</v>
      </c>
      <c r="C51" s="108">
        <v>280.89</v>
      </c>
      <c r="D51" s="108">
        <v>0.626</v>
      </c>
      <c r="E51" s="108">
        <f t="shared" si="0"/>
        <v>448.70607028753989</v>
      </c>
      <c r="F51" s="109">
        <v>201000</v>
      </c>
      <c r="G51" s="108">
        <v>172.2</v>
      </c>
      <c r="H51" s="108">
        <v>0.3</v>
      </c>
      <c r="I51" s="110" t="s">
        <v>166</v>
      </c>
      <c r="J51" s="108">
        <v>1995</v>
      </c>
      <c r="K51" s="108">
        <f t="shared" si="1"/>
        <v>1.2084281674923778</v>
      </c>
      <c r="L51" s="111">
        <f t="shared" si="2"/>
        <v>0.76754031827405744</v>
      </c>
      <c r="M51" s="112">
        <f t="shared" si="3"/>
        <v>0.32780285572341178</v>
      </c>
      <c r="N51" s="113">
        <v>0.104</v>
      </c>
      <c r="O51" s="98">
        <f t="shared" si="4"/>
        <v>1.5744165338567886</v>
      </c>
      <c r="P51" s="98">
        <f t="shared" si="5"/>
        <v>0.31726386205662421</v>
      </c>
      <c r="Q51" s="98">
        <f t="shared" si="6"/>
        <v>0.13549776803108057</v>
      </c>
      <c r="R51" s="99">
        <f t="shared" si="7"/>
        <v>0.81097144044191705</v>
      </c>
      <c r="S51" s="99">
        <f t="shared" si="8"/>
        <v>0.62245327750795987</v>
      </c>
      <c r="T51" s="105">
        <f t="shared" si="14"/>
        <v>0.1670808135453509</v>
      </c>
      <c r="U51" s="74">
        <f t="shared" si="9"/>
        <v>120.97430412401938</v>
      </c>
      <c r="V51" s="74">
        <f t="shared" si="10"/>
        <v>151.81078769746253</v>
      </c>
      <c r="W51" s="74">
        <f t="shared" si="11"/>
        <v>0.79687554460954446</v>
      </c>
      <c r="X51" s="74">
        <f t="shared" si="15"/>
        <v>23.332715654952075</v>
      </c>
      <c r="Y51" s="74">
        <f t="shared" si="12"/>
        <v>0.13549776803108057</v>
      </c>
      <c r="Z51" s="76"/>
      <c r="AA51" s="76"/>
    </row>
    <row r="52" spans="1:28" ht="17.25" customHeight="1">
      <c r="A52" s="76"/>
      <c r="B52" s="108">
        <v>46</v>
      </c>
      <c r="C52" s="108">
        <v>278.33999999999997</v>
      </c>
      <c r="D52" s="108">
        <v>1.1479999999999999</v>
      </c>
      <c r="E52" s="108">
        <f t="shared" si="0"/>
        <v>242.45644599303137</v>
      </c>
      <c r="F52" s="109">
        <v>210000</v>
      </c>
      <c r="G52" s="108">
        <v>245</v>
      </c>
      <c r="H52" s="108">
        <v>0.3</v>
      </c>
      <c r="I52" s="110" t="s">
        <v>166</v>
      </c>
      <c r="J52" s="108">
        <v>1995</v>
      </c>
      <c r="K52" s="108">
        <f t="shared" si="1"/>
        <v>4.3241474755421612</v>
      </c>
      <c r="L52" s="111">
        <f t="shared" si="2"/>
        <v>2.020981533376446</v>
      </c>
      <c r="M52" s="112">
        <f t="shared" si="3"/>
        <v>1.091694827500947</v>
      </c>
      <c r="N52" s="113">
        <v>0.63500000000000001</v>
      </c>
      <c r="O52" s="98">
        <f t="shared" si="4"/>
        <v>2.1396274058565119</v>
      </c>
      <c r="P52" s="98">
        <f t="shared" si="5"/>
        <v>0.5816643845914431</v>
      </c>
      <c r="Q52" s="98">
        <f t="shared" si="6"/>
        <v>0.31420376164403047</v>
      </c>
      <c r="R52" s="99">
        <f t="shared" si="7"/>
        <v>0.90312847614045166</v>
      </c>
      <c r="S52" s="99">
        <f t="shared" si="8"/>
        <v>1.825205972546263</v>
      </c>
      <c r="T52" s="105">
        <f t="shared" si="14"/>
        <v>0.34790594023431776</v>
      </c>
      <c r="U52" s="74">
        <f t="shared" si="9"/>
        <v>88.926055269932462</v>
      </c>
      <c r="V52" s="74">
        <f t="shared" si="10"/>
        <v>130.09115924722062</v>
      </c>
      <c r="W52" s="74">
        <f t="shared" si="11"/>
        <v>0.68356724457301932</v>
      </c>
      <c r="X52" s="74">
        <f t="shared" si="15"/>
        <v>76.979921602787456</v>
      </c>
      <c r="Y52" s="74">
        <f t="shared" si="12"/>
        <v>0.31420376164403041</v>
      </c>
      <c r="Z52" s="76"/>
      <c r="AA52" s="76"/>
    </row>
    <row r="53" spans="1:28" ht="17.25" customHeight="1">
      <c r="A53" s="76"/>
      <c r="B53" s="108">
        <v>47</v>
      </c>
      <c r="C53" s="108">
        <v>283.85000000000002</v>
      </c>
      <c r="D53" s="108">
        <v>2.0680000000000001</v>
      </c>
      <c r="E53" s="108">
        <f t="shared" si="0"/>
        <v>137.25822050290137</v>
      </c>
      <c r="F53" s="109">
        <v>206000</v>
      </c>
      <c r="G53" s="108">
        <v>420</v>
      </c>
      <c r="H53" s="108">
        <v>0.3</v>
      </c>
      <c r="I53" s="110" t="s">
        <v>166</v>
      </c>
      <c r="J53" s="108">
        <v>1995</v>
      </c>
      <c r="K53" s="108">
        <f t="shared" si="1"/>
        <v>13.235463790492393</v>
      </c>
      <c r="L53" s="111">
        <f t="shared" si="2"/>
        <v>6.1198520345252776</v>
      </c>
      <c r="M53" s="112">
        <f t="shared" si="3"/>
        <v>3.3309626627892825</v>
      </c>
      <c r="N53" s="113">
        <v>2.883</v>
      </c>
      <c r="O53" s="98">
        <f t="shared" si="4"/>
        <v>2.1627097707304421</v>
      </c>
      <c r="P53" s="98">
        <f t="shared" si="5"/>
        <v>0.8655155556699734</v>
      </c>
      <c r="Q53" s="98">
        <f t="shared" si="6"/>
        <v>0.47108982108317216</v>
      </c>
      <c r="R53" s="99">
        <f t="shared" si="7"/>
        <v>0.9054830099148844</v>
      </c>
      <c r="S53" s="99">
        <f t="shared" si="8"/>
        <v>5.5414220404556778</v>
      </c>
      <c r="T53" s="105">
        <f t="shared" si="14"/>
        <v>0.52026356753778813</v>
      </c>
      <c r="U53" s="74">
        <f t="shared" si="9"/>
        <v>66.908507480252538</v>
      </c>
      <c r="V53" s="74">
        <f t="shared" si="10"/>
        <v>98.407940639728764</v>
      </c>
      <c r="W53" s="74">
        <f t="shared" si="11"/>
        <v>0.67990963986538877</v>
      </c>
      <c r="X53" s="74">
        <f t="shared" si="15"/>
        <v>197.85772485493231</v>
      </c>
      <c r="Y53" s="74">
        <f t="shared" si="12"/>
        <v>0.47108982108317216</v>
      </c>
      <c r="Z53" s="76"/>
      <c r="AA53" s="76"/>
    </row>
    <row r="54" spans="1:28" ht="17.25" customHeight="1">
      <c r="A54" s="76"/>
      <c r="B54" s="90">
        <v>48</v>
      </c>
      <c r="C54" s="90">
        <v>60</v>
      </c>
      <c r="D54" s="90">
        <v>0.77</v>
      </c>
      <c r="E54" s="90">
        <f t="shared" si="0"/>
        <v>77.922077922077918</v>
      </c>
      <c r="F54" s="91">
        <v>150800</v>
      </c>
      <c r="G54" s="90">
        <v>313.63</v>
      </c>
      <c r="H54" s="90">
        <v>0.28999999999999998</v>
      </c>
      <c r="I54" s="92" t="s">
        <v>168</v>
      </c>
      <c r="J54" s="90">
        <v>2020</v>
      </c>
      <c r="K54" s="90">
        <f t="shared" si="1"/>
        <v>29.965782979058247</v>
      </c>
      <c r="L54" s="92">
        <f t="shared" si="2"/>
        <v>8.0498366666666676</v>
      </c>
      <c r="M54" s="92">
        <f t="shared" si="3"/>
        <v>5.9969522649046025</v>
      </c>
      <c r="N54" s="107">
        <v>8.69</v>
      </c>
      <c r="O54" s="104">
        <f t="shared" si="4"/>
        <v>3.7225330425824263</v>
      </c>
      <c r="P54" s="104">
        <f t="shared" si="5"/>
        <v>1.4490693966092854</v>
      </c>
      <c r="Q54" s="104">
        <f t="shared" si="6"/>
        <v>1.0795250089960415</v>
      </c>
      <c r="R54" s="23">
        <f t="shared" si="7"/>
        <v>0.95743420743703256</v>
      </c>
      <c r="S54" s="23">
        <f t="shared" si="8"/>
        <v>7.7071889889475651</v>
      </c>
      <c r="T54" s="76">
        <f t="shared" si="14"/>
        <v>1.1275187376956537</v>
      </c>
      <c r="U54" s="58">
        <f t="shared" si="9"/>
        <v>50.412986113016245</v>
      </c>
      <c r="V54" s="58">
        <f t="shared" si="10"/>
        <v>97.434564933453274</v>
      </c>
      <c r="W54" s="58">
        <f t="shared" si="11"/>
        <v>0.51740351226946779</v>
      </c>
      <c r="X54" s="58">
        <f t="shared" si="15"/>
        <v>338.57142857142856</v>
      </c>
      <c r="Y54" s="58">
        <f t="shared" si="12"/>
        <v>1.0795250089960418</v>
      </c>
      <c r="Z54" s="76"/>
      <c r="AA54" s="76"/>
    </row>
    <row r="55" spans="1:28" ht="17.25" customHeight="1">
      <c r="A55" s="76"/>
      <c r="B55" s="90">
        <v>49</v>
      </c>
      <c r="C55" s="90">
        <v>60</v>
      </c>
      <c r="D55" s="90">
        <v>0.76</v>
      </c>
      <c r="E55" s="90">
        <f t="shared" si="0"/>
        <v>78.94736842105263</v>
      </c>
      <c r="F55" s="91">
        <v>150800</v>
      </c>
      <c r="G55" s="90">
        <v>313.63</v>
      </c>
      <c r="H55" s="90">
        <v>0.28999999999999998</v>
      </c>
      <c r="I55" s="92" t="s">
        <v>168</v>
      </c>
      <c r="J55" s="90">
        <v>2020</v>
      </c>
      <c r="K55" s="90">
        <f t="shared" si="1"/>
        <v>29.192505057689399</v>
      </c>
      <c r="L55" s="92">
        <f t="shared" si="2"/>
        <v>7.9452933333333338</v>
      </c>
      <c r="M55" s="92">
        <f t="shared" si="3"/>
        <v>5.8844888759890175</v>
      </c>
      <c r="N55" s="107">
        <v>8.7200000000000006</v>
      </c>
      <c r="O55" s="104">
        <f t="shared" si="4"/>
        <v>3.6741884576138237</v>
      </c>
      <c r="P55" s="104">
        <f t="shared" si="5"/>
        <v>1.4818619227204186</v>
      </c>
      <c r="Q55" s="104">
        <f t="shared" si="6"/>
        <v>1.0975051057481411</v>
      </c>
      <c r="R55" s="23">
        <f t="shared" si="7"/>
        <v>0.95584450999513182</v>
      </c>
      <c r="S55" s="23">
        <f t="shared" si="8"/>
        <v>7.5944650129675884</v>
      </c>
      <c r="T55" s="76">
        <f t="shared" si="14"/>
        <v>1.1482046444496823</v>
      </c>
      <c r="U55" s="58">
        <f t="shared" si="9"/>
        <v>50.743566613232645</v>
      </c>
      <c r="V55" s="58">
        <f t="shared" si="10"/>
        <v>97.434564933453274</v>
      </c>
      <c r="W55" s="58">
        <f t="shared" si="11"/>
        <v>0.52079635853959971</v>
      </c>
      <c r="X55" s="58">
        <f t="shared" si="15"/>
        <v>344.21052631578948</v>
      </c>
      <c r="Y55" s="58">
        <f t="shared" si="12"/>
        <v>1.0975051057481411</v>
      </c>
      <c r="Z55" s="76"/>
      <c r="AA55" s="76"/>
    </row>
    <row r="56" spans="1:28" ht="17.25" customHeight="1">
      <c r="A56" s="76"/>
      <c r="B56" s="90">
        <v>50</v>
      </c>
      <c r="C56" s="90">
        <v>60</v>
      </c>
      <c r="D56" s="90">
        <v>0.76</v>
      </c>
      <c r="E56" s="90">
        <f t="shared" si="0"/>
        <v>78.94736842105263</v>
      </c>
      <c r="F56" s="91">
        <v>150800</v>
      </c>
      <c r="G56" s="90">
        <v>313.63</v>
      </c>
      <c r="H56" s="90">
        <v>0.28999999999999998</v>
      </c>
      <c r="I56" s="92" t="s">
        <v>168</v>
      </c>
      <c r="J56" s="90">
        <v>2020</v>
      </c>
      <c r="K56" s="90">
        <f t="shared" si="1"/>
        <v>29.192505057689399</v>
      </c>
      <c r="L56" s="92">
        <f t="shared" si="2"/>
        <v>7.9452933333333338</v>
      </c>
      <c r="M56" s="92">
        <f t="shared" si="3"/>
        <v>5.8844888759890175</v>
      </c>
      <c r="N56" s="107">
        <v>8.4700000000000006</v>
      </c>
      <c r="O56" s="104">
        <f t="shared" si="4"/>
        <v>3.6741884576138237</v>
      </c>
      <c r="P56" s="104">
        <f t="shared" si="5"/>
        <v>1.4393773492479296</v>
      </c>
      <c r="Q56" s="104">
        <f t="shared" si="6"/>
        <v>1.0660399364319673</v>
      </c>
      <c r="R56" s="23">
        <f t="shared" si="7"/>
        <v>0.95584450999513182</v>
      </c>
      <c r="S56" s="23">
        <f t="shared" si="8"/>
        <v>7.5944650129675884</v>
      </c>
      <c r="T56" s="76">
        <f t="shared" si="14"/>
        <v>1.1152859333129368</v>
      </c>
      <c r="U56" s="58">
        <f t="shared" si="9"/>
        <v>50.743566613232645</v>
      </c>
      <c r="V56" s="58">
        <f t="shared" si="10"/>
        <v>97.434564933453274</v>
      </c>
      <c r="W56" s="58">
        <f t="shared" si="11"/>
        <v>0.52079635853959971</v>
      </c>
      <c r="X56" s="58">
        <f t="shared" si="15"/>
        <v>334.34210526315792</v>
      </c>
      <c r="Y56" s="58">
        <f t="shared" si="12"/>
        <v>1.0660399364319673</v>
      </c>
      <c r="Z56" s="76"/>
      <c r="AA56" s="76"/>
    </row>
    <row r="57" spans="1:28" ht="17.25" customHeight="1">
      <c r="A57" s="76"/>
      <c r="B57" s="90">
        <v>51</v>
      </c>
      <c r="C57" s="90">
        <v>60</v>
      </c>
      <c r="D57" s="90">
        <v>0.76</v>
      </c>
      <c r="E57" s="90">
        <f t="shared" si="0"/>
        <v>78.94736842105263</v>
      </c>
      <c r="F57" s="91">
        <v>150800</v>
      </c>
      <c r="G57" s="90">
        <v>313.63</v>
      </c>
      <c r="H57" s="90">
        <v>0.28999999999999998</v>
      </c>
      <c r="I57" s="92" t="s">
        <v>168</v>
      </c>
      <c r="J57" s="90">
        <v>2020</v>
      </c>
      <c r="K57" s="90">
        <f t="shared" si="1"/>
        <v>29.192505057689399</v>
      </c>
      <c r="L57" s="92">
        <f t="shared" si="2"/>
        <v>7.9452933333333338</v>
      </c>
      <c r="M57" s="92">
        <f t="shared" si="3"/>
        <v>5.8844888759890175</v>
      </c>
      <c r="N57" s="107">
        <v>8.92</v>
      </c>
      <c r="O57" s="104">
        <f t="shared" si="4"/>
        <v>3.6741884576138237</v>
      </c>
      <c r="P57" s="104">
        <f t="shared" si="5"/>
        <v>1.5158495814984099</v>
      </c>
      <c r="Q57" s="104">
        <f t="shared" si="6"/>
        <v>1.1226772412010799</v>
      </c>
      <c r="R57" s="23">
        <f t="shared" si="7"/>
        <v>0.95584450999513182</v>
      </c>
      <c r="S57" s="23">
        <f t="shared" si="8"/>
        <v>7.5944650129675884</v>
      </c>
      <c r="T57" s="76">
        <f t="shared" si="14"/>
        <v>1.1745396133590784</v>
      </c>
      <c r="U57" s="58">
        <f t="shared" si="9"/>
        <v>50.743566613232645</v>
      </c>
      <c r="V57" s="58">
        <f t="shared" si="10"/>
        <v>97.434564933453274</v>
      </c>
      <c r="W57" s="58">
        <f t="shared" si="11"/>
        <v>0.52079635853959971</v>
      </c>
      <c r="X57" s="58">
        <f t="shared" si="15"/>
        <v>352.10526315789474</v>
      </c>
      <c r="Y57" s="58">
        <f t="shared" si="12"/>
        <v>1.1226772412010801</v>
      </c>
      <c r="Z57" s="76"/>
      <c r="AA57" s="76"/>
    </row>
    <row r="58" spans="1:28" ht="17.25" customHeight="1">
      <c r="A58" s="76"/>
      <c r="B58" s="90">
        <v>52</v>
      </c>
      <c r="C58" s="90">
        <v>60</v>
      </c>
      <c r="D58" s="90">
        <v>0.77</v>
      </c>
      <c r="E58" s="90">
        <f t="shared" si="0"/>
        <v>77.922077922077918</v>
      </c>
      <c r="F58" s="91">
        <v>150800</v>
      </c>
      <c r="G58" s="90">
        <v>313.63</v>
      </c>
      <c r="H58" s="90">
        <v>0.28999999999999998</v>
      </c>
      <c r="I58" s="92" t="s">
        <v>168</v>
      </c>
      <c r="J58" s="90">
        <v>2020</v>
      </c>
      <c r="K58" s="90">
        <f t="shared" si="1"/>
        <v>29.965782979058247</v>
      </c>
      <c r="L58" s="92">
        <f t="shared" si="2"/>
        <v>8.0498366666666676</v>
      </c>
      <c r="M58" s="92">
        <f t="shared" si="3"/>
        <v>5.9969522649046025</v>
      </c>
      <c r="N58" s="107">
        <v>9.4700000000000006</v>
      </c>
      <c r="O58" s="104">
        <f t="shared" si="4"/>
        <v>3.7225330425824263</v>
      </c>
      <c r="P58" s="104">
        <f t="shared" si="5"/>
        <v>1.5791354644292215</v>
      </c>
      <c r="Q58" s="104">
        <f t="shared" si="6"/>
        <v>1.176421384947355</v>
      </c>
      <c r="R58" s="23">
        <f t="shared" si="7"/>
        <v>0.95743420743703256</v>
      </c>
      <c r="S58" s="23">
        <f t="shared" si="8"/>
        <v>7.7071889889475651</v>
      </c>
      <c r="T58" s="76">
        <f t="shared" si="14"/>
        <v>1.2287229512057356</v>
      </c>
      <c r="U58" s="58">
        <f t="shared" si="9"/>
        <v>50.412986113016245</v>
      </c>
      <c r="V58" s="58">
        <f t="shared" si="10"/>
        <v>97.434564933453274</v>
      </c>
      <c r="W58" s="58">
        <f t="shared" si="11"/>
        <v>0.51740351226946779</v>
      </c>
      <c r="X58" s="58">
        <f t="shared" si="15"/>
        <v>368.96103896103898</v>
      </c>
      <c r="Y58" s="58">
        <f t="shared" si="12"/>
        <v>1.176421384947355</v>
      </c>
      <c r="Z58" s="76"/>
      <c r="AA58" s="76"/>
    </row>
    <row r="59" spans="1:28" ht="17.25" customHeight="1">
      <c r="A59" s="76"/>
      <c r="B59" s="108">
        <v>53</v>
      </c>
      <c r="C59" s="108">
        <v>41.82</v>
      </c>
      <c r="D59" s="108">
        <v>0.94499999999999995</v>
      </c>
      <c r="E59" s="108">
        <f t="shared" si="0"/>
        <v>44.253968253968253</v>
      </c>
      <c r="F59" s="109">
        <v>183100</v>
      </c>
      <c r="G59" s="108">
        <v>237.9</v>
      </c>
      <c r="H59" s="108">
        <v>0.32700000000000001</v>
      </c>
      <c r="I59" s="142" t="s">
        <v>166</v>
      </c>
      <c r="J59" s="108">
        <v>2009</v>
      </c>
      <c r="K59" s="108">
        <f t="shared" si="1"/>
        <v>114.23791791650501</v>
      </c>
      <c r="L59" s="111">
        <f t="shared" si="2"/>
        <v>10.751578192252509</v>
      </c>
      <c r="M59" s="112">
        <f t="shared" si="3"/>
        <v>10.258599876574129</v>
      </c>
      <c r="N59" s="113">
        <v>9.4600000000000009</v>
      </c>
      <c r="O59" s="98">
        <f t="shared" si="4"/>
        <v>10.625223188054738</v>
      </c>
      <c r="P59" s="98">
        <f t="shared" si="5"/>
        <v>0.92215313140365684</v>
      </c>
      <c r="Q59" s="98">
        <f t="shared" si="6"/>
        <v>0.87987082741181122</v>
      </c>
      <c r="R59" s="99">
        <f t="shared" si="7"/>
        <v>12.580660785850615</v>
      </c>
      <c r="S59" s="99">
        <f t="shared" si="8"/>
        <v>135.26195814927777</v>
      </c>
      <c r="T59" s="105">
        <f t="shared" si="14"/>
        <v>6.9938363523909336E-2</v>
      </c>
      <c r="U59" s="74">
        <f t="shared" si="9"/>
        <v>37.991660017964932</v>
      </c>
      <c r="V59" s="74">
        <f t="shared" si="10"/>
        <v>123.27304668365956</v>
      </c>
      <c r="W59" s="74">
        <f t="shared" si="11"/>
        <v>0.30819113374765733</v>
      </c>
      <c r="X59" s="74">
        <f t="shared" si="15"/>
        <v>209.32126984126987</v>
      </c>
      <c r="Y59" s="74">
        <f t="shared" si="12"/>
        <v>0.87987082741181111</v>
      </c>
      <c r="Z59" s="76">
        <f>G59</f>
        <v>237.9</v>
      </c>
      <c r="AA59" s="76">
        <f>(2*Z59*D59)/(E59)</f>
        <v>10.160241391678623</v>
      </c>
      <c r="AB59" s="158" t="s">
        <v>196</v>
      </c>
    </row>
    <row r="60" spans="1:28" ht="17.25" customHeight="1">
      <c r="A60" s="76"/>
      <c r="B60" s="108">
        <v>54</v>
      </c>
      <c r="C60" s="108">
        <v>41.57</v>
      </c>
      <c r="D60" s="108">
        <v>0.96499999999999997</v>
      </c>
      <c r="E60" s="108">
        <f t="shared" si="0"/>
        <v>43.07772020725389</v>
      </c>
      <c r="F60" s="109">
        <v>183100</v>
      </c>
      <c r="G60" s="108">
        <v>237.9</v>
      </c>
      <c r="H60" s="108">
        <v>0.32700000000000001</v>
      </c>
      <c r="I60" s="110" t="s">
        <v>166</v>
      </c>
      <c r="J60" s="108">
        <v>2009</v>
      </c>
      <c r="K60" s="108">
        <f t="shared" si="1"/>
        <v>120.56168155228939</v>
      </c>
      <c r="L60" s="111">
        <f t="shared" si="2"/>
        <v>11.045152754390186</v>
      </c>
      <c r="M60" s="112">
        <f t="shared" si="3"/>
        <v>10.563566103985856</v>
      </c>
      <c r="N60" s="113">
        <v>10.34</v>
      </c>
      <c r="O60" s="98">
        <f t="shared" si="4"/>
        <v>10.915347594841455</v>
      </c>
      <c r="P60" s="98">
        <f t="shared" si="5"/>
        <v>0.97883611445366914</v>
      </c>
      <c r="Q60" s="98">
        <f t="shared" si="6"/>
        <v>0.93615726553805201</v>
      </c>
      <c r="R60" s="99">
        <f t="shared" si="7"/>
        <v>13.989461828382028</v>
      </c>
      <c r="S60" s="99">
        <f t="shared" si="8"/>
        <v>154.51574284619014</v>
      </c>
      <c r="T60" s="105">
        <f t="shared" si="14"/>
        <v>6.6918747627500733E-2</v>
      </c>
      <c r="U60" s="74">
        <f t="shared" si="9"/>
        <v>37.483360148895585</v>
      </c>
      <c r="V60" s="74">
        <f t="shared" si="10"/>
        <v>123.27304668365956</v>
      </c>
      <c r="W60" s="74">
        <f t="shared" si="11"/>
        <v>0.30406776791267692</v>
      </c>
      <c r="X60" s="74">
        <f t="shared" si="15"/>
        <v>222.71181347150261</v>
      </c>
      <c r="Y60" s="74">
        <f t="shared" si="12"/>
        <v>0.93615726553805212</v>
      </c>
      <c r="Z60" s="76">
        <f t="shared" ref="Z60" si="19">G60</f>
        <v>237.9</v>
      </c>
      <c r="AA60" s="76">
        <f t="shared" ref="AA60" si="20">(2*Z60*D60)/(E60)</f>
        <v>10.658572407986528</v>
      </c>
      <c r="AB60" s="158"/>
    </row>
    <row r="61" spans="1:28" ht="17.25" customHeight="1">
      <c r="A61" s="76"/>
      <c r="B61" s="108">
        <v>55</v>
      </c>
      <c r="C61" s="108">
        <v>107.66</v>
      </c>
      <c r="D61" s="108">
        <v>0.96899999999999997</v>
      </c>
      <c r="E61" s="108">
        <f t="shared" si="0"/>
        <v>111.10423116615067</v>
      </c>
      <c r="F61" s="109">
        <v>183100</v>
      </c>
      <c r="G61" s="108">
        <v>237.9</v>
      </c>
      <c r="H61" s="108">
        <v>0.32700000000000001</v>
      </c>
      <c r="I61" s="110" t="s">
        <v>166</v>
      </c>
      <c r="J61" s="108">
        <v>2009</v>
      </c>
      <c r="K61" s="108">
        <f t="shared" si="1"/>
        <v>18.123977827635859</v>
      </c>
      <c r="L61" s="111">
        <f t="shared" si="2"/>
        <v>4.2824651681218651</v>
      </c>
      <c r="M61" s="112">
        <f t="shared" si="3"/>
        <v>3.3642570129456559</v>
      </c>
      <c r="N61" s="113">
        <v>3.72</v>
      </c>
      <c r="O61" s="98">
        <f t="shared" si="4"/>
        <v>4.2321366587050102</v>
      </c>
      <c r="P61" s="98">
        <f t="shared" si="5"/>
        <v>1.1057419173640557</v>
      </c>
      <c r="Q61" s="98">
        <f t="shared" si="6"/>
        <v>0.86865855388415414</v>
      </c>
      <c r="R61" s="99">
        <f t="shared" si="7"/>
        <v>0.99064589534821046</v>
      </c>
      <c r="S61" s="99">
        <f t="shared" si="8"/>
        <v>4.2424065407716096</v>
      </c>
      <c r="T61" s="105">
        <f t="shared" si="14"/>
        <v>0.87686080158725332</v>
      </c>
      <c r="U61" s="74">
        <f t="shared" si="9"/>
        <v>60.197361942102098</v>
      </c>
      <c r="V61" s="74">
        <f t="shared" si="10"/>
        <v>123.27304668365956</v>
      </c>
      <c r="W61" s="74">
        <f t="shared" si="11"/>
        <v>0.48832541712527944</v>
      </c>
      <c r="X61" s="74">
        <f t="shared" si="15"/>
        <v>206.65386996904027</v>
      </c>
      <c r="Y61" s="74">
        <f t="shared" si="12"/>
        <v>0.86865855388415414</v>
      </c>
      <c r="Z61" s="76"/>
      <c r="AA61" s="76"/>
    </row>
    <row r="62" spans="1:28" ht="17.25" customHeight="1">
      <c r="A62" s="76"/>
      <c r="B62" s="108">
        <v>56</v>
      </c>
      <c r="C62" s="108">
        <v>106.09</v>
      </c>
      <c r="D62" s="108">
        <v>0.95299999999999996</v>
      </c>
      <c r="E62" s="108">
        <f t="shared" si="0"/>
        <v>111.32214060860441</v>
      </c>
      <c r="F62" s="109">
        <v>183100</v>
      </c>
      <c r="G62" s="108">
        <v>237.9</v>
      </c>
      <c r="H62" s="108">
        <v>0.32700000000000001</v>
      </c>
      <c r="I62" s="110" t="s">
        <v>166</v>
      </c>
      <c r="J62" s="108">
        <v>2009</v>
      </c>
      <c r="K62" s="108">
        <f t="shared" si="1"/>
        <v>18.053093087454844</v>
      </c>
      <c r="L62" s="111">
        <f t="shared" si="2"/>
        <v>4.2740823828824581</v>
      </c>
      <c r="M62" s="112">
        <f t="shared" si="3"/>
        <v>3.3551507294951541</v>
      </c>
      <c r="N62" s="113">
        <v>3.62</v>
      </c>
      <c r="O62" s="98">
        <f t="shared" si="4"/>
        <v>4.2238523898736284</v>
      </c>
      <c r="P62" s="98">
        <f t="shared" si="5"/>
        <v>1.0789381139203535</v>
      </c>
      <c r="Q62" s="98">
        <f t="shared" si="6"/>
        <v>0.84696542455474566</v>
      </c>
      <c r="R62" s="99">
        <f t="shared" si="7"/>
        <v>0.98980150820109669</v>
      </c>
      <c r="S62" s="99">
        <f t="shared" si="8"/>
        <v>4.2304931887527939</v>
      </c>
      <c r="T62" s="105">
        <f t="shared" si="14"/>
        <v>0.85569219438153132</v>
      </c>
      <c r="U62" s="74">
        <f t="shared" si="9"/>
        <v>60.256365761510139</v>
      </c>
      <c r="V62" s="74">
        <f t="shared" si="10"/>
        <v>123.27304668365956</v>
      </c>
      <c r="W62" s="74">
        <f t="shared" si="11"/>
        <v>0.48880406043779084</v>
      </c>
      <c r="X62" s="74">
        <f t="shared" si="15"/>
        <v>201.493074501574</v>
      </c>
      <c r="Y62" s="74">
        <f t="shared" si="12"/>
        <v>0.84696542455474566</v>
      </c>
      <c r="Z62" s="76"/>
      <c r="AA62" s="76"/>
    </row>
    <row r="63" spans="1:28" ht="17.25" customHeight="1">
      <c r="A63" s="76"/>
      <c r="B63" s="108">
        <v>57</v>
      </c>
      <c r="C63" s="108">
        <v>75.849999999999994</v>
      </c>
      <c r="D63" s="108">
        <v>0.89100000000000001</v>
      </c>
      <c r="E63" s="108">
        <f t="shared" si="0"/>
        <v>85.12906846240179</v>
      </c>
      <c r="F63" s="109">
        <v>183100</v>
      </c>
      <c r="G63" s="108">
        <v>237.9</v>
      </c>
      <c r="H63" s="108">
        <v>0.32700000000000001</v>
      </c>
      <c r="I63" s="110" t="s">
        <v>166</v>
      </c>
      <c r="J63" s="108">
        <v>2009</v>
      </c>
      <c r="K63" s="108">
        <f t="shared" si="1"/>
        <v>30.871587090845132</v>
      </c>
      <c r="L63" s="111">
        <f t="shared" si="2"/>
        <v>5.58916018457482</v>
      </c>
      <c r="M63" s="112">
        <f t="shared" si="3"/>
        <v>4.7852926419934514</v>
      </c>
      <c r="N63" s="113">
        <v>5.93</v>
      </c>
      <c r="O63" s="98">
        <f t="shared" si="4"/>
        <v>5.5234750966783404</v>
      </c>
      <c r="P63" s="98">
        <f t="shared" si="5"/>
        <v>1.2392136581075819</v>
      </c>
      <c r="Q63" s="98">
        <f t="shared" si="6"/>
        <v>1.0609822950442256</v>
      </c>
      <c r="R63" s="99">
        <f t="shared" si="7"/>
        <v>1.3302416190733979</v>
      </c>
      <c r="S63" s="99">
        <f t="shared" si="8"/>
        <v>7.43493349318938</v>
      </c>
      <c r="T63" s="105">
        <f t="shared" si="14"/>
        <v>0.79758615264441257</v>
      </c>
      <c r="U63" s="74">
        <f t="shared" si="9"/>
        <v>52.692778633754962</v>
      </c>
      <c r="V63" s="74">
        <f t="shared" si="10"/>
        <v>123.27304668365956</v>
      </c>
      <c r="W63" s="74">
        <f t="shared" si="11"/>
        <v>0.42744768667050109</v>
      </c>
      <c r="X63" s="74">
        <f t="shared" si="15"/>
        <v>252.40768799102131</v>
      </c>
      <c r="Y63" s="74">
        <f t="shared" si="12"/>
        <v>1.0609822950442258</v>
      </c>
      <c r="Z63" s="76"/>
      <c r="AA63" s="76"/>
    </row>
    <row r="64" spans="1:28" ht="17.25" customHeight="1">
      <c r="A64" s="76"/>
      <c r="B64" s="108">
        <v>58</v>
      </c>
      <c r="C64" s="108">
        <v>76.91</v>
      </c>
      <c r="D64" s="108">
        <v>0.88300000000000001</v>
      </c>
      <c r="E64" s="108">
        <f t="shared" si="0"/>
        <v>87.100792751981871</v>
      </c>
      <c r="F64" s="109">
        <v>183100</v>
      </c>
      <c r="G64" s="108">
        <v>237.9</v>
      </c>
      <c r="H64" s="108">
        <v>0.32700000000000001</v>
      </c>
      <c r="I64" s="110" t="s">
        <v>166</v>
      </c>
      <c r="J64" s="108">
        <v>2009</v>
      </c>
      <c r="K64" s="108">
        <f t="shared" si="1"/>
        <v>29.489710119463734</v>
      </c>
      <c r="L64" s="111">
        <f t="shared" si="2"/>
        <v>5.4626368482642054</v>
      </c>
      <c r="M64" s="112">
        <f t="shared" si="3"/>
        <v>4.6479840186094314</v>
      </c>
      <c r="N64" s="113">
        <v>4.83</v>
      </c>
      <c r="O64" s="98">
        <f t="shared" si="4"/>
        <v>5.3984386915330669</v>
      </c>
      <c r="P64" s="98">
        <f t="shared" si="5"/>
        <v>1.03916019948903</v>
      </c>
      <c r="Q64" s="98">
        <f t="shared" si="6"/>
        <v>0.88418837535114003</v>
      </c>
      <c r="R64" s="99">
        <f t="shared" si="7"/>
        <v>1.2744746266935643</v>
      </c>
      <c r="S64" s="99">
        <f t="shared" si="8"/>
        <v>6.9619920579540313</v>
      </c>
      <c r="T64" s="105">
        <f t="shared" si="14"/>
        <v>0.69376695057871485</v>
      </c>
      <c r="U64" s="74">
        <f t="shared" si="9"/>
        <v>53.299509708053719</v>
      </c>
      <c r="V64" s="74">
        <f t="shared" si="10"/>
        <v>123.27304668365956</v>
      </c>
      <c r="W64" s="74">
        <f t="shared" si="11"/>
        <v>0.43236953366480579</v>
      </c>
      <c r="X64" s="74">
        <f t="shared" si="15"/>
        <v>210.34841449603624</v>
      </c>
      <c r="Y64" s="74">
        <f t="shared" si="12"/>
        <v>0.88418837535114014</v>
      </c>
      <c r="Z64" s="76"/>
      <c r="AA64" s="76"/>
    </row>
    <row r="65" spans="1:27" ht="15.75" customHeight="1">
      <c r="A65" s="76"/>
      <c r="B65" s="90">
        <v>59</v>
      </c>
      <c r="C65" s="114">
        <v>58.84</v>
      </c>
      <c r="D65" s="114">
        <v>0.432</v>
      </c>
      <c r="E65" s="114">
        <f t="shared" si="0"/>
        <v>136.20370370370372</v>
      </c>
      <c r="F65" s="114">
        <v>193000</v>
      </c>
      <c r="G65" s="114">
        <v>205</v>
      </c>
      <c r="H65" s="114">
        <v>0.28000000000000003</v>
      </c>
      <c r="I65" s="114" t="s">
        <v>169</v>
      </c>
      <c r="J65" s="114">
        <v>2019</v>
      </c>
      <c r="K65" s="90">
        <f t="shared" si="1"/>
        <v>12.513465765148297</v>
      </c>
      <c r="L65" s="92">
        <f t="shared" si="2"/>
        <v>3.0101971447994562</v>
      </c>
      <c r="M65" s="92">
        <f t="shared" si="3"/>
        <v>2.3484420118225651</v>
      </c>
      <c r="N65" s="107">
        <v>2.7069999999999999</v>
      </c>
      <c r="O65" s="104">
        <f t="shared" si="4"/>
        <v>4.1570253253236551</v>
      </c>
      <c r="P65" s="104">
        <f t="shared" si="5"/>
        <v>1.1526790895293033</v>
      </c>
      <c r="Q65" s="104">
        <f t="shared" si="6"/>
        <v>0.89927664859981926</v>
      </c>
      <c r="R65" s="23">
        <f t="shared" si="7"/>
        <v>0.98341934810280351</v>
      </c>
      <c r="S65" s="23">
        <f t="shared" si="8"/>
        <v>2.9602861137996017</v>
      </c>
      <c r="T65" s="76">
        <f t="shared" si="14"/>
        <v>0.91443863732667963</v>
      </c>
      <c r="U65" s="58">
        <f t="shared" si="9"/>
        <v>66.650992178856029</v>
      </c>
      <c r="V65" s="58">
        <f t="shared" si="10"/>
        <v>136.33987846017973</v>
      </c>
      <c r="W65" s="58">
        <f t="shared" si="11"/>
        <v>0.48885911394091885</v>
      </c>
      <c r="X65" s="58">
        <f t="shared" si="15"/>
        <v>184.35171296296295</v>
      </c>
      <c r="Y65" s="58">
        <f t="shared" si="12"/>
        <v>0.89927664859981926</v>
      </c>
      <c r="Z65" s="76"/>
      <c r="AA65" s="76"/>
    </row>
    <row r="66" spans="1:27" ht="15.75" customHeight="1">
      <c r="A66" s="76"/>
      <c r="B66" s="90">
        <v>60</v>
      </c>
      <c r="C66" s="114">
        <v>58.77</v>
      </c>
      <c r="D66" s="114">
        <v>0.42199999999999999</v>
      </c>
      <c r="E66" s="114">
        <f t="shared" si="0"/>
        <v>139.26540284360192</v>
      </c>
      <c r="F66" s="114">
        <v>193000</v>
      </c>
      <c r="G66" s="114">
        <v>205</v>
      </c>
      <c r="H66" s="114">
        <v>0.28000000000000003</v>
      </c>
      <c r="I66" s="114" t="s">
        <v>169</v>
      </c>
      <c r="J66" s="114">
        <v>2019</v>
      </c>
      <c r="K66" s="90">
        <f t="shared" si="1"/>
        <v>11.969305854953005</v>
      </c>
      <c r="L66" s="92">
        <f t="shared" si="2"/>
        <v>2.9440190573421807</v>
      </c>
      <c r="M66" s="92">
        <f t="shared" si="3"/>
        <v>2.2766488370086355</v>
      </c>
      <c r="N66" s="107">
        <v>2.4820000000000002</v>
      </c>
      <c r="O66" s="104">
        <f t="shared" si="4"/>
        <v>4.0656346381666184</v>
      </c>
      <c r="P66" s="104">
        <f t="shared" si="5"/>
        <v>1.0901988746148406</v>
      </c>
      <c r="Q66" s="104">
        <f t="shared" si="6"/>
        <v>0.84306519477517072</v>
      </c>
      <c r="R66" s="23">
        <f t="shared" si="7"/>
        <v>0.97586031514956195</v>
      </c>
      <c r="S66" s="23">
        <f t="shared" si="8"/>
        <v>2.8729513651042566</v>
      </c>
      <c r="T66" s="76">
        <f t="shared" si="14"/>
        <v>0.86391995010675393</v>
      </c>
      <c r="U66" s="58">
        <f t="shared" si="9"/>
        <v>67.395946992522923</v>
      </c>
      <c r="V66" s="58">
        <f t="shared" si="10"/>
        <v>136.33987846017973</v>
      </c>
      <c r="W66" s="58">
        <f t="shared" si="11"/>
        <v>0.4943230678631344</v>
      </c>
      <c r="X66" s="58">
        <f t="shared" si="15"/>
        <v>172.82836492890996</v>
      </c>
      <c r="Y66" s="58">
        <f t="shared" si="12"/>
        <v>0.8430651947751705</v>
      </c>
      <c r="Z66" s="76"/>
      <c r="AA66" s="76"/>
    </row>
    <row r="67" spans="1:27" ht="15.75" customHeight="1">
      <c r="A67" s="76"/>
      <c r="B67" s="90">
        <v>61</v>
      </c>
      <c r="C67" s="114">
        <v>58.99</v>
      </c>
      <c r="D67" s="114">
        <v>0.42299999999999999</v>
      </c>
      <c r="E67" s="114">
        <f t="shared" si="0"/>
        <v>139.45626477541373</v>
      </c>
      <c r="F67" s="114">
        <v>193000</v>
      </c>
      <c r="G67" s="114">
        <v>205</v>
      </c>
      <c r="H67" s="114">
        <v>0.28000000000000003</v>
      </c>
      <c r="I67" s="114" t="s">
        <v>169</v>
      </c>
      <c r="J67" s="114">
        <v>2019</v>
      </c>
      <c r="K67" s="90">
        <f t="shared" si="1"/>
        <v>11.93656553236479</v>
      </c>
      <c r="L67" s="92">
        <f t="shared" si="2"/>
        <v>2.9399898287845398</v>
      </c>
      <c r="M67" s="92">
        <f t="shared" si="3"/>
        <v>2.2722806261040098</v>
      </c>
      <c r="N67" s="107">
        <v>2.593</v>
      </c>
      <c r="O67" s="104">
        <f t="shared" si="4"/>
        <v>4.0600703497330279</v>
      </c>
      <c r="P67" s="104">
        <f t="shared" si="5"/>
        <v>1.1411442628219239</v>
      </c>
      <c r="Q67" s="104">
        <f t="shared" si="6"/>
        <v>0.88197584039670185</v>
      </c>
      <c r="R67" s="23">
        <f t="shared" si="7"/>
        <v>0.97544121912148674</v>
      </c>
      <c r="S67" s="23">
        <f t="shared" si="8"/>
        <v>2.8677872627943626</v>
      </c>
      <c r="T67" s="76">
        <f t="shared" si="14"/>
        <v>0.90418143411146523</v>
      </c>
      <c r="U67" s="58">
        <f t="shared" si="9"/>
        <v>67.442113937539546</v>
      </c>
      <c r="V67" s="58">
        <f t="shared" si="10"/>
        <v>136.33987846017973</v>
      </c>
      <c r="W67" s="58">
        <f t="shared" si="11"/>
        <v>0.49466168445527187</v>
      </c>
      <c r="X67" s="58">
        <f t="shared" si="15"/>
        <v>180.80504728132388</v>
      </c>
      <c r="Y67" s="58">
        <f t="shared" si="12"/>
        <v>0.88197584039670185</v>
      </c>
      <c r="Z67" s="76"/>
      <c r="AA67" s="76"/>
    </row>
    <row r="68" spans="1:27" ht="15.75" customHeight="1">
      <c r="A68" s="76"/>
      <c r="B68" s="90">
        <v>62</v>
      </c>
      <c r="C68" s="114">
        <v>58.77</v>
      </c>
      <c r="D68" s="114">
        <v>0.40600000000000003</v>
      </c>
      <c r="E68" s="114">
        <f t="shared" si="0"/>
        <v>144.7536945812808</v>
      </c>
      <c r="F68" s="114">
        <v>193000</v>
      </c>
      <c r="G68" s="114">
        <v>205</v>
      </c>
      <c r="H68" s="114">
        <v>0.28000000000000003</v>
      </c>
      <c r="I68" s="114" t="s">
        <v>169</v>
      </c>
      <c r="J68" s="114">
        <v>2019</v>
      </c>
      <c r="K68" s="90">
        <f t="shared" si="1"/>
        <v>11.078886929241447</v>
      </c>
      <c r="L68" s="92">
        <f t="shared" si="2"/>
        <v>2.8323974817083544</v>
      </c>
      <c r="M68" s="92">
        <f t="shared" si="3"/>
        <v>2.1557827202418594</v>
      </c>
      <c r="N68" s="107">
        <v>2.4929999999999999</v>
      </c>
      <c r="O68" s="104">
        <f t="shared" si="4"/>
        <v>3.9114873533072205</v>
      </c>
      <c r="P68" s="104">
        <f t="shared" si="5"/>
        <v>1.1564245211689552</v>
      </c>
      <c r="Q68" s="104">
        <f t="shared" si="6"/>
        <v>0.88017307461251959</v>
      </c>
      <c r="R68" s="23">
        <f t="shared" si="7"/>
        <v>0.9658383698504629</v>
      </c>
      <c r="S68" s="23">
        <f t="shared" si="8"/>
        <v>2.7356381665017531</v>
      </c>
      <c r="T68" s="76">
        <f t="shared" si="14"/>
        <v>0.91130472974354237</v>
      </c>
      <c r="U68" s="58">
        <f t="shared" si="9"/>
        <v>68.711113842255173</v>
      </c>
      <c r="V68" s="58">
        <f t="shared" si="10"/>
        <v>136.33987846017973</v>
      </c>
      <c r="W68" s="58">
        <f t="shared" si="11"/>
        <v>0.5039693053732871</v>
      </c>
      <c r="X68" s="58">
        <f t="shared" si="15"/>
        <v>180.43548029556649</v>
      </c>
      <c r="Y68" s="58">
        <f t="shared" si="12"/>
        <v>0.88017307461251948</v>
      </c>
      <c r="Z68" s="76"/>
      <c r="AA68" s="76"/>
    </row>
    <row r="69" spans="1:27" ht="15.75" customHeight="1">
      <c r="A69" s="76"/>
      <c r="B69" s="90">
        <v>63</v>
      </c>
      <c r="C69" s="114">
        <v>58.75</v>
      </c>
      <c r="D69" s="114">
        <v>0.41499999999999998</v>
      </c>
      <c r="E69" s="114">
        <f t="shared" si="0"/>
        <v>141.56626506024097</v>
      </c>
      <c r="F69" s="114">
        <v>193000</v>
      </c>
      <c r="G69" s="114">
        <v>205</v>
      </c>
      <c r="H69" s="114">
        <v>0.28000000000000003</v>
      </c>
      <c r="I69" s="114" t="s">
        <v>169</v>
      </c>
      <c r="J69" s="114">
        <v>2019</v>
      </c>
      <c r="K69" s="90">
        <f t="shared" si="1"/>
        <v>11.58339578781251</v>
      </c>
      <c r="L69" s="92">
        <f t="shared" si="2"/>
        <v>2.8961702127659574</v>
      </c>
      <c r="M69" s="92">
        <f t="shared" si="3"/>
        <v>2.224798427983175</v>
      </c>
      <c r="N69" s="107">
        <v>2.36</v>
      </c>
      <c r="O69" s="104">
        <f t="shared" si="4"/>
        <v>3.9995562887686451</v>
      </c>
      <c r="P69" s="104">
        <f t="shared" si="5"/>
        <v>1.0607702568989084</v>
      </c>
      <c r="Q69" s="104">
        <f t="shared" si="6"/>
        <v>0.81486923302967962</v>
      </c>
      <c r="R69" s="23">
        <f t="shared" si="7"/>
        <v>0.97117055101866478</v>
      </c>
      <c r="S69" s="23">
        <f t="shared" si="8"/>
        <v>2.8126752213757586</v>
      </c>
      <c r="T69" s="76">
        <f t="shared" si="14"/>
        <v>0.83905883696222039</v>
      </c>
      <c r="U69" s="58">
        <f t="shared" si="9"/>
        <v>67.950404641649158</v>
      </c>
      <c r="V69" s="58">
        <f t="shared" si="10"/>
        <v>136.33987846017973</v>
      </c>
      <c r="W69" s="58">
        <f t="shared" si="11"/>
        <v>0.49838979914812798</v>
      </c>
      <c r="X69" s="58">
        <f t="shared" si="15"/>
        <v>167.04819277108436</v>
      </c>
      <c r="Y69" s="58">
        <f t="shared" si="12"/>
        <v>0.81486923302967984</v>
      </c>
      <c r="Z69" s="76"/>
      <c r="AA69" s="76"/>
    </row>
    <row r="70" spans="1:27" ht="15.75" customHeight="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7"/>
      <c r="P70" s="77"/>
      <c r="Q70" s="77"/>
      <c r="R70" s="37"/>
      <c r="S70" s="37"/>
      <c r="T70" s="76"/>
      <c r="U70" s="76"/>
      <c r="V70" s="76"/>
      <c r="W70" s="76"/>
      <c r="X70" s="76"/>
      <c r="Y70" s="76"/>
      <c r="Z70" s="76"/>
      <c r="AA70" s="76"/>
    </row>
    <row r="71" spans="1:27" ht="15.75" customHeight="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7"/>
      <c r="P71" s="77"/>
      <c r="Q71" s="77"/>
      <c r="R71" s="37"/>
      <c r="S71" s="37"/>
      <c r="T71" s="76"/>
      <c r="U71" s="76"/>
      <c r="V71" s="76"/>
      <c r="W71" s="76"/>
      <c r="X71" s="76"/>
      <c r="Y71" s="76"/>
      <c r="Z71" s="76"/>
      <c r="AA71" s="76"/>
    </row>
    <row r="72" spans="1:27" ht="15.75" customHeight="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7"/>
      <c r="P72" s="77"/>
      <c r="Q72" s="77"/>
      <c r="R72" s="37"/>
      <c r="S72" s="37"/>
      <c r="T72" s="76"/>
      <c r="U72" s="76"/>
      <c r="V72" s="76"/>
      <c r="W72" s="76"/>
      <c r="X72" s="76"/>
      <c r="Y72" s="76"/>
      <c r="Z72" s="76"/>
      <c r="AA72" s="76"/>
    </row>
    <row r="73" spans="1:27" ht="15.75" customHeight="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7"/>
      <c r="P73" s="77"/>
      <c r="Q73" s="77"/>
      <c r="R73" s="37"/>
      <c r="S73" s="37"/>
      <c r="T73" s="76"/>
      <c r="U73" s="76"/>
      <c r="V73" s="76"/>
      <c r="W73" s="76"/>
      <c r="X73" s="76"/>
      <c r="Y73" s="76"/>
      <c r="Z73" s="76"/>
      <c r="AA73" s="76"/>
    </row>
    <row r="74" spans="1:27" ht="15.75" customHeight="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7"/>
      <c r="P74" s="77"/>
      <c r="Q74" s="77"/>
      <c r="R74" s="37"/>
      <c r="S74" s="37"/>
      <c r="T74" s="76"/>
      <c r="U74" s="76"/>
      <c r="V74" s="76"/>
      <c r="W74" s="76"/>
      <c r="X74" s="76"/>
      <c r="Y74" s="76"/>
      <c r="Z74" s="76"/>
      <c r="AA74" s="76"/>
    </row>
    <row r="75" spans="1:27" ht="15.75" customHeight="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7"/>
      <c r="P75" s="77"/>
      <c r="Q75" s="77"/>
      <c r="R75" s="37"/>
      <c r="S75" s="37"/>
      <c r="T75" s="76"/>
      <c r="U75" s="76"/>
      <c r="V75" s="76"/>
      <c r="W75" s="76"/>
      <c r="X75" s="76"/>
      <c r="Y75" s="76"/>
      <c r="Z75" s="76"/>
      <c r="AA75" s="76"/>
    </row>
    <row r="76" spans="1:27" ht="15.75" customHeight="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7"/>
      <c r="P76" s="77"/>
      <c r="Q76" s="77"/>
      <c r="R76" s="37"/>
      <c r="S76" s="37"/>
      <c r="T76" s="76"/>
      <c r="U76" s="76"/>
      <c r="V76" s="76"/>
      <c r="W76" s="76"/>
      <c r="X76" s="76"/>
      <c r="Y76" s="76"/>
      <c r="Z76" s="76"/>
      <c r="AA76" s="76"/>
    </row>
    <row r="77" spans="1:27" ht="15.75" customHeight="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7"/>
      <c r="P77" s="77"/>
      <c r="Q77" s="77"/>
      <c r="R77" s="37"/>
      <c r="S77" s="37"/>
      <c r="T77" s="76"/>
      <c r="U77" s="76"/>
      <c r="V77" s="76"/>
      <c r="W77" s="76"/>
      <c r="X77" s="76"/>
      <c r="Y77" s="76"/>
      <c r="Z77" s="76"/>
      <c r="AA77" s="76"/>
    </row>
    <row r="78" spans="1:27" ht="15.75" customHeight="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7"/>
      <c r="P78" s="77"/>
      <c r="Q78" s="77"/>
      <c r="R78" s="37"/>
      <c r="S78" s="37"/>
      <c r="T78" s="76"/>
      <c r="U78" s="76"/>
      <c r="V78" s="76"/>
      <c r="W78" s="76"/>
      <c r="X78" s="76"/>
      <c r="Y78" s="76"/>
      <c r="Z78" s="76"/>
      <c r="AA78" s="76"/>
    </row>
    <row r="79" spans="1:27" ht="15.75" customHeight="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7"/>
      <c r="P79" s="77"/>
      <c r="Q79" s="77"/>
      <c r="R79" s="37"/>
      <c r="S79" s="37"/>
      <c r="T79" s="76"/>
      <c r="U79" s="76"/>
      <c r="V79" s="76"/>
      <c r="W79" s="76"/>
      <c r="X79" s="76"/>
      <c r="Y79" s="76"/>
      <c r="Z79" s="76"/>
      <c r="AA79" s="76"/>
    </row>
    <row r="80" spans="1:27" ht="15.75" customHeight="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7"/>
      <c r="P80" s="77"/>
      <c r="Q80" s="77"/>
      <c r="R80" s="37"/>
      <c r="S80" s="37"/>
      <c r="T80" s="76"/>
      <c r="U80" s="76"/>
      <c r="V80" s="76"/>
      <c r="W80" s="76"/>
      <c r="X80" s="76"/>
      <c r="Y80" s="76"/>
      <c r="Z80" s="76"/>
      <c r="AA80" s="76"/>
    </row>
    <row r="81" spans="1:27" ht="15.75" customHeight="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7"/>
      <c r="P81" s="77"/>
      <c r="Q81" s="77"/>
      <c r="R81" s="37"/>
      <c r="S81" s="37"/>
      <c r="T81" s="76"/>
      <c r="U81" s="76"/>
      <c r="V81" s="76"/>
      <c r="W81" s="76"/>
      <c r="X81" s="76"/>
      <c r="Y81" s="76"/>
      <c r="Z81" s="76"/>
      <c r="AA81" s="76"/>
    </row>
    <row r="82" spans="1:27" ht="15.75" customHeight="1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7"/>
      <c r="P82" s="77"/>
      <c r="Q82" s="77"/>
      <c r="R82" s="37"/>
      <c r="S82" s="37"/>
      <c r="T82" s="76"/>
      <c r="U82" s="76"/>
      <c r="V82" s="76"/>
      <c r="W82" s="76"/>
      <c r="X82" s="76"/>
      <c r="Y82" s="76"/>
      <c r="Z82" s="76"/>
      <c r="AA82" s="76"/>
    </row>
    <row r="83" spans="1:27" ht="15.75" customHeight="1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7"/>
      <c r="P83" s="77"/>
      <c r="Q83" s="77"/>
      <c r="R83" s="37"/>
      <c r="S83" s="37"/>
      <c r="T83" s="76"/>
      <c r="U83" s="76"/>
      <c r="V83" s="76"/>
      <c r="W83" s="76"/>
      <c r="X83" s="76"/>
      <c r="Y83" s="76"/>
      <c r="Z83" s="76"/>
      <c r="AA83" s="76"/>
    </row>
    <row r="84" spans="1:27" ht="15.75" customHeight="1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7"/>
      <c r="P84" s="77"/>
      <c r="Q84" s="77"/>
      <c r="R84" s="37"/>
      <c r="S84" s="37"/>
      <c r="T84" s="76"/>
      <c r="U84" s="76"/>
      <c r="V84" s="76"/>
      <c r="W84" s="76"/>
      <c r="X84" s="76"/>
      <c r="Y84" s="76"/>
      <c r="Z84" s="76"/>
      <c r="AA84" s="76"/>
    </row>
    <row r="85" spans="1:27" ht="15.75" customHeight="1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7"/>
      <c r="P85" s="77"/>
      <c r="Q85" s="77"/>
      <c r="R85" s="37"/>
      <c r="S85" s="37"/>
      <c r="T85" s="76"/>
      <c r="U85" s="76"/>
      <c r="V85" s="76"/>
      <c r="W85" s="76"/>
      <c r="X85" s="76"/>
      <c r="Y85" s="76"/>
      <c r="Z85" s="76"/>
      <c r="AA85" s="76"/>
    </row>
    <row r="86" spans="1:27" ht="15.75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7"/>
      <c r="P86" s="77"/>
      <c r="Q86" s="77"/>
      <c r="R86" s="37"/>
      <c r="S86" s="37"/>
      <c r="T86" s="76"/>
      <c r="U86" s="76"/>
      <c r="V86" s="76"/>
      <c r="W86" s="76"/>
      <c r="X86" s="76"/>
      <c r="Y86" s="76"/>
      <c r="Z86" s="76"/>
      <c r="AA86" s="76"/>
    </row>
    <row r="87" spans="1:27" ht="15.75" customHeight="1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7"/>
      <c r="P87" s="77"/>
      <c r="Q87" s="77"/>
      <c r="R87" s="37"/>
      <c r="S87" s="37"/>
      <c r="T87" s="76"/>
      <c r="U87" s="76"/>
      <c r="V87" s="76"/>
      <c r="W87" s="76"/>
      <c r="X87" s="76"/>
      <c r="Y87" s="76"/>
      <c r="Z87" s="76"/>
      <c r="AA87" s="76"/>
    </row>
    <row r="88" spans="1:27" ht="15.75" customHeight="1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7"/>
      <c r="P88" s="77"/>
      <c r="Q88" s="77"/>
      <c r="R88" s="37"/>
      <c r="S88" s="37"/>
      <c r="T88" s="76"/>
      <c r="U88" s="76"/>
      <c r="V88" s="76"/>
      <c r="W88" s="76"/>
      <c r="X88" s="76"/>
      <c r="Y88" s="76"/>
      <c r="Z88" s="76"/>
      <c r="AA88" s="76"/>
    </row>
    <row r="89" spans="1:27" ht="15.75" customHeight="1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7"/>
      <c r="P89" s="77"/>
      <c r="Q89" s="77"/>
      <c r="R89" s="37"/>
      <c r="S89" s="37"/>
      <c r="T89" s="76"/>
      <c r="U89" s="76"/>
      <c r="V89" s="76"/>
      <c r="W89" s="76"/>
      <c r="X89" s="76"/>
      <c r="Y89" s="76"/>
      <c r="Z89" s="76"/>
      <c r="AA89" s="76"/>
    </row>
    <row r="90" spans="1:27" ht="15.75" customHeight="1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7"/>
      <c r="P90" s="77"/>
      <c r="Q90" s="77"/>
      <c r="R90" s="37"/>
      <c r="S90" s="37"/>
      <c r="T90" s="76"/>
      <c r="U90" s="76"/>
      <c r="V90" s="76"/>
      <c r="W90" s="76"/>
      <c r="X90" s="76"/>
      <c r="Y90" s="76"/>
      <c r="Z90" s="76"/>
      <c r="AA90" s="76"/>
    </row>
    <row r="91" spans="1:27" ht="15.75" customHeight="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7"/>
      <c r="P91" s="77"/>
      <c r="Q91" s="77"/>
      <c r="R91" s="37"/>
      <c r="S91" s="37"/>
      <c r="T91" s="76"/>
      <c r="U91" s="76"/>
      <c r="V91" s="76"/>
      <c r="W91" s="76"/>
      <c r="X91" s="76"/>
      <c r="Y91" s="76"/>
      <c r="Z91" s="76"/>
      <c r="AA91" s="76"/>
    </row>
    <row r="92" spans="1:27" ht="15.75" customHeight="1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7"/>
      <c r="P92" s="77"/>
      <c r="Q92" s="77"/>
      <c r="R92" s="37"/>
      <c r="S92" s="37"/>
      <c r="T92" s="76"/>
      <c r="U92" s="76"/>
      <c r="V92" s="76"/>
      <c r="W92" s="76"/>
      <c r="X92" s="76"/>
      <c r="Y92" s="76"/>
      <c r="Z92" s="76"/>
      <c r="AA92" s="76"/>
    </row>
    <row r="93" spans="1:27" ht="15.75" customHeight="1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7"/>
      <c r="P93" s="77"/>
      <c r="Q93" s="77"/>
      <c r="R93" s="37"/>
      <c r="S93" s="37"/>
      <c r="T93" s="76"/>
      <c r="U93" s="76"/>
      <c r="V93" s="76"/>
      <c r="W93" s="76"/>
      <c r="X93" s="76"/>
      <c r="Y93" s="76"/>
      <c r="Z93" s="76"/>
      <c r="AA93" s="76"/>
    </row>
    <row r="94" spans="1:27" ht="15.75" customHeight="1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7"/>
      <c r="P94" s="77"/>
      <c r="Q94" s="77"/>
      <c r="R94" s="37"/>
      <c r="S94" s="37"/>
      <c r="T94" s="76"/>
      <c r="U94" s="76"/>
      <c r="V94" s="76"/>
      <c r="W94" s="76"/>
      <c r="X94" s="76"/>
      <c r="Y94" s="76"/>
      <c r="Z94" s="76"/>
      <c r="AA94" s="76"/>
    </row>
    <row r="95" spans="1:27" ht="15.75" customHeight="1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7"/>
      <c r="P95" s="77"/>
      <c r="Q95" s="77"/>
      <c r="R95" s="37"/>
      <c r="S95" s="37"/>
      <c r="T95" s="76"/>
      <c r="U95" s="76"/>
      <c r="V95" s="76"/>
      <c r="W95" s="76"/>
      <c r="X95" s="76"/>
      <c r="Y95" s="76"/>
      <c r="Z95" s="76"/>
      <c r="AA95" s="76"/>
    </row>
    <row r="96" spans="1:27" ht="15.75" customHeight="1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7"/>
      <c r="P96" s="77"/>
      <c r="Q96" s="77"/>
      <c r="R96" s="37"/>
      <c r="S96" s="37"/>
      <c r="T96" s="76"/>
      <c r="U96" s="76"/>
      <c r="V96" s="76"/>
      <c r="W96" s="76"/>
      <c r="X96" s="76"/>
      <c r="Y96" s="76"/>
      <c r="Z96" s="76"/>
      <c r="AA96" s="76"/>
    </row>
    <row r="97" spans="1:27" ht="15.75" customHeight="1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7"/>
      <c r="P97" s="77"/>
      <c r="Q97" s="77"/>
      <c r="R97" s="37"/>
      <c r="S97" s="37"/>
      <c r="T97" s="76"/>
      <c r="U97" s="76"/>
      <c r="V97" s="76"/>
      <c r="W97" s="76"/>
      <c r="X97" s="76"/>
      <c r="Y97" s="76"/>
      <c r="Z97" s="76"/>
      <c r="AA97" s="76"/>
    </row>
    <row r="98" spans="1:27" ht="15.75" customHeight="1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7"/>
      <c r="P98" s="77"/>
      <c r="Q98" s="77"/>
      <c r="R98" s="37"/>
      <c r="S98" s="37"/>
      <c r="T98" s="76"/>
      <c r="U98" s="76"/>
      <c r="V98" s="76"/>
      <c r="W98" s="76"/>
      <c r="X98" s="76"/>
      <c r="Y98" s="76"/>
      <c r="Z98" s="76"/>
      <c r="AA98" s="76"/>
    </row>
    <row r="99" spans="1:27" ht="15.75" customHeight="1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7"/>
      <c r="P99" s="77"/>
      <c r="Q99" s="77"/>
      <c r="R99" s="37"/>
      <c r="S99" s="37"/>
      <c r="T99" s="76"/>
      <c r="U99" s="76"/>
      <c r="V99" s="76"/>
      <c r="W99" s="76"/>
      <c r="X99" s="76"/>
      <c r="Y99" s="76"/>
      <c r="Z99" s="76"/>
      <c r="AA99" s="76"/>
    </row>
    <row r="100" spans="1:27" ht="15.75" customHeight="1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7"/>
      <c r="P100" s="77"/>
      <c r="Q100" s="77"/>
      <c r="R100" s="37"/>
      <c r="S100" s="37"/>
      <c r="T100" s="76"/>
      <c r="U100" s="76"/>
      <c r="V100" s="76"/>
      <c r="W100" s="76"/>
      <c r="X100" s="76"/>
      <c r="Y100" s="76"/>
      <c r="Z100" s="76"/>
      <c r="AA100" s="76"/>
    </row>
    <row r="101" spans="1:27" ht="15.75" customHeight="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7"/>
      <c r="P101" s="77"/>
      <c r="Q101" s="77"/>
      <c r="R101" s="37"/>
      <c r="S101" s="37"/>
      <c r="T101" s="76"/>
      <c r="U101" s="76"/>
      <c r="V101" s="76"/>
      <c r="W101" s="76"/>
      <c r="X101" s="76"/>
      <c r="Y101" s="76"/>
      <c r="Z101" s="76"/>
      <c r="AA101" s="76"/>
    </row>
    <row r="102" spans="1:27" ht="15.75" customHeight="1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7"/>
      <c r="P102" s="77"/>
      <c r="Q102" s="77"/>
      <c r="R102" s="37"/>
      <c r="S102" s="37"/>
      <c r="T102" s="76"/>
      <c r="U102" s="76"/>
      <c r="V102" s="76"/>
      <c r="W102" s="76"/>
      <c r="X102" s="76"/>
      <c r="Y102" s="76"/>
      <c r="Z102" s="76"/>
      <c r="AA102" s="76"/>
    </row>
    <row r="103" spans="1:27" ht="15.75" customHeight="1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7"/>
      <c r="P103" s="77"/>
      <c r="Q103" s="77"/>
      <c r="R103" s="37"/>
      <c r="S103" s="37"/>
      <c r="T103" s="76"/>
      <c r="U103" s="76"/>
      <c r="V103" s="76"/>
      <c r="W103" s="76"/>
      <c r="X103" s="76"/>
      <c r="Y103" s="76"/>
      <c r="Z103" s="76"/>
      <c r="AA103" s="76"/>
    </row>
    <row r="104" spans="1:27" ht="15.75" customHeight="1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7"/>
      <c r="P104" s="77"/>
      <c r="Q104" s="77"/>
      <c r="R104" s="37"/>
      <c r="S104" s="37"/>
      <c r="T104" s="76"/>
      <c r="U104" s="76"/>
      <c r="V104" s="76"/>
      <c r="W104" s="76"/>
      <c r="X104" s="76"/>
      <c r="Y104" s="76"/>
      <c r="Z104" s="76"/>
      <c r="AA104" s="76"/>
    </row>
    <row r="105" spans="1:27" ht="15.75" customHeigh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7"/>
      <c r="P105" s="77"/>
      <c r="Q105" s="77"/>
      <c r="R105" s="37"/>
      <c r="S105" s="37"/>
      <c r="T105" s="76"/>
      <c r="U105" s="76"/>
      <c r="V105" s="76"/>
      <c r="W105" s="76"/>
      <c r="X105" s="76"/>
      <c r="Y105" s="76"/>
      <c r="Z105" s="76"/>
      <c r="AA105" s="76"/>
    </row>
    <row r="106" spans="1:27" ht="15.75" customHeight="1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7"/>
      <c r="P106" s="77"/>
      <c r="Q106" s="77"/>
      <c r="R106" s="37"/>
      <c r="S106" s="37"/>
      <c r="T106" s="76"/>
      <c r="U106" s="76"/>
      <c r="V106" s="76"/>
      <c r="W106" s="76"/>
      <c r="X106" s="76"/>
      <c r="Y106" s="76"/>
      <c r="Z106" s="76"/>
      <c r="AA106" s="76"/>
    </row>
    <row r="107" spans="1:27" ht="15.75" customHeight="1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7"/>
      <c r="P107" s="77"/>
      <c r="Q107" s="77"/>
      <c r="R107" s="37"/>
      <c r="S107" s="37"/>
      <c r="T107" s="76"/>
      <c r="U107" s="76"/>
      <c r="V107" s="76"/>
      <c r="W107" s="76"/>
      <c r="X107" s="76"/>
      <c r="Y107" s="76"/>
      <c r="Z107" s="76"/>
      <c r="AA107" s="76"/>
    </row>
    <row r="108" spans="1:27" ht="15.75" customHeight="1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7"/>
      <c r="P108" s="77"/>
      <c r="Q108" s="77"/>
      <c r="R108" s="37"/>
      <c r="S108" s="37"/>
      <c r="T108" s="76"/>
      <c r="U108" s="76"/>
      <c r="V108" s="76"/>
      <c r="W108" s="76"/>
      <c r="X108" s="76"/>
      <c r="Y108" s="76"/>
      <c r="Z108" s="76"/>
      <c r="AA108" s="76"/>
    </row>
    <row r="109" spans="1:27" ht="15.75" customHeight="1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7"/>
      <c r="P109" s="77"/>
      <c r="Q109" s="77"/>
      <c r="R109" s="37"/>
      <c r="S109" s="37"/>
      <c r="T109" s="76"/>
      <c r="U109" s="76"/>
      <c r="V109" s="76"/>
      <c r="W109" s="76"/>
      <c r="X109" s="76"/>
      <c r="Y109" s="76"/>
      <c r="Z109" s="76"/>
      <c r="AA109" s="76"/>
    </row>
    <row r="110" spans="1:27" ht="15.75" customHeight="1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7"/>
      <c r="P110" s="77"/>
      <c r="Q110" s="77"/>
      <c r="R110" s="37"/>
      <c r="S110" s="37"/>
      <c r="T110" s="76"/>
      <c r="U110" s="76"/>
      <c r="V110" s="76"/>
      <c r="W110" s="76"/>
      <c r="X110" s="76"/>
      <c r="Y110" s="76"/>
      <c r="Z110" s="76"/>
      <c r="AA110" s="76"/>
    </row>
    <row r="111" spans="1:27" ht="15.75" customHeight="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7"/>
      <c r="P111" s="77"/>
      <c r="Q111" s="77"/>
      <c r="R111" s="37"/>
      <c r="S111" s="37"/>
      <c r="T111" s="76"/>
      <c r="U111" s="76"/>
      <c r="V111" s="76"/>
      <c r="W111" s="76"/>
      <c r="X111" s="76"/>
      <c r="Y111" s="76"/>
      <c r="Z111" s="76"/>
      <c r="AA111" s="76"/>
    </row>
    <row r="112" spans="1:27" ht="15.75" customHeight="1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7"/>
      <c r="P112" s="77"/>
      <c r="Q112" s="77"/>
      <c r="R112" s="37"/>
      <c r="S112" s="37"/>
      <c r="T112" s="76"/>
      <c r="U112" s="76"/>
      <c r="V112" s="76"/>
      <c r="W112" s="76"/>
      <c r="X112" s="76"/>
      <c r="Y112" s="76"/>
      <c r="Z112" s="76"/>
      <c r="AA112" s="76"/>
    </row>
    <row r="113" spans="1:27" ht="15.75" customHeigh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7"/>
      <c r="P113" s="77"/>
      <c r="Q113" s="77"/>
      <c r="R113" s="37"/>
      <c r="S113" s="37"/>
      <c r="T113" s="76"/>
      <c r="U113" s="76"/>
      <c r="V113" s="76"/>
      <c r="W113" s="76"/>
      <c r="X113" s="76"/>
      <c r="Y113" s="76"/>
      <c r="Z113" s="76"/>
      <c r="AA113" s="76"/>
    </row>
    <row r="114" spans="1:27" ht="15.75" customHeight="1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7"/>
      <c r="P114" s="77"/>
      <c r="Q114" s="77"/>
      <c r="R114" s="37"/>
      <c r="S114" s="37"/>
      <c r="T114" s="76"/>
      <c r="U114" s="76"/>
      <c r="V114" s="76"/>
      <c r="W114" s="76"/>
      <c r="X114" s="76"/>
      <c r="Y114" s="76"/>
      <c r="Z114" s="76"/>
      <c r="AA114" s="76"/>
    </row>
    <row r="115" spans="1:27" ht="15.75" customHeight="1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7"/>
      <c r="P115" s="77"/>
      <c r="Q115" s="77"/>
      <c r="R115" s="37"/>
      <c r="S115" s="37"/>
      <c r="T115" s="76"/>
      <c r="U115" s="76"/>
      <c r="V115" s="76"/>
      <c r="W115" s="76"/>
      <c r="X115" s="76"/>
      <c r="Y115" s="76"/>
      <c r="Z115" s="76"/>
      <c r="AA115" s="76"/>
    </row>
    <row r="116" spans="1:27" ht="15.75" customHeight="1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7"/>
      <c r="P116" s="77"/>
      <c r="Q116" s="77"/>
      <c r="R116" s="37"/>
      <c r="S116" s="37"/>
      <c r="T116" s="76"/>
      <c r="U116" s="76"/>
      <c r="V116" s="76"/>
      <c r="W116" s="76"/>
      <c r="X116" s="76"/>
      <c r="Y116" s="76"/>
      <c r="Z116" s="76"/>
      <c r="AA116" s="76"/>
    </row>
    <row r="117" spans="1:27" ht="15.75" customHeight="1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7"/>
      <c r="P117" s="77"/>
      <c r="Q117" s="77"/>
      <c r="R117" s="37"/>
      <c r="S117" s="37"/>
      <c r="T117" s="76"/>
      <c r="U117" s="76"/>
      <c r="V117" s="76"/>
      <c r="W117" s="76"/>
      <c r="X117" s="76"/>
      <c r="Y117" s="76"/>
      <c r="Z117" s="76"/>
      <c r="AA117" s="76"/>
    </row>
    <row r="118" spans="1:27" ht="15.75" customHeight="1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7"/>
      <c r="P118" s="77"/>
      <c r="Q118" s="77"/>
      <c r="R118" s="37"/>
      <c r="S118" s="37"/>
      <c r="T118" s="76"/>
      <c r="U118" s="76"/>
      <c r="V118" s="76"/>
      <c r="W118" s="76"/>
      <c r="X118" s="76"/>
      <c r="Y118" s="76"/>
      <c r="Z118" s="76"/>
      <c r="AA118" s="76"/>
    </row>
    <row r="119" spans="1:27" ht="15.75" customHeight="1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7"/>
      <c r="P119" s="77"/>
      <c r="Q119" s="77"/>
      <c r="R119" s="37"/>
      <c r="S119" s="37"/>
      <c r="T119" s="76"/>
      <c r="U119" s="76"/>
      <c r="V119" s="76"/>
      <c r="W119" s="76"/>
      <c r="X119" s="76"/>
      <c r="Y119" s="76"/>
      <c r="Z119" s="76"/>
      <c r="AA119" s="76"/>
    </row>
    <row r="120" spans="1:27" ht="15.75" customHeight="1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7"/>
      <c r="P120" s="77"/>
      <c r="Q120" s="77"/>
      <c r="R120" s="37"/>
      <c r="S120" s="37"/>
      <c r="T120" s="76"/>
      <c r="U120" s="76"/>
      <c r="V120" s="76"/>
      <c r="W120" s="76"/>
      <c r="X120" s="76"/>
      <c r="Y120" s="76"/>
      <c r="Z120" s="76"/>
      <c r="AA120" s="76"/>
    </row>
    <row r="121" spans="1:27" ht="15.75" customHeigh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7"/>
      <c r="P121" s="77"/>
      <c r="Q121" s="77"/>
      <c r="R121" s="37"/>
      <c r="S121" s="37"/>
      <c r="T121" s="76"/>
      <c r="U121" s="76"/>
      <c r="V121" s="76"/>
      <c r="W121" s="76"/>
      <c r="X121" s="76"/>
      <c r="Y121" s="76"/>
      <c r="Z121" s="76"/>
      <c r="AA121" s="76"/>
    </row>
    <row r="122" spans="1:27" ht="15.75" customHeight="1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7"/>
      <c r="P122" s="77"/>
      <c r="Q122" s="77"/>
      <c r="R122" s="37"/>
      <c r="S122" s="37"/>
      <c r="T122" s="76"/>
      <c r="U122" s="76"/>
      <c r="V122" s="76"/>
      <c r="W122" s="76"/>
      <c r="X122" s="76"/>
      <c r="Y122" s="76"/>
      <c r="Z122" s="76"/>
      <c r="AA122" s="76"/>
    </row>
    <row r="123" spans="1:27" ht="15.75" customHeight="1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7"/>
      <c r="P123" s="77"/>
      <c r="Q123" s="77"/>
      <c r="R123" s="37"/>
      <c r="S123" s="37"/>
      <c r="T123" s="76"/>
      <c r="U123" s="76"/>
      <c r="V123" s="76"/>
      <c r="W123" s="76"/>
      <c r="X123" s="76"/>
      <c r="Y123" s="76"/>
      <c r="Z123" s="76"/>
      <c r="AA123" s="76"/>
    </row>
    <row r="124" spans="1:27" ht="15.75" customHeight="1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7"/>
      <c r="P124" s="77"/>
      <c r="Q124" s="77"/>
      <c r="R124" s="37"/>
      <c r="S124" s="37"/>
      <c r="T124" s="76"/>
      <c r="U124" s="76"/>
      <c r="V124" s="76"/>
      <c r="W124" s="76"/>
      <c r="X124" s="76"/>
      <c r="Y124" s="76"/>
      <c r="Z124" s="76"/>
      <c r="AA124" s="76"/>
    </row>
    <row r="125" spans="1:27" ht="15.75" customHeight="1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7"/>
      <c r="P125" s="77"/>
      <c r="Q125" s="77"/>
      <c r="R125" s="37"/>
      <c r="S125" s="37"/>
      <c r="T125" s="76"/>
      <c r="U125" s="76"/>
      <c r="V125" s="76"/>
      <c r="W125" s="76"/>
      <c r="X125" s="76"/>
      <c r="Y125" s="76"/>
      <c r="Z125" s="76"/>
      <c r="AA125" s="76"/>
    </row>
    <row r="126" spans="1:27" ht="15.75" customHeight="1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7"/>
      <c r="P126" s="77"/>
      <c r="Q126" s="77"/>
      <c r="R126" s="37"/>
      <c r="S126" s="37"/>
      <c r="T126" s="76"/>
      <c r="U126" s="76"/>
      <c r="V126" s="76"/>
      <c r="W126" s="76"/>
      <c r="X126" s="76"/>
      <c r="Y126" s="76"/>
      <c r="Z126" s="76"/>
      <c r="AA126" s="76"/>
    </row>
    <row r="127" spans="1:27" ht="15.75" customHeight="1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7"/>
      <c r="P127" s="77"/>
      <c r="Q127" s="77"/>
      <c r="R127" s="37"/>
      <c r="S127" s="37"/>
      <c r="T127" s="76"/>
      <c r="U127" s="76"/>
      <c r="V127" s="76"/>
      <c r="W127" s="76"/>
      <c r="X127" s="76"/>
      <c r="Y127" s="76"/>
      <c r="Z127" s="76"/>
      <c r="AA127" s="76"/>
    </row>
    <row r="128" spans="1:27" ht="15.75" customHeight="1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7"/>
      <c r="P128" s="77"/>
      <c r="Q128" s="77"/>
      <c r="R128" s="37"/>
      <c r="S128" s="37"/>
      <c r="T128" s="76"/>
      <c r="U128" s="76"/>
      <c r="V128" s="76"/>
      <c r="W128" s="76"/>
      <c r="X128" s="76"/>
      <c r="Y128" s="76"/>
      <c r="Z128" s="76"/>
      <c r="AA128" s="76"/>
    </row>
    <row r="129" spans="1:27" ht="15.75" customHeigh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7"/>
      <c r="P129" s="77"/>
      <c r="Q129" s="77"/>
      <c r="R129" s="37"/>
      <c r="S129" s="37"/>
      <c r="T129" s="76"/>
      <c r="U129" s="76"/>
      <c r="V129" s="76"/>
      <c r="W129" s="76"/>
      <c r="X129" s="76"/>
      <c r="Y129" s="76"/>
      <c r="Z129" s="76"/>
      <c r="AA129" s="76"/>
    </row>
    <row r="130" spans="1:27" ht="15.75" customHeight="1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7"/>
      <c r="P130" s="77"/>
      <c r="Q130" s="77"/>
      <c r="R130" s="37"/>
      <c r="S130" s="37"/>
      <c r="T130" s="76"/>
      <c r="U130" s="76"/>
      <c r="V130" s="76"/>
      <c r="W130" s="76"/>
      <c r="X130" s="76"/>
      <c r="Y130" s="76"/>
      <c r="Z130" s="76"/>
      <c r="AA130" s="76"/>
    </row>
    <row r="131" spans="1:27" ht="15.75" customHeight="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7"/>
      <c r="P131" s="77"/>
      <c r="Q131" s="77"/>
      <c r="R131" s="37"/>
      <c r="S131" s="37"/>
      <c r="T131" s="76"/>
      <c r="U131" s="76"/>
      <c r="V131" s="76"/>
      <c r="W131" s="76"/>
      <c r="X131" s="76"/>
      <c r="Y131" s="76"/>
      <c r="Z131" s="76"/>
      <c r="AA131" s="76"/>
    </row>
    <row r="132" spans="1:27" ht="15.75" customHeight="1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7"/>
      <c r="P132" s="77"/>
      <c r="Q132" s="77"/>
      <c r="R132" s="37"/>
      <c r="S132" s="37"/>
      <c r="T132" s="76"/>
      <c r="U132" s="76"/>
      <c r="V132" s="76"/>
      <c r="W132" s="76"/>
      <c r="X132" s="76"/>
      <c r="Y132" s="76"/>
      <c r="Z132" s="76"/>
      <c r="AA132" s="76"/>
    </row>
    <row r="133" spans="1:27" ht="15.75" customHeight="1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7"/>
      <c r="P133" s="77"/>
      <c r="Q133" s="77"/>
      <c r="R133" s="37"/>
      <c r="S133" s="37"/>
      <c r="T133" s="76"/>
      <c r="U133" s="76"/>
      <c r="V133" s="76"/>
      <c r="W133" s="76"/>
      <c r="X133" s="76"/>
      <c r="Y133" s="76"/>
      <c r="Z133" s="76"/>
      <c r="AA133" s="76"/>
    </row>
    <row r="134" spans="1:27" ht="15.75" customHeight="1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7"/>
      <c r="P134" s="77"/>
      <c r="Q134" s="77"/>
      <c r="R134" s="37"/>
      <c r="S134" s="37"/>
      <c r="T134" s="76"/>
      <c r="U134" s="76"/>
      <c r="V134" s="76"/>
      <c r="W134" s="76"/>
      <c r="X134" s="76"/>
      <c r="Y134" s="76"/>
      <c r="Z134" s="76"/>
      <c r="AA134" s="76"/>
    </row>
    <row r="135" spans="1:27" ht="15.75" customHeight="1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7"/>
      <c r="P135" s="77"/>
      <c r="Q135" s="77"/>
      <c r="R135" s="37"/>
      <c r="S135" s="37"/>
      <c r="T135" s="76"/>
      <c r="U135" s="76"/>
      <c r="V135" s="76"/>
      <c r="W135" s="76"/>
      <c r="X135" s="76"/>
      <c r="Y135" s="76"/>
      <c r="Z135" s="76"/>
      <c r="AA135" s="76"/>
    </row>
    <row r="136" spans="1:27" ht="15.75" customHeight="1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7"/>
      <c r="P136" s="77"/>
      <c r="Q136" s="77"/>
      <c r="R136" s="37"/>
      <c r="S136" s="37"/>
      <c r="T136" s="76"/>
      <c r="U136" s="76"/>
      <c r="V136" s="76"/>
      <c r="W136" s="76"/>
      <c r="X136" s="76"/>
      <c r="Y136" s="76"/>
      <c r="Z136" s="76"/>
      <c r="AA136" s="76"/>
    </row>
    <row r="137" spans="1:27" ht="15.75" customHeigh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7"/>
      <c r="P137" s="77"/>
      <c r="Q137" s="77"/>
      <c r="R137" s="37"/>
      <c r="S137" s="37"/>
      <c r="T137" s="76"/>
      <c r="U137" s="76"/>
      <c r="V137" s="76"/>
      <c r="W137" s="76"/>
      <c r="X137" s="76"/>
      <c r="Y137" s="76"/>
      <c r="Z137" s="76"/>
      <c r="AA137" s="76"/>
    </row>
    <row r="138" spans="1:27" ht="15.75" customHeight="1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7"/>
      <c r="P138" s="77"/>
      <c r="Q138" s="77"/>
      <c r="R138" s="37"/>
      <c r="S138" s="37"/>
      <c r="T138" s="76"/>
      <c r="U138" s="76"/>
      <c r="V138" s="76"/>
      <c r="W138" s="76"/>
      <c r="X138" s="76"/>
      <c r="Y138" s="76"/>
      <c r="Z138" s="76"/>
      <c r="AA138" s="76"/>
    </row>
    <row r="139" spans="1:27" ht="15.75" customHeight="1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7"/>
      <c r="P139" s="77"/>
      <c r="Q139" s="77"/>
      <c r="R139" s="37"/>
      <c r="S139" s="37"/>
      <c r="T139" s="76"/>
      <c r="U139" s="76"/>
      <c r="V139" s="76"/>
      <c r="W139" s="76"/>
      <c r="X139" s="76"/>
      <c r="Y139" s="76"/>
      <c r="Z139" s="76"/>
      <c r="AA139" s="76"/>
    </row>
    <row r="140" spans="1:27" ht="15.75" customHeight="1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7"/>
      <c r="P140" s="77"/>
      <c r="Q140" s="77"/>
      <c r="R140" s="37"/>
      <c r="S140" s="37"/>
      <c r="T140" s="76"/>
      <c r="U140" s="76"/>
      <c r="V140" s="76"/>
      <c r="W140" s="76"/>
      <c r="X140" s="76"/>
      <c r="Y140" s="76"/>
      <c r="Z140" s="76"/>
      <c r="AA140" s="76"/>
    </row>
    <row r="141" spans="1:27" ht="15.75" customHeight="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7"/>
      <c r="P141" s="77"/>
      <c r="Q141" s="77"/>
      <c r="R141" s="37"/>
      <c r="S141" s="37"/>
      <c r="T141" s="76"/>
      <c r="U141" s="76"/>
      <c r="V141" s="76"/>
      <c r="W141" s="76"/>
      <c r="X141" s="76"/>
      <c r="Y141" s="76"/>
      <c r="Z141" s="76"/>
      <c r="AA141" s="76"/>
    </row>
    <row r="142" spans="1:27" ht="15.75" customHeight="1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7"/>
      <c r="P142" s="77"/>
      <c r="Q142" s="77"/>
      <c r="R142" s="37"/>
      <c r="S142" s="37"/>
      <c r="T142" s="76"/>
      <c r="U142" s="76"/>
      <c r="V142" s="76"/>
      <c r="W142" s="76"/>
      <c r="X142" s="76"/>
      <c r="Y142" s="76"/>
      <c r="Z142" s="76"/>
      <c r="AA142" s="76"/>
    </row>
    <row r="143" spans="1:27" ht="15.75" customHeight="1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7"/>
      <c r="P143" s="77"/>
      <c r="Q143" s="77"/>
      <c r="R143" s="37"/>
      <c r="S143" s="37"/>
      <c r="T143" s="76"/>
      <c r="U143" s="76"/>
      <c r="V143" s="76"/>
      <c r="W143" s="76"/>
      <c r="X143" s="76"/>
      <c r="Y143" s="76"/>
      <c r="Z143" s="76"/>
      <c r="AA143" s="76"/>
    </row>
    <row r="144" spans="1:27" ht="15.75" customHeight="1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7"/>
      <c r="P144" s="77"/>
      <c r="Q144" s="77"/>
      <c r="R144" s="37"/>
      <c r="S144" s="37"/>
      <c r="T144" s="76"/>
      <c r="U144" s="76"/>
      <c r="V144" s="76"/>
      <c r="W144" s="76"/>
      <c r="X144" s="76"/>
      <c r="Y144" s="76"/>
      <c r="Z144" s="76"/>
      <c r="AA144" s="76"/>
    </row>
    <row r="145" spans="1:27" ht="15.75" customHeigh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7"/>
      <c r="P145" s="77"/>
      <c r="Q145" s="77"/>
      <c r="R145" s="37"/>
      <c r="S145" s="37"/>
      <c r="T145" s="76"/>
      <c r="U145" s="76"/>
      <c r="V145" s="76"/>
      <c r="W145" s="76"/>
      <c r="X145" s="76"/>
      <c r="Y145" s="76"/>
      <c r="Z145" s="76"/>
      <c r="AA145" s="76"/>
    </row>
    <row r="146" spans="1:27" ht="15.75" customHeight="1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7"/>
      <c r="P146" s="77"/>
      <c r="Q146" s="77"/>
      <c r="R146" s="37"/>
      <c r="S146" s="37"/>
      <c r="T146" s="76"/>
      <c r="U146" s="76"/>
      <c r="V146" s="76"/>
      <c r="W146" s="76"/>
      <c r="X146" s="76"/>
      <c r="Y146" s="76"/>
      <c r="Z146" s="76"/>
      <c r="AA146" s="76"/>
    </row>
    <row r="147" spans="1:27" ht="15.75" customHeight="1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7"/>
      <c r="P147" s="77"/>
      <c r="Q147" s="77"/>
      <c r="R147" s="37"/>
      <c r="S147" s="37"/>
      <c r="T147" s="76"/>
      <c r="U147" s="76"/>
      <c r="V147" s="76"/>
      <c r="W147" s="76"/>
      <c r="X147" s="76"/>
      <c r="Y147" s="76"/>
      <c r="Z147" s="76"/>
      <c r="AA147" s="76"/>
    </row>
    <row r="148" spans="1:27" ht="15.75" customHeight="1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7"/>
      <c r="P148" s="77"/>
      <c r="Q148" s="77"/>
      <c r="R148" s="37"/>
      <c r="S148" s="37"/>
      <c r="T148" s="76"/>
      <c r="U148" s="76"/>
      <c r="V148" s="76"/>
      <c r="W148" s="76"/>
      <c r="X148" s="76"/>
      <c r="Y148" s="76"/>
      <c r="Z148" s="76"/>
      <c r="AA148" s="76"/>
    </row>
    <row r="149" spans="1:27" ht="15.75" customHeight="1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7"/>
      <c r="P149" s="77"/>
      <c r="Q149" s="77"/>
      <c r="R149" s="37"/>
      <c r="S149" s="37"/>
      <c r="T149" s="76"/>
      <c r="U149" s="76"/>
      <c r="V149" s="76"/>
      <c r="W149" s="76"/>
      <c r="X149" s="76"/>
      <c r="Y149" s="76"/>
      <c r="Z149" s="76"/>
      <c r="AA149" s="76"/>
    </row>
    <row r="150" spans="1:27" ht="15.75" customHeight="1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7"/>
      <c r="P150" s="77"/>
      <c r="Q150" s="77"/>
      <c r="R150" s="37"/>
      <c r="S150" s="37"/>
      <c r="T150" s="76"/>
      <c r="U150" s="76"/>
      <c r="V150" s="76"/>
      <c r="W150" s="76"/>
      <c r="X150" s="76"/>
      <c r="Y150" s="76"/>
      <c r="Z150" s="76"/>
      <c r="AA150" s="76"/>
    </row>
    <row r="151" spans="1:27" ht="15.75" customHeight="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7"/>
      <c r="P151" s="77"/>
      <c r="Q151" s="77"/>
      <c r="R151" s="37"/>
      <c r="S151" s="37"/>
      <c r="T151" s="76"/>
      <c r="U151" s="76"/>
      <c r="V151" s="76"/>
      <c r="W151" s="76"/>
      <c r="X151" s="76"/>
      <c r="Y151" s="76"/>
      <c r="Z151" s="76"/>
      <c r="AA151" s="76"/>
    </row>
    <row r="152" spans="1:27" ht="15.75" customHeight="1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7"/>
      <c r="P152" s="77"/>
      <c r="Q152" s="77"/>
      <c r="R152" s="37"/>
      <c r="S152" s="37"/>
      <c r="T152" s="76"/>
      <c r="U152" s="76"/>
      <c r="V152" s="76"/>
      <c r="W152" s="76"/>
      <c r="X152" s="76"/>
      <c r="Y152" s="76"/>
      <c r="Z152" s="76"/>
      <c r="AA152" s="76"/>
    </row>
    <row r="153" spans="1:27" ht="15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7"/>
      <c r="P153" s="77"/>
      <c r="Q153" s="77"/>
      <c r="R153" s="37"/>
      <c r="S153" s="37"/>
      <c r="T153" s="76"/>
      <c r="U153" s="76"/>
      <c r="V153" s="76"/>
      <c r="W153" s="76"/>
      <c r="X153" s="76"/>
      <c r="Y153" s="76"/>
      <c r="Z153" s="76"/>
      <c r="AA153" s="76"/>
    </row>
    <row r="154" spans="1:27" ht="15.75" customHeight="1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7"/>
      <c r="P154" s="77"/>
      <c r="Q154" s="77"/>
      <c r="R154" s="37"/>
      <c r="S154" s="37"/>
      <c r="T154" s="76"/>
      <c r="U154" s="76"/>
      <c r="V154" s="76"/>
      <c r="W154" s="76"/>
      <c r="X154" s="76"/>
      <c r="Y154" s="76"/>
      <c r="Z154" s="76"/>
      <c r="AA154" s="76"/>
    </row>
    <row r="155" spans="1:27" ht="15.75" customHeight="1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7"/>
      <c r="P155" s="77"/>
      <c r="Q155" s="77"/>
      <c r="R155" s="37"/>
      <c r="S155" s="37"/>
      <c r="T155" s="76"/>
      <c r="U155" s="76"/>
      <c r="V155" s="76"/>
      <c r="W155" s="76"/>
      <c r="X155" s="76"/>
      <c r="Y155" s="76"/>
      <c r="Z155" s="76"/>
      <c r="AA155" s="76"/>
    </row>
    <row r="156" spans="1:27" ht="15.75" customHeight="1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7"/>
      <c r="P156" s="77"/>
      <c r="Q156" s="77"/>
      <c r="R156" s="37"/>
      <c r="S156" s="37"/>
      <c r="T156" s="76"/>
      <c r="U156" s="76"/>
      <c r="V156" s="76"/>
      <c r="W156" s="76"/>
      <c r="X156" s="76"/>
      <c r="Y156" s="76"/>
      <c r="Z156" s="76"/>
      <c r="AA156" s="76"/>
    </row>
    <row r="157" spans="1:27" ht="15.75" customHeight="1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7"/>
      <c r="P157" s="77"/>
      <c r="Q157" s="77"/>
      <c r="R157" s="37"/>
      <c r="S157" s="37"/>
      <c r="T157" s="76"/>
      <c r="U157" s="76"/>
      <c r="V157" s="76"/>
      <c r="W157" s="76"/>
      <c r="X157" s="76"/>
      <c r="Y157" s="76"/>
      <c r="Z157" s="76"/>
      <c r="AA157" s="76"/>
    </row>
    <row r="158" spans="1:27" ht="15.75" customHeight="1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7"/>
      <c r="P158" s="77"/>
      <c r="Q158" s="77"/>
      <c r="R158" s="37"/>
      <c r="S158" s="37"/>
      <c r="T158" s="76"/>
      <c r="U158" s="76"/>
      <c r="V158" s="76"/>
      <c r="W158" s="76"/>
      <c r="X158" s="76"/>
      <c r="Y158" s="76"/>
      <c r="Z158" s="76"/>
      <c r="AA158" s="76"/>
    </row>
    <row r="159" spans="1:27" ht="15.75" customHeight="1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7"/>
      <c r="P159" s="77"/>
      <c r="Q159" s="77"/>
      <c r="R159" s="37"/>
      <c r="S159" s="37"/>
      <c r="T159" s="76"/>
      <c r="U159" s="76"/>
      <c r="V159" s="76"/>
      <c r="W159" s="76"/>
      <c r="X159" s="76"/>
      <c r="Y159" s="76"/>
      <c r="Z159" s="76"/>
      <c r="AA159" s="76"/>
    </row>
    <row r="160" spans="1:27" ht="15.75" customHeight="1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7"/>
      <c r="P160" s="77"/>
      <c r="Q160" s="77"/>
      <c r="R160" s="37"/>
      <c r="S160" s="37"/>
      <c r="T160" s="76"/>
      <c r="U160" s="76"/>
      <c r="V160" s="76"/>
      <c r="W160" s="76"/>
      <c r="X160" s="76"/>
      <c r="Y160" s="76"/>
      <c r="Z160" s="76"/>
      <c r="AA160" s="76"/>
    </row>
    <row r="161" spans="1:27" ht="15.75" customHeigh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7"/>
      <c r="P161" s="77"/>
      <c r="Q161" s="77"/>
      <c r="R161" s="37"/>
      <c r="S161" s="37"/>
      <c r="T161" s="76"/>
      <c r="U161" s="76"/>
      <c r="V161" s="76"/>
      <c r="W161" s="76"/>
      <c r="X161" s="76"/>
      <c r="Y161" s="76"/>
      <c r="Z161" s="76"/>
      <c r="AA161" s="76"/>
    </row>
    <row r="162" spans="1:27" ht="15.75" customHeight="1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7"/>
      <c r="P162" s="77"/>
      <c r="Q162" s="77"/>
      <c r="R162" s="37"/>
      <c r="S162" s="37"/>
      <c r="T162" s="76"/>
      <c r="U162" s="76"/>
      <c r="V162" s="76"/>
      <c r="W162" s="76"/>
      <c r="X162" s="76"/>
      <c r="Y162" s="76"/>
      <c r="Z162" s="76"/>
      <c r="AA162" s="76"/>
    </row>
    <row r="163" spans="1:27" ht="15.75" customHeight="1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7"/>
      <c r="P163" s="77"/>
      <c r="Q163" s="77"/>
      <c r="R163" s="37"/>
      <c r="S163" s="37"/>
      <c r="T163" s="76"/>
      <c r="U163" s="76"/>
      <c r="V163" s="76"/>
      <c r="W163" s="76"/>
      <c r="X163" s="76"/>
      <c r="Y163" s="76"/>
      <c r="Z163" s="76"/>
      <c r="AA163" s="76"/>
    </row>
    <row r="164" spans="1:27" ht="15.75" customHeight="1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7"/>
      <c r="P164" s="77"/>
      <c r="Q164" s="77"/>
      <c r="R164" s="37"/>
      <c r="S164" s="37"/>
      <c r="T164" s="76"/>
      <c r="U164" s="76"/>
      <c r="V164" s="76"/>
      <c r="W164" s="76"/>
      <c r="X164" s="76"/>
      <c r="Y164" s="76"/>
      <c r="Z164" s="76"/>
      <c r="AA164" s="76"/>
    </row>
    <row r="165" spans="1:27" ht="15.75" customHeight="1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7"/>
      <c r="P165" s="77"/>
      <c r="Q165" s="77"/>
      <c r="R165" s="37"/>
      <c r="S165" s="37"/>
      <c r="T165" s="76"/>
      <c r="U165" s="76"/>
      <c r="V165" s="76"/>
      <c r="W165" s="76"/>
      <c r="X165" s="76"/>
      <c r="Y165" s="76"/>
      <c r="Z165" s="76"/>
      <c r="AA165" s="76"/>
    </row>
    <row r="166" spans="1:27" ht="15.75" customHeight="1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7"/>
      <c r="P166" s="77"/>
      <c r="Q166" s="77"/>
      <c r="R166" s="37"/>
      <c r="S166" s="37"/>
      <c r="T166" s="76"/>
      <c r="U166" s="76"/>
      <c r="V166" s="76"/>
      <c r="W166" s="76"/>
      <c r="X166" s="76"/>
      <c r="Y166" s="76"/>
      <c r="Z166" s="76"/>
      <c r="AA166" s="76"/>
    </row>
    <row r="167" spans="1:27" ht="15.75" customHeight="1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7"/>
      <c r="P167" s="77"/>
      <c r="Q167" s="77"/>
      <c r="R167" s="37"/>
      <c r="S167" s="37"/>
      <c r="T167" s="76"/>
      <c r="U167" s="76"/>
      <c r="V167" s="76"/>
      <c r="W167" s="76"/>
      <c r="X167" s="76"/>
      <c r="Y167" s="76"/>
      <c r="Z167" s="76"/>
      <c r="AA167" s="76"/>
    </row>
    <row r="168" spans="1:27" ht="15.75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7"/>
      <c r="P168" s="77"/>
      <c r="Q168" s="77"/>
      <c r="R168" s="37"/>
      <c r="S168" s="37"/>
      <c r="T168" s="76"/>
      <c r="U168" s="76"/>
      <c r="V168" s="76"/>
      <c r="W168" s="76"/>
      <c r="X168" s="76"/>
      <c r="Y168" s="76"/>
      <c r="Z168" s="76"/>
      <c r="AA168" s="76"/>
    </row>
    <row r="169" spans="1:27" ht="15.75" customHeigh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7"/>
      <c r="P169" s="77"/>
      <c r="Q169" s="77"/>
      <c r="R169" s="37"/>
      <c r="S169" s="37"/>
      <c r="T169" s="76"/>
      <c r="U169" s="76"/>
      <c r="V169" s="76"/>
      <c r="W169" s="76"/>
      <c r="X169" s="76"/>
      <c r="Y169" s="76"/>
      <c r="Z169" s="76"/>
      <c r="AA169" s="76"/>
    </row>
    <row r="170" spans="1:27" ht="15.75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7"/>
      <c r="P170" s="77"/>
      <c r="Q170" s="77"/>
      <c r="R170" s="37"/>
      <c r="S170" s="37"/>
      <c r="T170" s="76"/>
      <c r="U170" s="76"/>
      <c r="V170" s="76"/>
      <c r="W170" s="76"/>
      <c r="X170" s="76"/>
      <c r="Y170" s="76"/>
      <c r="Z170" s="76"/>
      <c r="AA170" s="76"/>
    </row>
    <row r="171" spans="1:27" ht="15.75" customHeight="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7"/>
      <c r="P171" s="77"/>
      <c r="Q171" s="77"/>
      <c r="R171" s="37"/>
      <c r="S171" s="37"/>
      <c r="T171" s="76"/>
      <c r="U171" s="76"/>
      <c r="V171" s="76"/>
      <c r="W171" s="76"/>
      <c r="X171" s="76"/>
      <c r="Y171" s="76"/>
      <c r="Z171" s="76"/>
      <c r="AA171" s="76"/>
    </row>
    <row r="172" spans="1:27" ht="15.75" customHeight="1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7"/>
      <c r="P172" s="77"/>
      <c r="Q172" s="77"/>
      <c r="R172" s="37"/>
      <c r="S172" s="37"/>
      <c r="T172" s="76"/>
      <c r="U172" s="76"/>
      <c r="V172" s="76"/>
      <c r="W172" s="76"/>
      <c r="X172" s="76"/>
      <c r="Y172" s="76"/>
      <c r="Z172" s="76"/>
      <c r="AA172" s="76"/>
    </row>
    <row r="173" spans="1:27" ht="15.75" customHeight="1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7"/>
      <c r="P173" s="77"/>
      <c r="Q173" s="77"/>
      <c r="R173" s="37"/>
      <c r="S173" s="37"/>
      <c r="T173" s="76"/>
      <c r="U173" s="76"/>
      <c r="V173" s="76"/>
      <c r="W173" s="76"/>
      <c r="X173" s="76"/>
      <c r="Y173" s="76"/>
      <c r="Z173" s="76"/>
      <c r="AA173" s="76"/>
    </row>
    <row r="174" spans="1:27" ht="15.75" customHeight="1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7"/>
      <c r="P174" s="77"/>
      <c r="Q174" s="77"/>
      <c r="R174" s="37"/>
      <c r="S174" s="37"/>
      <c r="T174" s="76"/>
      <c r="U174" s="76"/>
      <c r="V174" s="76"/>
      <c r="W174" s="76"/>
      <c r="X174" s="76"/>
      <c r="Y174" s="76"/>
      <c r="Z174" s="76"/>
      <c r="AA174" s="76"/>
    </row>
    <row r="175" spans="1:27" ht="15.75" customHeight="1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7"/>
      <c r="P175" s="77"/>
      <c r="Q175" s="77"/>
      <c r="R175" s="37"/>
      <c r="S175" s="37"/>
      <c r="T175" s="76"/>
      <c r="U175" s="76"/>
      <c r="V175" s="76"/>
      <c r="W175" s="76"/>
      <c r="X175" s="76"/>
      <c r="Y175" s="76"/>
      <c r="Z175" s="76"/>
      <c r="AA175" s="76"/>
    </row>
    <row r="176" spans="1:27" ht="15.75" customHeight="1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7"/>
      <c r="P176" s="77"/>
      <c r="Q176" s="77"/>
      <c r="R176" s="37"/>
      <c r="S176" s="37"/>
      <c r="T176" s="76"/>
      <c r="U176" s="76"/>
      <c r="V176" s="76"/>
      <c r="W176" s="76"/>
      <c r="X176" s="76"/>
      <c r="Y176" s="76"/>
      <c r="Z176" s="76"/>
      <c r="AA176" s="76"/>
    </row>
    <row r="177" spans="1:27" ht="15.75" customHeight="1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7"/>
      <c r="P177" s="77"/>
      <c r="Q177" s="77"/>
      <c r="R177" s="37"/>
      <c r="S177" s="37"/>
      <c r="T177" s="76"/>
      <c r="U177" s="76"/>
      <c r="V177" s="76"/>
      <c r="W177" s="76"/>
      <c r="X177" s="76"/>
      <c r="Y177" s="76"/>
      <c r="Z177" s="76"/>
      <c r="AA177" s="76"/>
    </row>
    <row r="178" spans="1:27" ht="15.75" customHeight="1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7"/>
      <c r="P178" s="77"/>
      <c r="Q178" s="77"/>
      <c r="R178" s="37"/>
      <c r="S178" s="37"/>
      <c r="T178" s="76"/>
      <c r="U178" s="76"/>
      <c r="V178" s="76"/>
      <c r="W178" s="76"/>
      <c r="X178" s="76"/>
      <c r="Y178" s="76"/>
      <c r="Z178" s="76"/>
      <c r="AA178" s="76"/>
    </row>
    <row r="179" spans="1:27" ht="15.75" customHeight="1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7"/>
      <c r="P179" s="77"/>
      <c r="Q179" s="77"/>
      <c r="R179" s="37"/>
      <c r="S179" s="37"/>
      <c r="T179" s="76"/>
      <c r="U179" s="76"/>
      <c r="V179" s="76"/>
      <c r="W179" s="76"/>
      <c r="X179" s="76"/>
      <c r="Y179" s="76"/>
      <c r="Z179" s="76"/>
      <c r="AA179" s="76"/>
    </row>
    <row r="180" spans="1:27" ht="15.75" customHeight="1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7"/>
      <c r="P180" s="77"/>
      <c r="Q180" s="77"/>
      <c r="R180" s="37"/>
      <c r="S180" s="37"/>
      <c r="T180" s="76"/>
      <c r="U180" s="76"/>
      <c r="V180" s="76"/>
      <c r="W180" s="76"/>
      <c r="X180" s="76"/>
      <c r="Y180" s="76"/>
      <c r="Z180" s="76"/>
      <c r="AA180" s="76"/>
    </row>
    <row r="181" spans="1:27" ht="15.75" customHeight="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7"/>
      <c r="P181" s="77"/>
      <c r="Q181" s="77"/>
      <c r="R181" s="37"/>
      <c r="S181" s="37"/>
      <c r="T181" s="76"/>
      <c r="U181" s="76"/>
      <c r="V181" s="76"/>
      <c r="W181" s="76"/>
      <c r="X181" s="76"/>
      <c r="Y181" s="76"/>
      <c r="Z181" s="76"/>
      <c r="AA181" s="76"/>
    </row>
    <row r="182" spans="1:27" ht="15.75" customHeight="1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7"/>
      <c r="P182" s="77"/>
      <c r="Q182" s="77"/>
      <c r="R182" s="37"/>
      <c r="S182" s="37"/>
      <c r="T182" s="76"/>
      <c r="U182" s="76"/>
      <c r="V182" s="76"/>
      <c r="W182" s="76"/>
      <c r="X182" s="76"/>
      <c r="Y182" s="76"/>
      <c r="Z182" s="76"/>
      <c r="AA182" s="76"/>
    </row>
    <row r="183" spans="1:27" ht="15.75" customHeight="1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7"/>
      <c r="P183" s="77"/>
      <c r="Q183" s="77"/>
      <c r="R183" s="37"/>
      <c r="S183" s="37"/>
      <c r="T183" s="76"/>
      <c r="U183" s="76"/>
      <c r="V183" s="76"/>
      <c r="W183" s="76"/>
      <c r="X183" s="76"/>
      <c r="Y183" s="76"/>
      <c r="Z183" s="76"/>
      <c r="AA183" s="76"/>
    </row>
    <row r="184" spans="1:27" ht="15.75" customHeight="1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7"/>
      <c r="P184" s="77"/>
      <c r="Q184" s="77"/>
      <c r="R184" s="37"/>
      <c r="S184" s="37"/>
      <c r="T184" s="76"/>
      <c r="U184" s="76"/>
      <c r="V184" s="76"/>
      <c r="W184" s="76"/>
      <c r="X184" s="76"/>
      <c r="Y184" s="76"/>
      <c r="Z184" s="76"/>
      <c r="AA184" s="76"/>
    </row>
    <row r="185" spans="1:27" ht="15.75" customHeight="1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7"/>
      <c r="P185" s="77"/>
      <c r="Q185" s="77"/>
      <c r="R185" s="37"/>
      <c r="S185" s="37"/>
      <c r="T185" s="76"/>
      <c r="U185" s="76"/>
      <c r="V185" s="76"/>
      <c r="W185" s="76"/>
      <c r="X185" s="76"/>
      <c r="Y185" s="76"/>
      <c r="Z185" s="76"/>
      <c r="AA185" s="76"/>
    </row>
    <row r="186" spans="1:27" ht="15.75" customHeight="1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7"/>
      <c r="P186" s="77"/>
      <c r="Q186" s="77"/>
      <c r="R186" s="37"/>
      <c r="S186" s="37"/>
      <c r="T186" s="76"/>
      <c r="U186" s="76"/>
      <c r="V186" s="76"/>
      <c r="W186" s="76"/>
      <c r="X186" s="76"/>
      <c r="Y186" s="76"/>
      <c r="Z186" s="76"/>
      <c r="AA186" s="76"/>
    </row>
    <row r="187" spans="1:27" ht="15.75" customHeight="1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7"/>
      <c r="P187" s="77"/>
      <c r="Q187" s="77"/>
      <c r="R187" s="37"/>
      <c r="S187" s="37"/>
      <c r="T187" s="76"/>
      <c r="U187" s="76"/>
      <c r="V187" s="76"/>
      <c r="W187" s="76"/>
      <c r="X187" s="76"/>
      <c r="Y187" s="76"/>
      <c r="Z187" s="76"/>
      <c r="AA187" s="76"/>
    </row>
    <row r="188" spans="1:27" ht="15.75" customHeight="1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7"/>
      <c r="P188" s="77"/>
      <c r="Q188" s="77"/>
      <c r="R188" s="37"/>
      <c r="S188" s="37"/>
      <c r="T188" s="76"/>
      <c r="U188" s="76"/>
      <c r="V188" s="76"/>
      <c r="W188" s="76"/>
      <c r="X188" s="76"/>
      <c r="Y188" s="76"/>
      <c r="Z188" s="76"/>
      <c r="AA188" s="76"/>
    </row>
    <row r="189" spans="1:27" ht="15.75" customHeight="1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7"/>
      <c r="P189" s="77"/>
      <c r="Q189" s="77"/>
      <c r="R189" s="37"/>
      <c r="S189" s="37"/>
      <c r="T189" s="76"/>
      <c r="U189" s="76"/>
      <c r="V189" s="76"/>
      <c r="W189" s="76"/>
      <c r="X189" s="76"/>
      <c r="Y189" s="76"/>
      <c r="Z189" s="76"/>
      <c r="AA189" s="76"/>
    </row>
    <row r="190" spans="1:27" ht="15.75" customHeight="1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7"/>
      <c r="P190" s="77"/>
      <c r="Q190" s="77"/>
      <c r="R190" s="37"/>
      <c r="S190" s="37"/>
      <c r="T190" s="76"/>
      <c r="U190" s="76"/>
      <c r="V190" s="76"/>
      <c r="W190" s="76"/>
      <c r="X190" s="76"/>
      <c r="Y190" s="76"/>
      <c r="Z190" s="76"/>
      <c r="AA190" s="76"/>
    </row>
    <row r="191" spans="1:27" ht="15.75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7"/>
      <c r="P191" s="77"/>
      <c r="Q191" s="77"/>
      <c r="R191" s="37"/>
      <c r="S191" s="37"/>
      <c r="T191" s="76"/>
      <c r="U191" s="76"/>
      <c r="V191" s="76"/>
      <c r="W191" s="76"/>
      <c r="X191" s="76"/>
      <c r="Y191" s="76"/>
      <c r="Z191" s="76"/>
      <c r="AA191" s="76"/>
    </row>
    <row r="192" spans="1:27" ht="15.75" customHeight="1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7"/>
      <c r="P192" s="77"/>
      <c r="Q192" s="77"/>
      <c r="R192" s="37"/>
      <c r="S192" s="37"/>
      <c r="T192" s="76"/>
      <c r="U192" s="76"/>
      <c r="V192" s="76"/>
      <c r="W192" s="76"/>
      <c r="X192" s="76"/>
      <c r="Y192" s="76"/>
      <c r="Z192" s="76"/>
      <c r="AA192" s="76"/>
    </row>
    <row r="193" spans="1:27" ht="15.75" customHeight="1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7"/>
      <c r="P193" s="77"/>
      <c r="Q193" s="77"/>
      <c r="R193" s="37"/>
      <c r="S193" s="37"/>
      <c r="T193" s="76"/>
      <c r="U193" s="76"/>
      <c r="V193" s="76"/>
      <c r="W193" s="76"/>
      <c r="X193" s="76"/>
      <c r="Y193" s="76"/>
      <c r="Z193" s="76"/>
      <c r="AA193" s="76"/>
    </row>
    <row r="194" spans="1:27" ht="15.75" customHeight="1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7"/>
      <c r="P194" s="77"/>
      <c r="Q194" s="77"/>
      <c r="R194" s="37"/>
      <c r="S194" s="37"/>
      <c r="T194" s="76"/>
      <c r="U194" s="76"/>
      <c r="V194" s="76"/>
      <c r="W194" s="76"/>
      <c r="X194" s="76"/>
      <c r="Y194" s="76"/>
      <c r="Z194" s="76"/>
      <c r="AA194" s="76"/>
    </row>
    <row r="195" spans="1:27" ht="15.75" customHeight="1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7"/>
      <c r="P195" s="77"/>
      <c r="Q195" s="77"/>
      <c r="R195" s="37"/>
      <c r="S195" s="37"/>
      <c r="T195" s="76"/>
      <c r="U195" s="76"/>
      <c r="V195" s="76"/>
      <c r="W195" s="76"/>
      <c r="X195" s="76"/>
      <c r="Y195" s="76"/>
      <c r="Z195" s="76"/>
      <c r="AA195" s="76"/>
    </row>
    <row r="196" spans="1:27" ht="15.75" customHeight="1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7"/>
      <c r="P196" s="77"/>
      <c r="Q196" s="77"/>
      <c r="R196" s="37"/>
      <c r="S196" s="37"/>
      <c r="T196" s="76"/>
      <c r="U196" s="76"/>
      <c r="V196" s="76"/>
      <c r="W196" s="76"/>
      <c r="X196" s="76"/>
      <c r="Y196" s="76"/>
      <c r="Z196" s="76"/>
      <c r="AA196" s="76"/>
    </row>
    <row r="197" spans="1:27" ht="15.75" customHeight="1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7"/>
      <c r="P197" s="77"/>
      <c r="Q197" s="77"/>
      <c r="R197" s="37"/>
      <c r="S197" s="37"/>
      <c r="T197" s="76"/>
      <c r="U197" s="76"/>
      <c r="V197" s="76"/>
      <c r="W197" s="76"/>
      <c r="X197" s="76"/>
      <c r="Y197" s="76"/>
      <c r="Z197" s="76"/>
      <c r="AA197" s="76"/>
    </row>
    <row r="198" spans="1:27" ht="15.75" customHeight="1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7"/>
      <c r="P198" s="77"/>
      <c r="Q198" s="77"/>
      <c r="R198" s="37"/>
      <c r="S198" s="37"/>
      <c r="T198" s="76"/>
      <c r="U198" s="76"/>
      <c r="V198" s="76"/>
      <c r="W198" s="76"/>
      <c r="X198" s="76"/>
      <c r="Y198" s="76"/>
      <c r="Z198" s="76"/>
      <c r="AA198" s="76"/>
    </row>
    <row r="199" spans="1:27" ht="15.75" customHeight="1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7"/>
      <c r="P199" s="77"/>
      <c r="Q199" s="77"/>
      <c r="R199" s="37"/>
      <c r="S199" s="37"/>
      <c r="T199" s="76"/>
      <c r="U199" s="76"/>
      <c r="V199" s="76"/>
      <c r="W199" s="76"/>
      <c r="X199" s="76"/>
      <c r="Y199" s="76"/>
      <c r="Z199" s="76"/>
      <c r="AA199" s="76"/>
    </row>
    <row r="200" spans="1:27" ht="15.75" customHeight="1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7"/>
      <c r="P200" s="77"/>
      <c r="Q200" s="77"/>
      <c r="R200" s="37"/>
      <c r="S200" s="37"/>
      <c r="T200" s="76"/>
      <c r="U200" s="76"/>
      <c r="V200" s="76"/>
      <c r="W200" s="76"/>
      <c r="X200" s="76"/>
      <c r="Y200" s="76"/>
      <c r="Z200" s="76"/>
      <c r="AA200" s="76"/>
    </row>
    <row r="201" spans="1:27" ht="15.75" customHeight="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7"/>
      <c r="P201" s="77"/>
      <c r="Q201" s="77"/>
      <c r="R201" s="37"/>
      <c r="S201" s="37"/>
      <c r="T201" s="76"/>
      <c r="U201" s="76"/>
      <c r="V201" s="76"/>
      <c r="W201" s="76"/>
      <c r="X201" s="76"/>
      <c r="Y201" s="76"/>
      <c r="Z201" s="76"/>
      <c r="AA201" s="76"/>
    </row>
    <row r="202" spans="1:27" ht="15.75" customHeight="1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7"/>
      <c r="P202" s="77"/>
      <c r="Q202" s="77"/>
      <c r="R202" s="37"/>
      <c r="S202" s="37"/>
      <c r="T202" s="76"/>
      <c r="U202" s="76"/>
      <c r="V202" s="76"/>
      <c r="W202" s="76"/>
      <c r="X202" s="76"/>
      <c r="Y202" s="76"/>
      <c r="Z202" s="76"/>
      <c r="AA202" s="76"/>
    </row>
    <row r="203" spans="1:27" ht="15.75" customHeight="1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7"/>
      <c r="P203" s="77"/>
      <c r="Q203" s="77"/>
      <c r="R203" s="37"/>
      <c r="S203" s="37"/>
      <c r="T203" s="76"/>
      <c r="U203" s="76"/>
      <c r="V203" s="76"/>
      <c r="W203" s="76"/>
      <c r="X203" s="76"/>
      <c r="Y203" s="76"/>
      <c r="Z203" s="76"/>
      <c r="AA203" s="76"/>
    </row>
    <row r="204" spans="1:27" ht="15.75" customHeight="1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7"/>
      <c r="P204" s="77"/>
      <c r="Q204" s="77"/>
      <c r="R204" s="37"/>
      <c r="S204" s="37"/>
      <c r="T204" s="76"/>
      <c r="U204" s="76"/>
      <c r="V204" s="76"/>
      <c r="W204" s="76"/>
      <c r="X204" s="76"/>
      <c r="Y204" s="76"/>
      <c r="Z204" s="76"/>
      <c r="AA204" s="76"/>
    </row>
    <row r="205" spans="1:27" ht="15.75" customHeight="1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7"/>
      <c r="P205" s="77"/>
      <c r="Q205" s="77"/>
      <c r="R205" s="37"/>
      <c r="S205" s="37"/>
      <c r="T205" s="76"/>
      <c r="U205" s="76"/>
      <c r="V205" s="76"/>
      <c r="W205" s="76"/>
      <c r="X205" s="76"/>
      <c r="Y205" s="76"/>
      <c r="Z205" s="76"/>
      <c r="AA205" s="76"/>
    </row>
    <row r="206" spans="1:27" ht="15.75" customHeight="1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7"/>
      <c r="P206" s="77"/>
      <c r="Q206" s="77"/>
      <c r="R206" s="37"/>
      <c r="S206" s="37"/>
      <c r="T206" s="76"/>
      <c r="U206" s="76"/>
      <c r="V206" s="76"/>
      <c r="W206" s="76"/>
      <c r="X206" s="76"/>
      <c r="Y206" s="76"/>
      <c r="Z206" s="76"/>
      <c r="AA206" s="76"/>
    </row>
    <row r="207" spans="1:27" ht="15.75" customHeight="1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7"/>
      <c r="P207" s="77"/>
      <c r="Q207" s="77"/>
      <c r="R207" s="37"/>
      <c r="S207" s="37"/>
      <c r="T207" s="76"/>
      <c r="U207" s="76"/>
      <c r="V207" s="76"/>
      <c r="W207" s="76"/>
      <c r="X207" s="76"/>
      <c r="Y207" s="76"/>
      <c r="Z207" s="76"/>
      <c r="AA207" s="76"/>
    </row>
    <row r="208" spans="1:27" ht="15.75" customHeight="1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7"/>
      <c r="P208" s="77"/>
      <c r="Q208" s="77"/>
      <c r="R208" s="37"/>
      <c r="S208" s="37"/>
      <c r="T208" s="76"/>
      <c r="U208" s="76"/>
      <c r="V208" s="76"/>
      <c r="W208" s="76"/>
      <c r="X208" s="76"/>
      <c r="Y208" s="76"/>
      <c r="Z208" s="76"/>
      <c r="AA208" s="76"/>
    </row>
    <row r="209" spans="1:27" ht="15.75" customHeight="1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7"/>
      <c r="P209" s="77"/>
      <c r="Q209" s="77"/>
      <c r="R209" s="37"/>
      <c r="S209" s="37"/>
      <c r="T209" s="76"/>
      <c r="U209" s="76"/>
      <c r="V209" s="76"/>
      <c r="W209" s="76"/>
      <c r="X209" s="76"/>
      <c r="Y209" s="76"/>
      <c r="Z209" s="76"/>
      <c r="AA209" s="76"/>
    </row>
    <row r="210" spans="1:27" ht="15.75" customHeight="1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7"/>
      <c r="P210" s="77"/>
      <c r="Q210" s="77"/>
      <c r="R210" s="37"/>
      <c r="S210" s="37"/>
      <c r="T210" s="76"/>
      <c r="U210" s="76"/>
      <c r="V210" s="76"/>
      <c r="W210" s="76"/>
      <c r="X210" s="76"/>
      <c r="Y210" s="76"/>
      <c r="Z210" s="76"/>
      <c r="AA210" s="76"/>
    </row>
    <row r="211" spans="1:27" ht="15.75" customHeight="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7"/>
      <c r="P211" s="77"/>
      <c r="Q211" s="77"/>
      <c r="R211" s="37"/>
      <c r="S211" s="37"/>
      <c r="T211" s="76"/>
      <c r="U211" s="76"/>
      <c r="V211" s="76"/>
      <c r="W211" s="76"/>
      <c r="X211" s="76"/>
      <c r="Y211" s="76"/>
      <c r="Z211" s="76"/>
      <c r="AA211" s="76"/>
    </row>
    <row r="212" spans="1:27" ht="15.75" customHeight="1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7"/>
      <c r="P212" s="77"/>
      <c r="Q212" s="77"/>
      <c r="R212" s="37"/>
      <c r="S212" s="37"/>
      <c r="T212" s="76"/>
      <c r="U212" s="76"/>
      <c r="V212" s="76"/>
      <c r="W212" s="76"/>
      <c r="X212" s="76"/>
      <c r="Y212" s="76"/>
      <c r="Z212" s="76"/>
      <c r="AA212" s="76"/>
    </row>
    <row r="213" spans="1:27" ht="15.75" customHeight="1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7"/>
      <c r="P213" s="77"/>
      <c r="Q213" s="77"/>
      <c r="R213" s="37"/>
      <c r="S213" s="37"/>
      <c r="T213" s="76"/>
      <c r="U213" s="76"/>
      <c r="V213" s="76"/>
      <c r="W213" s="76"/>
      <c r="X213" s="76"/>
      <c r="Y213" s="76"/>
      <c r="Z213" s="76"/>
      <c r="AA213" s="76"/>
    </row>
    <row r="214" spans="1:27" ht="15.75" customHeight="1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7"/>
      <c r="P214" s="77"/>
      <c r="Q214" s="77"/>
      <c r="R214" s="37"/>
      <c r="S214" s="37"/>
      <c r="T214" s="76"/>
      <c r="U214" s="76"/>
      <c r="V214" s="76"/>
      <c r="W214" s="76"/>
      <c r="X214" s="76"/>
      <c r="Y214" s="76"/>
      <c r="Z214" s="76"/>
      <c r="AA214" s="76"/>
    </row>
    <row r="215" spans="1:27" ht="15.75" customHeight="1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7"/>
      <c r="P215" s="77"/>
      <c r="Q215" s="77"/>
      <c r="R215" s="37"/>
      <c r="S215" s="37"/>
      <c r="T215" s="76"/>
      <c r="U215" s="76"/>
      <c r="V215" s="76"/>
      <c r="W215" s="76"/>
      <c r="X215" s="76"/>
      <c r="Y215" s="76"/>
      <c r="Z215" s="76"/>
      <c r="AA215" s="76"/>
    </row>
    <row r="216" spans="1:27" ht="15.75" customHeight="1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7"/>
      <c r="P216" s="77"/>
      <c r="Q216" s="77"/>
      <c r="R216" s="37"/>
      <c r="S216" s="37"/>
      <c r="T216" s="76"/>
      <c r="U216" s="76"/>
      <c r="V216" s="76"/>
      <c r="W216" s="76"/>
      <c r="X216" s="76"/>
      <c r="Y216" s="76"/>
      <c r="Z216" s="76"/>
      <c r="AA216" s="76"/>
    </row>
    <row r="217" spans="1:27" ht="15.75" customHeight="1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7"/>
      <c r="P217" s="77"/>
      <c r="Q217" s="77"/>
      <c r="R217" s="37"/>
      <c r="S217" s="37"/>
      <c r="T217" s="76"/>
      <c r="U217" s="76"/>
      <c r="V217" s="76"/>
      <c r="W217" s="76"/>
      <c r="X217" s="76"/>
      <c r="Y217" s="76"/>
      <c r="Z217" s="76"/>
      <c r="AA217" s="76"/>
    </row>
    <row r="218" spans="1:27" ht="15.75" customHeight="1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7"/>
      <c r="P218" s="77"/>
      <c r="Q218" s="77"/>
      <c r="R218" s="37"/>
      <c r="S218" s="37"/>
      <c r="T218" s="76"/>
      <c r="U218" s="76"/>
      <c r="V218" s="76"/>
      <c r="W218" s="76"/>
      <c r="X218" s="76"/>
      <c r="Y218" s="76"/>
      <c r="Z218" s="76"/>
      <c r="AA218" s="76"/>
    </row>
    <row r="219" spans="1:27" ht="15.75" customHeight="1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7"/>
      <c r="P219" s="77"/>
      <c r="Q219" s="77"/>
      <c r="R219" s="37"/>
      <c r="S219" s="37"/>
      <c r="T219" s="76"/>
      <c r="U219" s="76"/>
      <c r="V219" s="76"/>
      <c r="W219" s="76"/>
      <c r="X219" s="76"/>
      <c r="Y219" s="76"/>
      <c r="Z219" s="76"/>
      <c r="AA219" s="76"/>
    </row>
    <row r="220" spans="1:27" ht="15.75" customHeight="1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7"/>
      <c r="P220" s="77"/>
      <c r="Q220" s="77"/>
      <c r="R220" s="37"/>
      <c r="S220" s="37"/>
      <c r="T220" s="76"/>
      <c r="U220" s="76"/>
      <c r="V220" s="76"/>
      <c r="W220" s="76"/>
      <c r="X220" s="76"/>
      <c r="Y220" s="76"/>
      <c r="Z220" s="76"/>
      <c r="AA220" s="76"/>
    </row>
    <row r="221" spans="1:27" ht="15.75" customHeight="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7"/>
      <c r="P221" s="77"/>
      <c r="Q221" s="77"/>
      <c r="R221" s="37"/>
      <c r="S221" s="37"/>
      <c r="T221" s="76"/>
      <c r="U221" s="76"/>
      <c r="V221" s="76"/>
      <c r="W221" s="76"/>
      <c r="X221" s="76"/>
      <c r="Y221" s="76"/>
      <c r="Z221" s="76"/>
      <c r="AA221" s="76"/>
    </row>
    <row r="222" spans="1:27" ht="15.75" customHeight="1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7"/>
      <c r="P222" s="77"/>
      <c r="Q222" s="77"/>
      <c r="R222" s="37"/>
      <c r="S222" s="37"/>
      <c r="T222" s="76"/>
      <c r="U222" s="76"/>
      <c r="V222" s="76"/>
      <c r="W222" s="76"/>
      <c r="X222" s="76"/>
      <c r="Y222" s="76"/>
      <c r="Z222" s="76"/>
      <c r="AA222" s="76"/>
    </row>
    <row r="223" spans="1:27" ht="15.75" customHeight="1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7"/>
      <c r="P223" s="77"/>
      <c r="Q223" s="77"/>
      <c r="R223" s="37"/>
      <c r="S223" s="37"/>
      <c r="T223" s="76"/>
      <c r="U223" s="76"/>
      <c r="V223" s="76"/>
      <c r="W223" s="76"/>
      <c r="X223" s="76"/>
      <c r="Y223" s="76"/>
      <c r="Z223" s="76"/>
      <c r="AA223" s="76"/>
    </row>
    <row r="224" spans="1:27" ht="15.75" customHeight="1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7"/>
      <c r="P224" s="77"/>
      <c r="Q224" s="77"/>
      <c r="R224" s="37"/>
      <c r="S224" s="37"/>
      <c r="T224" s="76"/>
      <c r="U224" s="76"/>
      <c r="V224" s="76"/>
      <c r="W224" s="76"/>
      <c r="X224" s="76"/>
      <c r="Y224" s="76"/>
      <c r="Z224" s="76"/>
      <c r="AA224" s="76"/>
    </row>
    <row r="225" spans="1:27" ht="15.75" customHeight="1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7"/>
      <c r="P225" s="77"/>
      <c r="Q225" s="77"/>
      <c r="R225" s="37"/>
      <c r="S225" s="37"/>
      <c r="T225" s="76"/>
      <c r="U225" s="76"/>
      <c r="V225" s="76"/>
      <c r="W225" s="76"/>
      <c r="X225" s="76"/>
      <c r="Y225" s="76"/>
      <c r="Z225" s="76"/>
      <c r="AA225" s="76"/>
    </row>
    <row r="226" spans="1:27" ht="15.75" customHeight="1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7"/>
      <c r="P226" s="77"/>
      <c r="Q226" s="77"/>
      <c r="R226" s="37"/>
      <c r="S226" s="37"/>
      <c r="T226" s="76"/>
      <c r="U226" s="76"/>
      <c r="V226" s="76"/>
      <c r="W226" s="76"/>
      <c r="X226" s="76"/>
      <c r="Y226" s="76"/>
      <c r="Z226" s="76"/>
      <c r="AA226" s="76"/>
    </row>
    <row r="227" spans="1:27" ht="15.75" customHeight="1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7"/>
      <c r="P227" s="77"/>
      <c r="Q227" s="77"/>
      <c r="R227" s="37"/>
      <c r="S227" s="37"/>
      <c r="T227" s="76"/>
      <c r="U227" s="76"/>
      <c r="V227" s="76"/>
      <c r="W227" s="76"/>
      <c r="X227" s="76"/>
      <c r="Y227" s="76"/>
      <c r="Z227" s="76"/>
      <c r="AA227" s="76"/>
    </row>
    <row r="228" spans="1:27" ht="15.75" customHeight="1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7"/>
      <c r="P228" s="77"/>
      <c r="Q228" s="77"/>
      <c r="R228" s="37"/>
      <c r="S228" s="37"/>
      <c r="T228" s="76"/>
      <c r="U228" s="76"/>
      <c r="V228" s="76"/>
      <c r="W228" s="76"/>
      <c r="X228" s="76"/>
      <c r="Y228" s="76"/>
      <c r="Z228" s="76"/>
      <c r="AA228" s="76"/>
    </row>
    <row r="229" spans="1:27" ht="15.75" customHeight="1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7"/>
      <c r="P229" s="77"/>
      <c r="Q229" s="77"/>
      <c r="R229" s="37"/>
      <c r="S229" s="37"/>
      <c r="T229" s="76"/>
      <c r="U229" s="76"/>
      <c r="V229" s="76"/>
      <c r="W229" s="76"/>
      <c r="X229" s="76"/>
      <c r="Y229" s="76"/>
      <c r="Z229" s="76"/>
      <c r="AA229" s="76"/>
    </row>
    <row r="230" spans="1:27" ht="15.75" customHeight="1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7"/>
      <c r="P230" s="77"/>
      <c r="Q230" s="77"/>
      <c r="R230" s="37"/>
      <c r="S230" s="37"/>
      <c r="T230" s="76"/>
      <c r="U230" s="76"/>
      <c r="V230" s="76"/>
      <c r="W230" s="76"/>
      <c r="X230" s="76"/>
      <c r="Y230" s="76"/>
      <c r="Z230" s="76"/>
      <c r="AA230" s="76"/>
    </row>
    <row r="231" spans="1:27" ht="15.75" customHeight="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7"/>
      <c r="P231" s="77"/>
      <c r="Q231" s="77"/>
      <c r="R231" s="37"/>
      <c r="S231" s="37"/>
      <c r="T231" s="76"/>
      <c r="U231" s="76"/>
      <c r="V231" s="76"/>
      <c r="W231" s="76"/>
      <c r="X231" s="76"/>
      <c r="Y231" s="76"/>
      <c r="Z231" s="76"/>
      <c r="AA231" s="76"/>
    </row>
    <row r="232" spans="1:27" ht="15.75" customHeight="1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7"/>
      <c r="P232" s="77"/>
      <c r="Q232" s="77"/>
      <c r="R232" s="37"/>
      <c r="S232" s="37"/>
      <c r="T232" s="76"/>
      <c r="U232" s="76"/>
      <c r="V232" s="76"/>
      <c r="W232" s="76"/>
      <c r="X232" s="76"/>
      <c r="Y232" s="76"/>
      <c r="Z232" s="76"/>
      <c r="AA232" s="76"/>
    </row>
    <row r="233" spans="1:27" ht="15.75" customHeight="1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7"/>
      <c r="P233" s="77"/>
      <c r="Q233" s="77"/>
      <c r="R233" s="37"/>
      <c r="S233" s="37"/>
      <c r="T233" s="76"/>
      <c r="U233" s="76"/>
      <c r="V233" s="76"/>
      <c r="W233" s="76"/>
      <c r="X233" s="76"/>
      <c r="Y233" s="76"/>
      <c r="Z233" s="76"/>
      <c r="AA233" s="76"/>
    </row>
    <row r="234" spans="1:27" ht="15.75" customHeight="1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7"/>
      <c r="P234" s="77"/>
      <c r="Q234" s="77"/>
      <c r="R234" s="37"/>
      <c r="S234" s="37"/>
      <c r="T234" s="76"/>
      <c r="U234" s="76"/>
      <c r="V234" s="76"/>
      <c r="W234" s="76"/>
      <c r="X234" s="76"/>
      <c r="Y234" s="76"/>
      <c r="Z234" s="76"/>
      <c r="AA234" s="76"/>
    </row>
    <row r="235" spans="1:27" ht="15.75" customHeight="1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7"/>
      <c r="P235" s="77"/>
      <c r="Q235" s="77"/>
      <c r="R235" s="37"/>
      <c r="S235" s="37"/>
      <c r="T235" s="76"/>
      <c r="U235" s="76"/>
      <c r="V235" s="76"/>
      <c r="W235" s="76"/>
      <c r="X235" s="76"/>
      <c r="Y235" s="76"/>
      <c r="Z235" s="76"/>
      <c r="AA235" s="76"/>
    </row>
    <row r="236" spans="1:27" ht="15.75" customHeight="1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7"/>
      <c r="P236" s="77"/>
      <c r="Q236" s="77"/>
      <c r="R236" s="37"/>
      <c r="S236" s="37"/>
      <c r="T236" s="76"/>
      <c r="U236" s="76"/>
      <c r="V236" s="76"/>
      <c r="W236" s="76"/>
      <c r="X236" s="76"/>
      <c r="Y236" s="76"/>
      <c r="Z236" s="76"/>
      <c r="AA236" s="76"/>
    </row>
    <row r="237" spans="1:27" ht="15.75" customHeight="1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7"/>
      <c r="P237" s="77"/>
      <c r="Q237" s="77"/>
      <c r="R237" s="37"/>
      <c r="S237" s="37"/>
      <c r="T237" s="76"/>
      <c r="U237" s="76"/>
      <c r="V237" s="76"/>
      <c r="W237" s="76"/>
      <c r="X237" s="76"/>
      <c r="Y237" s="76"/>
      <c r="Z237" s="76"/>
      <c r="AA237" s="76"/>
    </row>
    <row r="238" spans="1:27" ht="15.75" customHeight="1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7"/>
      <c r="P238" s="77"/>
      <c r="Q238" s="77"/>
      <c r="R238" s="37"/>
      <c r="S238" s="37"/>
      <c r="T238" s="76"/>
      <c r="U238" s="76"/>
      <c r="V238" s="76"/>
      <c r="W238" s="76"/>
      <c r="X238" s="76"/>
      <c r="Y238" s="76"/>
      <c r="Z238" s="76"/>
      <c r="AA238" s="76"/>
    </row>
    <row r="239" spans="1:27" ht="15.75" customHeight="1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7"/>
      <c r="P239" s="77"/>
      <c r="Q239" s="77"/>
      <c r="R239" s="37"/>
      <c r="S239" s="37"/>
      <c r="T239" s="76"/>
      <c r="U239" s="76"/>
      <c r="V239" s="76"/>
      <c r="W239" s="76"/>
      <c r="X239" s="76"/>
      <c r="Y239" s="76"/>
      <c r="Z239" s="76"/>
      <c r="AA239" s="76"/>
    </row>
    <row r="240" spans="1:27" ht="15.75" customHeight="1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7"/>
      <c r="P240" s="77"/>
      <c r="Q240" s="77"/>
      <c r="R240" s="37"/>
      <c r="S240" s="37"/>
      <c r="T240" s="76"/>
      <c r="U240" s="76"/>
      <c r="V240" s="76"/>
      <c r="W240" s="76"/>
      <c r="X240" s="76"/>
      <c r="Y240" s="76"/>
      <c r="Z240" s="76"/>
      <c r="AA240" s="76"/>
    </row>
    <row r="241" spans="1:27" ht="15.75" customHeight="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7"/>
      <c r="P241" s="77"/>
      <c r="Q241" s="77"/>
      <c r="R241" s="37"/>
      <c r="S241" s="37"/>
      <c r="T241" s="76"/>
      <c r="U241" s="76"/>
      <c r="V241" s="76"/>
      <c r="W241" s="76"/>
      <c r="X241" s="76"/>
      <c r="Y241" s="76"/>
      <c r="Z241" s="76"/>
      <c r="AA241" s="76"/>
    </row>
    <row r="242" spans="1:27" ht="15.75" customHeight="1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7"/>
      <c r="P242" s="77"/>
      <c r="Q242" s="77"/>
      <c r="R242" s="37"/>
      <c r="S242" s="37"/>
      <c r="T242" s="76"/>
      <c r="U242" s="76"/>
      <c r="V242" s="76"/>
      <c r="W242" s="76"/>
      <c r="X242" s="76"/>
      <c r="Y242" s="76"/>
      <c r="Z242" s="76"/>
      <c r="AA242" s="76"/>
    </row>
    <row r="243" spans="1:27" ht="15.75" customHeight="1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7"/>
      <c r="P243" s="77"/>
      <c r="Q243" s="77"/>
      <c r="R243" s="37"/>
      <c r="S243" s="37"/>
      <c r="T243" s="76"/>
      <c r="U243" s="76"/>
      <c r="V243" s="76"/>
      <c r="W243" s="76"/>
      <c r="X243" s="76"/>
      <c r="Y243" s="76"/>
      <c r="Z243" s="76"/>
      <c r="AA243" s="76"/>
    </row>
    <row r="244" spans="1:27" ht="15.75" customHeight="1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7"/>
      <c r="P244" s="77"/>
      <c r="Q244" s="77"/>
      <c r="R244" s="37"/>
      <c r="S244" s="37"/>
      <c r="T244" s="76"/>
      <c r="U244" s="76"/>
      <c r="V244" s="76"/>
      <c r="W244" s="76"/>
      <c r="X244" s="76"/>
      <c r="Y244" s="76"/>
      <c r="Z244" s="76"/>
      <c r="AA244" s="76"/>
    </row>
    <row r="245" spans="1:27" ht="15.75" customHeight="1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7"/>
      <c r="P245" s="77"/>
      <c r="Q245" s="77"/>
      <c r="R245" s="37"/>
      <c r="S245" s="37"/>
      <c r="T245" s="76"/>
      <c r="U245" s="76"/>
      <c r="V245" s="76"/>
      <c r="W245" s="76"/>
      <c r="X245" s="76"/>
      <c r="Y245" s="76"/>
      <c r="Z245" s="76"/>
      <c r="AA245" s="76"/>
    </row>
    <row r="246" spans="1:27" ht="15.75" customHeight="1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7"/>
      <c r="P246" s="77"/>
      <c r="Q246" s="77"/>
      <c r="R246" s="37"/>
      <c r="S246" s="37"/>
      <c r="T246" s="76"/>
      <c r="U246" s="76"/>
      <c r="V246" s="76"/>
      <c r="W246" s="76"/>
      <c r="X246" s="76"/>
      <c r="Y246" s="76"/>
      <c r="Z246" s="76"/>
      <c r="AA246" s="76"/>
    </row>
    <row r="247" spans="1:27" ht="15.75" customHeight="1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7"/>
      <c r="P247" s="77"/>
      <c r="Q247" s="77"/>
      <c r="R247" s="37"/>
      <c r="S247" s="37"/>
      <c r="T247" s="76"/>
      <c r="U247" s="76"/>
      <c r="V247" s="76"/>
      <c r="W247" s="76"/>
      <c r="X247" s="76"/>
      <c r="Y247" s="76"/>
      <c r="Z247" s="76"/>
      <c r="AA247" s="76"/>
    </row>
    <row r="248" spans="1:27" ht="15.75" customHeight="1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7"/>
      <c r="P248" s="77"/>
      <c r="Q248" s="77"/>
      <c r="R248" s="37"/>
      <c r="S248" s="37"/>
      <c r="T248" s="76"/>
      <c r="U248" s="76"/>
      <c r="V248" s="76"/>
      <c r="W248" s="76"/>
      <c r="X248" s="76"/>
      <c r="Y248" s="76"/>
      <c r="Z248" s="76"/>
      <c r="AA248" s="76"/>
    </row>
    <row r="249" spans="1:27" ht="15.75" customHeight="1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7"/>
      <c r="P249" s="77"/>
      <c r="Q249" s="77"/>
      <c r="R249" s="37"/>
      <c r="S249" s="37"/>
      <c r="T249" s="76"/>
      <c r="U249" s="76"/>
      <c r="V249" s="76"/>
      <c r="W249" s="76"/>
      <c r="X249" s="76"/>
      <c r="Y249" s="76"/>
      <c r="Z249" s="76"/>
      <c r="AA249" s="76"/>
    </row>
    <row r="250" spans="1:27" ht="15.75" customHeight="1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7"/>
      <c r="P250" s="77"/>
      <c r="Q250" s="77"/>
      <c r="R250" s="37"/>
      <c r="S250" s="37"/>
      <c r="T250" s="76"/>
      <c r="U250" s="76"/>
      <c r="V250" s="76"/>
      <c r="W250" s="76"/>
      <c r="X250" s="76"/>
      <c r="Y250" s="76"/>
      <c r="Z250" s="76"/>
      <c r="AA250" s="76"/>
    </row>
    <row r="251" spans="1:27" ht="15.75" customHeight="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7"/>
      <c r="P251" s="77"/>
      <c r="Q251" s="77"/>
      <c r="R251" s="37"/>
      <c r="S251" s="37"/>
      <c r="T251" s="76"/>
      <c r="U251" s="76"/>
      <c r="V251" s="76"/>
      <c r="W251" s="76"/>
      <c r="X251" s="76"/>
      <c r="Y251" s="76"/>
      <c r="Z251" s="76"/>
      <c r="AA251" s="76"/>
    </row>
    <row r="252" spans="1:27" ht="15.75" customHeight="1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7"/>
      <c r="P252" s="77"/>
      <c r="Q252" s="77"/>
      <c r="R252" s="37"/>
      <c r="S252" s="37"/>
      <c r="T252" s="76"/>
      <c r="U252" s="76"/>
      <c r="V252" s="76"/>
      <c r="W252" s="76"/>
      <c r="X252" s="76"/>
      <c r="Y252" s="76"/>
      <c r="Z252" s="76"/>
      <c r="AA252" s="76"/>
    </row>
    <row r="253" spans="1:27" ht="15.75" customHeight="1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7"/>
      <c r="P253" s="77"/>
      <c r="Q253" s="77"/>
      <c r="R253" s="37"/>
      <c r="S253" s="37"/>
      <c r="T253" s="76"/>
      <c r="U253" s="76"/>
      <c r="V253" s="76"/>
      <c r="W253" s="76"/>
      <c r="X253" s="76"/>
      <c r="Y253" s="76"/>
      <c r="Z253" s="76"/>
      <c r="AA253" s="76"/>
    </row>
    <row r="254" spans="1:27" ht="15.75" customHeight="1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7"/>
      <c r="P254" s="77"/>
      <c r="Q254" s="77"/>
      <c r="R254" s="37"/>
      <c r="S254" s="37"/>
      <c r="T254" s="76"/>
      <c r="U254" s="76"/>
      <c r="V254" s="76"/>
      <c r="W254" s="76"/>
      <c r="X254" s="76"/>
      <c r="Y254" s="76"/>
      <c r="Z254" s="76"/>
      <c r="AA254" s="76"/>
    </row>
    <row r="255" spans="1:27" ht="15.75" customHeight="1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7"/>
      <c r="P255" s="77"/>
      <c r="Q255" s="77"/>
      <c r="R255" s="37"/>
      <c r="S255" s="37"/>
      <c r="T255" s="76"/>
      <c r="U255" s="76"/>
      <c r="V255" s="76"/>
      <c r="W255" s="76"/>
      <c r="X255" s="76"/>
      <c r="Y255" s="76"/>
      <c r="Z255" s="76"/>
      <c r="AA255" s="76"/>
    </row>
    <row r="256" spans="1:27" ht="15.75" customHeight="1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7"/>
      <c r="P256" s="77"/>
      <c r="Q256" s="77"/>
      <c r="R256" s="37"/>
      <c r="S256" s="37"/>
      <c r="T256" s="76"/>
      <c r="U256" s="76"/>
      <c r="V256" s="76"/>
      <c r="W256" s="76"/>
      <c r="X256" s="76"/>
      <c r="Y256" s="76"/>
      <c r="Z256" s="76"/>
      <c r="AA256" s="76"/>
    </row>
    <row r="257" spans="1:27" ht="15.75" customHeight="1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7"/>
      <c r="P257" s="77"/>
      <c r="Q257" s="77"/>
      <c r="R257" s="37"/>
      <c r="S257" s="37"/>
      <c r="T257" s="76"/>
      <c r="U257" s="76"/>
      <c r="V257" s="76"/>
      <c r="W257" s="76"/>
      <c r="X257" s="76"/>
      <c r="Y257" s="76"/>
      <c r="Z257" s="76"/>
      <c r="AA257" s="76"/>
    </row>
    <row r="258" spans="1:27" ht="15.75" customHeight="1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7"/>
      <c r="P258" s="77"/>
      <c r="Q258" s="77"/>
      <c r="R258" s="37"/>
      <c r="S258" s="37"/>
      <c r="T258" s="76"/>
      <c r="U258" s="76"/>
      <c r="V258" s="76"/>
      <c r="W258" s="76"/>
      <c r="X258" s="76"/>
      <c r="Y258" s="76"/>
      <c r="Z258" s="76"/>
      <c r="AA258" s="76"/>
    </row>
    <row r="259" spans="1:27" ht="15.75" customHeight="1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7"/>
      <c r="P259" s="77"/>
      <c r="Q259" s="77"/>
      <c r="R259" s="37"/>
      <c r="S259" s="37"/>
      <c r="T259" s="76"/>
      <c r="U259" s="76"/>
      <c r="V259" s="76"/>
      <c r="W259" s="76"/>
      <c r="X259" s="76"/>
      <c r="Y259" s="76"/>
      <c r="Z259" s="76"/>
      <c r="AA259" s="76"/>
    </row>
    <row r="260" spans="1:27" ht="15.75" customHeight="1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7"/>
      <c r="P260" s="77"/>
      <c r="Q260" s="77"/>
      <c r="R260" s="37"/>
      <c r="S260" s="37"/>
      <c r="T260" s="76"/>
      <c r="U260" s="76"/>
      <c r="V260" s="76"/>
      <c r="W260" s="76"/>
      <c r="X260" s="76"/>
      <c r="Y260" s="76"/>
      <c r="Z260" s="76"/>
      <c r="AA260" s="76"/>
    </row>
    <row r="261" spans="1:27" ht="15.75" customHeight="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7"/>
      <c r="P261" s="77"/>
      <c r="Q261" s="77"/>
      <c r="R261" s="37"/>
      <c r="S261" s="37"/>
      <c r="T261" s="76"/>
      <c r="U261" s="76"/>
      <c r="V261" s="76"/>
      <c r="W261" s="76"/>
      <c r="X261" s="76"/>
      <c r="Y261" s="76"/>
      <c r="Z261" s="76"/>
      <c r="AA261" s="76"/>
    </row>
    <row r="262" spans="1:27" ht="15.75" customHeight="1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7"/>
      <c r="P262" s="77"/>
      <c r="Q262" s="77"/>
      <c r="R262" s="37"/>
      <c r="S262" s="37"/>
      <c r="T262" s="76"/>
      <c r="U262" s="76"/>
      <c r="V262" s="76"/>
      <c r="W262" s="76"/>
      <c r="X262" s="76"/>
      <c r="Y262" s="76"/>
      <c r="Z262" s="76"/>
      <c r="AA262" s="76"/>
    </row>
    <row r="263" spans="1:27" ht="15.75" customHeight="1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7"/>
      <c r="P263" s="77"/>
      <c r="Q263" s="77"/>
      <c r="R263" s="37"/>
      <c r="S263" s="37"/>
      <c r="T263" s="76"/>
      <c r="U263" s="76"/>
      <c r="V263" s="76"/>
      <c r="W263" s="76"/>
      <c r="X263" s="76"/>
      <c r="Y263" s="76"/>
      <c r="Z263" s="76"/>
      <c r="AA263" s="76"/>
    </row>
    <row r="264" spans="1:27" ht="15.75" customHeight="1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7"/>
      <c r="P264" s="77"/>
      <c r="Q264" s="77"/>
      <c r="R264" s="37"/>
      <c r="S264" s="37"/>
      <c r="T264" s="76"/>
      <c r="U264" s="76"/>
      <c r="V264" s="76"/>
      <c r="W264" s="76"/>
      <c r="X264" s="76"/>
      <c r="Y264" s="76"/>
      <c r="Z264" s="76"/>
      <c r="AA264" s="76"/>
    </row>
    <row r="265" spans="1:27" ht="15.75" customHeight="1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7"/>
      <c r="P265" s="77"/>
      <c r="Q265" s="77"/>
      <c r="R265" s="37"/>
      <c r="S265" s="37"/>
      <c r="T265" s="76"/>
      <c r="U265" s="76"/>
      <c r="V265" s="76"/>
      <c r="W265" s="76"/>
      <c r="X265" s="76"/>
      <c r="Y265" s="76"/>
      <c r="Z265" s="76"/>
      <c r="AA265" s="76"/>
    </row>
    <row r="266" spans="1:27" ht="15.75" customHeight="1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7"/>
      <c r="P266" s="77"/>
      <c r="Q266" s="77"/>
      <c r="R266" s="37"/>
      <c r="S266" s="37"/>
      <c r="T266" s="76"/>
      <c r="U266" s="76"/>
      <c r="V266" s="76"/>
      <c r="W266" s="76"/>
      <c r="X266" s="76"/>
      <c r="Y266" s="76"/>
      <c r="Z266" s="76"/>
      <c r="AA266" s="76"/>
    </row>
    <row r="267" spans="1:27" ht="15.75" customHeight="1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7"/>
      <c r="P267" s="77"/>
      <c r="Q267" s="77"/>
      <c r="R267" s="37"/>
      <c r="S267" s="37"/>
      <c r="T267" s="76"/>
      <c r="U267" s="76"/>
      <c r="V267" s="76"/>
      <c r="W267" s="76"/>
      <c r="X267" s="76"/>
      <c r="Y267" s="76"/>
      <c r="Z267" s="76"/>
      <c r="AA267" s="76"/>
    </row>
    <row r="268" spans="1:27" ht="15.75" customHeight="1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7"/>
      <c r="P268" s="77"/>
      <c r="Q268" s="77"/>
      <c r="R268" s="37"/>
      <c r="S268" s="37"/>
      <c r="T268" s="76"/>
      <c r="U268" s="76"/>
      <c r="V268" s="76"/>
      <c r="W268" s="76"/>
      <c r="X268" s="76"/>
      <c r="Y268" s="76"/>
      <c r="Z268" s="76"/>
      <c r="AA268" s="76"/>
    </row>
    <row r="269" spans="1:27" ht="15.75" customHeight="1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7"/>
      <c r="P269" s="77"/>
      <c r="Q269" s="77"/>
      <c r="R269" s="37"/>
      <c r="S269" s="37"/>
      <c r="T269" s="76"/>
      <c r="U269" s="76"/>
      <c r="V269" s="76"/>
      <c r="W269" s="76"/>
      <c r="X269" s="76"/>
      <c r="Y269" s="76"/>
      <c r="Z269" s="76"/>
      <c r="AA269" s="76"/>
    </row>
    <row r="270" spans="1:27" ht="15.75" customHeight="1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7"/>
      <c r="P270" s="77"/>
      <c r="Q270" s="77"/>
      <c r="R270" s="37"/>
      <c r="S270" s="37"/>
      <c r="T270" s="76"/>
      <c r="U270" s="76"/>
      <c r="V270" s="76"/>
      <c r="W270" s="76"/>
      <c r="X270" s="76"/>
      <c r="Y270" s="76"/>
      <c r="Z270" s="76"/>
      <c r="AA270" s="76"/>
    </row>
    <row r="271" spans="1:27" ht="15.75" customHeight="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7"/>
      <c r="P271" s="77"/>
      <c r="Q271" s="77"/>
      <c r="R271" s="37"/>
      <c r="S271" s="37"/>
      <c r="T271" s="76"/>
      <c r="U271" s="76"/>
      <c r="V271" s="76"/>
      <c r="W271" s="76"/>
      <c r="X271" s="76"/>
      <c r="Y271" s="76"/>
      <c r="Z271" s="76"/>
      <c r="AA271" s="76"/>
    </row>
    <row r="272" spans="1:27" ht="15.75" customHeight="1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7"/>
      <c r="P272" s="77"/>
      <c r="Q272" s="77"/>
      <c r="R272" s="37"/>
      <c r="S272" s="37"/>
      <c r="T272" s="76"/>
      <c r="U272" s="76"/>
      <c r="V272" s="76"/>
      <c r="W272" s="76"/>
      <c r="X272" s="76"/>
      <c r="Y272" s="76"/>
      <c r="Z272" s="76"/>
      <c r="AA272" s="76"/>
    </row>
    <row r="273" spans="1:27" ht="15.75" customHeight="1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7"/>
      <c r="P273" s="77"/>
      <c r="Q273" s="77"/>
      <c r="R273" s="37"/>
      <c r="S273" s="37"/>
      <c r="T273" s="76"/>
      <c r="U273" s="76"/>
      <c r="V273" s="76"/>
      <c r="W273" s="76"/>
      <c r="X273" s="76"/>
      <c r="Y273" s="76"/>
      <c r="Z273" s="76"/>
      <c r="AA273" s="76"/>
    </row>
    <row r="274" spans="1:27" ht="15.75" customHeight="1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7"/>
      <c r="P274" s="77"/>
      <c r="Q274" s="77"/>
      <c r="R274" s="37"/>
      <c r="S274" s="37"/>
      <c r="T274" s="76"/>
      <c r="U274" s="76"/>
      <c r="V274" s="76"/>
      <c r="W274" s="76"/>
      <c r="X274" s="76"/>
      <c r="Y274" s="76"/>
      <c r="Z274" s="76"/>
      <c r="AA274" s="76"/>
    </row>
    <row r="275" spans="1:27" ht="15.75" customHeight="1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7"/>
      <c r="P275" s="77"/>
      <c r="Q275" s="77"/>
      <c r="R275" s="37"/>
      <c r="S275" s="37"/>
      <c r="T275" s="76"/>
      <c r="U275" s="76"/>
      <c r="V275" s="76"/>
      <c r="W275" s="76"/>
      <c r="X275" s="76"/>
      <c r="Y275" s="76"/>
      <c r="Z275" s="76"/>
      <c r="AA275" s="76"/>
    </row>
    <row r="276" spans="1:27" ht="15.75" customHeight="1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7"/>
      <c r="P276" s="77"/>
      <c r="Q276" s="77"/>
      <c r="R276" s="37"/>
      <c r="S276" s="37"/>
      <c r="T276" s="76"/>
      <c r="U276" s="76"/>
      <c r="V276" s="76"/>
      <c r="W276" s="76"/>
      <c r="X276" s="76"/>
      <c r="Y276" s="76"/>
      <c r="Z276" s="76"/>
      <c r="AA276" s="76"/>
    </row>
    <row r="277" spans="1:27" ht="15.75" customHeight="1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7"/>
      <c r="P277" s="77"/>
      <c r="Q277" s="77"/>
      <c r="R277" s="37"/>
      <c r="S277" s="37"/>
      <c r="T277" s="76"/>
      <c r="U277" s="76"/>
      <c r="V277" s="76"/>
      <c r="W277" s="76"/>
      <c r="X277" s="76"/>
      <c r="Y277" s="76"/>
      <c r="Z277" s="76"/>
      <c r="AA277" s="76"/>
    </row>
    <row r="278" spans="1:27" ht="15.75" customHeight="1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7"/>
      <c r="P278" s="77"/>
      <c r="Q278" s="77"/>
      <c r="R278" s="37"/>
      <c r="S278" s="37"/>
      <c r="T278" s="76"/>
      <c r="U278" s="76"/>
      <c r="V278" s="76"/>
      <c r="W278" s="76"/>
      <c r="X278" s="76"/>
      <c r="Y278" s="76"/>
      <c r="Z278" s="76"/>
      <c r="AA278" s="76"/>
    </row>
    <row r="279" spans="1:27" ht="15.75" customHeight="1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7"/>
      <c r="P279" s="77"/>
      <c r="Q279" s="77"/>
      <c r="R279" s="37"/>
      <c r="S279" s="37"/>
      <c r="T279" s="76"/>
      <c r="U279" s="76"/>
      <c r="V279" s="76"/>
      <c r="W279" s="76"/>
      <c r="X279" s="76"/>
      <c r="Y279" s="76"/>
      <c r="Z279" s="76"/>
      <c r="AA279" s="76"/>
    </row>
    <row r="280" spans="1:27" ht="15.75" customHeight="1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7"/>
      <c r="P280" s="77"/>
      <c r="Q280" s="77"/>
      <c r="R280" s="37"/>
      <c r="S280" s="37"/>
      <c r="T280" s="76"/>
      <c r="U280" s="76"/>
      <c r="V280" s="76"/>
      <c r="W280" s="76"/>
      <c r="X280" s="76"/>
      <c r="Y280" s="76"/>
      <c r="Z280" s="76"/>
      <c r="AA280" s="76"/>
    </row>
    <row r="281" spans="1:27" ht="15.75" customHeight="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7"/>
      <c r="P281" s="77"/>
      <c r="Q281" s="77"/>
      <c r="R281" s="37"/>
      <c r="S281" s="37"/>
      <c r="T281" s="76"/>
      <c r="U281" s="76"/>
      <c r="V281" s="76"/>
      <c r="W281" s="76"/>
      <c r="X281" s="76"/>
      <c r="Y281" s="76"/>
      <c r="Z281" s="76"/>
      <c r="AA281" s="76"/>
    </row>
    <row r="282" spans="1:27" ht="15.75" customHeight="1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7"/>
      <c r="P282" s="77"/>
      <c r="Q282" s="77"/>
      <c r="R282" s="37"/>
      <c r="S282" s="37"/>
      <c r="T282" s="76"/>
      <c r="U282" s="76"/>
      <c r="V282" s="76"/>
      <c r="W282" s="76"/>
      <c r="X282" s="76"/>
      <c r="Y282" s="76"/>
      <c r="Z282" s="76"/>
      <c r="AA282" s="76"/>
    </row>
    <row r="283" spans="1:27" ht="15.75" customHeight="1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7"/>
      <c r="P283" s="77"/>
      <c r="Q283" s="77"/>
      <c r="R283" s="37"/>
      <c r="S283" s="37"/>
      <c r="T283" s="76"/>
      <c r="U283" s="76"/>
      <c r="V283" s="76"/>
      <c r="W283" s="76"/>
      <c r="X283" s="76"/>
      <c r="Y283" s="76"/>
      <c r="Z283" s="76"/>
      <c r="AA283" s="76"/>
    </row>
    <row r="284" spans="1:27" ht="15.75" customHeight="1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7"/>
      <c r="P284" s="77"/>
      <c r="Q284" s="77"/>
      <c r="R284" s="37"/>
      <c r="S284" s="37"/>
      <c r="T284" s="76"/>
      <c r="U284" s="76"/>
      <c r="V284" s="76"/>
      <c r="W284" s="76"/>
      <c r="X284" s="76"/>
      <c r="Y284" s="76"/>
      <c r="Z284" s="76"/>
      <c r="AA284" s="76"/>
    </row>
    <row r="285" spans="1:27" ht="15.75" customHeight="1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7"/>
      <c r="P285" s="77"/>
      <c r="Q285" s="77"/>
      <c r="R285" s="37"/>
      <c r="S285" s="37"/>
      <c r="T285" s="76"/>
      <c r="U285" s="76"/>
      <c r="V285" s="76"/>
      <c r="W285" s="76"/>
      <c r="X285" s="76"/>
      <c r="Y285" s="76"/>
      <c r="Z285" s="76"/>
      <c r="AA285" s="76"/>
    </row>
    <row r="286" spans="1:27" ht="15.75" customHeight="1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7"/>
      <c r="P286" s="77"/>
      <c r="Q286" s="77"/>
      <c r="R286" s="37"/>
      <c r="S286" s="37"/>
      <c r="T286" s="76"/>
      <c r="U286" s="76"/>
      <c r="V286" s="76"/>
      <c r="W286" s="76"/>
      <c r="X286" s="76"/>
      <c r="Y286" s="76"/>
      <c r="Z286" s="76"/>
      <c r="AA286" s="76"/>
    </row>
    <row r="287" spans="1:27" ht="15.75" customHeight="1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7"/>
      <c r="P287" s="77"/>
      <c r="Q287" s="77"/>
      <c r="R287" s="37"/>
      <c r="S287" s="37"/>
      <c r="T287" s="76"/>
      <c r="U287" s="76"/>
      <c r="V287" s="76"/>
      <c r="W287" s="76"/>
      <c r="X287" s="76"/>
      <c r="Y287" s="76"/>
      <c r="Z287" s="76"/>
      <c r="AA287" s="76"/>
    </row>
    <row r="288" spans="1:27" ht="15.75" customHeight="1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7"/>
      <c r="P288" s="77"/>
      <c r="Q288" s="77"/>
      <c r="R288" s="37"/>
      <c r="S288" s="37"/>
      <c r="T288" s="76"/>
      <c r="U288" s="76"/>
      <c r="V288" s="76"/>
      <c r="W288" s="76"/>
      <c r="X288" s="76"/>
      <c r="Y288" s="76"/>
      <c r="Z288" s="76"/>
      <c r="AA288" s="76"/>
    </row>
    <row r="289" spans="1:27" ht="15.75" customHeight="1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7"/>
      <c r="P289" s="77"/>
      <c r="Q289" s="77"/>
      <c r="R289" s="37"/>
      <c r="S289" s="37"/>
      <c r="T289" s="76"/>
      <c r="U289" s="76"/>
      <c r="V289" s="76"/>
      <c r="W289" s="76"/>
      <c r="X289" s="76"/>
      <c r="Y289" s="76"/>
      <c r="Z289" s="76"/>
      <c r="AA289" s="76"/>
    </row>
    <row r="290" spans="1:27" ht="15.75" customHeight="1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7"/>
      <c r="P290" s="77"/>
      <c r="Q290" s="77"/>
      <c r="R290" s="37"/>
      <c r="S290" s="37"/>
      <c r="T290" s="76"/>
      <c r="U290" s="76"/>
      <c r="V290" s="76"/>
      <c r="W290" s="76"/>
      <c r="X290" s="76"/>
      <c r="Y290" s="76"/>
      <c r="Z290" s="76"/>
      <c r="AA290" s="76"/>
    </row>
    <row r="291" spans="1:27" ht="15.75" customHeight="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7"/>
      <c r="P291" s="77"/>
      <c r="Q291" s="77"/>
      <c r="R291" s="37"/>
      <c r="S291" s="37"/>
      <c r="T291" s="76"/>
      <c r="U291" s="76"/>
      <c r="V291" s="76"/>
      <c r="W291" s="76"/>
      <c r="X291" s="76"/>
      <c r="Y291" s="76"/>
      <c r="Z291" s="76"/>
      <c r="AA291" s="76"/>
    </row>
    <row r="292" spans="1:27" ht="15.75" customHeight="1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7"/>
      <c r="P292" s="77"/>
      <c r="Q292" s="77"/>
      <c r="R292" s="37"/>
      <c r="S292" s="37"/>
      <c r="T292" s="76"/>
      <c r="U292" s="76"/>
      <c r="V292" s="76"/>
      <c r="W292" s="76"/>
      <c r="X292" s="76"/>
      <c r="Y292" s="76"/>
      <c r="Z292" s="76"/>
      <c r="AA292" s="76"/>
    </row>
    <row r="293" spans="1:27" ht="15.75" customHeight="1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7"/>
      <c r="P293" s="77"/>
      <c r="Q293" s="77"/>
      <c r="R293" s="37"/>
      <c r="S293" s="37"/>
      <c r="T293" s="76"/>
      <c r="U293" s="76"/>
      <c r="V293" s="76"/>
      <c r="W293" s="76"/>
      <c r="X293" s="76"/>
      <c r="Y293" s="76"/>
      <c r="Z293" s="76"/>
      <c r="AA293" s="76"/>
    </row>
    <row r="294" spans="1:27" ht="15.75" customHeight="1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7"/>
      <c r="P294" s="77"/>
      <c r="Q294" s="77"/>
      <c r="R294" s="37"/>
      <c r="S294" s="37"/>
      <c r="T294" s="76"/>
      <c r="U294" s="76"/>
      <c r="V294" s="76"/>
      <c r="W294" s="76"/>
      <c r="X294" s="76"/>
      <c r="Y294" s="76"/>
      <c r="Z294" s="76"/>
      <c r="AA294" s="76"/>
    </row>
    <row r="295" spans="1:27" ht="15.75" customHeight="1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7"/>
      <c r="P295" s="77"/>
      <c r="Q295" s="77"/>
      <c r="R295" s="37"/>
      <c r="S295" s="37"/>
      <c r="T295" s="76"/>
      <c r="U295" s="76"/>
      <c r="V295" s="76"/>
      <c r="W295" s="76"/>
      <c r="X295" s="76"/>
      <c r="Y295" s="76"/>
      <c r="Z295" s="76"/>
      <c r="AA295" s="76"/>
    </row>
    <row r="296" spans="1:27" ht="15.75" customHeight="1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7"/>
      <c r="P296" s="77"/>
      <c r="Q296" s="77"/>
      <c r="R296" s="37"/>
      <c r="S296" s="37"/>
      <c r="T296" s="76"/>
      <c r="U296" s="76"/>
      <c r="V296" s="76"/>
      <c r="W296" s="76"/>
      <c r="X296" s="76"/>
      <c r="Y296" s="76"/>
      <c r="Z296" s="76"/>
      <c r="AA296" s="76"/>
    </row>
    <row r="297" spans="1:27" ht="15.75" customHeight="1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7"/>
      <c r="P297" s="77"/>
      <c r="Q297" s="77"/>
      <c r="R297" s="37"/>
      <c r="S297" s="37"/>
      <c r="T297" s="76"/>
      <c r="U297" s="76"/>
      <c r="V297" s="76"/>
      <c r="W297" s="76"/>
      <c r="X297" s="76"/>
      <c r="Y297" s="76"/>
      <c r="Z297" s="76"/>
      <c r="AA297" s="76"/>
    </row>
    <row r="298" spans="1:27" ht="15.75" customHeight="1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7"/>
      <c r="P298" s="77"/>
      <c r="Q298" s="77"/>
      <c r="R298" s="37"/>
      <c r="S298" s="37"/>
      <c r="T298" s="76"/>
      <c r="U298" s="76"/>
      <c r="V298" s="76"/>
      <c r="W298" s="76"/>
      <c r="X298" s="76"/>
      <c r="Y298" s="76"/>
      <c r="Z298" s="76"/>
      <c r="AA298" s="76"/>
    </row>
    <row r="299" spans="1:27" ht="15.75" customHeight="1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7"/>
      <c r="P299" s="77"/>
      <c r="Q299" s="77"/>
      <c r="R299" s="37"/>
      <c r="S299" s="37"/>
      <c r="T299" s="76"/>
      <c r="U299" s="76"/>
      <c r="V299" s="76"/>
      <c r="W299" s="76"/>
      <c r="X299" s="76"/>
      <c r="Y299" s="76"/>
      <c r="Z299" s="76"/>
      <c r="AA299" s="76"/>
    </row>
    <row r="300" spans="1:27" ht="15.75" customHeight="1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7"/>
      <c r="P300" s="77"/>
      <c r="Q300" s="77"/>
      <c r="R300" s="37"/>
      <c r="S300" s="37"/>
      <c r="T300" s="76"/>
      <c r="U300" s="76"/>
      <c r="V300" s="76"/>
      <c r="W300" s="76"/>
      <c r="X300" s="76"/>
      <c r="Y300" s="76"/>
      <c r="Z300" s="76"/>
      <c r="AA300" s="76"/>
    </row>
    <row r="301" spans="1:27" ht="15.75" customHeight="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7"/>
      <c r="P301" s="77"/>
      <c r="Q301" s="77"/>
      <c r="R301" s="37"/>
      <c r="S301" s="37"/>
      <c r="T301" s="76"/>
      <c r="U301" s="76"/>
      <c r="V301" s="76"/>
      <c r="W301" s="76"/>
      <c r="X301" s="76"/>
      <c r="Y301" s="76"/>
      <c r="Z301" s="76"/>
      <c r="AA301" s="76"/>
    </row>
    <row r="302" spans="1:27" ht="15.75" customHeight="1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7"/>
      <c r="P302" s="77"/>
      <c r="Q302" s="77"/>
      <c r="R302" s="37"/>
      <c r="S302" s="37"/>
      <c r="T302" s="76"/>
      <c r="U302" s="76"/>
      <c r="V302" s="76"/>
      <c r="W302" s="76"/>
      <c r="X302" s="76"/>
      <c r="Y302" s="76"/>
      <c r="Z302" s="76"/>
      <c r="AA302" s="76"/>
    </row>
    <row r="303" spans="1:27" ht="15.75" customHeight="1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7"/>
      <c r="P303" s="77"/>
      <c r="Q303" s="77"/>
      <c r="R303" s="37"/>
      <c r="S303" s="37"/>
      <c r="T303" s="76"/>
      <c r="U303" s="76"/>
      <c r="V303" s="76"/>
      <c r="W303" s="76"/>
      <c r="X303" s="76"/>
      <c r="Y303" s="76"/>
      <c r="Z303" s="76"/>
      <c r="AA303" s="76"/>
    </row>
    <row r="304" spans="1:27" ht="15.75" customHeight="1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7"/>
      <c r="P304" s="77"/>
      <c r="Q304" s="77"/>
      <c r="R304" s="37"/>
      <c r="S304" s="37"/>
      <c r="T304" s="76"/>
      <c r="U304" s="76"/>
      <c r="V304" s="76"/>
      <c r="W304" s="76"/>
      <c r="X304" s="76"/>
      <c r="Y304" s="76"/>
      <c r="Z304" s="76"/>
      <c r="AA304" s="76"/>
    </row>
    <row r="305" spans="1:27" ht="15.75" customHeight="1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7"/>
      <c r="P305" s="77"/>
      <c r="Q305" s="77"/>
      <c r="R305" s="37"/>
      <c r="S305" s="37"/>
      <c r="T305" s="76"/>
      <c r="U305" s="76"/>
      <c r="V305" s="76"/>
      <c r="W305" s="76"/>
      <c r="X305" s="76"/>
      <c r="Y305" s="76"/>
      <c r="Z305" s="76"/>
      <c r="AA305" s="76"/>
    </row>
    <row r="306" spans="1:27" ht="15.75" customHeight="1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7"/>
      <c r="P306" s="77"/>
      <c r="Q306" s="77"/>
      <c r="R306" s="37"/>
      <c r="S306" s="37"/>
      <c r="T306" s="76"/>
      <c r="U306" s="76"/>
      <c r="V306" s="76"/>
      <c r="W306" s="76"/>
      <c r="X306" s="76"/>
      <c r="Y306" s="76"/>
      <c r="Z306" s="76"/>
      <c r="AA306" s="76"/>
    </row>
    <row r="307" spans="1:27" ht="15.75" customHeight="1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7"/>
      <c r="P307" s="77"/>
      <c r="Q307" s="77"/>
      <c r="R307" s="37"/>
      <c r="S307" s="37"/>
      <c r="T307" s="76"/>
      <c r="U307" s="76"/>
      <c r="V307" s="76"/>
      <c r="W307" s="76"/>
      <c r="X307" s="76"/>
      <c r="Y307" s="76"/>
      <c r="Z307" s="76"/>
      <c r="AA307" s="76"/>
    </row>
    <row r="308" spans="1:27" ht="15.75" customHeight="1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7"/>
      <c r="P308" s="77"/>
      <c r="Q308" s="77"/>
      <c r="R308" s="37"/>
      <c r="S308" s="37"/>
      <c r="T308" s="76"/>
      <c r="U308" s="76"/>
      <c r="V308" s="76"/>
      <c r="W308" s="76"/>
      <c r="X308" s="76"/>
      <c r="Y308" s="76"/>
      <c r="Z308" s="76"/>
      <c r="AA308" s="76"/>
    </row>
    <row r="309" spans="1:27" ht="15.75" customHeight="1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7"/>
      <c r="P309" s="77"/>
      <c r="Q309" s="77"/>
      <c r="R309" s="37"/>
      <c r="S309" s="37"/>
      <c r="T309" s="76"/>
      <c r="U309" s="76"/>
      <c r="V309" s="76"/>
      <c r="W309" s="76"/>
      <c r="X309" s="76"/>
      <c r="Y309" s="76"/>
      <c r="Z309" s="76"/>
      <c r="AA309" s="76"/>
    </row>
    <row r="310" spans="1:27" ht="15.75" customHeight="1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7"/>
      <c r="P310" s="77"/>
      <c r="Q310" s="77"/>
      <c r="R310" s="37"/>
      <c r="S310" s="37"/>
      <c r="T310" s="76"/>
      <c r="U310" s="76"/>
      <c r="V310" s="76"/>
      <c r="W310" s="76"/>
      <c r="X310" s="76"/>
      <c r="Y310" s="76"/>
      <c r="Z310" s="76"/>
      <c r="AA310" s="76"/>
    </row>
    <row r="311" spans="1:27" ht="15.75" customHeigh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7"/>
      <c r="P311" s="77"/>
      <c r="Q311" s="77"/>
      <c r="R311" s="37"/>
      <c r="S311" s="37"/>
      <c r="T311" s="76"/>
      <c r="U311" s="76"/>
      <c r="V311" s="76"/>
      <c r="W311" s="76"/>
      <c r="X311" s="76"/>
      <c r="Y311" s="76"/>
      <c r="Z311" s="76"/>
      <c r="AA311" s="76"/>
    </row>
    <row r="312" spans="1:27" ht="15.75" customHeight="1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7"/>
      <c r="P312" s="77"/>
      <c r="Q312" s="77"/>
      <c r="R312" s="37"/>
      <c r="S312" s="37"/>
      <c r="T312" s="76"/>
      <c r="U312" s="76"/>
      <c r="V312" s="76"/>
      <c r="W312" s="76"/>
      <c r="X312" s="76"/>
      <c r="Y312" s="76"/>
      <c r="Z312" s="76"/>
      <c r="AA312" s="76"/>
    </row>
    <row r="313" spans="1:27" ht="15.75" customHeight="1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7"/>
      <c r="P313" s="77"/>
      <c r="Q313" s="77"/>
      <c r="R313" s="37"/>
      <c r="S313" s="37"/>
      <c r="T313" s="76"/>
      <c r="U313" s="76"/>
      <c r="V313" s="76"/>
      <c r="W313" s="76"/>
      <c r="X313" s="76"/>
      <c r="Y313" s="76"/>
      <c r="Z313" s="76"/>
      <c r="AA313" s="76"/>
    </row>
    <row r="314" spans="1:27" ht="15.75" customHeight="1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7"/>
      <c r="P314" s="77"/>
      <c r="Q314" s="77"/>
      <c r="R314" s="37"/>
      <c r="S314" s="37"/>
      <c r="T314" s="76"/>
      <c r="U314" s="76"/>
      <c r="V314" s="76"/>
      <c r="W314" s="76"/>
      <c r="X314" s="76"/>
      <c r="Y314" s="76"/>
      <c r="Z314" s="76"/>
      <c r="AA314" s="76"/>
    </row>
    <row r="315" spans="1:27" ht="15.75" customHeight="1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7"/>
      <c r="P315" s="77"/>
      <c r="Q315" s="77"/>
      <c r="R315" s="37"/>
      <c r="S315" s="37"/>
      <c r="T315" s="76"/>
      <c r="U315" s="76"/>
      <c r="V315" s="76"/>
      <c r="W315" s="76"/>
      <c r="X315" s="76"/>
      <c r="Y315" s="76"/>
      <c r="Z315" s="76"/>
      <c r="AA315" s="76"/>
    </row>
    <row r="316" spans="1:27" ht="15.75" customHeight="1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7"/>
      <c r="P316" s="77"/>
      <c r="Q316" s="77"/>
      <c r="R316" s="37"/>
      <c r="S316" s="37"/>
      <c r="T316" s="76"/>
      <c r="U316" s="76"/>
      <c r="V316" s="76"/>
      <c r="W316" s="76"/>
      <c r="X316" s="76"/>
      <c r="Y316" s="76"/>
      <c r="Z316" s="76"/>
      <c r="AA316" s="76"/>
    </row>
    <row r="317" spans="1:27" ht="15.75" customHeight="1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7"/>
      <c r="P317" s="77"/>
      <c r="Q317" s="77"/>
      <c r="R317" s="37"/>
      <c r="S317" s="37"/>
      <c r="T317" s="76"/>
      <c r="U317" s="76"/>
      <c r="V317" s="76"/>
      <c r="W317" s="76"/>
      <c r="X317" s="76"/>
      <c r="Y317" s="76"/>
      <c r="Z317" s="76"/>
      <c r="AA317" s="76"/>
    </row>
    <row r="318" spans="1:27" ht="15.75" customHeight="1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7"/>
      <c r="P318" s="77"/>
      <c r="Q318" s="77"/>
      <c r="R318" s="37"/>
      <c r="S318" s="37"/>
      <c r="T318" s="76"/>
      <c r="U318" s="76"/>
      <c r="V318" s="76"/>
      <c r="W318" s="76"/>
      <c r="X318" s="76"/>
      <c r="Y318" s="76"/>
      <c r="Z318" s="76"/>
      <c r="AA318" s="76"/>
    </row>
    <row r="319" spans="1:27" ht="15.75" customHeight="1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7"/>
      <c r="P319" s="77"/>
      <c r="Q319" s="77"/>
      <c r="R319" s="37"/>
      <c r="S319" s="37"/>
      <c r="T319" s="76"/>
      <c r="U319" s="76"/>
      <c r="V319" s="76"/>
      <c r="W319" s="76"/>
      <c r="X319" s="76"/>
      <c r="Y319" s="76"/>
      <c r="Z319" s="76"/>
      <c r="AA319" s="76"/>
    </row>
    <row r="320" spans="1:27" ht="15.75" customHeight="1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7"/>
      <c r="P320" s="77"/>
      <c r="Q320" s="77"/>
      <c r="R320" s="37"/>
      <c r="S320" s="37"/>
      <c r="T320" s="76"/>
      <c r="U320" s="76"/>
      <c r="V320" s="76"/>
      <c r="W320" s="76"/>
      <c r="X320" s="76"/>
      <c r="Y320" s="76"/>
      <c r="Z320" s="76"/>
      <c r="AA320" s="76"/>
    </row>
    <row r="321" spans="1:27" ht="15.75" customHeight="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7"/>
      <c r="P321" s="77"/>
      <c r="Q321" s="77"/>
      <c r="R321" s="37"/>
      <c r="S321" s="37"/>
      <c r="T321" s="76"/>
      <c r="U321" s="76"/>
      <c r="V321" s="76"/>
      <c r="W321" s="76"/>
      <c r="X321" s="76"/>
      <c r="Y321" s="76"/>
      <c r="Z321" s="76"/>
      <c r="AA321" s="76"/>
    </row>
    <row r="322" spans="1:27" ht="15.75" customHeight="1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7"/>
      <c r="P322" s="77"/>
      <c r="Q322" s="77"/>
      <c r="R322" s="37"/>
      <c r="S322" s="37"/>
      <c r="T322" s="76"/>
      <c r="U322" s="76"/>
      <c r="V322" s="76"/>
      <c r="W322" s="76"/>
      <c r="X322" s="76"/>
      <c r="Y322" s="76"/>
      <c r="Z322" s="76"/>
      <c r="AA322" s="76"/>
    </row>
    <row r="323" spans="1:27" ht="15.75" customHeight="1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7"/>
      <c r="P323" s="77"/>
      <c r="Q323" s="77"/>
      <c r="R323" s="37"/>
      <c r="S323" s="37"/>
      <c r="T323" s="76"/>
      <c r="U323" s="76"/>
      <c r="V323" s="76"/>
      <c r="W323" s="76"/>
      <c r="X323" s="76"/>
      <c r="Y323" s="76"/>
      <c r="Z323" s="76"/>
      <c r="AA323" s="76"/>
    </row>
    <row r="324" spans="1:27" ht="15.75" customHeight="1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7"/>
      <c r="P324" s="77"/>
      <c r="Q324" s="77"/>
      <c r="R324" s="37"/>
      <c r="S324" s="37"/>
      <c r="T324" s="76"/>
      <c r="U324" s="76"/>
      <c r="V324" s="76"/>
      <c r="W324" s="76"/>
      <c r="X324" s="76"/>
      <c r="Y324" s="76"/>
      <c r="Z324" s="76"/>
      <c r="AA324" s="76"/>
    </row>
    <row r="325" spans="1:27" ht="15.75" customHeight="1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7"/>
      <c r="P325" s="77"/>
      <c r="Q325" s="77"/>
      <c r="R325" s="37"/>
      <c r="S325" s="37"/>
      <c r="T325" s="76"/>
      <c r="U325" s="76"/>
      <c r="V325" s="76"/>
      <c r="W325" s="76"/>
      <c r="X325" s="76"/>
      <c r="Y325" s="76"/>
      <c r="Z325" s="76"/>
      <c r="AA325" s="76"/>
    </row>
    <row r="326" spans="1:27" ht="15.75" customHeight="1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7"/>
      <c r="P326" s="77"/>
      <c r="Q326" s="77"/>
      <c r="R326" s="37"/>
      <c r="S326" s="37"/>
      <c r="T326" s="76"/>
      <c r="U326" s="76"/>
      <c r="V326" s="76"/>
      <c r="W326" s="76"/>
      <c r="X326" s="76"/>
      <c r="Y326" s="76"/>
      <c r="Z326" s="76"/>
      <c r="AA326" s="76"/>
    </row>
    <row r="327" spans="1:27" ht="15.75" customHeight="1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7"/>
      <c r="P327" s="77"/>
      <c r="Q327" s="77"/>
      <c r="R327" s="37"/>
      <c r="S327" s="37"/>
      <c r="T327" s="76"/>
      <c r="U327" s="76"/>
      <c r="V327" s="76"/>
      <c r="W327" s="76"/>
      <c r="X327" s="76"/>
      <c r="Y327" s="76"/>
      <c r="Z327" s="76"/>
      <c r="AA327" s="76"/>
    </row>
    <row r="328" spans="1:27" ht="15.75" customHeight="1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7"/>
      <c r="P328" s="77"/>
      <c r="Q328" s="77"/>
      <c r="R328" s="37"/>
      <c r="S328" s="37"/>
      <c r="T328" s="76"/>
      <c r="U328" s="76"/>
      <c r="V328" s="76"/>
      <c r="W328" s="76"/>
      <c r="X328" s="76"/>
      <c r="Y328" s="76"/>
      <c r="Z328" s="76"/>
      <c r="AA328" s="76"/>
    </row>
    <row r="329" spans="1:27" ht="15.75" customHeight="1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7"/>
      <c r="P329" s="77"/>
      <c r="Q329" s="77"/>
      <c r="R329" s="37"/>
      <c r="S329" s="37"/>
      <c r="T329" s="76"/>
      <c r="U329" s="76"/>
      <c r="V329" s="76"/>
      <c r="W329" s="76"/>
      <c r="X329" s="76"/>
      <c r="Y329" s="76"/>
      <c r="Z329" s="76"/>
      <c r="AA329" s="76"/>
    </row>
    <row r="330" spans="1:27" ht="15.75" customHeight="1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7"/>
      <c r="P330" s="77"/>
      <c r="Q330" s="77"/>
      <c r="R330" s="37"/>
      <c r="S330" s="37"/>
      <c r="T330" s="76"/>
      <c r="U330" s="76"/>
      <c r="V330" s="76"/>
      <c r="W330" s="76"/>
      <c r="X330" s="76"/>
      <c r="Y330" s="76"/>
      <c r="Z330" s="76"/>
      <c r="AA330" s="76"/>
    </row>
    <row r="331" spans="1:27" ht="15.75" customHeight="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7"/>
      <c r="P331" s="77"/>
      <c r="Q331" s="77"/>
      <c r="R331" s="37"/>
      <c r="S331" s="37"/>
      <c r="T331" s="76"/>
      <c r="U331" s="76"/>
      <c r="V331" s="76"/>
      <c r="W331" s="76"/>
      <c r="X331" s="76"/>
      <c r="Y331" s="76"/>
      <c r="Z331" s="76"/>
      <c r="AA331" s="76"/>
    </row>
    <row r="332" spans="1:27" ht="15.75" customHeight="1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7"/>
      <c r="P332" s="77"/>
      <c r="Q332" s="77"/>
      <c r="R332" s="37"/>
      <c r="S332" s="37"/>
      <c r="T332" s="76"/>
      <c r="U332" s="76"/>
      <c r="V332" s="76"/>
      <c r="W332" s="76"/>
      <c r="X332" s="76"/>
      <c r="Y332" s="76"/>
      <c r="Z332" s="76"/>
      <c r="AA332" s="76"/>
    </row>
    <row r="333" spans="1:27" ht="15.75" customHeight="1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7"/>
      <c r="P333" s="77"/>
      <c r="Q333" s="77"/>
      <c r="R333" s="37"/>
      <c r="S333" s="37"/>
      <c r="T333" s="76"/>
      <c r="U333" s="76"/>
      <c r="V333" s="76"/>
      <c r="W333" s="76"/>
      <c r="X333" s="76"/>
      <c r="Y333" s="76"/>
      <c r="Z333" s="76"/>
      <c r="AA333" s="76"/>
    </row>
    <row r="334" spans="1:27" ht="15.75" customHeight="1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7"/>
      <c r="P334" s="77"/>
      <c r="Q334" s="77"/>
      <c r="R334" s="37"/>
      <c r="S334" s="37"/>
      <c r="T334" s="76"/>
      <c r="U334" s="76"/>
      <c r="V334" s="76"/>
      <c r="W334" s="76"/>
      <c r="X334" s="76"/>
      <c r="Y334" s="76"/>
      <c r="Z334" s="76"/>
      <c r="AA334" s="76"/>
    </row>
    <row r="335" spans="1:27" ht="15.75" customHeight="1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7"/>
      <c r="P335" s="77"/>
      <c r="Q335" s="77"/>
      <c r="R335" s="37"/>
      <c r="S335" s="37"/>
      <c r="T335" s="76"/>
      <c r="U335" s="76"/>
      <c r="V335" s="76"/>
      <c r="W335" s="76"/>
      <c r="X335" s="76"/>
      <c r="Y335" s="76"/>
      <c r="Z335" s="76"/>
      <c r="AA335" s="76"/>
    </row>
    <row r="336" spans="1:27" ht="15.75" customHeight="1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7"/>
      <c r="P336" s="77"/>
      <c r="Q336" s="77"/>
      <c r="R336" s="37"/>
      <c r="S336" s="37"/>
      <c r="T336" s="76"/>
      <c r="U336" s="76"/>
      <c r="V336" s="76"/>
      <c r="W336" s="76"/>
      <c r="X336" s="76"/>
      <c r="Y336" s="76"/>
      <c r="Z336" s="76"/>
      <c r="AA336" s="76"/>
    </row>
    <row r="337" spans="1:27" ht="15.75" customHeight="1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7"/>
      <c r="P337" s="77"/>
      <c r="Q337" s="77"/>
      <c r="R337" s="37"/>
      <c r="S337" s="37"/>
      <c r="T337" s="76"/>
      <c r="U337" s="76"/>
      <c r="V337" s="76"/>
      <c r="W337" s="76"/>
      <c r="X337" s="76"/>
      <c r="Y337" s="76"/>
      <c r="Z337" s="76"/>
      <c r="AA337" s="76"/>
    </row>
    <row r="338" spans="1:27" ht="15.75" customHeight="1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7"/>
      <c r="P338" s="77"/>
      <c r="Q338" s="77"/>
      <c r="R338" s="37"/>
      <c r="S338" s="37"/>
      <c r="T338" s="76"/>
      <c r="U338" s="76"/>
      <c r="V338" s="76"/>
      <c r="W338" s="76"/>
      <c r="X338" s="76"/>
      <c r="Y338" s="76"/>
      <c r="Z338" s="76"/>
      <c r="AA338" s="76"/>
    </row>
    <row r="339" spans="1:27" ht="15.75" customHeight="1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7"/>
      <c r="P339" s="77"/>
      <c r="Q339" s="77"/>
      <c r="R339" s="37"/>
      <c r="S339" s="37"/>
      <c r="T339" s="76"/>
      <c r="U339" s="76"/>
      <c r="V339" s="76"/>
      <c r="W339" s="76"/>
      <c r="X339" s="76"/>
      <c r="Y339" s="76"/>
      <c r="Z339" s="76"/>
      <c r="AA339" s="76"/>
    </row>
    <row r="340" spans="1:27" ht="15.75" customHeight="1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7"/>
      <c r="P340" s="77"/>
      <c r="Q340" s="77"/>
      <c r="R340" s="37"/>
      <c r="S340" s="37"/>
      <c r="T340" s="76"/>
      <c r="U340" s="76"/>
      <c r="V340" s="76"/>
      <c r="W340" s="76"/>
      <c r="X340" s="76"/>
      <c r="Y340" s="76"/>
      <c r="Z340" s="76"/>
      <c r="AA340" s="76"/>
    </row>
    <row r="341" spans="1:27" ht="15.75" customHeight="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7"/>
      <c r="P341" s="77"/>
      <c r="Q341" s="77"/>
      <c r="R341" s="37"/>
      <c r="S341" s="37"/>
      <c r="T341" s="76"/>
      <c r="U341" s="76"/>
      <c r="V341" s="76"/>
      <c r="W341" s="76"/>
      <c r="X341" s="76"/>
      <c r="Y341" s="76"/>
      <c r="Z341" s="76"/>
      <c r="AA341" s="76"/>
    </row>
    <row r="342" spans="1:27" ht="15.75" customHeight="1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7"/>
      <c r="P342" s="77"/>
      <c r="Q342" s="77"/>
      <c r="R342" s="37"/>
      <c r="S342" s="37"/>
      <c r="T342" s="76"/>
      <c r="U342" s="76"/>
      <c r="V342" s="76"/>
      <c r="W342" s="76"/>
      <c r="X342" s="76"/>
      <c r="Y342" s="76"/>
      <c r="Z342" s="76"/>
      <c r="AA342" s="76"/>
    </row>
    <row r="343" spans="1:27" ht="15.75" customHeight="1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7"/>
      <c r="P343" s="77"/>
      <c r="Q343" s="77"/>
      <c r="R343" s="37"/>
      <c r="S343" s="37"/>
      <c r="T343" s="76"/>
      <c r="U343" s="76"/>
      <c r="V343" s="76"/>
      <c r="W343" s="76"/>
      <c r="X343" s="76"/>
      <c r="Y343" s="76"/>
      <c r="Z343" s="76"/>
      <c r="AA343" s="76"/>
    </row>
    <row r="344" spans="1:27" ht="15.75" customHeight="1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7"/>
      <c r="P344" s="77"/>
      <c r="Q344" s="77"/>
      <c r="R344" s="37"/>
      <c r="S344" s="37"/>
      <c r="T344" s="76"/>
      <c r="U344" s="76"/>
      <c r="V344" s="76"/>
      <c r="W344" s="76"/>
      <c r="X344" s="76"/>
      <c r="Y344" s="76"/>
      <c r="Z344" s="76"/>
      <c r="AA344" s="76"/>
    </row>
    <row r="345" spans="1:27" ht="15.75" customHeight="1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7"/>
      <c r="P345" s="77"/>
      <c r="Q345" s="77"/>
      <c r="R345" s="37"/>
      <c r="S345" s="37"/>
      <c r="T345" s="76"/>
      <c r="U345" s="76"/>
      <c r="V345" s="76"/>
      <c r="W345" s="76"/>
      <c r="X345" s="76"/>
      <c r="Y345" s="76"/>
      <c r="Z345" s="76"/>
      <c r="AA345" s="76"/>
    </row>
    <row r="346" spans="1:27" ht="15.75" customHeight="1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7"/>
      <c r="P346" s="77"/>
      <c r="Q346" s="77"/>
      <c r="R346" s="37"/>
      <c r="S346" s="37"/>
      <c r="T346" s="76"/>
      <c r="U346" s="76"/>
      <c r="V346" s="76"/>
      <c r="W346" s="76"/>
      <c r="X346" s="76"/>
      <c r="Y346" s="76"/>
      <c r="Z346" s="76"/>
      <c r="AA346" s="76"/>
    </row>
    <row r="347" spans="1:27" ht="15.75" customHeight="1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7"/>
      <c r="P347" s="77"/>
      <c r="Q347" s="77"/>
      <c r="R347" s="37"/>
      <c r="S347" s="37"/>
      <c r="T347" s="76"/>
      <c r="U347" s="76"/>
      <c r="V347" s="76"/>
      <c r="W347" s="76"/>
      <c r="X347" s="76"/>
      <c r="Y347" s="76"/>
      <c r="Z347" s="76"/>
      <c r="AA347" s="76"/>
    </row>
    <row r="348" spans="1:27" ht="15.75" customHeight="1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7"/>
      <c r="P348" s="77"/>
      <c r="Q348" s="77"/>
      <c r="R348" s="37"/>
      <c r="S348" s="37"/>
      <c r="T348" s="76"/>
      <c r="U348" s="76"/>
      <c r="V348" s="76"/>
      <c r="W348" s="76"/>
      <c r="X348" s="76"/>
      <c r="Y348" s="76"/>
      <c r="Z348" s="76"/>
      <c r="AA348" s="76"/>
    </row>
    <row r="349" spans="1:27" ht="15.75" customHeight="1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7"/>
      <c r="P349" s="77"/>
      <c r="Q349" s="77"/>
      <c r="R349" s="37"/>
      <c r="S349" s="37"/>
      <c r="T349" s="76"/>
      <c r="U349" s="76"/>
      <c r="V349" s="76"/>
      <c r="W349" s="76"/>
      <c r="X349" s="76"/>
      <c r="Y349" s="76"/>
      <c r="Z349" s="76"/>
      <c r="AA349" s="76"/>
    </row>
    <row r="350" spans="1:27" ht="15.75" customHeight="1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7"/>
      <c r="P350" s="77"/>
      <c r="Q350" s="77"/>
      <c r="R350" s="37"/>
      <c r="S350" s="37"/>
      <c r="T350" s="76"/>
      <c r="U350" s="76"/>
      <c r="V350" s="76"/>
      <c r="W350" s="76"/>
      <c r="X350" s="76"/>
      <c r="Y350" s="76"/>
      <c r="Z350" s="76"/>
      <c r="AA350" s="76"/>
    </row>
    <row r="351" spans="1:27" ht="15.75" customHeight="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7"/>
      <c r="P351" s="77"/>
      <c r="Q351" s="77"/>
      <c r="R351" s="37"/>
      <c r="S351" s="37"/>
      <c r="T351" s="76"/>
      <c r="U351" s="76"/>
      <c r="V351" s="76"/>
      <c r="W351" s="76"/>
      <c r="X351" s="76"/>
      <c r="Y351" s="76"/>
      <c r="Z351" s="76"/>
      <c r="AA351" s="76"/>
    </row>
    <row r="352" spans="1:27" ht="15.75" customHeight="1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7"/>
      <c r="P352" s="77"/>
      <c r="Q352" s="77"/>
      <c r="R352" s="37"/>
      <c r="S352" s="37"/>
      <c r="T352" s="76"/>
      <c r="U352" s="76"/>
      <c r="V352" s="76"/>
      <c r="W352" s="76"/>
      <c r="X352" s="76"/>
      <c r="Y352" s="76"/>
      <c r="Z352" s="76"/>
      <c r="AA352" s="76"/>
    </row>
    <row r="353" spans="1:27" ht="15.75" customHeight="1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7"/>
      <c r="P353" s="77"/>
      <c r="Q353" s="77"/>
      <c r="R353" s="37"/>
      <c r="S353" s="37"/>
      <c r="T353" s="76"/>
      <c r="U353" s="76"/>
      <c r="V353" s="76"/>
      <c r="W353" s="76"/>
      <c r="X353" s="76"/>
      <c r="Y353" s="76"/>
      <c r="Z353" s="76"/>
      <c r="AA353" s="76"/>
    </row>
    <row r="354" spans="1:27" ht="15.75" customHeight="1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7"/>
      <c r="P354" s="77"/>
      <c r="Q354" s="77"/>
      <c r="R354" s="37"/>
      <c r="S354" s="37"/>
      <c r="T354" s="76"/>
      <c r="U354" s="76"/>
      <c r="V354" s="76"/>
      <c r="W354" s="76"/>
      <c r="X354" s="76"/>
      <c r="Y354" s="76"/>
      <c r="Z354" s="76"/>
      <c r="AA354" s="76"/>
    </row>
    <row r="355" spans="1:27" ht="15.75" customHeight="1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7"/>
      <c r="P355" s="77"/>
      <c r="Q355" s="77"/>
      <c r="R355" s="37"/>
      <c r="S355" s="37"/>
      <c r="T355" s="76"/>
      <c r="U355" s="76"/>
      <c r="V355" s="76"/>
      <c r="W355" s="76"/>
      <c r="X355" s="76"/>
      <c r="Y355" s="76"/>
      <c r="Z355" s="76"/>
      <c r="AA355" s="76"/>
    </row>
    <row r="356" spans="1:27" ht="15.75" customHeight="1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7"/>
      <c r="P356" s="77"/>
      <c r="Q356" s="77"/>
      <c r="R356" s="37"/>
      <c r="S356" s="37"/>
      <c r="T356" s="76"/>
      <c r="U356" s="76"/>
      <c r="V356" s="76"/>
      <c r="W356" s="76"/>
      <c r="X356" s="76"/>
      <c r="Y356" s="76"/>
      <c r="Z356" s="76"/>
      <c r="AA356" s="76"/>
    </row>
    <row r="357" spans="1:27" ht="15.75" customHeight="1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7"/>
      <c r="P357" s="77"/>
      <c r="Q357" s="77"/>
      <c r="R357" s="37"/>
      <c r="S357" s="37"/>
      <c r="T357" s="76"/>
      <c r="U357" s="76"/>
      <c r="V357" s="76"/>
      <c r="W357" s="76"/>
      <c r="X357" s="76"/>
      <c r="Y357" s="76"/>
      <c r="Z357" s="76"/>
      <c r="AA357" s="76"/>
    </row>
    <row r="358" spans="1:27" ht="15.75" customHeight="1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7"/>
      <c r="P358" s="77"/>
      <c r="Q358" s="77"/>
      <c r="R358" s="37"/>
      <c r="S358" s="37"/>
      <c r="T358" s="76"/>
      <c r="U358" s="76"/>
      <c r="V358" s="76"/>
      <c r="W358" s="76"/>
      <c r="X358" s="76"/>
      <c r="Y358" s="76"/>
      <c r="Z358" s="76"/>
      <c r="AA358" s="76"/>
    </row>
    <row r="359" spans="1:27" ht="15.75" customHeight="1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7"/>
      <c r="P359" s="77"/>
      <c r="Q359" s="77"/>
      <c r="R359" s="37"/>
      <c r="S359" s="37"/>
      <c r="T359" s="76"/>
      <c r="U359" s="76"/>
      <c r="V359" s="76"/>
      <c r="W359" s="76"/>
      <c r="X359" s="76"/>
      <c r="Y359" s="76"/>
      <c r="Z359" s="76"/>
      <c r="AA359" s="76"/>
    </row>
    <row r="360" spans="1:27" ht="15.75" customHeight="1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7"/>
      <c r="P360" s="77"/>
      <c r="Q360" s="77"/>
      <c r="R360" s="37"/>
      <c r="S360" s="37"/>
      <c r="T360" s="76"/>
      <c r="U360" s="76"/>
      <c r="V360" s="76"/>
      <c r="W360" s="76"/>
      <c r="X360" s="76"/>
      <c r="Y360" s="76"/>
      <c r="Z360" s="76"/>
      <c r="AA360" s="76"/>
    </row>
    <row r="361" spans="1:27" ht="15.75" customHeight="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7"/>
      <c r="P361" s="77"/>
      <c r="Q361" s="77"/>
      <c r="R361" s="37"/>
      <c r="S361" s="37"/>
      <c r="T361" s="76"/>
      <c r="U361" s="76"/>
      <c r="V361" s="76"/>
      <c r="W361" s="76"/>
      <c r="X361" s="76"/>
      <c r="Y361" s="76"/>
      <c r="Z361" s="76"/>
      <c r="AA361" s="76"/>
    </row>
    <row r="362" spans="1:27" ht="15.75" customHeight="1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7"/>
      <c r="P362" s="77"/>
      <c r="Q362" s="77"/>
      <c r="R362" s="37"/>
      <c r="S362" s="37"/>
      <c r="T362" s="76"/>
      <c r="U362" s="76"/>
      <c r="V362" s="76"/>
      <c r="W362" s="76"/>
      <c r="X362" s="76"/>
      <c r="Y362" s="76"/>
      <c r="Z362" s="76"/>
      <c r="AA362" s="76"/>
    </row>
    <row r="363" spans="1:27" ht="15.75" customHeight="1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7"/>
      <c r="P363" s="77"/>
      <c r="Q363" s="77"/>
      <c r="R363" s="37"/>
      <c r="S363" s="37"/>
      <c r="T363" s="76"/>
      <c r="U363" s="76"/>
      <c r="V363" s="76"/>
      <c r="W363" s="76"/>
      <c r="X363" s="76"/>
      <c r="Y363" s="76"/>
      <c r="Z363" s="76"/>
      <c r="AA363" s="76"/>
    </row>
    <row r="364" spans="1:27" ht="15.75" customHeight="1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7"/>
      <c r="P364" s="77"/>
      <c r="Q364" s="77"/>
      <c r="R364" s="37"/>
      <c r="S364" s="37"/>
      <c r="T364" s="76"/>
      <c r="U364" s="76"/>
      <c r="V364" s="76"/>
      <c r="W364" s="76"/>
      <c r="X364" s="76"/>
      <c r="Y364" s="76"/>
      <c r="Z364" s="76"/>
      <c r="AA364" s="76"/>
    </row>
    <row r="365" spans="1:27" ht="15.75" customHeight="1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7"/>
      <c r="P365" s="77"/>
      <c r="Q365" s="77"/>
      <c r="R365" s="37"/>
      <c r="S365" s="37"/>
      <c r="T365" s="76"/>
      <c r="U365" s="76"/>
      <c r="V365" s="76"/>
      <c r="W365" s="76"/>
      <c r="X365" s="76"/>
      <c r="Y365" s="76"/>
      <c r="Z365" s="76"/>
      <c r="AA365" s="76"/>
    </row>
    <row r="366" spans="1:27" ht="15.75" customHeight="1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7"/>
      <c r="P366" s="77"/>
      <c r="Q366" s="77"/>
      <c r="R366" s="37"/>
      <c r="S366" s="37"/>
      <c r="T366" s="76"/>
      <c r="U366" s="76"/>
      <c r="V366" s="76"/>
      <c r="W366" s="76"/>
      <c r="X366" s="76"/>
      <c r="Y366" s="76"/>
      <c r="Z366" s="76"/>
      <c r="AA366" s="76"/>
    </row>
    <row r="367" spans="1:27" ht="15.75" customHeight="1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7"/>
      <c r="P367" s="77"/>
      <c r="Q367" s="77"/>
      <c r="R367" s="37"/>
      <c r="S367" s="37"/>
      <c r="T367" s="76"/>
      <c r="U367" s="76"/>
      <c r="V367" s="76"/>
      <c r="W367" s="76"/>
      <c r="X367" s="76"/>
      <c r="Y367" s="76"/>
      <c r="Z367" s="76"/>
      <c r="AA367" s="76"/>
    </row>
    <row r="368" spans="1:27" ht="15.75" customHeight="1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7"/>
      <c r="P368" s="77"/>
      <c r="Q368" s="77"/>
      <c r="R368" s="37"/>
      <c r="S368" s="37"/>
      <c r="T368" s="76"/>
      <c r="U368" s="76"/>
      <c r="V368" s="76"/>
      <c r="W368" s="76"/>
      <c r="X368" s="76"/>
      <c r="Y368" s="76"/>
      <c r="Z368" s="76"/>
      <c r="AA368" s="76"/>
    </row>
    <row r="369" spans="1:27" ht="15.75" customHeight="1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7"/>
      <c r="P369" s="77"/>
      <c r="Q369" s="77"/>
      <c r="R369" s="37"/>
      <c r="S369" s="37"/>
      <c r="T369" s="76"/>
      <c r="U369" s="76"/>
      <c r="V369" s="76"/>
      <c r="W369" s="76"/>
      <c r="X369" s="76"/>
      <c r="Y369" s="76"/>
      <c r="Z369" s="76"/>
      <c r="AA369" s="76"/>
    </row>
    <row r="370" spans="1:27" ht="15.75" customHeight="1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7"/>
      <c r="P370" s="77"/>
      <c r="Q370" s="77"/>
      <c r="R370" s="37"/>
      <c r="S370" s="37"/>
      <c r="T370" s="76"/>
      <c r="U370" s="76"/>
      <c r="V370" s="76"/>
      <c r="W370" s="76"/>
      <c r="X370" s="76"/>
      <c r="Y370" s="76"/>
      <c r="Z370" s="76"/>
      <c r="AA370" s="76"/>
    </row>
    <row r="371" spans="1:27" ht="15.75" customHeight="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7"/>
      <c r="P371" s="77"/>
      <c r="Q371" s="77"/>
      <c r="R371" s="37"/>
      <c r="S371" s="37"/>
      <c r="T371" s="76"/>
      <c r="U371" s="76"/>
      <c r="V371" s="76"/>
      <c r="W371" s="76"/>
      <c r="X371" s="76"/>
      <c r="Y371" s="76"/>
      <c r="Z371" s="76"/>
      <c r="AA371" s="76"/>
    </row>
    <row r="372" spans="1:27" ht="15.75" customHeight="1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7"/>
      <c r="P372" s="77"/>
      <c r="Q372" s="77"/>
      <c r="R372" s="37"/>
      <c r="S372" s="37"/>
      <c r="T372" s="76"/>
      <c r="U372" s="76"/>
      <c r="V372" s="76"/>
      <c r="W372" s="76"/>
      <c r="X372" s="76"/>
      <c r="Y372" s="76"/>
      <c r="Z372" s="76"/>
      <c r="AA372" s="76"/>
    </row>
    <row r="373" spans="1:27" ht="15.75" customHeight="1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7"/>
      <c r="P373" s="77"/>
      <c r="Q373" s="77"/>
      <c r="R373" s="37"/>
      <c r="S373" s="37"/>
      <c r="T373" s="76"/>
      <c r="U373" s="76"/>
      <c r="V373" s="76"/>
      <c r="W373" s="76"/>
      <c r="X373" s="76"/>
      <c r="Y373" s="76"/>
      <c r="Z373" s="76"/>
      <c r="AA373" s="76"/>
    </row>
    <row r="374" spans="1:27" ht="15.75" customHeight="1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7"/>
      <c r="P374" s="77"/>
      <c r="Q374" s="77"/>
      <c r="R374" s="37"/>
      <c r="S374" s="37"/>
      <c r="T374" s="76"/>
      <c r="U374" s="76"/>
      <c r="V374" s="76"/>
      <c r="W374" s="76"/>
      <c r="X374" s="76"/>
      <c r="Y374" s="76"/>
      <c r="Z374" s="76"/>
      <c r="AA374" s="76"/>
    </row>
    <row r="375" spans="1:27" ht="15.75" customHeight="1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7"/>
      <c r="P375" s="77"/>
      <c r="Q375" s="77"/>
      <c r="R375" s="37"/>
      <c r="S375" s="37"/>
      <c r="T375" s="76"/>
      <c r="U375" s="76"/>
      <c r="V375" s="76"/>
      <c r="W375" s="76"/>
      <c r="X375" s="76"/>
      <c r="Y375" s="76"/>
      <c r="Z375" s="76"/>
      <c r="AA375" s="76"/>
    </row>
    <row r="376" spans="1:27" ht="15.75" customHeight="1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7"/>
      <c r="P376" s="77"/>
      <c r="Q376" s="77"/>
      <c r="R376" s="37"/>
      <c r="S376" s="37"/>
      <c r="T376" s="76"/>
      <c r="U376" s="76"/>
      <c r="V376" s="76"/>
      <c r="W376" s="76"/>
      <c r="X376" s="76"/>
      <c r="Y376" s="76"/>
      <c r="Z376" s="76"/>
      <c r="AA376" s="76"/>
    </row>
    <row r="377" spans="1:27" ht="15.75" customHeight="1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7"/>
      <c r="P377" s="77"/>
      <c r="Q377" s="77"/>
      <c r="R377" s="37"/>
      <c r="S377" s="37"/>
      <c r="T377" s="76"/>
      <c r="U377" s="76"/>
      <c r="V377" s="76"/>
      <c r="W377" s="76"/>
      <c r="X377" s="76"/>
      <c r="Y377" s="76"/>
      <c r="Z377" s="76"/>
      <c r="AA377" s="76"/>
    </row>
    <row r="378" spans="1:27" ht="15.75" customHeight="1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7"/>
      <c r="P378" s="77"/>
      <c r="Q378" s="77"/>
      <c r="R378" s="37"/>
      <c r="S378" s="37"/>
      <c r="T378" s="76"/>
      <c r="U378" s="76"/>
      <c r="V378" s="76"/>
      <c r="W378" s="76"/>
      <c r="X378" s="76"/>
      <c r="Y378" s="76"/>
      <c r="Z378" s="76"/>
      <c r="AA378" s="76"/>
    </row>
    <row r="379" spans="1:27" ht="15.75" customHeight="1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7"/>
      <c r="P379" s="77"/>
      <c r="Q379" s="77"/>
      <c r="R379" s="37"/>
      <c r="S379" s="37"/>
      <c r="T379" s="76"/>
      <c r="U379" s="76"/>
      <c r="V379" s="76"/>
      <c r="W379" s="76"/>
      <c r="X379" s="76"/>
      <c r="Y379" s="76"/>
      <c r="Z379" s="76"/>
      <c r="AA379" s="76"/>
    </row>
    <row r="380" spans="1:27" ht="15.75" customHeight="1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7"/>
      <c r="P380" s="77"/>
      <c r="Q380" s="77"/>
      <c r="R380" s="37"/>
      <c r="S380" s="37"/>
      <c r="T380" s="76"/>
      <c r="U380" s="76"/>
      <c r="V380" s="76"/>
      <c r="W380" s="76"/>
      <c r="X380" s="76"/>
      <c r="Y380" s="76"/>
      <c r="Z380" s="76"/>
      <c r="AA380" s="76"/>
    </row>
    <row r="381" spans="1:27" ht="15.75" customHeight="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7"/>
      <c r="P381" s="77"/>
      <c r="Q381" s="77"/>
      <c r="R381" s="37"/>
      <c r="S381" s="37"/>
      <c r="T381" s="76"/>
      <c r="U381" s="76"/>
      <c r="V381" s="76"/>
      <c r="W381" s="76"/>
      <c r="X381" s="76"/>
      <c r="Y381" s="76"/>
      <c r="Z381" s="76"/>
      <c r="AA381" s="76"/>
    </row>
    <row r="382" spans="1:27" ht="15.75" customHeight="1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7"/>
      <c r="P382" s="77"/>
      <c r="Q382" s="77"/>
      <c r="R382" s="37"/>
      <c r="S382" s="37"/>
      <c r="T382" s="76"/>
      <c r="U382" s="76"/>
      <c r="V382" s="76"/>
      <c r="W382" s="76"/>
      <c r="X382" s="76"/>
      <c r="Y382" s="76"/>
      <c r="Z382" s="76"/>
      <c r="AA382" s="76"/>
    </row>
    <row r="383" spans="1:27" ht="15.75" customHeight="1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7"/>
      <c r="P383" s="77"/>
      <c r="Q383" s="77"/>
      <c r="R383" s="37"/>
      <c r="S383" s="37"/>
      <c r="T383" s="76"/>
      <c r="U383" s="76"/>
      <c r="V383" s="76"/>
      <c r="W383" s="76"/>
      <c r="X383" s="76"/>
      <c r="Y383" s="76"/>
      <c r="Z383" s="76"/>
      <c r="AA383" s="76"/>
    </row>
    <row r="384" spans="1:27" ht="15.75" customHeight="1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7"/>
      <c r="P384" s="77"/>
      <c r="Q384" s="77"/>
      <c r="R384" s="37"/>
      <c r="S384" s="37"/>
      <c r="T384" s="76"/>
      <c r="U384" s="76"/>
      <c r="V384" s="76"/>
      <c r="W384" s="76"/>
      <c r="X384" s="76"/>
      <c r="Y384" s="76"/>
      <c r="Z384" s="76"/>
      <c r="AA384" s="76"/>
    </row>
    <row r="385" spans="1:27" ht="15.75" customHeight="1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7"/>
      <c r="P385" s="77"/>
      <c r="Q385" s="77"/>
      <c r="R385" s="37"/>
      <c r="S385" s="37"/>
      <c r="T385" s="76"/>
      <c r="U385" s="76"/>
      <c r="V385" s="76"/>
      <c r="W385" s="76"/>
      <c r="X385" s="76"/>
      <c r="Y385" s="76"/>
      <c r="Z385" s="76"/>
      <c r="AA385" s="76"/>
    </row>
    <row r="386" spans="1:27" ht="15.75" customHeight="1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7"/>
      <c r="P386" s="77"/>
      <c r="Q386" s="77"/>
      <c r="R386" s="37"/>
      <c r="S386" s="37"/>
      <c r="T386" s="76"/>
      <c r="U386" s="76"/>
      <c r="V386" s="76"/>
      <c r="W386" s="76"/>
      <c r="X386" s="76"/>
      <c r="Y386" s="76"/>
      <c r="Z386" s="76"/>
      <c r="AA386" s="76"/>
    </row>
    <row r="387" spans="1:27" ht="15.75" customHeight="1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7"/>
      <c r="P387" s="77"/>
      <c r="Q387" s="77"/>
      <c r="R387" s="37"/>
      <c r="S387" s="37"/>
      <c r="T387" s="76"/>
      <c r="U387" s="76"/>
      <c r="V387" s="76"/>
      <c r="W387" s="76"/>
      <c r="X387" s="76"/>
      <c r="Y387" s="76"/>
      <c r="Z387" s="76"/>
      <c r="AA387" s="76"/>
    </row>
    <row r="388" spans="1:27" ht="15.75" customHeight="1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7"/>
      <c r="P388" s="77"/>
      <c r="Q388" s="77"/>
      <c r="R388" s="37"/>
      <c r="S388" s="37"/>
      <c r="T388" s="76"/>
      <c r="U388" s="76"/>
      <c r="V388" s="76"/>
      <c r="W388" s="76"/>
      <c r="X388" s="76"/>
      <c r="Y388" s="76"/>
      <c r="Z388" s="76"/>
      <c r="AA388" s="76"/>
    </row>
    <row r="389" spans="1:27" ht="15.75" customHeight="1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7"/>
      <c r="P389" s="77"/>
      <c r="Q389" s="77"/>
      <c r="R389" s="37"/>
      <c r="S389" s="37"/>
      <c r="T389" s="76"/>
      <c r="U389" s="76"/>
      <c r="V389" s="76"/>
      <c r="W389" s="76"/>
      <c r="X389" s="76"/>
      <c r="Y389" s="76"/>
      <c r="Z389" s="76"/>
      <c r="AA389" s="76"/>
    </row>
    <row r="390" spans="1:27" ht="15.75" customHeight="1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7"/>
      <c r="P390" s="77"/>
      <c r="Q390" s="77"/>
      <c r="R390" s="37"/>
      <c r="S390" s="37"/>
      <c r="T390" s="76"/>
      <c r="U390" s="76"/>
      <c r="V390" s="76"/>
      <c r="W390" s="76"/>
      <c r="X390" s="76"/>
      <c r="Y390" s="76"/>
      <c r="Z390" s="76"/>
      <c r="AA390" s="76"/>
    </row>
    <row r="391" spans="1:27" ht="15.75" customHeight="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7"/>
      <c r="P391" s="77"/>
      <c r="Q391" s="77"/>
      <c r="R391" s="37"/>
      <c r="S391" s="37"/>
      <c r="T391" s="76"/>
      <c r="U391" s="76"/>
      <c r="V391" s="76"/>
      <c r="W391" s="76"/>
      <c r="X391" s="76"/>
      <c r="Y391" s="76"/>
      <c r="Z391" s="76"/>
      <c r="AA391" s="76"/>
    </row>
    <row r="392" spans="1:27" ht="15.75" customHeight="1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7"/>
      <c r="P392" s="77"/>
      <c r="Q392" s="77"/>
      <c r="R392" s="37"/>
      <c r="S392" s="37"/>
      <c r="T392" s="76"/>
      <c r="U392" s="76"/>
      <c r="V392" s="76"/>
      <c r="W392" s="76"/>
      <c r="X392" s="76"/>
      <c r="Y392" s="76"/>
      <c r="Z392" s="76"/>
      <c r="AA392" s="76"/>
    </row>
    <row r="393" spans="1:27" ht="15.75" customHeight="1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7"/>
      <c r="P393" s="77"/>
      <c r="Q393" s="77"/>
      <c r="R393" s="37"/>
      <c r="S393" s="37"/>
      <c r="T393" s="76"/>
      <c r="U393" s="76"/>
      <c r="V393" s="76"/>
      <c r="W393" s="76"/>
      <c r="X393" s="76"/>
      <c r="Y393" s="76"/>
      <c r="Z393" s="76"/>
      <c r="AA393" s="76"/>
    </row>
    <row r="394" spans="1:27" ht="15.75" customHeight="1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7"/>
      <c r="P394" s="77"/>
      <c r="Q394" s="77"/>
      <c r="R394" s="37"/>
      <c r="S394" s="37"/>
      <c r="T394" s="76"/>
      <c r="U394" s="76"/>
      <c r="V394" s="76"/>
      <c r="W394" s="76"/>
      <c r="X394" s="76"/>
      <c r="Y394" s="76"/>
      <c r="Z394" s="76"/>
      <c r="AA394" s="76"/>
    </row>
    <row r="395" spans="1:27" ht="15.75" customHeight="1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7"/>
      <c r="P395" s="77"/>
      <c r="Q395" s="77"/>
      <c r="R395" s="37"/>
      <c r="S395" s="37"/>
      <c r="T395" s="76"/>
      <c r="U395" s="76"/>
      <c r="V395" s="76"/>
      <c r="W395" s="76"/>
      <c r="X395" s="76"/>
      <c r="Y395" s="76"/>
      <c r="Z395" s="76"/>
      <c r="AA395" s="76"/>
    </row>
    <row r="396" spans="1:27" ht="15.75" customHeight="1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7"/>
      <c r="P396" s="77"/>
      <c r="Q396" s="77"/>
      <c r="R396" s="37"/>
      <c r="S396" s="37"/>
      <c r="T396" s="76"/>
      <c r="U396" s="76"/>
      <c r="V396" s="76"/>
      <c r="W396" s="76"/>
      <c r="X396" s="76"/>
      <c r="Y396" s="76"/>
      <c r="Z396" s="76"/>
      <c r="AA396" s="76"/>
    </row>
    <row r="397" spans="1:27" ht="15.75" customHeight="1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7"/>
      <c r="P397" s="77"/>
      <c r="Q397" s="77"/>
      <c r="R397" s="37"/>
      <c r="S397" s="37"/>
      <c r="T397" s="76"/>
      <c r="U397" s="76"/>
      <c r="V397" s="76"/>
      <c r="W397" s="76"/>
      <c r="X397" s="76"/>
      <c r="Y397" s="76"/>
      <c r="Z397" s="76"/>
      <c r="AA397" s="76"/>
    </row>
    <row r="398" spans="1:27" ht="15.75" customHeight="1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7"/>
      <c r="P398" s="77"/>
      <c r="Q398" s="77"/>
      <c r="R398" s="37"/>
      <c r="S398" s="37"/>
      <c r="T398" s="76"/>
      <c r="U398" s="76"/>
      <c r="V398" s="76"/>
      <c r="W398" s="76"/>
      <c r="X398" s="76"/>
      <c r="Y398" s="76"/>
      <c r="Z398" s="76"/>
      <c r="AA398" s="76"/>
    </row>
    <row r="399" spans="1:27" ht="15.75" customHeight="1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7"/>
      <c r="P399" s="77"/>
      <c r="Q399" s="77"/>
      <c r="R399" s="37"/>
      <c r="S399" s="37"/>
      <c r="T399" s="76"/>
      <c r="U399" s="76"/>
      <c r="V399" s="76"/>
      <c r="W399" s="76"/>
      <c r="X399" s="76"/>
      <c r="Y399" s="76"/>
      <c r="Z399" s="76"/>
      <c r="AA399" s="76"/>
    </row>
    <row r="400" spans="1:27" ht="15.75" customHeight="1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7"/>
      <c r="P400" s="77"/>
      <c r="Q400" s="77"/>
      <c r="R400" s="37"/>
      <c r="S400" s="37"/>
      <c r="T400" s="76"/>
      <c r="U400" s="76"/>
      <c r="V400" s="76"/>
      <c r="W400" s="76"/>
      <c r="X400" s="76"/>
      <c r="Y400" s="76"/>
      <c r="Z400" s="76"/>
      <c r="AA400" s="76"/>
    </row>
    <row r="401" spans="1:27" ht="15.75" customHeight="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7"/>
      <c r="P401" s="77"/>
      <c r="Q401" s="77"/>
      <c r="R401" s="37"/>
      <c r="S401" s="37"/>
      <c r="T401" s="76"/>
      <c r="U401" s="76"/>
      <c r="V401" s="76"/>
      <c r="W401" s="76"/>
      <c r="X401" s="76"/>
      <c r="Y401" s="76"/>
      <c r="Z401" s="76"/>
      <c r="AA401" s="76"/>
    </row>
    <row r="402" spans="1:27" ht="15.75" customHeight="1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7"/>
      <c r="P402" s="77"/>
      <c r="Q402" s="77"/>
      <c r="R402" s="37"/>
      <c r="S402" s="37"/>
      <c r="T402" s="76"/>
      <c r="U402" s="76"/>
      <c r="V402" s="76"/>
      <c r="W402" s="76"/>
      <c r="X402" s="76"/>
      <c r="Y402" s="76"/>
      <c r="Z402" s="76"/>
      <c r="AA402" s="76"/>
    </row>
    <row r="403" spans="1:27" ht="15.75" customHeight="1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7"/>
      <c r="P403" s="77"/>
      <c r="Q403" s="77"/>
      <c r="R403" s="37"/>
      <c r="S403" s="37"/>
      <c r="T403" s="76"/>
      <c r="U403" s="76"/>
      <c r="V403" s="76"/>
      <c r="W403" s="76"/>
      <c r="X403" s="76"/>
      <c r="Y403" s="76"/>
      <c r="Z403" s="76"/>
      <c r="AA403" s="76"/>
    </row>
    <row r="404" spans="1:27" ht="15.75" customHeight="1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7"/>
      <c r="P404" s="77"/>
      <c r="Q404" s="77"/>
      <c r="R404" s="37"/>
      <c r="S404" s="37"/>
      <c r="T404" s="76"/>
      <c r="U404" s="76"/>
      <c r="V404" s="76"/>
      <c r="W404" s="76"/>
      <c r="X404" s="76"/>
      <c r="Y404" s="76"/>
      <c r="Z404" s="76"/>
      <c r="AA404" s="76"/>
    </row>
    <row r="405" spans="1:27" ht="15.75" customHeight="1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7"/>
      <c r="P405" s="77"/>
      <c r="Q405" s="77"/>
      <c r="R405" s="37"/>
      <c r="S405" s="37"/>
      <c r="T405" s="76"/>
      <c r="U405" s="76"/>
      <c r="V405" s="76"/>
      <c r="W405" s="76"/>
      <c r="X405" s="76"/>
      <c r="Y405" s="76"/>
      <c r="Z405" s="76"/>
      <c r="AA405" s="76"/>
    </row>
    <row r="406" spans="1:27" ht="15.75" customHeight="1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7"/>
      <c r="P406" s="77"/>
      <c r="Q406" s="77"/>
      <c r="R406" s="37"/>
      <c r="S406" s="37"/>
      <c r="T406" s="76"/>
      <c r="U406" s="76"/>
      <c r="V406" s="76"/>
      <c r="W406" s="76"/>
      <c r="X406" s="76"/>
      <c r="Y406" s="76"/>
      <c r="Z406" s="76"/>
      <c r="AA406" s="76"/>
    </row>
    <row r="407" spans="1:27" ht="15.75" customHeight="1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7"/>
      <c r="P407" s="77"/>
      <c r="Q407" s="77"/>
      <c r="R407" s="37"/>
      <c r="S407" s="37"/>
      <c r="T407" s="76"/>
      <c r="U407" s="76"/>
      <c r="V407" s="76"/>
      <c r="W407" s="76"/>
      <c r="X407" s="76"/>
      <c r="Y407" s="76"/>
      <c r="Z407" s="76"/>
      <c r="AA407" s="76"/>
    </row>
    <row r="408" spans="1:27" ht="15.75" customHeight="1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7"/>
      <c r="P408" s="77"/>
      <c r="Q408" s="77"/>
      <c r="R408" s="37"/>
      <c r="S408" s="37"/>
      <c r="T408" s="76"/>
      <c r="U408" s="76"/>
      <c r="V408" s="76"/>
      <c r="W408" s="76"/>
      <c r="X408" s="76"/>
      <c r="Y408" s="76"/>
      <c r="Z408" s="76"/>
      <c r="AA408" s="76"/>
    </row>
    <row r="409" spans="1:27" ht="15.75" customHeight="1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7"/>
      <c r="P409" s="77"/>
      <c r="Q409" s="77"/>
      <c r="R409" s="37"/>
      <c r="S409" s="37"/>
      <c r="T409" s="76"/>
      <c r="U409" s="76"/>
      <c r="V409" s="76"/>
      <c r="W409" s="76"/>
      <c r="X409" s="76"/>
      <c r="Y409" s="76"/>
      <c r="Z409" s="76"/>
      <c r="AA409" s="76"/>
    </row>
    <row r="410" spans="1:27" ht="15.75" customHeight="1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7"/>
      <c r="P410" s="77"/>
      <c r="Q410" s="77"/>
      <c r="R410" s="37"/>
      <c r="S410" s="37"/>
      <c r="T410" s="76"/>
      <c r="U410" s="76"/>
      <c r="V410" s="76"/>
      <c r="W410" s="76"/>
      <c r="X410" s="76"/>
      <c r="Y410" s="76"/>
      <c r="Z410" s="76"/>
      <c r="AA410" s="76"/>
    </row>
    <row r="411" spans="1:27" ht="15.75" customHeight="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7"/>
      <c r="P411" s="77"/>
      <c r="Q411" s="77"/>
      <c r="R411" s="37"/>
      <c r="S411" s="37"/>
      <c r="T411" s="76"/>
      <c r="U411" s="76"/>
      <c r="V411" s="76"/>
      <c r="W411" s="76"/>
      <c r="X411" s="76"/>
      <c r="Y411" s="76"/>
      <c r="Z411" s="76"/>
      <c r="AA411" s="76"/>
    </row>
    <row r="412" spans="1:27" ht="15.75" customHeight="1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7"/>
      <c r="P412" s="77"/>
      <c r="Q412" s="77"/>
      <c r="R412" s="37"/>
      <c r="S412" s="37"/>
      <c r="T412" s="76"/>
      <c r="U412" s="76"/>
      <c r="V412" s="76"/>
      <c r="W412" s="76"/>
      <c r="X412" s="76"/>
      <c r="Y412" s="76"/>
      <c r="Z412" s="76"/>
      <c r="AA412" s="76"/>
    </row>
    <row r="413" spans="1:27" ht="15.75" customHeight="1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7"/>
      <c r="P413" s="77"/>
      <c r="Q413" s="77"/>
      <c r="R413" s="37"/>
      <c r="S413" s="37"/>
      <c r="T413" s="76"/>
      <c r="U413" s="76"/>
      <c r="V413" s="76"/>
      <c r="W413" s="76"/>
      <c r="X413" s="76"/>
      <c r="Y413" s="76"/>
      <c r="Z413" s="76"/>
      <c r="AA413" s="76"/>
    </row>
    <row r="414" spans="1:27" ht="15.75" customHeight="1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7"/>
      <c r="P414" s="77"/>
      <c r="Q414" s="77"/>
      <c r="R414" s="37"/>
      <c r="S414" s="37"/>
      <c r="T414" s="76"/>
      <c r="U414" s="76"/>
      <c r="V414" s="76"/>
      <c r="W414" s="76"/>
      <c r="X414" s="76"/>
      <c r="Y414" s="76"/>
      <c r="Z414" s="76"/>
      <c r="AA414" s="76"/>
    </row>
    <row r="415" spans="1:27" ht="15.75" customHeight="1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7"/>
      <c r="P415" s="77"/>
      <c r="Q415" s="77"/>
      <c r="R415" s="37"/>
      <c r="S415" s="37"/>
      <c r="T415" s="76"/>
      <c r="U415" s="76"/>
      <c r="V415" s="76"/>
      <c r="W415" s="76"/>
      <c r="X415" s="76"/>
      <c r="Y415" s="76"/>
      <c r="Z415" s="76"/>
      <c r="AA415" s="76"/>
    </row>
    <row r="416" spans="1:27" ht="15.75" customHeight="1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7"/>
      <c r="P416" s="77"/>
      <c r="Q416" s="77"/>
      <c r="R416" s="37"/>
      <c r="S416" s="37"/>
      <c r="T416" s="76"/>
      <c r="U416" s="76"/>
      <c r="V416" s="76"/>
      <c r="W416" s="76"/>
      <c r="X416" s="76"/>
      <c r="Y416" s="76"/>
      <c r="Z416" s="76"/>
      <c r="AA416" s="76"/>
    </row>
    <row r="417" spans="1:27" ht="15.75" customHeight="1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7"/>
      <c r="P417" s="77"/>
      <c r="Q417" s="77"/>
      <c r="R417" s="37"/>
      <c r="S417" s="37"/>
      <c r="T417" s="76"/>
      <c r="U417" s="76"/>
      <c r="V417" s="76"/>
      <c r="W417" s="76"/>
      <c r="X417" s="76"/>
      <c r="Y417" s="76"/>
      <c r="Z417" s="76"/>
      <c r="AA417" s="76"/>
    </row>
    <row r="418" spans="1:27" ht="15.75" customHeight="1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7"/>
      <c r="P418" s="77"/>
      <c r="Q418" s="77"/>
      <c r="R418" s="37"/>
      <c r="S418" s="37"/>
      <c r="T418" s="76"/>
      <c r="U418" s="76"/>
      <c r="V418" s="76"/>
      <c r="W418" s="76"/>
      <c r="X418" s="76"/>
      <c r="Y418" s="76"/>
      <c r="Z418" s="76"/>
      <c r="AA418" s="76"/>
    </row>
    <row r="419" spans="1:27" ht="15.75" customHeight="1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7"/>
      <c r="P419" s="77"/>
      <c r="Q419" s="77"/>
      <c r="R419" s="37"/>
      <c r="S419" s="37"/>
      <c r="T419" s="76"/>
      <c r="U419" s="76"/>
      <c r="V419" s="76"/>
      <c r="W419" s="76"/>
      <c r="X419" s="76"/>
      <c r="Y419" s="76"/>
      <c r="Z419" s="76"/>
      <c r="AA419" s="76"/>
    </row>
    <row r="420" spans="1:27" ht="15.75" customHeight="1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7"/>
      <c r="P420" s="77"/>
      <c r="Q420" s="77"/>
      <c r="R420" s="37"/>
      <c r="S420" s="37"/>
      <c r="T420" s="76"/>
      <c r="U420" s="76"/>
      <c r="V420" s="76"/>
      <c r="W420" s="76"/>
      <c r="X420" s="76"/>
      <c r="Y420" s="76"/>
      <c r="Z420" s="76"/>
      <c r="AA420" s="76"/>
    </row>
    <row r="421" spans="1:27" ht="15.75" customHeight="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7"/>
      <c r="P421" s="77"/>
      <c r="Q421" s="77"/>
      <c r="R421" s="37"/>
      <c r="S421" s="37"/>
      <c r="T421" s="76"/>
      <c r="U421" s="76"/>
      <c r="V421" s="76"/>
      <c r="W421" s="76"/>
      <c r="X421" s="76"/>
      <c r="Y421" s="76"/>
      <c r="Z421" s="76"/>
      <c r="AA421" s="76"/>
    </row>
    <row r="422" spans="1:27" ht="15.75" customHeight="1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7"/>
      <c r="P422" s="77"/>
      <c r="Q422" s="77"/>
      <c r="R422" s="37"/>
      <c r="S422" s="37"/>
      <c r="T422" s="76"/>
      <c r="U422" s="76"/>
      <c r="V422" s="76"/>
      <c r="W422" s="76"/>
      <c r="X422" s="76"/>
      <c r="Y422" s="76"/>
      <c r="Z422" s="76"/>
      <c r="AA422" s="76"/>
    </row>
    <row r="423" spans="1:27" ht="15.75" customHeight="1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7"/>
      <c r="P423" s="77"/>
      <c r="Q423" s="77"/>
      <c r="R423" s="37"/>
      <c r="S423" s="37"/>
      <c r="T423" s="76"/>
      <c r="U423" s="76"/>
      <c r="V423" s="76"/>
      <c r="W423" s="76"/>
      <c r="X423" s="76"/>
      <c r="Y423" s="76"/>
      <c r="Z423" s="76"/>
      <c r="AA423" s="76"/>
    </row>
    <row r="424" spans="1:27" ht="15.75" customHeight="1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7"/>
      <c r="P424" s="77"/>
      <c r="Q424" s="77"/>
      <c r="R424" s="37"/>
      <c r="S424" s="37"/>
      <c r="T424" s="76"/>
      <c r="U424" s="76"/>
      <c r="V424" s="76"/>
      <c r="W424" s="76"/>
      <c r="X424" s="76"/>
      <c r="Y424" s="76"/>
      <c r="Z424" s="76"/>
      <c r="AA424" s="76"/>
    </row>
    <row r="425" spans="1:27" ht="15.75" customHeight="1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7"/>
      <c r="P425" s="77"/>
      <c r="Q425" s="77"/>
      <c r="R425" s="37"/>
      <c r="S425" s="37"/>
      <c r="T425" s="76"/>
      <c r="U425" s="76"/>
      <c r="V425" s="76"/>
      <c r="W425" s="76"/>
      <c r="X425" s="76"/>
      <c r="Y425" s="76"/>
      <c r="Z425" s="76"/>
      <c r="AA425" s="76"/>
    </row>
    <row r="426" spans="1:27" ht="15.75" customHeight="1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7"/>
      <c r="P426" s="77"/>
      <c r="Q426" s="77"/>
      <c r="R426" s="37"/>
      <c r="S426" s="37"/>
      <c r="T426" s="76"/>
      <c r="U426" s="76"/>
      <c r="V426" s="76"/>
      <c r="W426" s="76"/>
      <c r="X426" s="76"/>
      <c r="Y426" s="76"/>
      <c r="Z426" s="76"/>
      <c r="AA426" s="76"/>
    </row>
    <row r="427" spans="1:27" ht="15.75" customHeight="1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7"/>
      <c r="P427" s="77"/>
      <c r="Q427" s="77"/>
      <c r="R427" s="37"/>
      <c r="S427" s="37"/>
      <c r="T427" s="76"/>
      <c r="U427" s="76"/>
      <c r="V427" s="76"/>
      <c r="W427" s="76"/>
      <c r="X427" s="76"/>
      <c r="Y427" s="76"/>
      <c r="Z427" s="76"/>
      <c r="AA427" s="76"/>
    </row>
    <row r="428" spans="1:27" ht="15.75" customHeight="1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7"/>
      <c r="P428" s="77"/>
      <c r="Q428" s="77"/>
      <c r="R428" s="37"/>
      <c r="S428" s="37"/>
      <c r="T428" s="76"/>
      <c r="U428" s="76"/>
      <c r="V428" s="76"/>
      <c r="W428" s="76"/>
      <c r="X428" s="76"/>
      <c r="Y428" s="76"/>
      <c r="Z428" s="76"/>
      <c r="AA428" s="76"/>
    </row>
    <row r="429" spans="1:27" ht="15.75" customHeight="1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7"/>
      <c r="P429" s="77"/>
      <c r="Q429" s="77"/>
      <c r="R429" s="37"/>
      <c r="S429" s="37"/>
      <c r="T429" s="76"/>
      <c r="U429" s="76"/>
      <c r="V429" s="76"/>
      <c r="W429" s="76"/>
      <c r="X429" s="76"/>
      <c r="Y429" s="76"/>
      <c r="Z429" s="76"/>
      <c r="AA429" s="76"/>
    </row>
    <row r="430" spans="1:27" ht="15.75" customHeight="1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7"/>
      <c r="P430" s="77"/>
      <c r="Q430" s="77"/>
      <c r="R430" s="37"/>
      <c r="S430" s="37"/>
      <c r="T430" s="76"/>
      <c r="U430" s="76"/>
      <c r="V430" s="76"/>
      <c r="W430" s="76"/>
      <c r="X430" s="76"/>
      <c r="Y430" s="76"/>
      <c r="Z430" s="76"/>
      <c r="AA430" s="76"/>
    </row>
    <row r="431" spans="1:27" ht="15.75" customHeight="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7"/>
      <c r="P431" s="77"/>
      <c r="Q431" s="77"/>
      <c r="R431" s="37"/>
      <c r="S431" s="37"/>
      <c r="T431" s="76"/>
      <c r="U431" s="76"/>
      <c r="V431" s="76"/>
      <c r="W431" s="76"/>
      <c r="X431" s="76"/>
      <c r="Y431" s="76"/>
      <c r="Z431" s="76"/>
      <c r="AA431" s="76"/>
    </row>
    <row r="432" spans="1:27" ht="15.75" customHeight="1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7"/>
      <c r="P432" s="77"/>
      <c r="Q432" s="77"/>
      <c r="R432" s="37"/>
      <c r="S432" s="37"/>
      <c r="T432" s="76"/>
      <c r="U432" s="76"/>
      <c r="V432" s="76"/>
      <c r="W432" s="76"/>
      <c r="X432" s="76"/>
      <c r="Y432" s="76"/>
      <c r="Z432" s="76"/>
      <c r="AA432" s="76"/>
    </row>
    <row r="433" spans="1:27" ht="15.75" customHeight="1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7"/>
      <c r="P433" s="77"/>
      <c r="Q433" s="77"/>
      <c r="R433" s="37"/>
      <c r="S433" s="37"/>
      <c r="T433" s="76"/>
      <c r="U433" s="76"/>
      <c r="V433" s="76"/>
      <c r="W433" s="76"/>
      <c r="X433" s="76"/>
      <c r="Y433" s="76"/>
      <c r="Z433" s="76"/>
      <c r="AA433" s="76"/>
    </row>
    <row r="434" spans="1:27" ht="15.75" customHeight="1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7"/>
      <c r="P434" s="77"/>
      <c r="Q434" s="77"/>
      <c r="R434" s="37"/>
      <c r="S434" s="37"/>
      <c r="T434" s="76"/>
      <c r="U434" s="76"/>
      <c r="V434" s="76"/>
      <c r="W434" s="76"/>
      <c r="X434" s="76"/>
      <c r="Y434" s="76"/>
      <c r="Z434" s="76"/>
      <c r="AA434" s="76"/>
    </row>
    <row r="435" spans="1:27" ht="15.75" customHeight="1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7"/>
      <c r="P435" s="77"/>
      <c r="Q435" s="77"/>
      <c r="R435" s="37"/>
      <c r="S435" s="37"/>
      <c r="T435" s="76"/>
      <c r="U435" s="76"/>
      <c r="V435" s="76"/>
      <c r="W435" s="76"/>
      <c r="X435" s="76"/>
      <c r="Y435" s="76"/>
      <c r="Z435" s="76"/>
      <c r="AA435" s="76"/>
    </row>
    <row r="436" spans="1:27" ht="15.75" customHeight="1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7"/>
      <c r="P436" s="77"/>
      <c r="Q436" s="77"/>
      <c r="R436" s="37"/>
      <c r="S436" s="37"/>
      <c r="T436" s="76"/>
      <c r="U436" s="76"/>
      <c r="V436" s="76"/>
      <c r="W436" s="76"/>
      <c r="X436" s="76"/>
      <c r="Y436" s="76"/>
      <c r="Z436" s="76"/>
      <c r="AA436" s="76"/>
    </row>
    <row r="437" spans="1:27" ht="15.75" customHeight="1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7"/>
      <c r="P437" s="77"/>
      <c r="Q437" s="77"/>
      <c r="R437" s="37"/>
      <c r="S437" s="37"/>
      <c r="T437" s="76"/>
      <c r="U437" s="76"/>
      <c r="V437" s="76"/>
      <c r="W437" s="76"/>
      <c r="X437" s="76"/>
      <c r="Y437" s="76"/>
      <c r="Z437" s="76"/>
      <c r="AA437" s="76"/>
    </row>
    <row r="438" spans="1:27" ht="15.75" customHeight="1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7"/>
      <c r="P438" s="77"/>
      <c r="Q438" s="77"/>
      <c r="R438" s="37"/>
      <c r="S438" s="37"/>
      <c r="T438" s="76"/>
      <c r="U438" s="76"/>
      <c r="V438" s="76"/>
      <c r="W438" s="76"/>
      <c r="X438" s="76"/>
      <c r="Y438" s="76"/>
      <c r="Z438" s="76"/>
      <c r="AA438" s="76"/>
    </row>
    <row r="439" spans="1:27" ht="15.75" customHeight="1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7"/>
      <c r="P439" s="77"/>
      <c r="Q439" s="77"/>
      <c r="R439" s="37"/>
      <c r="S439" s="37"/>
      <c r="T439" s="76"/>
      <c r="U439" s="76"/>
      <c r="V439" s="76"/>
      <c r="W439" s="76"/>
      <c r="X439" s="76"/>
      <c r="Y439" s="76"/>
      <c r="Z439" s="76"/>
      <c r="AA439" s="76"/>
    </row>
    <row r="440" spans="1:27" ht="15.75" customHeight="1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7"/>
      <c r="P440" s="77"/>
      <c r="Q440" s="77"/>
      <c r="R440" s="37"/>
      <c r="S440" s="37"/>
      <c r="T440" s="76"/>
      <c r="U440" s="76"/>
      <c r="V440" s="76"/>
      <c r="W440" s="76"/>
      <c r="X440" s="76"/>
      <c r="Y440" s="76"/>
      <c r="Z440" s="76"/>
      <c r="AA440" s="76"/>
    </row>
    <row r="441" spans="1:27" ht="15.75" customHeight="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7"/>
      <c r="P441" s="77"/>
      <c r="Q441" s="77"/>
      <c r="R441" s="37"/>
      <c r="S441" s="37"/>
      <c r="T441" s="76"/>
      <c r="U441" s="76"/>
      <c r="V441" s="76"/>
      <c r="W441" s="76"/>
      <c r="X441" s="76"/>
      <c r="Y441" s="76"/>
      <c r="Z441" s="76"/>
      <c r="AA441" s="76"/>
    </row>
    <row r="442" spans="1:27" ht="15.75" customHeight="1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7"/>
      <c r="P442" s="77"/>
      <c r="Q442" s="77"/>
      <c r="R442" s="37"/>
      <c r="S442" s="37"/>
      <c r="T442" s="76"/>
      <c r="U442" s="76"/>
      <c r="V442" s="76"/>
      <c r="W442" s="76"/>
      <c r="X442" s="76"/>
      <c r="Y442" s="76"/>
      <c r="Z442" s="76"/>
      <c r="AA442" s="76"/>
    </row>
    <row r="443" spans="1:27" ht="15.75" customHeight="1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7"/>
      <c r="P443" s="77"/>
      <c r="Q443" s="77"/>
      <c r="R443" s="37"/>
      <c r="S443" s="37"/>
      <c r="T443" s="76"/>
      <c r="U443" s="76"/>
      <c r="V443" s="76"/>
      <c r="W443" s="76"/>
      <c r="X443" s="76"/>
      <c r="Y443" s="76"/>
      <c r="Z443" s="76"/>
      <c r="AA443" s="76"/>
    </row>
    <row r="444" spans="1:27" ht="15.75" customHeight="1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7"/>
      <c r="P444" s="77"/>
      <c r="Q444" s="77"/>
      <c r="R444" s="37"/>
      <c r="S444" s="37"/>
      <c r="T444" s="76"/>
      <c r="U444" s="76"/>
      <c r="V444" s="76"/>
      <c r="W444" s="76"/>
      <c r="X444" s="76"/>
      <c r="Y444" s="76"/>
      <c r="Z444" s="76"/>
      <c r="AA444" s="76"/>
    </row>
    <row r="445" spans="1:27" ht="15.75" customHeight="1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7"/>
      <c r="P445" s="77"/>
      <c r="Q445" s="77"/>
      <c r="R445" s="37"/>
      <c r="S445" s="37"/>
      <c r="T445" s="76"/>
      <c r="U445" s="76"/>
      <c r="V445" s="76"/>
      <c r="W445" s="76"/>
      <c r="X445" s="76"/>
      <c r="Y445" s="76"/>
      <c r="Z445" s="76"/>
      <c r="AA445" s="76"/>
    </row>
    <row r="446" spans="1:27" ht="15.75" customHeight="1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7"/>
      <c r="P446" s="77"/>
      <c r="Q446" s="77"/>
      <c r="R446" s="37"/>
      <c r="S446" s="37"/>
      <c r="T446" s="76"/>
      <c r="U446" s="76"/>
      <c r="V446" s="76"/>
      <c r="W446" s="76"/>
      <c r="X446" s="76"/>
      <c r="Y446" s="76"/>
      <c r="Z446" s="76"/>
      <c r="AA446" s="76"/>
    </row>
    <row r="447" spans="1:27" ht="15.75" customHeight="1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7"/>
      <c r="P447" s="77"/>
      <c r="Q447" s="77"/>
      <c r="R447" s="37"/>
      <c r="S447" s="37"/>
      <c r="T447" s="76"/>
      <c r="U447" s="76"/>
      <c r="V447" s="76"/>
      <c r="W447" s="76"/>
      <c r="X447" s="76"/>
      <c r="Y447" s="76"/>
      <c r="Z447" s="76"/>
      <c r="AA447" s="76"/>
    </row>
    <row r="448" spans="1:27" ht="15.75" customHeight="1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7"/>
      <c r="P448" s="77"/>
      <c r="Q448" s="77"/>
      <c r="R448" s="37"/>
      <c r="S448" s="37"/>
      <c r="T448" s="76"/>
      <c r="U448" s="76"/>
      <c r="V448" s="76"/>
      <c r="W448" s="76"/>
      <c r="X448" s="76"/>
      <c r="Y448" s="76"/>
      <c r="Z448" s="76"/>
      <c r="AA448" s="76"/>
    </row>
    <row r="449" spans="1:27" ht="15.75" customHeight="1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7"/>
      <c r="P449" s="77"/>
      <c r="Q449" s="77"/>
      <c r="R449" s="37"/>
      <c r="S449" s="37"/>
      <c r="T449" s="76"/>
      <c r="U449" s="76"/>
      <c r="V449" s="76"/>
      <c r="W449" s="76"/>
      <c r="X449" s="76"/>
      <c r="Y449" s="76"/>
      <c r="Z449" s="76"/>
      <c r="AA449" s="76"/>
    </row>
    <row r="450" spans="1:27" ht="15.75" customHeight="1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7"/>
      <c r="P450" s="77"/>
      <c r="Q450" s="77"/>
      <c r="R450" s="37"/>
      <c r="S450" s="37"/>
      <c r="T450" s="76"/>
      <c r="U450" s="76"/>
      <c r="V450" s="76"/>
      <c r="W450" s="76"/>
      <c r="X450" s="76"/>
      <c r="Y450" s="76"/>
      <c r="Z450" s="76"/>
      <c r="AA450" s="76"/>
    </row>
    <row r="451" spans="1:27" ht="15.75" customHeight="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7"/>
      <c r="P451" s="77"/>
      <c r="Q451" s="77"/>
      <c r="R451" s="37"/>
      <c r="S451" s="37"/>
      <c r="T451" s="76"/>
      <c r="U451" s="76"/>
      <c r="V451" s="76"/>
      <c r="W451" s="76"/>
      <c r="X451" s="76"/>
      <c r="Y451" s="76"/>
      <c r="Z451" s="76"/>
      <c r="AA451" s="76"/>
    </row>
    <row r="452" spans="1:27" ht="15.75" customHeight="1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7"/>
      <c r="P452" s="77"/>
      <c r="Q452" s="77"/>
      <c r="R452" s="37"/>
      <c r="S452" s="37"/>
      <c r="T452" s="76"/>
      <c r="U452" s="76"/>
      <c r="V452" s="76"/>
      <c r="W452" s="76"/>
      <c r="X452" s="76"/>
      <c r="Y452" s="76"/>
      <c r="Z452" s="76"/>
      <c r="AA452" s="76"/>
    </row>
    <row r="453" spans="1:27" ht="15.75" customHeight="1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7"/>
      <c r="P453" s="77"/>
      <c r="Q453" s="77"/>
      <c r="R453" s="37"/>
      <c r="S453" s="37"/>
      <c r="T453" s="76"/>
      <c r="U453" s="76"/>
      <c r="V453" s="76"/>
      <c r="W453" s="76"/>
      <c r="X453" s="76"/>
      <c r="Y453" s="76"/>
      <c r="Z453" s="76"/>
      <c r="AA453" s="76"/>
    </row>
    <row r="454" spans="1:27" ht="15.75" customHeight="1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7"/>
      <c r="P454" s="77"/>
      <c r="Q454" s="77"/>
      <c r="R454" s="37"/>
      <c r="S454" s="37"/>
      <c r="T454" s="76"/>
      <c r="U454" s="76"/>
      <c r="V454" s="76"/>
      <c r="W454" s="76"/>
      <c r="X454" s="76"/>
      <c r="Y454" s="76"/>
      <c r="Z454" s="76"/>
      <c r="AA454" s="76"/>
    </row>
    <row r="455" spans="1:27" ht="15.75" customHeight="1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7"/>
      <c r="P455" s="77"/>
      <c r="Q455" s="77"/>
      <c r="R455" s="37"/>
      <c r="S455" s="37"/>
      <c r="T455" s="76"/>
      <c r="U455" s="76"/>
      <c r="V455" s="76"/>
      <c r="W455" s="76"/>
      <c r="X455" s="76"/>
      <c r="Y455" s="76"/>
      <c r="Z455" s="76"/>
      <c r="AA455" s="76"/>
    </row>
    <row r="456" spans="1:27" ht="15.75" customHeight="1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7"/>
      <c r="P456" s="77"/>
      <c r="Q456" s="77"/>
      <c r="R456" s="37"/>
      <c r="S456" s="37"/>
      <c r="T456" s="76"/>
      <c r="U456" s="76"/>
      <c r="V456" s="76"/>
      <c r="W456" s="76"/>
      <c r="X456" s="76"/>
      <c r="Y456" s="76"/>
      <c r="Z456" s="76"/>
      <c r="AA456" s="76"/>
    </row>
    <row r="457" spans="1:27" ht="15.75" customHeight="1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7"/>
      <c r="P457" s="77"/>
      <c r="Q457" s="77"/>
      <c r="R457" s="37"/>
      <c r="S457" s="37"/>
      <c r="T457" s="76"/>
      <c r="U457" s="76"/>
      <c r="V457" s="76"/>
      <c r="W457" s="76"/>
      <c r="X457" s="76"/>
      <c r="Y457" s="76"/>
      <c r="Z457" s="76"/>
      <c r="AA457" s="76"/>
    </row>
    <row r="458" spans="1:27" ht="15.75" customHeight="1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7"/>
      <c r="P458" s="77"/>
      <c r="Q458" s="77"/>
      <c r="R458" s="37"/>
      <c r="S458" s="37"/>
      <c r="T458" s="76"/>
      <c r="U458" s="76"/>
      <c r="V458" s="76"/>
      <c r="W458" s="76"/>
      <c r="X458" s="76"/>
      <c r="Y458" s="76"/>
      <c r="Z458" s="76"/>
      <c r="AA458" s="76"/>
    </row>
    <row r="459" spans="1:27" ht="15.75" customHeight="1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7"/>
      <c r="P459" s="77"/>
      <c r="Q459" s="77"/>
      <c r="R459" s="37"/>
      <c r="S459" s="37"/>
      <c r="T459" s="76"/>
      <c r="U459" s="76"/>
      <c r="V459" s="76"/>
      <c r="W459" s="76"/>
      <c r="X459" s="76"/>
      <c r="Y459" s="76"/>
      <c r="Z459" s="76"/>
      <c r="AA459" s="76"/>
    </row>
    <row r="460" spans="1:27" ht="15.75" customHeight="1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7"/>
      <c r="P460" s="77"/>
      <c r="Q460" s="77"/>
      <c r="R460" s="37"/>
      <c r="S460" s="37"/>
      <c r="T460" s="76"/>
      <c r="U460" s="76"/>
      <c r="V460" s="76"/>
      <c r="W460" s="76"/>
      <c r="X460" s="76"/>
      <c r="Y460" s="76"/>
      <c r="Z460" s="76"/>
      <c r="AA460" s="76"/>
    </row>
    <row r="461" spans="1:27" ht="15.75" customHeight="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7"/>
      <c r="P461" s="77"/>
      <c r="Q461" s="77"/>
      <c r="R461" s="37"/>
      <c r="S461" s="37"/>
      <c r="T461" s="76"/>
      <c r="U461" s="76"/>
      <c r="V461" s="76"/>
      <c r="W461" s="76"/>
      <c r="X461" s="76"/>
      <c r="Y461" s="76"/>
      <c r="Z461" s="76"/>
      <c r="AA461" s="76"/>
    </row>
    <row r="462" spans="1:27" ht="15.75" customHeight="1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7"/>
      <c r="P462" s="77"/>
      <c r="Q462" s="77"/>
      <c r="R462" s="37"/>
      <c r="S462" s="37"/>
      <c r="T462" s="76"/>
      <c r="U462" s="76"/>
      <c r="V462" s="76"/>
      <c r="W462" s="76"/>
      <c r="X462" s="76"/>
      <c r="Y462" s="76"/>
      <c r="Z462" s="76"/>
      <c r="AA462" s="76"/>
    </row>
    <row r="463" spans="1:27" ht="15.75" customHeight="1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7"/>
      <c r="P463" s="77"/>
      <c r="Q463" s="77"/>
      <c r="R463" s="37"/>
      <c r="S463" s="37"/>
      <c r="T463" s="76"/>
      <c r="U463" s="76"/>
      <c r="V463" s="76"/>
      <c r="W463" s="76"/>
      <c r="X463" s="76"/>
      <c r="Y463" s="76"/>
      <c r="Z463" s="76"/>
      <c r="AA463" s="76"/>
    </row>
    <row r="464" spans="1:27" ht="15.75" customHeight="1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7"/>
      <c r="P464" s="77"/>
      <c r="Q464" s="77"/>
      <c r="R464" s="37"/>
      <c r="S464" s="37"/>
      <c r="T464" s="76"/>
      <c r="U464" s="76"/>
      <c r="V464" s="76"/>
      <c r="W464" s="76"/>
      <c r="X464" s="76"/>
      <c r="Y464" s="76"/>
      <c r="Z464" s="76"/>
      <c r="AA464" s="76"/>
    </row>
    <row r="465" spans="1:27" ht="15.75" customHeight="1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7"/>
      <c r="P465" s="77"/>
      <c r="Q465" s="77"/>
      <c r="R465" s="37"/>
      <c r="S465" s="37"/>
      <c r="T465" s="76"/>
      <c r="U465" s="76"/>
      <c r="V465" s="76"/>
      <c r="W465" s="76"/>
      <c r="X465" s="76"/>
      <c r="Y465" s="76"/>
      <c r="Z465" s="76"/>
      <c r="AA465" s="76"/>
    </row>
    <row r="466" spans="1:27" ht="15.75" customHeight="1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7"/>
      <c r="P466" s="77"/>
      <c r="Q466" s="77"/>
      <c r="R466" s="37"/>
      <c r="S466" s="37"/>
      <c r="T466" s="76"/>
      <c r="U466" s="76"/>
      <c r="V466" s="76"/>
      <c r="W466" s="76"/>
      <c r="X466" s="76"/>
      <c r="Y466" s="76"/>
      <c r="Z466" s="76"/>
      <c r="AA466" s="76"/>
    </row>
    <row r="467" spans="1:27" ht="15.75" customHeight="1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7"/>
      <c r="P467" s="77"/>
      <c r="Q467" s="77"/>
      <c r="R467" s="37"/>
      <c r="S467" s="37"/>
      <c r="T467" s="76"/>
      <c r="U467" s="76"/>
      <c r="V467" s="76"/>
      <c r="W467" s="76"/>
      <c r="X467" s="76"/>
      <c r="Y467" s="76"/>
      <c r="Z467" s="76"/>
      <c r="AA467" s="76"/>
    </row>
    <row r="468" spans="1:27" ht="15.75" customHeight="1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7"/>
      <c r="P468" s="77"/>
      <c r="Q468" s="77"/>
      <c r="R468" s="37"/>
      <c r="S468" s="37"/>
      <c r="T468" s="76"/>
      <c r="U468" s="76"/>
      <c r="V468" s="76"/>
      <c r="W468" s="76"/>
      <c r="X468" s="76"/>
      <c r="Y468" s="76"/>
      <c r="Z468" s="76"/>
      <c r="AA468" s="76"/>
    </row>
    <row r="469" spans="1:27" ht="15.75" customHeight="1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7"/>
      <c r="P469" s="77"/>
      <c r="Q469" s="77"/>
      <c r="R469" s="37"/>
      <c r="S469" s="37"/>
      <c r="T469" s="76"/>
      <c r="U469" s="76"/>
      <c r="V469" s="76"/>
      <c r="W469" s="76"/>
      <c r="X469" s="76"/>
      <c r="Y469" s="76"/>
      <c r="Z469" s="76"/>
      <c r="AA469" s="76"/>
    </row>
    <row r="470" spans="1:27" ht="15.75" customHeight="1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7"/>
      <c r="P470" s="77"/>
      <c r="Q470" s="77"/>
      <c r="R470" s="37"/>
      <c r="S470" s="37"/>
      <c r="T470" s="76"/>
      <c r="U470" s="76"/>
      <c r="V470" s="76"/>
      <c r="W470" s="76"/>
      <c r="X470" s="76"/>
      <c r="Y470" s="76"/>
      <c r="Z470" s="76"/>
      <c r="AA470" s="76"/>
    </row>
    <row r="471" spans="1:27" ht="15.75" customHeight="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7"/>
      <c r="P471" s="77"/>
      <c r="Q471" s="77"/>
      <c r="R471" s="37"/>
      <c r="S471" s="37"/>
      <c r="T471" s="76"/>
      <c r="U471" s="76"/>
      <c r="V471" s="76"/>
      <c r="W471" s="76"/>
      <c r="X471" s="76"/>
      <c r="Y471" s="76"/>
      <c r="Z471" s="76"/>
      <c r="AA471" s="76"/>
    </row>
    <row r="472" spans="1:27" ht="15.75" customHeight="1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7"/>
      <c r="P472" s="77"/>
      <c r="Q472" s="77"/>
      <c r="R472" s="37"/>
      <c r="S472" s="37"/>
      <c r="T472" s="76"/>
      <c r="U472" s="76"/>
      <c r="V472" s="76"/>
      <c r="W472" s="76"/>
      <c r="X472" s="76"/>
      <c r="Y472" s="76"/>
      <c r="Z472" s="76"/>
      <c r="AA472" s="76"/>
    </row>
    <row r="473" spans="1:27" ht="15.75" customHeight="1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7"/>
      <c r="P473" s="77"/>
      <c r="Q473" s="77"/>
      <c r="R473" s="37"/>
      <c r="S473" s="37"/>
      <c r="T473" s="76"/>
      <c r="U473" s="76"/>
      <c r="V473" s="76"/>
      <c r="W473" s="76"/>
      <c r="X473" s="76"/>
      <c r="Y473" s="76"/>
      <c r="Z473" s="76"/>
      <c r="AA473" s="76"/>
    </row>
    <row r="474" spans="1:27" ht="15.75" customHeight="1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7"/>
      <c r="P474" s="77"/>
      <c r="Q474" s="77"/>
      <c r="R474" s="37"/>
      <c r="S474" s="37"/>
      <c r="T474" s="76"/>
      <c r="U474" s="76"/>
      <c r="V474" s="76"/>
      <c r="W474" s="76"/>
      <c r="X474" s="76"/>
      <c r="Y474" s="76"/>
      <c r="Z474" s="76"/>
      <c r="AA474" s="76"/>
    </row>
    <row r="475" spans="1:27" ht="15.75" customHeight="1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7"/>
      <c r="P475" s="77"/>
      <c r="Q475" s="77"/>
      <c r="R475" s="37"/>
      <c r="S475" s="37"/>
      <c r="T475" s="76"/>
      <c r="U475" s="76"/>
      <c r="V475" s="76"/>
      <c r="W475" s="76"/>
      <c r="X475" s="76"/>
      <c r="Y475" s="76"/>
      <c r="Z475" s="76"/>
      <c r="AA475" s="76"/>
    </row>
    <row r="476" spans="1:27" ht="15.75" customHeight="1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7"/>
      <c r="P476" s="77"/>
      <c r="Q476" s="77"/>
      <c r="R476" s="37"/>
      <c r="S476" s="37"/>
      <c r="T476" s="76"/>
      <c r="U476" s="76"/>
      <c r="V476" s="76"/>
      <c r="W476" s="76"/>
      <c r="X476" s="76"/>
      <c r="Y476" s="76"/>
      <c r="Z476" s="76"/>
      <c r="AA476" s="76"/>
    </row>
    <row r="477" spans="1:27" ht="15.75" customHeight="1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7"/>
      <c r="P477" s="77"/>
      <c r="Q477" s="77"/>
      <c r="R477" s="37"/>
      <c r="S477" s="37"/>
      <c r="T477" s="76"/>
      <c r="U477" s="76"/>
      <c r="V477" s="76"/>
      <c r="W477" s="76"/>
      <c r="X477" s="76"/>
      <c r="Y477" s="76"/>
      <c r="Z477" s="76"/>
      <c r="AA477" s="76"/>
    </row>
    <row r="478" spans="1:27" ht="15.75" customHeight="1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7"/>
      <c r="P478" s="77"/>
      <c r="Q478" s="77"/>
      <c r="R478" s="37"/>
      <c r="S478" s="37"/>
      <c r="T478" s="76"/>
      <c r="U478" s="76"/>
      <c r="V478" s="76"/>
      <c r="W478" s="76"/>
      <c r="X478" s="76"/>
      <c r="Y478" s="76"/>
      <c r="Z478" s="76"/>
      <c r="AA478" s="76"/>
    </row>
    <row r="479" spans="1:27" ht="15.75" customHeight="1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7"/>
      <c r="P479" s="77"/>
      <c r="Q479" s="77"/>
      <c r="R479" s="37"/>
      <c r="S479" s="37"/>
      <c r="T479" s="76"/>
      <c r="U479" s="76"/>
      <c r="V479" s="76"/>
      <c r="W479" s="76"/>
      <c r="X479" s="76"/>
      <c r="Y479" s="76"/>
      <c r="Z479" s="76"/>
      <c r="AA479" s="76"/>
    </row>
    <row r="480" spans="1:27" ht="15.75" customHeight="1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7"/>
      <c r="P480" s="77"/>
      <c r="Q480" s="77"/>
      <c r="R480" s="37"/>
      <c r="S480" s="37"/>
      <c r="T480" s="76"/>
      <c r="U480" s="76"/>
      <c r="V480" s="76"/>
      <c r="W480" s="76"/>
      <c r="X480" s="76"/>
      <c r="Y480" s="76"/>
      <c r="Z480" s="76"/>
      <c r="AA480" s="76"/>
    </row>
    <row r="481" spans="1:27" ht="15.75" customHeight="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7"/>
      <c r="P481" s="77"/>
      <c r="Q481" s="77"/>
      <c r="R481" s="37"/>
      <c r="S481" s="37"/>
      <c r="T481" s="76"/>
      <c r="U481" s="76"/>
      <c r="V481" s="76"/>
      <c r="W481" s="76"/>
      <c r="X481" s="76"/>
      <c r="Y481" s="76"/>
      <c r="Z481" s="76"/>
      <c r="AA481" s="76"/>
    </row>
    <row r="482" spans="1:27" ht="15.75" customHeight="1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7"/>
      <c r="P482" s="77"/>
      <c r="Q482" s="77"/>
      <c r="R482" s="37"/>
      <c r="S482" s="37"/>
      <c r="T482" s="76"/>
      <c r="U482" s="76"/>
      <c r="V482" s="76"/>
      <c r="W482" s="76"/>
      <c r="X482" s="76"/>
      <c r="Y482" s="76"/>
      <c r="Z482" s="76"/>
      <c r="AA482" s="76"/>
    </row>
    <row r="483" spans="1:27" ht="15.75" customHeight="1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7"/>
      <c r="P483" s="77"/>
      <c r="Q483" s="77"/>
      <c r="R483" s="37"/>
      <c r="S483" s="37"/>
      <c r="T483" s="76"/>
      <c r="U483" s="76"/>
      <c r="V483" s="76"/>
      <c r="W483" s="76"/>
      <c r="X483" s="76"/>
      <c r="Y483" s="76"/>
      <c r="Z483" s="76"/>
      <c r="AA483" s="76"/>
    </row>
    <row r="484" spans="1:27" ht="15.75" customHeight="1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7"/>
      <c r="P484" s="77"/>
      <c r="Q484" s="77"/>
      <c r="R484" s="37"/>
      <c r="S484" s="37"/>
      <c r="T484" s="76"/>
      <c r="U484" s="76"/>
      <c r="V484" s="76"/>
      <c r="W484" s="76"/>
      <c r="X484" s="76"/>
      <c r="Y484" s="76"/>
      <c r="Z484" s="76"/>
      <c r="AA484" s="76"/>
    </row>
    <row r="485" spans="1:27" ht="15.75" customHeight="1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7"/>
      <c r="P485" s="77"/>
      <c r="Q485" s="77"/>
      <c r="R485" s="37"/>
      <c r="S485" s="37"/>
      <c r="T485" s="76"/>
      <c r="U485" s="76"/>
      <c r="V485" s="76"/>
      <c r="W485" s="76"/>
      <c r="X485" s="76"/>
      <c r="Y485" s="76"/>
      <c r="Z485" s="76"/>
      <c r="AA485" s="76"/>
    </row>
    <row r="486" spans="1:27" ht="15.75" customHeight="1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7"/>
      <c r="P486" s="77"/>
      <c r="Q486" s="77"/>
      <c r="R486" s="37"/>
      <c r="S486" s="37"/>
      <c r="T486" s="76"/>
      <c r="U486" s="76"/>
      <c r="V486" s="76"/>
      <c r="W486" s="76"/>
      <c r="X486" s="76"/>
      <c r="Y486" s="76"/>
      <c r="Z486" s="76"/>
      <c r="AA486" s="76"/>
    </row>
    <row r="487" spans="1:27" ht="15.75" customHeight="1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7"/>
      <c r="P487" s="77"/>
      <c r="Q487" s="77"/>
      <c r="R487" s="37"/>
      <c r="S487" s="37"/>
      <c r="T487" s="76"/>
      <c r="U487" s="76"/>
      <c r="V487" s="76"/>
      <c r="W487" s="76"/>
      <c r="X487" s="76"/>
      <c r="Y487" s="76"/>
      <c r="Z487" s="76"/>
      <c r="AA487" s="76"/>
    </row>
    <row r="488" spans="1:27" ht="15.75" customHeight="1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7"/>
      <c r="P488" s="77"/>
      <c r="Q488" s="77"/>
      <c r="R488" s="37"/>
      <c r="S488" s="37"/>
      <c r="T488" s="76"/>
      <c r="U488" s="76"/>
      <c r="V488" s="76"/>
      <c r="W488" s="76"/>
      <c r="X488" s="76"/>
      <c r="Y488" s="76"/>
      <c r="Z488" s="76"/>
      <c r="AA488" s="76"/>
    </row>
    <row r="489" spans="1:27" ht="15.75" customHeight="1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7"/>
      <c r="P489" s="77"/>
      <c r="Q489" s="77"/>
      <c r="R489" s="37"/>
      <c r="S489" s="37"/>
      <c r="T489" s="76"/>
      <c r="U489" s="76"/>
      <c r="V489" s="76"/>
      <c r="W489" s="76"/>
      <c r="X489" s="76"/>
      <c r="Y489" s="76"/>
      <c r="Z489" s="76"/>
      <c r="AA489" s="76"/>
    </row>
    <row r="490" spans="1:27" ht="15.75" customHeight="1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7"/>
      <c r="P490" s="77"/>
      <c r="Q490" s="77"/>
      <c r="R490" s="37"/>
      <c r="S490" s="37"/>
      <c r="T490" s="76"/>
      <c r="U490" s="76"/>
      <c r="V490" s="76"/>
      <c r="W490" s="76"/>
      <c r="X490" s="76"/>
      <c r="Y490" s="76"/>
      <c r="Z490" s="76"/>
      <c r="AA490" s="76"/>
    </row>
    <row r="491" spans="1:27" ht="15.75" customHeight="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7"/>
      <c r="P491" s="77"/>
      <c r="Q491" s="77"/>
      <c r="R491" s="37"/>
      <c r="S491" s="37"/>
      <c r="T491" s="76"/>
      <c r="U491" s="76"/>
      <c r="V491" s="76"/>
      <c r="W491" s="76"/>
      <c r="X491" s="76"/>
      <c r="Y491" s="76"/>
      <c r="Z491" s="76"/>
      <c r="AA491" s="76"/>
    </row>
    <row r="492" spans="1:27" ht="15.75" customHeight="1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7"/>
      <c r="P492" s="77"/>
      <c r="Q492" s="77"/>
      <c r="R492" s="37"/>
      <c r="S492" s="37"/>
      <c r="T492" s="76"/>
      <c r="U492" s="76"/>
      <c r="V492" s="76"/>
      <c r="W492" s="76"/>
      <c r="X492" s="76"/>
      <c r="Y492" s="76"/>
      <c r="Z492" s="76"/>
      <c r="AA492" s="76"/>
    </row>
    <row r="493" spans="1:27" ht="15.75" customHeight="1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7"/>
      <c r="P493" s="77"/>
      <c r="Q493" s="77"/>
      <c r="R493" s="37"/>
      <c r="S493" s="37"/>
      <c r="T493" s="76"/>
      <c r="U493" s="76"/>
      <c r="V493" s="76"/>
      <c r="W493" s="76"/>
      <c r="X493" s="76"/>
      <c r="Y493" s="76"/>
      <c r="Z493" s="76"/>
      <c r="AA493" s="76"/>
    </row>
    <row r="494" spans="1:27" ht="15.75" customHeight="1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7"/>
      <c r="P494" s="77"/>
      <c r="Q494" s="77"/>
      <c r="R494" s="37"/>
      <c r="S494" s="37"/>
      <c r="T494" s="76"/>
      <c r="U494" s="76"/>
      <c r="V494" s="76"/>
      <c r="W494" s="76"/>
      <c r="X494" s="76"/>
      <c r="Y494" s="76"/>
      <c r="Z494" s="76"/>
      <c r="AA494" s="76"/>
    </row>
    <row r="495" spans="1:27" ht="15.75" customHeight="1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7"/>
      <c r="P495" s="77"/>
      <c r="Q495" s="77"/>
      <c r="R495" s="37"/>
      <c r="S495" s="37"/>
      <c r="T495" s="76"/>
      <c r="U495" s="76"/>
      <c r="V495" s="76"/>
      <c r="W495" s="76"/>
      <c r="X495" s="76"/>
      <c r="Y495" s="76"/>
      <c r="Z495" s="76"/>
      <c r="AA495" s="76"/>
    </row>
    <row r="496" spans="1:27" ht="15.75" customHeight="1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7"/>
      <c r="P496" s="77"/>
      <c r="Q496" s="77"/>
      <c r="R496" s="37"/>
      <c r="S496" s="37"/>
      <c r="T496" s="76"/>
      <c r="U496" s="76"/>
      <c r="V496" s="76"/>
      <c r="W496" s="76"/>
      <c r="X496" s="76"/>
      <c r="Y496" s="76"/>
      <c r="Z496" s="76"/>
      <c r="AA496" s="76"/>
    </row>
    <row r="497" spans="1:27" ht="15.75" customHeight="1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7"/>
      <c r="P497" s="77"/>
      <c r="Q497" s="77"/>
      <c r="R497" s="37"/>
      <c r="S497" s="37"/>
      <c r="T497" s="76"/>
      <c r="U497" s="76"/>
      <c r="V497" s="76"/>
      <c r="W497" s="76"/>
      <c r="X497" s="76"/>
      <c r="Y497" s="76"/>
      <c r="Z497" s="76"/>
      <c r="AA497" s="76"/>
    </row>
    <row r="498" spans="1:27" ht="15.75" customHeight="1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7"/>
      <c r="P498" s="77"/>
      <c r="Q498" s="77"/>
      <c r="R498" s="37"/>
      <c r="S498" s="37"/>
      <c r="T498" s="76"/>
      <c r="U498" s="76"/>
      <c r="V498" s="76"/>
      <c r="W498" s="76"/>
      <c r="X498" s="76"/>
      <c r="Y498" s="76"/>
      <c r="Z498" s="76"/>
      <c r="AA498" s="76"/>
    </row>
    <row r="499" spans="1:27" ht="15.75" customHeight="1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7"/>
      <c r="P499" s="77"/>
      <c r="Q499" s="77"/>
      <c r="R499" s="37"/>
      <c r="S499" s="37"/>
      <c r="T499" s="76"/>
      <c r="U499" s="76"/>
      <c r="V499" s="76"/>
      <c r="W499" s="76"/>
      <c r="X499" s="76"/>
      <c r="Y499" s="76"/>
      <c r="Z499" s="76"/>
      <c r="AA499" s="76"/>
    </row>
    <row r="500" spans="1:27" ht="15.75" customHeight="1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7"/>
      <c r="P500" s="77"/>
      <c r="Q500" s="77"/>
      <c r="R500" s="37"/>
      <c r="S500" s="37"/>
      <c r="T500" s="76"/>
      <c r="U500" s="76"/>
      <c r="V500" s="76"/>
      <c r="W500" s="76"/>
      <c r="X500" s="76"/>
      <c r="Y500" s="76"/>
      <c r="Z500" s="76"/>
      <c r="AA500" s="76"/>
    </row>
    <row r="501" spans="1:27" ht="15.75" customHeight="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7"/>
      <c r="P501" s="77"/>
      <c r="Q501" s="77"/>
      <c r="R501" s="37"/>
      <c r="S501" s="37"/>
      <c r="T501" s="76"/>
      <c r="U501" s="76"/>
      <c r="V501" s="76"/>
      <c r="W501" s="76"/>
      <c r="X501" s="76"/>
      <c r="Y501" s="76"/>
      <c r="Z501" s="76"/>
      <c r="AA501" s="76"/>
    </row>
    <row r="502" spans="1:27" ht="15.75" customHeight="1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7"/>
      <c r="P502" s="77"/>
      <c r="Q502" s="77"/>
      <c r="R502" s="37"/>
      <c r="S502" s="37"/>
      <c r="T502" s="76"/>
      <c r="U502" s="76"/>
      <c r="V502" s="76"/>
      <c r="W502" s="76"/>
      <c r="X502" s="76"/>
      <c r="Y502" s="76"/>
      <c r="Z502" s="76"/>
      <c r="AA502" s="76"/>
    </row>
    <row r="503" spans="1:27" ht="15.75" customHeight="1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7"/>
      <c r="P503" s="77"/>
      <c r="Q503" s="77"/>
      <c r="R503" s="37"/>
      <c r="S503" s="37"/>
      <c r="T503" s="76"/>
      <c r="U503" s="76"/>
      <c r="V503" s="76"/>
      <c r="W503" s="76"/>
      <c r="X503" s="76"/>
      <c r="Y503" s="76"/>
      <c r="Z503" s="76"/>
      <c r="AA503" s="76"/>
    </row>
    <row r="504" spans="1:27" ht="15.75" customHeight="1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7"/>
      <c r="P504" s="77"/>
      <c r="Q504" s="77"/>
      <c r="R504" s="37"/>
      <c r="S504" s="37"/>
      <c r="T504" s="76"/>
      <c r="U504" s="76"/>
      <c r="V504" s="76"/>
      <c r="W504" s="76"/>
      <c r="X504" s="76"/>
      <c r="Y504" s="76"/>
      <c r="Z504" s="76"/>
      <c r="AA504" s="76"/>
    </row>
    <row r="505" spans="1:27" ht="15.75" customHeight="1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7"/>
      <c r="P505" s="77"/>
      <c r="Q505" s="77"/>
      <c r="R505" s="37"/>
      <c r="S505" s="37"/>
      <c r="T505" s="76"/>
      <c r="U505" s="76"/>
      <c r="V505" s="76"/>
      <c r="W505" s="76"/>
      <c r="X505" s="76"/>
      <c r="Y505" s="76"/>
      <c r="Z505" s="76"/>
      <c r="AA505" s="76"/>
    </row>
    <row r="506" spans="1:27" ht="15.75" customHeight="1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7"/>
      <c r="P506" s="77"/>
      <c r="Q506" s="77"/>
      <c r="R506" s="37"/>
      <c r="S506" s="37"/>
      <c r="T506" s="76"/>
      <c r="U506" s="76"/>
      <c r="V506" s="76"/>
      <c r="W506" s="76"/>
      <c r="X506" s="76"/>
      <c r="Y506" s="76"/>
      <c r="Z506" s="76"/>
      <c r="AA506" s="76"/>
    </row>
    <row r="507" spans="1:27" ht="15.75" customHeight="1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7"/>
      <c r="P507" s="77"/>
      <c r="Q507" s="77"/>
      <c r="R507" s="37"/>
      <c r="S507" s="37"/>
      <c r="T507" s="76"/>
      <c r="U507" s="76"/>
      <c r="V507" s="76"/>
      <c r="W507" s="76"/>
      <c r="X507" s="76"/>
      <c r="Y507" s="76"/>
      <c r="Z507" s="76"/>
      <c r="AA507" s="76"/>
    </row>
    <row r="508" spans="1:27" ht="15.75" customHeight="1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7"/>
      <c r="P508" s="77"/>
      <c r="Q508" s="77"/>
      <c r="R508" s="37"/>
      <c r="S508" s="37"/>
      <c r="T508" s="76"/>
      <c r="U508" s="76"/>
      <c r="V508" s="76"/>
      <c r="W508" s="76"/>
      <c r="X508" s="76"/>
      <c r="Y508" s="76"/>
      <c r="Z508" s="76"/>
      <c r="AA508" s="76"/>
    </row>
    <row r="509" spans="1:27" ht="15.75" customHeight="1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7"/>
      <c r="P509" s="77"/>
      <c r="Q509" s="77"/>
      <c r="R509" s="37"/>
      <c r="S509" s="37"/>
      <c r="T509" s="76"/>
      <c r="U509" s="76"/>
      <c r="V509" s="76"/>
      <c r="W509" s="76"/>
      <c r="X509" s="76"/>
      <c r="Y509" s="76"/>
      <c r="Z509" s="76"/>
      <c r="AA509" s="76"/>
    </row>
    <row r="510" spans="1:27" ht="15.75" customHeight="1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7"/>
      <c r="P510" s="77"/>
      <c r="Q510" s="77"/>
      <c r="R510" s="37"/>
      <c r="S510" s="37"/>
      <c r="T510" s="76"/>
      <c r="U510" s="76"/>
      <c r="V510" s="76"/>
      <c r="W510" s="76"/>
      <c r="X510" s="76"/>
      <c r="Y510" s="76"/>
      <c r="Z510" s="76"/>
      <c r="AA510" s="76"/>
    </row>
    <row r="511" spans="1:27" ht="15.75" customHeight="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7"/>
      <c r="P511" s="77"/>
      <c r="Q511" s="77"/>
      <c r="R511" s="37"/>
      <c r="S511" s="37"/>
      <c r="T511" s="76"/>
      <c r="U511" s="76"/>
      <c r="V511" s="76"/>
      <c r="W511" s="76"/>
      <c r="X511" s="76"/>
      <c r="Y511" s="76"/>
      <c r="Z511" s="76"/>
      <c r="AA511" s="76"/>
    </row>
    <row r="512" spans="1:27" ht="15.75" customHeight="1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7"/>
      <c r="P512" s="77"/>
      <c r="Q512" s="77"/>
      <c r="R512" s="37"/>
      <c r="S512" s="37"/>
      <c r="T512" s="76"/>
      <c r="U512" s="76"/>
      <c r="V512" s="76"/>
      <c r="W512" s="76"/>
      <c r="X512" s="76"/>
      <c r="Y512" s="76"/>
      <c r="Z512" s="76"/>
      <c r="AA512" s="76"/>
    </row>
    <row r="513" spans="1:27" ht="15.75" customHeight="1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7"/>
      <c r="P513" s="77"/>
      <c r="Q513" s="77"/>
      <c r="R513" s="37"/>
      <c r="S513" s="37"/>
      <c r="T513" s="76"/>
      <c r="U513" s="76"/>
      <c r="V513" s="76"/>
      <c r="W513" s="76"/>
      <c r="X513" s="76"/>
      <c r="Y513" s="76"/>
      <c r="Z513" s="76"/>
      <c r="AA513" s="76"/>
    </row>
    <row r="514" spans="1:27" ht="15.75" customHeight="1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7"/>
      <c r="P514" s="77"/>
      <c r="Q514" s="77"/>
      <c r="R514" s="37"/>
      <c r="S514" s="37"/>
      <c r="T514" s="76"/>
      <c r="U514" s="76"/>
      <c r="V514" s="76"/>
      <c r="W514" s="76"/>
      <c r="X514" s="76"/>
      <c r="Y514" s="76"/>
      <c r="Z514" s="76"/>
      <c r="AA514" s="76"/>
    </row>
    <row r="515" spans="1:27" ht="15.75" customHeight="1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7"/>
      <c r="P515" s="77"/>
      <c r="Q515" s="77"/>
      <c r="R515" s="37"/>
      <c r="S515" s="37"/>
      <c r="T515" s="76"/>
      <c r="U515" s="76"/>
      <c r="V515" s="76"/>
      <c r="W515" s="76"/>
      <c r="X515" s="76"/>
      <c r="Y515" s="76"/>
      <c r="Z515" s="76"/>
      <c r="AA515" s="76"/>
    </row>
    <row r="516" spans="1:27" ht="15.75" customHeight="1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7"/>
      <c r="P516" s="77"/>
      <c r="Q516" s="77"/>
      <c r="R516" s="37"/>
      <c r="S516" s="37"/>
      <c r="T516" s="76"/>
      <c r="U516" s="76"/>
      <c r="V516" s="76"/>
      <c r="W516" s="76"/>
      <c r="X516" s="76"/>
      <c r="Y516" s="76"/>
      <c r="Z516" s="76"/>
      <c r="AA516" s="76"/>
    </row>
    <row r="517" spans="1:27" ht="15.75" customHeight="1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7"/>
      <c r="P517" s="77"/>
      <c r="Q517" s="77"/>
      <c r="R517" s="37"/>
      <c r="S517" s="37"/>
      <c r="T517" s="76"/>
      <c r="U517" s="76"/>
      <c r="V517" s="76"/>
      <c r="W517" s="76"/>
      <c r="X517" s="76"/>
      <c r="Y517" s="76"/>
      <c r="Z517" s="76"/>
      <c r="AA517" s="76"/>
    </row>
    <row r="518" spans="1:27" ht="15.75" customHeight="1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7"/>
      <c r="P518" s="77"/>
      <c r="Q518" s="77"/>
      <c r="R518" s="37"/>
      <c r="S518" s="37"/>
      <c r="T518" s="76"/>
      <c r="U518" s="76"/>
      <c r="V518" s="76"/>
      <c r="W518" s="76"/>
      <c r="X518" s="76"/>
      <c r="Y518" s="76"/>
      <c r="Z518" s="76"/>
      <c r="AA518" s="76"/>
    </row>
    <row r="519" spans="1:27" ht="15.75" customHeight="1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7"/>
      <c r="P519" s="77"/>
      <c r="Q519" s="77"/>
      <c r="R519" s="37"/>
      <c r="S519" s="37"/>
      <c r="T519" s="76"/>
      <c r="U519" s="76"/>
      <c r="V519" s="76"/>
      <c r="W519" s="76"/>
      <c r="X519" s="76"/>
      <c r="Y519" s="76"/>
      <c r="Z519" s="76"/>
      <c r="AA519" s="76"/>
    </row>
    <row r="520" spans="1:27" ht="15.75" customHeight="1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7"/>
      <c r="P520" s="77"/>
      <c r="Q520" s="77"/>
      <c r="R520" s="37"/>
      <c r="S520" s="37"/>
      <c r="T520" s="76"/>
      <c r="U520" s="76"/>
      <c r="V520" s="76"/>
      <c r="W520" s="76"/>
      <c r="X520" s="76"/>
      <c r="Y520" s="76"/>
      <c r="Z520" s="76"/>
      <c r="AA520" s="76"/>
    </row>
    <row r="521" spans="1:27" ht="15.75" customHeight="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7"/>
      <c r="P521" s="77"/>
      <c r="Q521" s="77"/>
      <c r="R521" s="37"/>
      <c r="S521" s="37"/>
      <c r="T521" s="76"/>
      <c r="U521" s="76"/>
      <c r="V521" s="76"/>
      <c r="W521" s="76"/>
      <c r="X521" s="76"/>
      <c r="Y521" s="76"/>
      <c r="Z521" s="76"/>
      <c r="AA521" s="76"/>
    </row>
    <row r="522" spans="1:27" ht="15.75" customHeight="1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7"/>
      <c r="P522" s="77"/>
      <c r="Q522" s="77"/>
      <c r="R522" s="37"/>
      <c r="S522" s="37"/>
      <c r="T522" s="76"/>
      <c r="U522" s="76"/>
      <c r="V522" s="76"/>
      <c r="W522" s="76"/>
      <c r="X522" s="76"/>
      <c r="Y522" s="76"/>
      <c r="Z522" s="76"/>
      <c r="AA522" s="76"/>
    </row>
    <row r="523" spans="1:27" ht="15.75" customHeight="1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7"/>
      <c r="P523" s="77"/>
      <c r="Q523" s="77"/>
      <c r="R523" s="37"/>
      <c r="S523" s="37"/>
      <c r="T523" s="76"/>
      <c r="U523" s="76"/>
      <c r="V523" s="76"/>
      <c r="W523" s="76"/>
      <c r="X523" s="76"/>
      <c r="Y523" s="76"/>
      <c r="Z523" s="76"/>
      <c r="AA523" s="76"/>
    </row>
    <row r="524" spans="1:27" ht="15.75" customHeight="1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7"/>
      <c r="P524" s="77"/>
      <c r="Q524" s="77"/>
      <c r="R524" s="37"/>
      <c r="S524" s="37"/>
      <c r="T524" s="76"/>
      <c r="U524" s="76"/>
      <c r="V524" s="76"/>
      <c r="W524" s="76"/>
      <c r="X524" s="76"/>
      <c r="Y524" s="76"/>
      <c r="Z524" s="76"/>
      <c r="AA524" s="76"/>
    </row>
    <row r="525" spans="1:27" ht="15.75" customHeight="1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7"/>
      <c r="P525" s="77"/>
      <c r="Q525" s="77"/>
      <c r="R525" s="37"/>
      <c r="S525" s="37"/>
      <c r="T525" s="76"/>
      <c r="U525" s="76"/>
      <c r="V525" s="76"/>
      <c r="W525" s="76"/>
      <c r="X525" s="76"/>
      <c r="Y525" s="76"/>
      <c r="Z525" s="76"/>
      <c r="AA525" s="76"/>
    </row>
    <row r="526" spans="1:27" ht="15.75" customHeight="1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7"/>
      <c r="P526" s="77"/>
      <c r="Q526" s="77"/>
      <c r="R526" s="37"/>
      <c r="S526" s="37"/>
      <c r="T526" s="76"/>
      <c r="U526" s="76"/>
      <c r="V526" s="76"/>
      <c r="W526" s="76"/>
      <c r="X526" s="76"/>
      <c r="Y526" s="76"/>
      <c r="Z526" s="76"/>
      <c r="AA526" s="76"/>
    </row>
    <row r="527" spans="1:27" ht="15.75" customHeight="1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7"/>
      <c r="P527" s="77"/>
      <c r="Q527" s="77"/>
      <c r="R527" s="37"/>
      <c r="S527" s="37"/>
      <c r="T527" s="76"/>
      <c r="U527" s="76"/>
      <c r="V527" s="76"/>
      <c r="W527" s="76"/>
      <c r="X527" s="76"/>
      <c r="Y527" s="76"/>
      <c r="Z527" s="76"/>
      <c r="AA527" s="76"/>
    </row>
    <row r="528" spans="1:27" ht="15.75" customHeight="1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7"/>
      <c r="P528" s="77"/>
      <c r="Q528" s="77"/>
      <c r="R528" s="37"/>
      <c r="S528" s="37"/>
      <c r="T528" s="76"/>
      <c r="U528" s="76"/>
      <c r="V528" s="76"/>
      <c r="W528" s="76"/>
      <c r="X528" s="76"/>
      <c r="Y528" s="76"/>
      <c r="Z528" s="76"/>
      <c r="AA528" s="76"/>
    </row>
    <row r="529" spans="1:27" ht="15.75" customHeight="1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7"/>
      <c r="P529" s="77"/>
      <c r="Q529" s="77"/>
      <c r="R529" s="37"/>
      <c r="S529" s="37"/>
      <c r="T529" s="76"/>
      <c r="U529" s="76"/>
      <c r="V529" s="76"/>
      <c r="W529" s="76"/>
      <c r="X529" s="76"/>
      <c r="Y529" s="76"/>
      <c r="Z529" s="76"/>
      <c r="AA529" s="76"/>
    </row>
    <row r="530" spans="1:27" ht="15.75" customHeight="1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7"/>
      <c r="P530" s="77"/>
      <c r="Q530" s="77"/>
      <c r="R530" s="37"/>
      <c r="S530" s="37"/>
      <c r="T530" s="76"/>
      <c r="U530" s="76"/>
      <c r="V530" s="76"/>
      <c r="W530" s="76"/>
      <c r="X530" s="76"/>
      <c r="Y530" s="76"/>
      <c r="Z530" s="76"/>
      <c r="AA530" s="76"/>
    </row>
    <row r="531" spans="1:27" ht="15.75" customHeight="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7"/>
      <c r="P531" s="77"/>
      <c r="Q531" s="77"/>
      <c r="R531" s="37"/>
      <c r="S531" s="37"/>
      <c r="T531" s="76"/>
      <c r="U531" s="76"/>
      <c r="V531" s="76"/>
      <c r="W531" s="76"/>
      <c r="X531" s="76"/>
      <c r="Y531" s="76"/>
      <c r="Z531" s="76"/>
      <c r="AA531" s="76"/>
    </row>
    <row r="532" spans="1:27" ht="15.75" customHeight="1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7"/>
      <c r="P532" s="77"/>
      <c r="Q532" s="77"/>
      <c r="R532" s="37"/>
      <c r="S532" s="37"/>
      <c r="T532" s="76"/>
      <c r="U532" s="76"/>
      <c r="V532" s="76"/>
      <c r="W532" s="76"/>
      <c r="X532" s="76"/>
      <c r="Y532" s="76"/>
      <c r="Z532" s="76"/>
      <c r="AA532" s="76"/>
    </row>
    <row r="533" spans="1:27" ht="15.75" customHeight="1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7"/>
      <c r="P533" s="77"/>
      <c r="Q533" s="77"/>
      <c r="R533" s="37"/>
      <c r="S533" s="37"/>
      <c r="T533" s="76"/>
      <c r="U533" s="76"/>
      <c r="V533" s="76"/>
      <c r="W533" s="76"/>
      <c r="X533" s="76"/>
      <c r="Y533" s="76"/>
      <c r="Z533" s="76"/>
      <c r="AA533" s="76"/>
    </row>
    <row r="534" spans="1:27" ht="15.75" customHeight="1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7"/>
      <c r="P534" s="77"/>
      <c r="Q534" s="77"/>
      <c r="R534" s="37"/>
      <c r="S534" s="37"/>
      <c r="T534" s="76"/>
      <c r="U534" s="76"/>
      <c r="V534" s="76"/>
      <c r="W534" s="76"/>
      <c r="X534" s="76"/>
      <c r="Y534" s="76"/>
      <c r="Z534" s="76"/>
      <c r="AA534" s="76"/>
    </row>
    <row r="535" spans="1:27" ht="15.75" customHeight="1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7"/>
      <c r="P535" s="77"/>
      <c r="Q535" s="77"/>
      <c r="R535" s="37"/>
      <c r="S535" s="37"/>
      <c r="T535" s="76"/>
      <c r="U535" s="76"/>
      <c r="V535" s="76"/>
      <c r="W535" s="76"/>
      <c r="X535" s="76"/>
      <c r="Y535" s="76"/>
      <c r="Z535" s="76"/>
      <c r="AA535" s="76"/>
    </row>
    <row r="536" spans="1:27" ht="15.75" customHeight="1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7"/>
      <c r="P536" s="77"/>
      <c r="Q536" s="77"/>
      <c r="R536" s="37"/>
      <c r="S536" s="37"/>
      <c r="T536" s="76"/>
      <c r="U536" s="76"/>
      <c r="V536" s="76"/>
      <c r="W536" s="76"/>
      <c r="X536" s="76"/>
      <c r="Y536" s="76"/>
      <c r="Z536" s="76"/>
      <c r="AA536" s="76"/>
    </row>
    <row r="537" spans="1:27" ht="15.75" customHeight="1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7"/>
      <c r="P537" s="77"/>
      <c r="Q537" s="77"/>
      <c r="R537" s="37"/>
      <c r="S537" s="37"/>
      <c r="T537" s="76"/>
      <c r="U537" s="76"/>
      <c r="V537" s="76"/>
      <c r="W537" s="76"/>
      <c r="X537" s="76"/>
      <c r="Y537" s="76"/>
      <c r="Z537" s="76"/>
      <c r="AA537" s="76"/>
    </row>
    <row r="538" spans="1:27" ht="15.75" customHeight="1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7"/>
      <c r="P538" s="77"/>
      <c r="Q538" s="77"/>
      <c r="R538" s="37"/>
      <c r="S538" s="37"/>
      <c r="T538" s="76"/>
      <c r="U538" s="76"/>
      <c r="V538" s="76"/>
      <c r="W538" s="76"/>
      <c r="X538" s="76"/>
      <c r="Y538" s="76"/>
      <c r="Z538" s="76"/>
      <c r="AA538" s="76"/>
    </row>
    <row r="539" spans="1:27" ht="15.75" customHeight="1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7"/>
      <c r="P539" s="77"/>
      <c r="Q539" s="77"/>
      <c r="R539" s="37"/>
      <c r="S539" s="37"/>
      <c r="T539" s="76"/>
      <c r="U539" s="76"/>
      <c r="V539" s="76"/>
      <c r="W539" s="76"/>
      <c r="X539" s="76"/>
      <c r="Y539" s="76"/>
      <c r="Z539" s="76"/>
      <c r="AA539" s="76"/>
    </row>
    <row r="540" spans="1:27" ht="15.75" customHeight="1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7"/>
      <c r="P540" s="77"/>
      <c r="Q540" s="77"/>
      <c r="R540" s="37"/>
      <c r="S540" s="37"/>
      <c r="T540" s="76"/>
      <c r="U540" s="76"/>
      <c r="V540" s="76"/>
      <c r="W540" s="76"/>
      <c r="X540" s="76"/>
      <c r="Y540" s="76"/>
      <c r="Z540" s="76"/>
      <c r="AA540" s="76"/>
    </row>
    <row r="541" spans="1:27" ht="15.75" customHeight="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7"/>
      <c r="P541" s="77"/>
      <c r="Q541" s="77"/>
      <c r="R541" s="37"/>
      <c r="S541" s="37"/>
      <c r="T541" s="76"/>
      <c r="U541" s="76"/>
      <c r="V541" s="76"/>
      <c r="W541" s="76"/>
      <c r="X541" s="76"/>
      <c r="Y541" s="76"/>
      <c r="Z541" s="76"/>
      <c r="AA541" s="76"/>
    </row>
    <row r="542" spans="1:27" ht="15.75" customHeight="1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7"/>
      <c r="P542" s="77"/>
      <c r="Q542" s="77"/>
      <c r="R542" s="37"/>
      <c r="S542" s="37"/>
      <c r="T542" s="76"/>
      <c r="U542" s="76"/>
      <c r="V542" s="76"/>
      <c r="W542" s="76"/>
      <c r="X542" s="76"/>
      <c r="Y542" s="76"/>
      <c r="Z542" s="76"/>
      <c r="AA542" s="76"/>
    </row>
    <row r="543" spans="1:27" ht="15.75" customHeight="1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7"/>
      <c r="P543" s="77"/>
      <c r="Q543" s="77"/>
      <c r="R543" s="37"/>
      <c r="S543" s="37"/>
      <c r="T543" s="76"/>
      <c r="U543" s="76"/>
      <c r="V543" s="76"/>
      <c r="W543" s="76"/>
      <c r="X543" s="76"/>
      <c r="Y543" s="76"/>
      <c r="Z543" s="76"/>
      <c r="AA543" s="76"/>
    </row>
    <row r="544" spans="1:27" ht="15.75" customHeight="1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7"/>
      <c r="P544" s="77"/>
      <c r="Q544" s="77"/>
      <c r="R544" s="37"/>
      <c r="S544" s="37"/>
      <c r="T544" s="76"/>
      <c r="U544" s="76"/>
      <c r="V544" s="76"/>
      <c r="W544" s="76"/>
      <c r="X544" s="76"/>
      <c r="Y544" s="76"/>
      <c r="Z544" s="76"/>
      <c r="AA544" s="76"/>
    </row>
    <row r="545" spans="1:27" ht="15.75" customHeight="1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7"/>
      <c r="P545" s="77"/>
      <c r="Q545" s="77"/>
      <c r="R545" s="37"/>
      <c r="S545" s="37"/>
      <c r="T545" s="76"/>
      <c r="U545" s="76"/>
      <c r="V545" s="76"/>
      <c r="W545" s="76"/>
      <c r="X545" s="76"/>
      <c r="Y545" s="76"/>
      <c r="Z545" s="76"/>
      <c r="AA545" s="76"/>
    </row>
    <row r="546" spans="1:27" ht="15.75" customHeight="1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7"/>
      <c r="P546" s="77"/>
      <c r="Q546" s="77"/>
      <c r="R546" s="37"/>
      <c r="S546" s="37"/>
      <c r="T546" s="76"/>
      <c r="U546" s="76"/>
      <c r="V546" s="76"/>
      <c r="W546" s="76"/>
      <c r="X546" s="76"/>
      <c r="Y546" s="76"/>
      <c r="Z546" s="76"/>
      <c r="AA546" s="76"/>
    </row>
    <row r="547" spans="1:27" ht="15.75" customHeight="1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7"/>
      <c r="P547" s="77"/>
      <c r="Q547" s="77"/>
      <c r="R547" s="37"/>
      <c r="S547" s="37"/>
      <c r="T547" s="76"/>
      <c r="U547" s="76"/>
      <c r="V547" s="76"/>
      <c r="W547" s="76"/>
      <c r="X547" s="76"/>
      <c r="Y547" s="76"/>
      <c r="Z547" s="76"/>
      <c r="AA547" s="76"/>
    </row>
    <row r="548" spans="1:27" ht="15.75" customHeight="1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7"/>
      <c r="P548" s="77"/>
      <c r="Q548" s="77"/>
      <c r="R548" s="37"/>
      <c r="S548" s="37"/>
      <c r="T548" s="76"/>
      <c r="U548" s="76"/>
      <c r="V548" s="76"/>
      <c r="W548" s="76"/>
      <c r="X548" s="76"/>
      <c r="Y548" s="76"/>
      <c r="Z548" s="76"/>
      <c r="AA548" s="76"/>
    </row>
    <row r="549" spans="1:27" ht="15.75" customHeight="1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7"/>
      <c r="P549" s="77"/>
      <c r="Q549" s="77"/>
      <c r="R549" s="37"/>
      <c r="S549" s="37"/>
      <c r="T549" s="76"/>
      <c r="U549" s="76"/>
      <c r="V549" s="76"/>
      <c r="W549" s="76"/>
      <c r="X549" s="76"/>
      <c r="Y549" s="76"/>
      <c r="Z549" s="76"/>
      <c r="AA549" s="76"/>
    </row>
    <row r="550" spans="1:27" ht="15.75" customHeight="1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7"/>
      <c r="P550" s="77"/>
      <c r="Q550" s="77"/>
      <c r="R550" s="37"/>
      <c r="S550" s="37"/>
      <c r="T550" s="76"/>
      <c r="U550" s="76"/>
      <c r="V550" s="76"/>
      <c r="W550" s="76"/>
      <c r="X550" s="76"/>
      <c r="Y550" s="76"/>
      <c r="Z550" s="76"/>
      <c r="AA550" s="76"/>
    </row>
    <row r="551" spans="1:27" ht="15.75" customHeight="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7"/>
      <c r="P551" s="77"/>
      <c r="Q551" s="77"/>
      <c r="R551" s="37"/>
      <c r="S551" s="37"/>
      <c r="T551" s="76"/>
      <c r="U551" s="76"/>
      <c r="V551" s="76"/>
      <c r="W551" s="76"/>
      <c r="X551" s="76"/>
      <c r="Y551" s="76"/>
      <c r="Z551" s="76"/>
      <c r="AA551" s="76"/>
    </row>
    <row r="552" spans="1:27" ht="15.75" customHeight="1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7"/>
      <c r="P552" s="77"/>
      <c r="Q552" s="77"/>
      <c r="R552" s="37"/>
      <c r="S552" s="37"/>
      <c r="T552" s="76"/>
      <c r="U552" s="76"/>
      <c r="V552" s="76"/>
      <c r="W552" s="76"/>
      <c r="X552" s="76"/>
      <c r="Y552" s="76"/>
      <c r="Z552" s="76"/>
      <c r="AA552" s="76"/>
    </row>
    <row r="553" spans="1:27" ht="15.75" customHeight="1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7"/>
      <c r="P553" s="77"/>
      <c r="Q553" s="77"/>
      <c r="R553" s="37"/>
      <c r="S553" s="37"/>
      <c r="T553" s="76"/>
      <c r="U553" s="76"/>
      <c r="V553" s="76"/>
      <c r="W553" s="76"/>
      <c r="X553" s="76"/>
      <c r="Y553" s="76"/>
      <c r="Z553" s="76"/>
      <c r="AA553" s="76"/>
    </row>
    <row r="554" spans="1:27" ht="15.75" customHeight="1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7"/>
      <c r="P554" s="77"/>
      <c r="Q554" s="77"/>
      <c r="R554" s="37"/>
      <c r="S554" s="37"/>
      <c r="T554" s="76"/>
      <c r="U554" s="76"/>
      <c r="V554" s="76"/>
      <c r="W554" s="76"/>
      <c r="X554" s="76"/>
      <c r="Y554" s="76"/>
      <c r="Z554" s="76"/>
      <c r="AA554" s="76"/>
    </row>
    <row r="555" spans="1:27" ht="15.75" customHeight="1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7"/>
      <c r="P555" s="77"/>
      <c r="Q555" s="77"/>
      <c r="R555" s="37"/>
      <c r="S555" s="37"/>
      <c r="T555" s="76"/>
      <c r="U555" s="76"/>
      <c r="V555" s="76"/>
      <c r="W555" s="76"/>
      <c r="X555" s="76"/>
      <c r="Y555" s="76"/>
      <c r="Z555" s="76"/>
      <c r="AA555" s="76"/>
    </row>
    <row r="556" spans="1:27" ht="15.75" customHeight="1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7"/>
      <c r="P556" s="77"/>
      <c r="Q556" s="77"/>
      <c r="R556" s="37"/>
      <c r="S556" s="37"/>
      <c r="T556" s="76"/>
      <c r="U556" s="76"/>
      <c r="V556" s="76"/>
      <c r="W556" s="76"/>
      <c r="X556" s="76"/>
      <c r="Y556" s="76"/>
      <c r="Z556" s="76"/>
      <c r="AA556" s="76"/>
    </row>
    <row r="557" spans="1:27" ht="15.75" customHeight="1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7"/>
      <c r="P557" s="77"/>
      <c r="Q557" s="77"/>
      <c r="R557" s="37"/>
      <c r="S557" s="37"/>
      <c r="T557" s="76"/>
      <c r="U557" s="76"/>
      <c r="V557" s="76"/>
      <c r="W557" s="76"/>
      <c r="X557" s="76"/>
      <c r="Y557" s="76"/>
      <c r="Z557" s="76"/>
      <c r="AA557" s="76"/>
    </row>
    <row r="558" spans="1:27" ht="15.75" customHeight="1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7"/>
      <c r="P558" s="77"/>
      <c r="Q558" s="77"/>
      <c r="R558" s="37"/>
      <c r="S558" s="37"/>
      <c r="T558" s="76"/>
      <c r="U558" s="76"/>
      <c r="V558" s="76"/>
      <c r="W558" s="76"/>
      <c r="X558" s="76"/>
      <c r="Y558" s="76"/>
      <c r="Z558" s="76"/>
      <c r="AA558" s="76"/>
    </row>
    <row r="559" spans="1:27" ht="15.75" customHeight="1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7"/>
      <c r="P559" s="77"/>
      <c r="Q559" s="77"/>
      <c r="R559" s="37"/>
      <c r="S559" s="37"/>
      <c r="T559" s="76"/>
      <c r="U559" s="76"/>
      <c r="V559" s="76"/>
      <c r="W559" s="76"/>
      <c r="X559" s="76"/>
      <c r="Y559" s="76"/>
      <c r="Z559" s="76"/>
      <c r="AA559" s="76"/>
    </row>
    <row r="560" spans="1:27" ht="15.75" customHeight="1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7"/>
      <c r="P560" s="77"/>
      <c r="Q560" s="77"/>
      <c r="R560" s="37"/>
      <c r="S560" s="37"/>
      <c r="T560" s="76"/>
      <c r="U560" s="76"/>
      <c r="V560" s="76"/>
      <c r="W560" s="76"/>
      <c r="X560" s="76"/>
      <c r="Y560" s="76"/>
      <c r="Z560" s="76"/>
      <c r="AA560" s="76"/>
    </row>
    <row r="561" spans="1:27" ht="15.75" customHeight="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7"/>
      <c r="P561" s="77"/>
      <c r="Q561" s="77"/>
      <c r="R561" s="37"/>
      <c r="S561" s="37"/>
      <c r="T561" s="76"/>
      <c r="U561" s="76"/>
      <c r="V561" s="76"/>
      <c r="W561" s="76"/>
      <c r="X561" s="76"/>
      <c r="Y561" s="76"/>
      <c r="Z561" s="76"/>
      <c r="AA561" s="76"/>
    </row>
    <row r="562" spans="1:27" ht="15.75" customHeight="1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7"/>
      <c r="P562" s="77"/>
      <c r="Q562" s="77"/>
      <c r="R562" s="37"/>
      <c r="S562" s="37"/>
      <c r="T562" s="76"/>
      <c r="U562" s="76"/>
      <c r="V562" s="76"/>
      <c r="W562" s="76"/>
      <c r="X562" s="76"/>
      <c r="Y562" s="76"/>
      <c r="Z562" s="76"/>
      <c r="AA562" s="76"/>
    </row>
    <row r="563" spans="1:27" ht="15.75" customHeight="1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7"/>
      <c r="P563" s="77"/>
      <c r="Q563" s="77"/>
      <c r="R563" s="37"/>
      <c r="S563" s="37"/>
      <c r="T563" s="76"/>
      <c r="U563" s="76"/>
      <c r="V563" s="76"/>
      <c r="W563" s="76"/>
      <c r="X563" s="76"/>
      <c r="Y563" s="76"/>
      <c r="Z563" s="76"/>
      <c r="AA563" s="76"/>
    </row>
    <row r="564" spans="1:27" ht="15.75" customHeight="1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7"/>
      <c r="P564" s="77"/>
      <c r="Q564" s="77"/>
      <c r="R564" s="37"/>
      <c r="S564" s="37"/>
      <c r="T564" s="76"/>
      <c r="U564" s="76"/>
      <c r="V564" s="76"/>
      <c r="W564" s="76"/>
      <c r="X564" s="76"/>
      <c r="Y564" s="76"/>
      <c r="Z564" s="76"/>
      <c r="AA564" s="76"/>
    </row>
    <row r="565" spans="1:27" ht="15.75" customHeight="1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7"/>
      <c r="P565" s="77"/>
      <c r="Q565" s="77"/>
      <c r="R565" s="37"/>
      <c r="S565" s="37"/>
      <c r="T565" s="76"/>
      <c r="U565" s="76"/>
      <c r="V565" s="76"/>
      <c r="W565" s="76"/>
      <c r="X565" s="76"/>
      <c r="Y565" s="76"/>
      <c r="Z565" s="76"/>
      <c r="AA565" s="76"/>
    </row>
    <row r="566" spans="1:27" ht="15.75" customHeight="1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7"/>
      <c r="P566" s="77"/>
      <c r="Q566" s="77"/>
      <c r="R566" s="37"/>
      <c r="S566" s="37"/>
      <c r="T566" s="76"/>
      <c r="U566" s="76"/>
      <c r="V566" s="76"/>
      <c r="W566" s="76"/>
      <c r="X566" s="76"/>
      <c r="Y566" s="76"/>
      <c r="Z566" s="76"/>
      <c r="AA566" s="76"/>
    </row>
    <row r="567" spans="1:27" ht="15.75" customHeight="1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7"/>
      <c r="P567" s="77"/>
      <c r="Q567" s="77"/>
      <c r="R567" s="37"/>
      <c r="S567" s="37"/>
      <c r="T567" s="76"/>
      <c r="U567" s="76"/>
      <c r="V567" s="76"/>
      <c r="W567" s="76"/>
      <c r="X567" s="76"/>
      <c r="Y567" s="76"/>
      <c r="Z567" s="76"/>
      <c r="AA567" s="76"/>
    </row>
    <row r="568" spans="1:27" ht="15.75" customHeight="1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7"/>
      <c r="P568" s="77"/>
      <c r="Q568" s="77"/>
      <c r="R568" s="37"/>
      <c r="S568" s="37"/>
      <c r="T568" s="76"/>
      <c r="U568" s="76"/>
      <c r="V568" s="76"/>
      <c r="W568" s="76"/>
      <c r="X568" s="76"/>
      <c r="Y568" s="76"/>
      <c r="Z568" s="76"/>
      <c r="AA568" s="76"/>
    </row>
    <row r="569" spans="1:27" ht="15.75" customHeight="1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7"/>
      <c r="P569" s="77"/>
      <c r="Q569" s="77"/>
      <c r="R569" s="37"/>
      <c r="S569" s="37"/>
      <c r="T569" s="76"/>
      <c r="U569" s="76"/>
      <c r="V569" s="76"/>
      <c r="W569" s="76"/>
      <c r="X569" s="76"/>
      <c r="Y569" s="76"/>
      <c r="Z569" s="76"/>
      <c r="AA569" s="76"/>
    </row>
    <row r="570" spans="1:27" ht="15.75" customHeight="1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7"/>
      <c r="P570" s="77"/>
      <c r="Q570" s="77"/>
      <c r="R570" s="37"/>
      <c r="S570" s="37"/>
      <c r="T570" s="76"/>
      <c r="U570" s="76"/>
      <c r="V570" s="76"/>
      <c r="W570" s="76"/>
      <c r="X570" s="76"/>
      <c r="Y570" s="76"/>
      <c r="Z570" s="76"/>
      <c r="AA570" s="76"/>
    </row>
    <row r="571" spans="1:27" ht="15.75" customHeight="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7"/>
      <c r="P571" s="77"/>
      <c r="Q571" s="77"/>
      <c r="R571" s="37"/>
      <c r="S571" s="37"/>
      <c r="T571" s="76"/>
      <c r="U571" s="76"/>
      <c r="V571" s="76"/>
      <c r="W571" s="76"/>
      <c r="X571" s="76"/>
      <c r="Y571" s="76"/>
      <c r="Z571" s="76"/>
      <c r="AA571" s="76"/>
    </row>
    <row r="572" spans="1:27" ht="15.75" customHeight="1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7"/>
      <c r="P572" s="77"/>
      <c r="Q572" s="77"/>
      <c r="R572" s="37"/>
      <c r="S572" s="37"/>
      <c r="T572" s="76"/>
      <c r="U572" s="76"/>
      <c r="V572" s="76"/>
      <c r="W572" s="76"/>
      <c r="X572" s="76"/>
      <c r="Y572" s="76"/>
      <c r="Z572" s="76"/>
      <c r="AA572" s="76"/>
    </row>
    <row r="573" spans="1:27" ht="15.75" customHeight="1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7"/>
      <c r="P573" s="77"/>
      <c r="Q573" s="77"/>
      <c r="R573" s="37"/>
      <c r="S573" s="37"/>
      <c r="T573" s="76"/>
      <c r="U573" s="76"/>
      <c r="V573" s="76"/>
      <c r="W573" s="76"/>
      <c r="X573" s="76"/>
      <c r="Y573" s="76"/>
      <c r="Z573" s="76"/>
      <c r="AA573" s="76"/>
    </row>
    <row r="574" spans="1:27" ht="15.75" customHeight="1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7"/>
      <c r="P574" s="77"/>
      <c r="Q574" s="77"/>
      <c r="R574" s="37"/>
      <c r="S574" s="37"/>
      <c r="T574" s="76"/>
      <c r="U574" s="76"/>
      <c r="V574" s="76"/>
      <c r="W574" s="76"/>
      <c r="X574" s="76"/>
      <c r="Y574" s="76"/>
      <c r="Z574" s="76"/>
      <c r="AA574" s="76"/>
    </row>
    <row r="575" spans="1:27" ht="15.75" customHeight="1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7"/>
      <c r="P575" s="77"/>
      <c r="Q575" s="77"/>
      <c r="R575" s="37"/>
      <c r="S575" s="37"/>
      <c r="T575" s="76"/>
      <c r="U575" s="76"/>
      <c r="V575" s="76"/>
      <c r="W575" s="76"/>
      <c r="X575" s="76"/>
      <c r="Y575" s="76"/>
      <c r="Z575" s="76"/>
      <c r="AA575" s="76"/>
    </row>
    <row r="576" spans="1:27" ht="15.75" customHeight="1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7"/>
      <c r="P576" s="77"/>
      <c r="Q576" s="77"/>
      <c r="R576" s="37"/>
      <c r="S576" s="37"/>
      <c r="T576" s="76"/>
      <c r="U576" s="76"/>
      <c r="V576" s="76"/>
      <c r="W576" s="76"/>
      <c r="X576" s="76"/>
      <c r="Y576" s="76"/>
      <c r="Z576" s="76"/>
      <c r="AA576" s="76"/>
    </row>
    <row r="577" spans="1:27" ht="15.75" customHeight="1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7"/>
      <c r="P577" s="77"/>
      <c r="Q577" s="77"/>
      <c r="R577" s="37"/>
      <c r="S577" s="37"/>
      <c r="T577" s="76"/>
      <c r="U577" s="76"/>
      <c r="V577" s="76"/>
      <c r="W577" s="76"/>
      <c r="X577" s="76"/>
      <c r="Y577" s="76"/>
      <c r="Z577" s="76"/>
      <c r="AA577" s="76"/>
    </row>
    <row r="578" spans="1:27" ht="15.75" customHeight="1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7"/>
      <c r="P578" s="77"/>
      <c r="Q578" s="77"/>
      <c r="R578" s="37"/>
      <c r="S578" s="37"/>
      <c r="T578" s="76"/>
      <c r="U578" s="76"/>
      <c r="V578" s="76"/>
      <c r="W578" s="76"/>
      <c r="X578" s="76"/>
      <c r="Y578" s="76"/>
      <c r="Z578" s="76"/>
      <c r="AA578" s="76"/>
    </row>
    <row r="579" spans="1:27" ht="15.75" customHeight="1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7"/>
      <c r="P579" s="77"/>
      <c r="Q579" s="77"/>
      <c r="R579" s="37"/>
      <c r="S579" s="37"/>
      <c r="T579" s="76"/>
      <c r="U579" s="76"/>
      <c r="V579" s="76"/>
      <c r="W579" s="76"/>
      <c r="X579" s="76"/>
      <c r="Y579" s="76"/>
      <c r="Z579" s="76"/>
      <c r="AA579" s="76"/>
    </row>
    <row r="580" spans="1:27" ht="15.75" customHeight="1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7"/>
      <c r="P580" s="77"/>
      <c r="Q580" s="77"/>
      <c r="R580" s="37"/>
      <c r="S580" s="37"/>
      <c r="T580" s="76"/>
      <c r="U580" s="76"/>
      <c r="V580" s="76"/>
      <c r="W580" s="76"/>
      <c r="X580" s="76"/>
      <c r="Y580" s="76"/>
      <c r="Z580" s="76"/>
      <c r="AA580" s="76"/>
    </row>
    <row r="581" spans="1:27" ht="15.75" customHeight="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7"/>
      <c r="P581" s="77"/>
      <c r="Q581" s="77"/>
      <c r="R581" s="37"/>
      <c r="S581" s="37"/>
      <c r="T581" s="76"/>
      <c r="U581" s="76"/>
      <c r="V581" s="76"/>
      <c r="W581" s="76"/>
      <c r="X581" s="76"/>
      <c r="Y581" s="76"/>
      <c r="Z581" s="76"/>
      <c r="AA581" s="76"/>
    </row>
    <row r="582" spans="1:27" ht="15.75" customHeight="1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7"/>
      <c r="P582" s="77"/>
      <c r="Q582" s="77"/>
      <c r="R582" s="37"/>
      <c r="S582" s="37"/>
      <c r="T582" s="76"/>
      <c r="U582" s="76"/>
      <c r="V582" s="76"/>
      <c r="W582" s="76"/>
      <c r="X582" s="76"/>
      <c r="Y582" s="76"/>
      <c r="Z582" s="76"/>
      <c r="AA582" s="76"/>
    </row>
    <row r="583" spans="1:27" ht="15.75" customHeight="1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7"/>
      <c r="P583" s="77"/>
      <c r="Q583" s="77"/>
      <c r="R583" s="37"/>
      <c r="S583" s="37"/>
      <c r="T583" s="76"/>
      <c r="U583" s="76"/>
      <c r="V583" s="76"/>
      <c r="W583" s="76"/>
      <c r="X583" s="76"/>
      <c r="Y583" s="76"/>
      <c r="Z583" s="76"/>
      <c r="AA583" s="76"/>
    </row>
    <row r="584" spans="1:27" ht="15.75" customHeight="1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7"/>
      <c r="P584" s="77"/>
      <c r="Q584" s="77"/>
      <c r="R584" s="37"/>
      <c r="S584" s="37"/>
      <c r="T584" s="76"/>
      <c r="U584" s="76"/>
      <c r="V584" s="76"/>
      <c r="W584" s="76"/>
      <c r="X584" s="76"/>
      <c r="Y584" s="76"/>
      <c r="Z584" s="76"/>
      <c r="AA584" s="76"/>
    </row>
    <row r="585" spans="1:27" ht="15.75" customHeight="1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7"/>
      <c r="P585" s="77"/>
      <c r="Q585" s="77"/>
      <c r="R585" s="37"/>
      <c r="S585" s="37"/>
      <c r="T585" s="76"/>
      <c r="U585" s="76"/>
      <c r="V585" s="76"/>
      <c r="W585" s="76"/>
      <c r="X585" s="76"/>
      <c r="Y585" s="76"/>
      <c r="Z585" s="76"/>
      <c r="AA585" s="76"/>
    </row>
    <row r="586" spans="1:27" ht="15.75" customHeight="1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7"/>
      <c r="P586" s="77"/>
      <c r="Q586" s="77"/>
      <c r="R586" s="37"/>
      <c r="S586" s="37"/>
      <c r="T586" s="76"/>
      <c r="U586" s="76"/>
      <c r="V586" s="76"/>
      <c r="W586" s="76"/>
      <c r="X586" s="76"/>
      <c r="Y586" s="76"/>
      <c r="Z586" s="76"/>
      <c r="AA586" s="76"/>
    </row>
    <row r="587" spans="1:27" ht="15.75" customHeight="1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7"/>
      <c r="P587" s="77"/>
      <c r="Q587" s="77"/>
      <c r="R587" s="37"/>
      <c r="S587" s="37"/>
      <c r="T587" s="76"/>
      <c r="U587" s="76"/>
      <c r="V587" s="76"/>
      <c r="W587" s="76"/>
      <c r="X587" s="76"/>
      <c r="Y587" s="76"/>
      <c r="Z587" s="76"/>
      <c r="AA587" s="76"/>
    </row>
    <row r="588" spans="1:27" ht="15.75" customHeight="1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7"/>
      <c r="P588" s="77"/>
      <c r="Q588" s="77"/>
      <c r="R588" s="37"/>
      <c r="S588" s="37"/>
      <c r="T588" s="76"/>
      <c r="U588" s="76"/>
      <c r="V588" s="76"/>
      <c r="W588" s="76"/>
      <c r="X588" s="76"/>
      <c r="Y588" s="76"/>
      <c r="Z588" s="76"/>
      <c r="AA588" s="76"/>
    </row>
    <row r="589" spans="1:27" ht="15.75" customHeight="1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7"/>
      <c r="P589" s="77"/>
      <c r="Q589" s="77"/>
      <c r="R589" s="37"/>
      <c r="S589" s="37"/>
      <c r="T589" s="76"/>
      <c r="U589" s="76"/>
      <c r="V589" s="76"/>
      <c r="W589" s="76"/>
      <c r="X589" s="76"/>
      <c r="Y589" s="76"/>
      <c r="Z589" s="76"/>
      <c r="AA589" s="76"/>
    </row>
    <row r="590" spans="1:27" ht="15.75" customHeight="1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7"/>
      <c r="P590" s="77"/>
      <c r="Q590" s="77"/>
      <c r="R590" s="37"/>
      <c r="S590" s="37"/>
      <c r="T590" s="76"/>
      <c r="U590" s="76"/>
      <c r="V590" s="76"/>
      <c r="W590" s="76"/>
      <c r="X590" s="76"/>
      <c r="Y590" s="76"/>
      <c r="Z590" s="76"/>
      <c r="AA590" s="76"/>
    </row>
    <row r="591" spans="1:27" ht="15.75" customHeight="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7"/>
      <c r="P591" s="77"/>
      <c r="Q591" s="77"/>
      <c r="R591" s="37"/>
      <c r="S591" s="37"/>
      <c r="T591" s="76"/>
      <c r="U591" s="76"/>
      <c r="V591" s="76"/>
      <c r="W591" s="76"/>
      <c r="X591" s="76"/>
      <c r="Y591" s="76"/>
      <c r="Z591" s="76"/>
      <c r="AA591" s="76"/>
    </row>
    <row r="592" spans="1:27" ht="15.75" customHeight="1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7"/>
      <c r="P592" s="77"/>
      <c r="Q592" s="77"/>
      <c r="R592" s="37"/>
      <c r="S592" s="37"/>
      <c r="T592" s="76"/>
      <c r="U592" s="76"/>
      <c r="V592" s="76"/>
      <c r="W592" s="76"/>
      <c r="X592" s="76"/>
      <c r="Y592" s="76"/>
      <c r="Z592" s="76"/>
      <c r="AA592" s="76"/>
    </row>
    <row r="593" spans="1:27" ht="15.75" customHeight="1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7"/>
      <c r="P593" s="77"/>
      <c r="Q593" s="77"/>
      <c r="R593" s="37"/>
      <c r="S593" s="37"/>
      <c r="T593" s="76"/>
      <c r="U593" s="76"/>
      <c r="V593" s="76"/>
      <c r="W593" s="76"/>
      <c r="X593" s="76"/>
      <c r="Y593" s="76"/>
      <c r="Z593" s="76"/>
      <c r="AA593" s="76"/>
    </row>
    <row r="594" spans="1:27" ht="15.75" customHeight="1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7"/>
      <c r="P594" s="77"/>
      <c r="Q594" s="77"/>
      <c r="R594" s="37"/>
      <c r="S594" s="37"/>
      <c r="T594" s="76"/>
      <c r="U594" s="76"/>
      <c r="V594" s="76"/>
      <c r="W594" s="76"/>
      <c r="X594" s="76"/>
      <c r="Y594" s="76"/>
      <c r="Z594" s="76"/>
      <c r="AA594" s="76"/>
    </row>
    <row r="595" spans="1:27" ht="15.75" customHeight="1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7"/>
      <c r="P595" s="77"/>
      <c r="Q595" s="77"/>
      <c r="R595" s="37"/>
      <c r="S595" s="37"/>
      <c r="T595" s="76"/>
      <c r="U595" s="76"/>
      <c r="V595" s="76"/>
      <c r="W595" s="76"/>
      <c r="X595" s="76"/>
      <c r="Y595" s="76"/>
      <c r="Z595" s="76"/>
      <c r="AA595" s="76"/>
    </row>
    <row r="596" spans="1:27" ht="15.75" customHeight="1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7"/>
      <c r="P596" s="77"/>
      <c r="Q596" s="77"/>
      <c r="R596" s="37"/>
      <c r="S596" s="37"/>
      <c r="T596" s="76"/>
      <c r="U596" s="76"/>
      <c r="V596" s="76"/>
      <c r="W596" s="76"/>
      <c r="X596" s="76"/>
      <c r="Y596" s="76"/>
      <c r="Z596" s="76"/>
      <c r="AA596" s="76"/>
    </row>
    <row r="597" spans="1:27" ht="15.75" customHeight="1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7"/>
      <c r="P597" s="77"/>
      <c r="Q597" s="77"/>
      <c r="R597" s="37"/>
      <c r="S597" s="37"/>
      <c r="T597" s="76"/>
      <c r="U597" s="76"/>
      <c r="V597" s="76"/>
      <c r="W597" s="76"/>
      <c r="X597" s="76"/>
      <c r="Y597" s="76"/>
      <c r="Z597" s="76"/>
      <c r="AA597" s="76"/>
    </row>
    <row r="598" spans="1:27" ht="15.75" customHeight="1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7"/>
      <c r="P598" s="77"/>
      <c r="Q598" s="77"/>
      <c r="R598" s="37"/>
      <c r="S598" s="37"/>
      <c r="T598" s="76"/>
      <c r="U598" s="76"/>
      <c r="V598" s="76"/>
      <c r="W598" s="76"/>
      <c r="X598" s="76"/>
      <c r="Y598" s="76"/>
      <c r="Z598" s="76"/>
      <c r="AA598" s="76"/>
    </row>
    <row r="599" spans="1:27" ht="15.75" customHeight="1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7"/>
      <c r="P599" s="77"/>
      <c r="Q599" s="77"/>
      <c r="R599" s="37"/>
      <c r="S599" s="37"/>
      <c r="T599" s="76"/>
      <c r="U599" s="76"/>
      <c r="V599" s="76"/>
      <c r="W599" s="76"/>
      <c r="X599" s="76"/>
      <c r="Y599" s="76"/>
      <c r="Z599" s="76"/>
      <c r="AA599" s="76"/>
    </row>
    <row r="600" spans="1:27" ht="15.75" customHeight="1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7"/>
      <c r="P600" s="77"/>
      <c r="Q600" s="77"/>
      <c r="R600" s="37"/>
      <c r="S600" s="37"/>
      <c r="T600" s="76"/>
      <c r="U600" s="76"/>
      <c r="V600" s="76"/>
      <c r="W600" s="76"/>
      <c r="X600" s="76"/>
      <c r="Y600" s="76"/>
      <c r="Z600" s="76"/>
      <c r="AA600" s="76"/>
    </row>
    <row r="601" spans="1:27" ht="15.75" customHeight="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7"/>
      <c r="P601" s="77"/>
      <c r="Q601" s="77"/>
      <c r="R601" s="37"/>
      <c r="S601" s="37"/>
      <c r="T601" s="76"/>
      <c r="U601" s="76"/>
      <c r="V601" s="76"/>
      <c r="W601" s="76"/>
      <c r="X601" s="76"/>
      <c r="Y601" s="76"/>
      <c r="Z601" s="76"/>
      <c r="AA601" s="76"/>
    </row>
    <row r="602" spans="1:27" ht="15.75" customHeight="1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7"/>
      <c r="P602" s="77"/>
      <c r="Q602" s="77"/>
      <c r="R602" s="37"/>
      <c r="S602" s="37"/>
      <c r="T602" s="76"/>
      <c r="U602" s="76"/>
      <c r="V602" s="76"/>
      <c r="W602" s="76"/>
      <c r="X602" s="76"/>
      <c r="Y602" s="76"/>
      <c r="Z602" s="76"/>
      <c r="AA602" s="76"/>
    </row>
    <row r="603" spans="1:27" ht="15.75" customHeight="1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7"/>
      <c r="P603" s="77"/>
      <c r="Q603" s="77"/>
      <c r="R603" s="37"/>
      <c r="S603" s="37"/>
      <c r="T603" s="76"/>
      <c r="U603" s="76"/>
      <c r="V603" s="76"/>
      <c r="W603" s="76"/>
      <c r="X603" s="76"/>
      <c r="Y603" s="76"/>
      <c r="Z603" s="76"/>
      <c r="AA603" s="76"/>
    </row>
    <row r="604" spans="1:27" ht="15.75" customHeight="1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7"/>
      <c r="P604" s="77"/>
      <c r="Q604" s="77"/>
      <c r="R604" s="37"/>
      <c r="S604" s="37"/>
      <c r="T604" s="76"/>
      <c r="U604" s="76"/>
      <c r="V604" s="76"/>
      <c r="W604" s="76"/>
      <c r="X604" s="76"/>
      <c r="Y604" s="76"/>
      <c r="Z604" s="76"/>
      <c r="AA604" s="76"/>
    </row>
    <row r="605" spans="1:27" ht="15.75" customHeight="1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7"/>
      <c r="P605" s="77"/>
      <c r="Q605" s="77"/>
      <c r="R605" s="37"/>
      <c r="S605" s="37"/>
      <c r="T605" s="76"/>
      <c r="U605" s="76"/>
      <c r="V605" s="76"/>
      <c r="W605" s="76"/>
      <c r="X605" s="76"/>
      <c r="Y605" s="76"/>
      <c r="Z605" s="76"/>
      <c r="AA605" s="76"/>
    </row>
    <row r="606" spans="1:27" ht="15.75" customHeight="1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7"/>
      <c r="P606" s="77"/>
      <c r="Q606" s="77"/>
      <c r="R606" s="37"/>
      <c r="S606" s="37"/>
      <c r="T606" s="76"/>
      <c r="U606" s="76"/>
      <c r="V606" s="76"/>
      <c r="W606" s="76"/>
      <c r="X606" s="76"/>
      <c r="Y606" s="76"/>
      <c r="Z606" s="76"/>
      <c r="AA606" s="76"/>
    </row>
    <row r="607" spans="1:27" ht="15.75" customHeight="1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7"/>
      <c r="P607" s="77"/>
      <c r="Q607" s="77"/>
      <c r="R607" s="37"/>
      <c r="S607" s="37"/>
      <c r="T607" s="76"/>
      <c r="U607" s="76"/>
      <c r="V607" s="76"/>
      <c r="W607" s="76"/>
      <c r="X607" s="76"/>
      <c r="Y607" s="76"/>
      <c r="Z607" s="76"/>
      <c r="AA607" s="76"/>
    </row>
    <row r="608" spans="1:27" ht="15.75" customHeight="1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7"/>
      <c r="P608" s="77"/>
      <c r="Q608" s="77"/>
      <c r="R608" s="37"/>
      <c r="S608" s="37"/>
      <c r="T608" s="76"/>
      <c r="U608" s="76"/>
      <c r="V608" s="76"/>
      <c r="W608" s="76"/>
      <c r="X608" s="76"/>
      <c r="Y608" s="76"/>
      <c r="Z608" s="76"/>
      <c r="AA608" s="76"/>
    </row>
    <row r="609" spans="1:27" ht="15.75" customHeight="1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7"/>
      <c r="P609" s="77"/>
      <c r="Q609" s="77"/>
      <c r="R609" s="37"/>
      <c r="S609" s="37"/>
      <c r="T609" s="76"/>
      <c r="U609" s="76"/>
      <c r="V609" s="76"/>
      <c r="W609" s="76"/>
      <c r="X609" s="76"/>
      <c r="Y609" s="76"/>
      <c r="Z609" s="76"/>
      <c r="AA609" s="76"/>
    </row>
    <row r="610" spans="1:27" ht="15.75" customHeight="1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7"/>
      <c r="P610" s="77"/>
      <c r="Q610" s="77"/>
      <c r="R610" s="37"/>
      <c r="S610" s="37"/>
      <c r="T610" s="76"/>
      <c r="U610" s="76"/>
      <c r="V610" s="76"/>
      <c r="W610" s="76"/>
      <c r="X610" s="76"/>
      <c r="Y610" s="76"/>
      <c r="Z610" s="76"/>
      <c r="AA610" s="76"/>
    </row>
    <row r="611" spans="1:27" ht="15.75" customHeight="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7"/>
      <c r="P611" s="77"/>
      <c r="Q611" s="77"/>
      <c r="R611" s="37"/>
      <c r="S611" s="37"/>
      <c r="T611" s="76"/>
      <c r="U611" s="76"/>
      <c r="V611" s="76"/>
      <c r="W611" s="76"/>
      <c r="X611" s="76"/>
      <c r="Y611" s="76"/>
      <c r="Z611" s="76"/>
      <c r="AA611" s="76"/>
    </row>
    <row r="612" spans="1:27" ht="15.75" customHeight="1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7"/>
      <c r="P612" s="77"/>
      <c r="Q612" s="77"/>
      <c r="R612" s="37"/>
      <c r="S612" s="37"/>
      <c r="T612" s="76"/>
      <c r="U612" s="76"/>
      <c r="V612" s="76"/>
      <c r="W612" s="76"/>
      <c r="X612" s="76"/>
      <c r="Y612" s="76"/>
      <c r="Z612" s="76"/>
      <c r="AA612" s="76"/>
    </row>
    <row r="613" spans="1:27" ht="15.75" customHeight="1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7"/>
      <c r="P613" s="77"/>
      <c r="Q613" s="77"/>
      <c r="R613" s="37"/>
      <c r="S613" s="37"/>
      <c r="T613" s="76"/>
      <c r="U613" s="76"/>
      <c r="V613" s="76"/>
      <c r="W613" s="76"/>
      <c r="X613" s="76"/>
      <c r="Y613" s="76"/>
      <c r="Z613" s="76"/>
      <c r="AA613" s="76"/>
    </row>
    <row r="614" spans="1:27" ht="15.75" customHeight="1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7"/>
      <c r="P614" s="77"/>
      <c r="Q614" s="77"/>
      <c r="R614" s="37"/>
      <c r="S614" s="37"/>
      <c r="T614" s="76"/>
      <c r="U614" s="76"/>
      <c r="V614" s="76"/>
      <c r="W614" s="76"/>
      <c r="X614" s="76"/>
      <c r="Y614" s="76"/>
      <c r="Z614" s="76"/>
      <c r="AA614" s="76"/>
    </row>
    <row r="615" spans="1:27" ht="15.75" customHeight="1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7"/>
      <c r="P615" s="77"/>
      <c r="Q615" s="77"/>
      <c r="R615" s="37"/>
      <c r="S615" s="37"/>
      <c r="T615" s="76"/>
      <c r="U615" s="76"/>
      <c r="V615" s="76"/>
      <c r="W615" s="76"/>
      <c r="X615" s="76"/>
      <c r="Y615" s="76"/>
      <c r="Z615" s="76"/>
      <c r="AA615" s="76"/>
    </row>
    <row r="616" spans="1:27" ht="15.75" customHeight="1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7"/>
      <c r="P616" s="77"/>
      <c r="Q616" s="77"/>
      <c r="R616" s="37"/>
      <c r="S616" s="37"/>
      <c r="T616" s="76"/>
      <c r="U616" s="76"/>
      <c r="V616" s="76"/>
      <c r="W616" s="76"/>
      <c r="X616" s="76"/>
      <c r="Y616" s="76"/>
      <c r="Z616" s="76"/>
      <c r="AA616" s="76"/>
    </row>
    <row r="617" spans="1:27" ht="15.75" customHeight="1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7"/>
      <c r="P617" s="77"/>
      <c r="Q617" s="77"/>
      <c r="R617" s="37"/>
      <c r="S617" s="37"/>
      <c r="T617" s="76"/>
      <c r="U617" s="76"/>
      <c r="V617" s="76"/>
      <c r="W617" s="76"/>
      <c r="X617" s="76"/>
      <c r="Y617" s="76"/>
      <c r="Z617" s="76"/>
      <c r="AA617" s="76"/>
    </row>
    <row r="618" spans="1:27" ht="15.75" customHeight="1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7"/>
      <c r="P618" s="77"/>
      <c r="Q618" s="77"/>
      <c r="R618" s="37"/>
      <c r="S618" s="37"/>
      <c r="T618" s="76"/>
      <c r="U618" s="76"/>
      <c r="V618" s="76"/>
      <c r="W618" s="76"/>
      <c r="X618" s="76"/>
      <c r="Y618" s="76"/>
      <c r="Z618" s="76"/>
      <c r="AA618" s="76"/>
    </row>
    <row r="619" spans="1:27" ht="15.75" customHeight="1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7"/>
      <c r="P619" s="77"/>
      <c r="Q619" s="77"/>
      <c r="R619" s="37"/>
      <c r="S619" s="37"/>
      <c r="T619" s="76"/>
      <c r="U619" s="76"/>
      <c r="V619" s="76"/>
      <c r="W619" s="76"/>
      <c r="X619" s="76"/>
      <c r="Y619" s="76"/>
      <c r="Z619" s="76"/>
      <c r="AA619" s="76"/>
    </row>
    <row r="620" spans="1:27" ht="15.75" customHeight="1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7"/>
      <c r="P620" s="77"/>
      <c r="Q620" s="77"/>
      <c r="R620" s="37"/>
      <c r="S620" s="37"/>
      <c r="T620" s="76"/>
      <c r="U620" s="76"/>
      <c r="V620" s="76"/>
      <c r="W620" s="76"/>
      <c r="X620" s="76"/>
      <c r="Y620" s="76"/>
      <c r="Z620" s="76"/>
      <c r="AA620" s="76"/>
    </row>
    <row r="621" spans="1:27" ht="15.75" customHeight="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7"/>
      <c r="P621" s="77"/>
      <c r="Q621" s="77"/>
      <c r="R621" s="37"/>
      <c r="S621" s="37"/>
      <c r="T621" s="76"/>
      <c r="U621" s="76"/>
      <c r="V621" s="76"/>
      <c r="W621" s="76"/>
      <c r="X621" s="76"/>
      <c r="Y621" s="76"/>
      <c r="Z621" s="76"/>
      <c r="AA621" s="76"/>
    </row>
    <row r="622" spans="1:27" ht="15.75" customHeight="1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7"/>
      <c r="P622" s="77"/>
      <c r="Q622" s="77"/>
      <c r="R622" s="37"/>
      <c r="S622" s="37"/>
      <c r="T622" s="76"/>
      <c r="U622" s="76"/>
      <c r="V622" s="76"/>
      <c r="W622" s="76"/>
      <c r="X622" s="76"/>
      <c r="Y622" s="76"/>
      <c r="Z622" s="76"/>
      <c r="AA622" s="76"/>
    </row>
    <row r="623" spans="1:27" ht="15.75" customHeight="1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7"/>
      <c r="P623" s="77"/>
      <c r="Q623" s="77"/>
      <c r="R623" s="37"/>
      <c r="S623" s="37"/>
      <c r="T623" s="76"/>
      <c r="U623" s="76"/>
      <c r="V623" s="76"/>
      <c r="W623" s="76"/>
      <c r="X623" s="76"/>
      <c r="Y623" s="76"/>
      <c r="Z623" s="76"/>
      <c r="AA623" s="76"/>
    </row>
    <row r="624" spans="1:27" ht="15.75" customHeight="1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7"/>
      <c r="P624" s="77"/>
      <c r="Q624" s="77"/>
      <c r="R624" s="37"/>
      <c r="S624" s="37"/>
      <c r="T624" s="76"/>
      <c r="U624" s="76"/>
      <c r="V624" s="76"/>
      <c r="W624" s="76"/>
      <c r="X624" s="76"/>
      <c r="Y624" s="76"/>
      <c r="Z624" s="76"/>
      <c r="AA624" s="76"/>
    </row>
    <row r="625" spans="1:27" ht="15.75" customHeight="1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7"/>
      <c r="P625" s="77"/>
      <c r="Q625" s="77"/>
      <c r="R625" s="37"/>
      <c r="S625" s="37"/>
      <c r="T625" s="76"/>
      <c r="U625" s="76"/>
      <c r="V625" s="76"/>
      <c r="W625" s="76"/>
      <c r="X625" s="76"/>
      <c r="Y625" s="76"/>
      <c r="Z625" s="76"/>
      <c r="AA625" s="76"/>
    </row>
    <row r="626" spans="1:27" ht="15.75" customHeight="1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7"/>
      <c r="P626" s="77"/>
      <c r="Q626" s="77"/>
      <c r="R626" s="37"/>
      <c r="S626" s="37"/>
      <c r="T626" s="76"/>
      <c r="U626" s="76"/>
      <c r="V626" s="76"/>
      <c r="W626" s="76"/>
      <c r="X626" s="76"/>
      <c r="Y626" s="76"/>
      <c r="Z626" s="76"/>
      <c r="AA626" s="76"/>
    </row>
    <row r="627" spans="1:27" ht="15.75" customHeight="1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7"/>
      <c r="P627" s="77"/>
      <c r="Q627" s="77"/>
      <c r="R627" s="37"/>
      <c r="S627" s="37"/>
      <c r="T627" s="76"/>
      <c r="U627" s="76"/>
      <c r="V627" s="76"/>
      <c r="W627" s="76"/>
      <c r="X627" s="76"/>
      <c r="Y627" s="76"/>
      <c r="Z627" s="76"/>
      <c r="AA627" s="76"/>
    </row>
    <row r="628" spans="1:27" ht="15.75" customHeight="1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7"/>
      <c r="P628" s="77"/>
      <c r="Q628" s="77"/>
      <c r="R628" s="37"/>
      <c r="S628" s="37"/>
      <c r="T628" s="76"/>
      <c r="U628" s="76"/>
      <c r="V628" s="76"/>
      <c r="W628" s="76"/>
      <c r="X628" s="76"/>
      <c r="Y628" s="76"/>
      <c r="Z628" s="76"/>
      <c r="AA628" s="76"/>
    </row>
    <row r="629" spans="1:27" ht="15.75" customHeight="1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7"/>
      <c r="P629" s="77"/>
      <c r="Q629" s="77"/>
      <c r="R629" s="37"/>
      <c r="S629" s="37"/>
      <c r="T629" s="76"/>
      <c r="U629" s="76"/>
      <c r="V629" s="76"/>
      <c r="W629" s="76"/>
      <c r="X629" s="76"/>
      <c r="Y629" s="76"/>
      <c r="Z629" s="76"/>
      <c r="AA629" s="76"/>
    </row>
    <row r="630" spans="1:27" ht="15.75" customHeight="1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7"/>
      <c r="P630" s="77"/>
      <c r="Q630" s="77"/>
      <c r="R630" s="37"/>
      <c r="S630" s="37"/>
      <c r="T630" s="76"/>
      <c r="U630" s="76"/>
      <c r="V630" s="76"/>
      <c r="W630" s="76"/>
      <c r="X630" s="76"/>
      <c r="Y630" s="76"/>
      <c r="Z630" s="76"/>
      <c r="AA630" s="76"/>
    </row>
    <row r="631" spans="1:27" ht="15.75" customHeight="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7"/>
      <c r="P631" s="77"/>
      <c r="Q631" s="77"/>
      <c r="R631" s="37"/>
      <c r="S631" s="37"/>
      <c r="T631" s="76"/>
      <c r="U631" s="76"/>
      <c r="V631" s="76"/>
      <c r="W631" s="76"/>
      <c r="X631" s="76"/>
      <c r="Y631" s="76"/>
      <c r="Z631" s="76"/>
      <c r="AA631" s="76"/>
    </row>
    <row r="632" spans="1:27" ht="15.75" customHeight="1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7"/>
      <c r="P632" s="77"/>
      <c r="Q632" s="77"/>
      <c r="R632" s="37"/>
      <c r="S632" s="37"/>
      <c r="T632" s="76"/>
      <c r="U632" s="76"/>
      <c r="V632" s="76"/>
      <c r="W632" s="76"/>
      <c r="X632" s="76"/>
      <c r="Y632" s="76"/>
      <c r="Z632" s="76"/>
      <c r="AA632" s="76"/>
    </row>
    <row r="633" spans="1:27" ht="15.75" customHeight="1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7"/>
      <c r="P633" s="77"/>
      <c r="Q633" s="77"/>
      <c r="R633" s="37"/>
      <c r="S633" s="37"/>
      <c r="T633" s="76"/>
      <c r="U633" s="76"/>
      <c r="V633" s="76"/>
      <c r="W633" s="76"/>
      <c r="X633" s="76"/>
      <c r="Y633" s="76"/>
      <c r="Z633" s="76"/>
      <c r="AA633" s="76"/>
    </row>
    <row r="634" spans="1:27" ht="15.75" customHeight="1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7"/>
      <c r="P634" s="77"/>
      <c r="Q634" s="77"/>
      <c r="R634" s="37"/>
      <c r="S634" s="37"/>
      <c r="T634" s="76"/>
      <c r="U634" s="76"/>
      <c r="V634" s="76"/>
      <c r="W634" s="76"/>
      <c r="X634" s="76"/>
      <c r="Y634" s="76"/>
      <c r="Z634" s="76"/>
      <c r="AA634" s="76"/>
    </row>
    <row r="635" spans="1:27" ht="15.75" customHeight="1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7"/>
      <c r="P635" s="77"/>
      <c r="Q635" s="77"/>
      <c r="R635" s="37"/>
      <c r="S635" s="37"/>
      <c r="T635" s="76"/>
      <c r="U635" s="76"/>
      <c r="V635" s="76"/>
      <c r="W635" s="76"/>
      <c r="X635" s="76"/>
      <c r="Y635" s="76"/>
      <c r="Z635" s="76"/>
      <c r="AA635" s="76"/>
    </row>
    <row r="636" spans="1:27" ht="15.75" customHeight="1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7"/>
      <c r="P636" s="77"/>
      <c r="Q636" s="77"/>
      <c r="R636" s="37"/>
      <c r="S636" s="37"/>
      <c r="T636" s="76"/>
      <c r="U636" s="76"/>
      <c r="V636" s="76"/>
      <c r="W636" s="76"/>
      <c r="X636" s="76"/>
      <c r="Y636" s="76"/>
      <c r="Z636" s="76"/>
      <c r="AA636" s="76"/>
    </row>
    <row r="637" spans="1:27" ht="15.75" customHeight="1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7"/>
      <c r="P637" s="77"/>
      <c r="Q637" s="77"/>
      <c r="R637" s="37"/>
      <c r="S637" s="37"/>
      <c r="T637" s="76"/>
      <c r="U637" s="76"/>
      <c r="V637" s="76"/>
      <c r="W637" s="76"/>
      <c r="X637" s="76"/>
      <c r="Y637" s="76"/>
      <c r="Z637" s="76"/>
      <c r="AA637" s="76"/>
    </row>
    <row r="638" spans="1:27" ht="15.75" customHeight="1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7"/>
      <c r="P638" s="77"/>
      <c r="Q638" s="77"/>
      <c r="R638" s="37"/>
      <c r="S638" s="37"/>
      <c r="T638" s="76"/>
      <c r="U638" s="76"/>
      <c r="V638" s="76"/>
      <c r="W638" s="76"/>
      <c r="X638" s="76"/>
      <c r="Y638" s="76"/>
      <c r="Z638" s="76"/>
      <c r="AA638" s="76"/>
    </row>
    <row r="639" spans="1:27" ht="15.75" customHeight="1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7"/>
      <c r="P639" s="77"/>
      <c r="Q639" s="77"/>
      <c r="R639" s="37"/>
      <c r="S639" s="37"/>
      <c r="T639" s="76"/>
      <c r="U639" s="76"/>
      <c r="V639" s="76"/>
      <c r="W639" s="76"/>
      <c r="X639" s="76"/>
      <c r="Y639" s="76"/>
      <c r="Z639" s="76"/>
      <c r="AA639" s="76"/>
    </row>
    <row r="640" spans="1:27" ht="15.75" customHeight="1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7"/>
      <c r="P640" s="77"/>
      <c r="Q640" s="77"/>
      <c r="R640" s="37"/>
      <c r="S640" s="37"/>
      <c r="T640" s="76"/>
      <c r="U640" s="76"/>
      <c r="V640" s="76"/>
      <c r="W640" s="76"/>
      <c r="X640" s="76"/>
      <c r="Y640" s="76"/>
      <c r="Z640" s="76"/>
      <c r="AA640" s="76"/>
    </row>
    <row r="641" spans="1:27" ht="15.75" customHeight="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7"/>
      <c r="P641" s="77"/>
      <c r="Q641" s="77"/>
      <c r="R641" s="37"/>
      <c r="S641" s="37"/>
      <c r="T641" s="76"/>
      <c r="U641" s="76"/>
      <c r="V641" s="76"/>
      <c r="W641" s="76"/>
      <c r="X641" s="76"/>
      <c r="Y641" s="76"/>
      <c r="Z641" s="76"/>
      <c r="AA641" s="76"/>
    </row>
    <row r="642" spans="1:27" ht="15.75" customHeight="1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7"/>
      <c r="P642" s="77"/>
      <c r="Q642" s="77"/>
      <c r="R642" s="37"/>
      <c r="S642" s="37"/>
      <c r="T642" s="76"/>
      <c r="U642" s="76"/>
      <c r="V642" s="76"/>
      <c r="W642" s="76"/>
      <c r="X642" s="76"/>
      <c r="Y642" s="76"/>
      <c r="Z642" s="76"/>
      <c r="AA642" s="76"/>
    </row>
    <row r="643" spans="1:27" ht="15.75" customHeight="1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7"/>
      <c r="P643" s="77"/>
      <c r="Q643" s="77"/>
      <c r="R643" s="37"/>
      <c r="S643" s="37"/>
      <c r="T643" s="76"/>
      <c r="U643" s="76"/>
      <c r="V643" s="76"/>
      <c r="W643" s="76"/>
      <c r="X643" s="76"/>
      <c r="Y643" s="76"/>
      <c r="Z643" s="76"/>
      <c r="AA643" s="76"/>
    </row>
    <row r="644" spans="1:27" ht="15.75" customHeight="1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7"/>
      <c r="P644" s="77"/>
      <c r="Q644" s="77"/>
      <c r="R644" s="37"/>
      <c r="S644" s="37"/>
      <c r="T644" s="76"/>
      <c r="U644" s="76"/>
      <c r="V644" s="76"/>
      <c r="W644" s="76"/>
      <c r="X644" s="76"/>
      <c r="Y644" s="76"/>
      <c r="Z644" s="76"/>
      <c r="AA644" s="76"/>
    </row>
    <row r="645" spans="1:27" ht="15.75" customHeight="1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7"/>
      <c r="P645" s="77"/>
      <c r="Q645" s="77"/>
      <c r="R645" s="37"/>
      <c r="S645" s="37"/>
      <c r="T645" s="76"/>
      <c r="U645" s="76"/>
      <c r="V645" s="76"/>
      <c r="W645" s="76"/>
      <c r="X645" s="76"/>
      <c r="Y645" s="76"/>
      <c r="Z645" s="76"/>
      <c r="AA645" s="76"/>
    </row>
    <row r="646" spans="1:27" ht="15.75" customHeight="1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7"/>
      <c r="P646" s="77"/>
      <c r="Q646" s="77"/>
      <c r="R646" s="37"/>
      <c r="S646" s="37"/>
      <c r="T646" s="76"/>
      <c r="U646" s="76"/>
      <c r="V646" s="76"/>
      <c r="W646" s="76"/>
      <c r="X646" s="76"/>
      <c r="Y646" s="76"/>
      <c r="Z646" s="76"/>
      <c r="AA646" s="76"/>
    </row>
    <row r="647" spans="1:27" ht="15.75" customHeight="1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7"/>
      <c r="P647" s="77"/>
      <c r="Q647" s="77"/>
      <c r="R647" s="37"/>
      <c r="S647" s="37"/>
      <c r="T647" s="76"/>
      <c r="U647" s="76"/>
      <c r="V647" s="76"/>
      <c r="W647" s="76"/>
      <c r="X647" s="76"/>
      <c r="Y647" s="76"/>
      <c r="Z647" s="76"/>
      <c r="AA647" s="76"/>
    </row>
    <row r="648" spans="1:27" ht="15.75" customHeight="1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7"/>
      <c r="P648" s="77"/>
      <c r="Q648" s="77"/>
      <c r="R648" s="37"/>
      <c r="S648" s="37"/>
      <c r="T648" s="76"/>
      <c r="U648" s="76"/>
      <c r="V648" s="76"/>
      <c r="W648" s="76"/>
      <c r="X648" s="76"/>
      <c r="Y648" s="76"/>
      <c r="Z648" s="76"/>
      <c r="AA648" s="76"/>
    </row>
    <row r="649" spans="1:27" ht="15.75" customHeight="1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7"/>
      <c r="P649" s="77"/>
      <c r="Q649" s="77"/>
      <c r="R649" s="37"/>
      <c r="S649" s="37"/>
      <c r="T649" s="76"/>
      <c r="U649" s="76"/>
      <c r="V649" s="76"/>
      <c r="W649" s="76"/>
      <c r="X649" s="76"/>
      <c r="Y649" s="76"/>
      <c r="Z649" s="76"/>
      <c r="AA649" s="76"/>
    </row>
    <row r="650" spans="1:27" ht="15.75" customHeight="1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7"/>
      <c r="P650" s="77"/>
      <c r="Q650" s="77"/>
      <c r="R650" s="37"/>
      <c r="S650" s="37"/>
      <c r="T650" s="76"/>
      <c r="U650" s="76"/>
      <c r="V650" s="76"/>
      <c r="W650" s="76"/>
      <c r="X650" s="76"/>
      <c r="Y650" s="76"/>
      <c r="Z650" s="76"/>
      <c r="AA650" s="76"/>
    </row>
    <row r="651" spans="1:27" ht="15.75" customHeight="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7"/>
      <c r="P651" s="77"/>
      <c r="Q651" s="77"/>
      <c r="R651" s="37"/>
      <c r="S651" s="37"/>
      <c r="T651" s="76"/>
      <c r="U651" s="76"/>
      <c r="V651" s="76"/>
      <c r="W651" s="76"/>
      <c r="X651" s="76"/>
      <c r="Y651" s="76"/>
      <c r="Z651" s="76"/>
      <c r="AA651" s="76"/>
    </row>
    <row r="652" spans="1:27" ht="15.75" customHeight="1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7"/>
      <c r="P652" s="77"/>
      <c r="Q652" s="77"/>
      <c r="R652" s="37"/>
      <c r="S652" s="37"/>
      <c r="T652" s="76"/>
      <c r="U652" s="76"/>
      <c r="V652" s="76"/>
      <c r="W652" s="76"/>
      <c r="X652" s="76"/>
      <c r="Y652" s="76"/>
      <c r="Z652" s="76"/>
      <c r="AA652" s="76"/>
    </row>
    <row r="653" spans="1:27" ht="15.75" customHeight="1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7"/>
      <c r="P653" s="77"/>
      <c r="Q653" s="77"/>
      <c r="R653" s="37"/>
      <c r="S653" s="37"/>
      <c r="T653" s="76"/>
      <c r="U653" s="76"/>
      <c r="V653" s="76"/>
      <c r="W653" s="76"/>
      <c r="X653" s="76"/>
      <c r="Y653" s="76"/>
      <c r="Z653" s="76"/>
      <c r="AA653" s="76"/>
    </row>
    <row r="654" spans="1:27" ht="15.75" customHeight="1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7"/>
      <c r="P654" s="77"/>
      <c r="Q654" s="77"/>
      <c r="R654" s="37"/>
      <c r="S654" s="37"/>
      <c r="T654" s="76"/>
      <c r="U654" s="76"/>
      <c r="V654" s="76"/>
      <c r="W654" s="76"/>
      <c r="X654" s="76"/>
      <c r="Y654" s="76"/>
      <c r="Z654" s="76"/>
      <c r="AA654" s="76"/>
    </row>
    <row r="655" spans="1:27" ht="15.75" customHeight="1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7"/>
      <c r="P655" s="77"/>
      <c r="Q655" s="77"/>
      <c r="R655" s="37"/>
      <c r="S655" s="37"/>
      <c r="T655" s="76"/>
      <c r="U655" s="76"/>
      <c r="V655" s="76"/>
      <c r="W655" s="76"/>
      <c r="X655" s="76"/>
      <c r="Y655" s="76"/>
      <c r="Z655" s="76"/>
      <c r="AA655" s="76"/>
    </row>
    <row r="656" spans="1:27" ht="15.75" customHeight="1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7"/>
      <c r="P656" s="77"/>
      <c r="Q656" s="77"/>
      <c r="R656" s="37"/>
      <c r="S656" s="37"/>
      <c r="T656" s="76"/>
      <c r="U656" s="76"/>
      <c r="V656" s="76"/>
      <c r="W656" s="76"/>
      <c r="X656" s="76"/>
      <c r="Y656" s="76"/>
      <c r="Z656" s="76"/>
      <c r="AA656" s="76"/>
    </row>
    <row r="657" spans="1:27" ht="15.75" customHeight="1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7"/>
      <c r="P657" s="77"/>
      <c r="Q657" s="77"/>
      <c r="R657" s="37"/>
      <c r="S657" s="37"/>
      <c r="T657" s="76"/>
      <c r="U657" s="76"/>
      <c r="V657" s="76"/>
      <c r="W657" s="76"/>
      <c r="X657" s="76"/>
      <c r="Y657" s="76"/>
      <c r="Z657" s="76"/>
      <c r="AA657" s="76"/>
    </row>
    <row r="658" spans="1:27" ht="15.75" customHeight="1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7"/>
      <c r="P658" s="77"/>
      <c r="Q658" s="77"/>
      <c r="R658" s="37"/>
      <c r="S658" s="37"/>
      <c r="T658" s="76"/>
      <c r="U658" s="76"/>
      <c r="V658" s="76"/>
      <c r="W658" s="76"/>
      <c r="X658" s="76"/>
      <c r="Y658" s="76"/>
      <c r="Z658" s="76"/>
      <c r="AA658" s="76"/>
    </row>
    <row r="659" spans="1:27" ht="15.75" customHeight="1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7"/>
      <c r="P659" s="77"/>
      <c r="Q659" s="77"/>
      <c r="R659" s="37"/>
      <c r="S659" s="37"/>
      <c r="T659" s="76"/>
      <c r="U659" s="76"/>
      <c r="V659" s="76"/>
      <c r="W659" s="76"/>
      <c r="X659" s="76"/>
      <c r="Y659" s="76"/>
      <c r="Z659" s="76"/>
      <c r="AA659" s="76"/>
    </row>
    <row r="660" spans="1:27" ht="15.75" customHeight="1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7"/>
      <c r="P660" s="77"/>
      <c r="Q660" s="77"/>
      <c r="R660" s="37"/>
      <c r="S660" s="37"/>
      <c r="T660" s="76"/>
      <c r="U660" s="76"/>
      <c r="V660" s="76"/>
      <c r="W660" s="76"/>
      <c r="X660" s="76"/>
      <c r="Y660" s="76"/>
      <c r="Z660" s="76"/>
      <c r="AA660" s="76"/>
    </row>
    <row r="661" spans="1:27" ht="15.75" customHeight="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7"/>
      <c r="P661" s="77"/>
      <c r="Q661" s="77"/>
      <c r="R661" s="37"/>
      <c r="S661" s="37"/>
      <c r="T661" s="76"/>
      <c r="U661" s="76"/>
      <c r="V661" s="76"/>
      <c r="W661" s="76"/>
      <c r="X661" s="76"/>
      <c r="Y661" s="76"/>
      <c r="Z661" s="76"/>
      <c r="AA661" s="76"/>
    </row>
    <row r="662" spans="1:27" ht="15.75" customHeight="1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7"/>
      <c r="P662" s="77"/>
      <c r="Q662" s="77"/>
      <c r="R662" s="37"/>
      <c r="S662" s="37"/>
      <c r="T662" s="76"/>
      <c r="U662" s="76"/>
      <c r="V662" s="76"/>
      <c r="W662" s="76"/>
      <c r="X662" s="76"/>
      <c r="Y662" s="76"/>
      <c r="Z662" s="76"/>
      <c r="AA662" s="76"/>
    </row>
    <row r="663" spans="1:27" ht="15.75" customHeight="1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7"/>
      <c r="P663" s="77"/>
      <c r="Q663" s="77"/>
      <c r="R663" s="37"/>
      <c r="S663" s="37"/>
      <c r="T663" s="76"/>
      <c r="U663" s="76"/>
      <c r="V663" s="76"/>
      <c r="W663" s="76"/>
      <c r="X663" s="76"/>
      <c r="Y663" s="76"/>
      <c r="Z663" s="76"/>
      <c r="AA663" s="76"/>
    </row>
    <row r="664" spans="1:27" ht="15.75" customHeight="1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7"/>
      <c r="P664" s="77"/>
      <c r="Q664" s="77"/>
      <c r="R664" s="37"/>
      <c r="S664" s="37"/>
      <c r="T664" s="76"/>
      <c r="U664" s="76"/>
      <c r="V664" s="76"/>
      <c r="W664" s="76"/>
      <c r="X664" s="76"/>
      <c r="Y664" s="76"/>
      <c r="Z664" s="76"/>
      <c r="AA664" s="76"/>
    </row>
    <row r="665" spans="1:27" ht="15.75" customHeight="1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7"/>
      <c r="P665" s="77"/>
      <c r="Q665" s="77"/>
      <c r="R665" s="37"/>
      <c r="S665" s="37"/>
      <c r="T665" s="76"/>
      <c r="U665" s="76"/>
      <c r="V665" s="76"/>
      <c r="W665" s="76"/>
      <c r="X665" s="76"/>
      <c r="Y665" s="76"/>
      <c r="Z665" s="76"/>
      <c r="AA665" s="76"/>
    </row>
    <row r="666" spans="1:27" ht="15.75" customHeight="1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7"/>
      <c r="P666" s="77"/>
      <c r="Q666" s="77"/>
      <c r="R666" s="37"/>
      <c r="S666" s="37"/>
      <c r="T666" s="76"/>
      <c r="U666" s="76"/>
      <c r="V666" s="76"/>
      <c r="W666" s="76"/>
      <c r="X666" s="76"/>
      <c r="Y666" s="76"/>
      <c r="Z666" s="76"/>
      <c r="AA666" s="76"/>
    </row>
    <row r="667" spans="1:27" ht="15.75" customHeight="1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7"/>
      <c r="P667" s="77"/>
      <c r="Q667" s="77"/>
      <c r="R667" s="37"/>
      <c r="S667" s="37"/>
      <c r="T667" s="76"/>
      <c r="U667" s="76"/>
      <c r="V667" s="76"/>
      <c r="W667" s="76"/>
      <c r="X667" s="76"/>
      <c r="Y667" s="76"/>
      <c r="Z667" s="76"/>
      <c r="AA667" s="76"/>
    </row>
    <row r="668" spans="1:27" ht="15.75" customHeight="1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7"/>
      <c r="P668" s="77"/>
      <c r="Q668" s="77"/>
      <c r="R668" s="37"/>
      <c r="S668" s="37"/>
      <c r="T668" s="76"/>
      <c r="U668" s="76"/>
      <c r="V668" s="76"/>
      <c r="W668" s="76"/>
      <c r="X668" s="76"/>
      <c r="Y668" s="76"/>
      <c r="Z668" s="76"/>
      <c r="AA668" s="76"/>
    </row>
    <row r="669" spans="1:27" ht="15.75" customHeight="1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7"/>
      <c r="P669" s="77"/>
      <c r="Q669" s="77"/>
      <c r="R669" s="37"/>
      <c r="S669" s="37"/>
      <c r="T669" s="76"/>
      <c r="U669" s="76"/>
      <c r="V669" s="76"/>
      <c r="W669" s="76"/>
      <c r="X669" s="76"/>
      <c r="Y669" s="76"/>
      <c r="Z669" s="76"/>
      <c r="AA669" s="76"/>
    </row>
    <row r="670" spans="1:27" ht="15.75" customHeight="1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7"/>
      <c r="P670" s="77"/>
      <c r="Q670" s="77"/>
      <c r="R670" s="37"/>
      <c r="S670" s="37"/>
      <c r="T670" s="76"/>
      <c r="U670" s="76"/>
      <c r="V670" s="76"/>
      <c r="W670" s="76"/>
      <c r="X670" s="76"/>
      <c r="Y670" s="76"/>
      <c r="Z670" s="76"/>
      <c r="AA670" s="76"/>
    </row>
    <row r="671" spans="1:27" ht="15.75" customHeight="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7"/>
      <c r="P671" s="77"/>
      <c r="Q671" s="77"/>
      <c r="R671" s="37"/>
      <c r="S671" s="37"/>
      <c r="T671" s="76"/>
      <c r="U671" s="76"/>
      <c r="V671" s="76"/>
      <c r="W671" s="76"/>
      <c r="X671" s="76"/>
      <c r="Y671" s="76"/>
      <c r="Z671" s="76"/>
      <c r="AA671" s="76"/>
    </row>
    <row r="672" spans="1:27" ht="15.75" customHeight="1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7"/>
      <c r="P672" s="77"/>
      <c r="Q672" s="77"/>
      <c r="R672" s="37"/>
      <c r="S672" s="37"/>
      <c r="T672" s="76"/>
      <c r="U672" s="76"/>
      <c r="V672" s="76"/>
      <c r="W672" s="76"/>
      <c r="X672" s="76"/>
      <c r="Y672" s="76"/>
      <c r="Z672" s="76"/>
      <c r="AA672" s="76"/>
    </row>
    <row r="673" spans="1:27" ht="15.75" customHeight="1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7"/>
      <c r="P673" s="77"/>
      <c r="Q673" s="77"/>
      <c r="R673" s="37"/>
      <c r="S673" s="37"/>
      <c r="T673" s="76"/>
      <c r="U673" s="76"/>
      <c r="V673" s="76"/>
      <c r="W673" s="76"/>
      <c r="X673" s="76"/>
      <c r="Y673" s="76"/>
      <c r="Z673" s="76"/>
      <c r="AA673" s="76"/>
    </row>
    <row r="674" spans="1:27" ht="15.75" customHeight="1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7"/>
      <c r="P674" s="77"/>
      <c r="Q674" s="77"/>
      <c r="R674" s="37"/>
      <c r="S674" s="37"/>
      <c r="T674" s="76"/>
      <c r="U674" s="76"/>
      <c r="V674" s="76"/>
      <c r="W674" s="76"/>
      <c r="X674" s="76"/>
      <c r="Y674" s="76"/>
      <c r="Z674" s="76"/>
      <c r="AA674" s="76"/>
    </row>
    <row r="675" spans="1:27" ht="15.75" customHeight="1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7"/>
      <c r="P675" s="77"/>
      <c r="Q675" s="77"/>
      <c r="R675" s="37"/>
      <c r="S675" s="37"/>
      <c r="T675" s="76"/>
      <c r="U675" s="76"/>
      <c r="V675" s="76"/>
      <c r="W675" s="76"/>
      <c r="X675" s="76"/>
      <c r="Y675" s="76"/>
      <c r="Z675" s="76"/>
      <c r="AA675" s="76"/>
    </row>
    <row r="676" spans="1:27" ht="15.75" customHeight="1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7"/>
      <c r="P676" s="77"/>
      <c r="Q676" s="77"/>
      <c r="R676" s="37"/>
      <c r="S676" s="37"/>
      <c r="T676" s="76"/>
      <c r="U676" s="76"/>
      <c r="V676" s="76"/>
      <c r="W676" s="76"/>
      <c r="X676" s="76"/>
      <c r="Y676" s="76"/>
      <c r="Z676" s="76"/>
      <c r="AA676" s="76"/>
    </row>
    <row r="677" spans="1:27" ht="15.75" customHeight="1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7"/>
      <c r="P677" s="77"/>
      <c r="Q677" s="77"/>
      <c r="R677" s="37"/>
      <c r="S677" s="37"/>
      <c r="T677" s="76"/>
      <c r="U677" s="76"/>
      <c r="V677" s="76"/>
      <c r="W677" s="76"/>
      <c r="X677" s="76"/>
      <c r="Y677" s="76"/>
      <c r="Z677" s="76"/>
      <c r="AA677" s="76"/>
    </row>
    <row r="678" spans="1:27" ht="15.75" customHeight="1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7"/>
      <c r="P678" s="77"/>
      <c r="Q678" s="77"/>
      <c r="R678" s="37"/>
      <c r="S678" s="37"/>
      <c r="T678" s="76"/>
      <c r="U678" s="76"/>
      <c r="V678" s="76"/>
      <c r="W678" s="76"/>
      <c r="X678" s="76"/>
      <c r="Y678" s="76"/>
      <c r="Z678" s="76"/>
      <c r="AA678" s="76"/>
    </row>
    <row r="679" spans="1:27" ht="15.75" customHeight="1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7"/>
      <c r="P679" s="77"/>
      <c r="Q679" s="77"/>
      <c r="R679" s="37"/>
      <c r="S679" s="37"/>
      <c r="T679" s="76"/>
      <c r="U679" s="76"/>
      <c r="V679" s="76"/>
      <c r="W679" s="76"/>
      <c r="X679" s="76"/>
      <c r="Y679" s="76"/>
      <c r="Z679" s="76"/>
      <c r="AA679" s="76"/>
    </row>
    <row r="680" spans="1:27" ht="15.75" customHeight="1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7"/>
      <c r="P680" s="77"/>
      <c r="Q680" s="77"/>
      <c r="R680" s="37"/>
      <c r="S680" s="37"/>
      <c r="T680" s="76"/>
      <c r="U680" s="76"/>
      <c r="V680" s="76"/>
      <c r="W680" s="76"/>
      <c r="X680" s="76"/>
      <c r="Y680" s="76"/>
      <c r="Z680" s="76"/>
      <c r="AA680" s="76"/>
    </row>
    <row r="681" spans="1:27" ht="15.75" customHeight="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7"/>
      <c r="P681" s="77"/>
      <c r="Q681" s="77"/>
      <c r="R681" s="37"/>
      <c r="S681" s="37"/>
      <c r="T681" s="76"/>
      <c r="U681" s="76"/>
      <c r="V681" s="76"/>
      <c r="W681" s="76"/>
      <c r="X681" s="76"/>
      <c r="Y681" s="76"/>
      <c r="Z681" s="76"/>
      <c r="AA681" s="76"/>
    </row>
    <row r="682" spans="1:27" ht="15.75" customHeight="1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7"/>
      <c r="P682" s="77"/>
      <c r="Q682" s="77"/>
      <c r="R682" s="37"/>
      <c r="S682" s="37"/>
      <c r="T682" s="76"/>
      <c r="U682" s="76"/>
      <c r="V682" s="76"/>
      <c r="W682" s="76"/>
      <c r="X682" s="76"/>
      <c r="Y682" s="76"/>
      <c r="Z682" s="76"/>
      <c r="AA682" s="76"/>
    </row>
    <row r="683" spans="1:27" ht="15.75" customHeight="1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7"/>
      <c r="P683" s="77"/>
      <c r="Q683" s="77"/>
      <c r="R683" s="37"/>
      <c r="S683" s="37"/>
      <c r="T683" s="76"/>
      <c r="U683" s="76"/>
      <c r="V683" s="76"/>
      <c r="W683" s="76"/>
      <c r="X683" s="76"/>
      <c r="Y683" s="76"/>
      <c r="Z683" s="76"/>
      <c r="AA683" s="76"/>
    </row>
    <row r="684" spans="1:27" ht="15.75" customHeight="1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7"/>
      <c r="P684" s="77"/>
      <c r="Q684" s="77"/>
      <c r="R684" s="37"/>
      <c r="S684" s="37"/>
      <c r="T684" s="76"/>
      <c r="U684" s="76"/>
      <c r="V684" s="76"/>
      <c r="W684" s="76"/>
      <c r="X684" s="76"/>
      <c r="Y684" s="76"/>
      <c r="Z684" s="76"/>
      <c r="AA684" s="76"/>
    </row>
    <row r="685" spans="1:27" ht="15.75" customHeight="1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7"/>
      <c r="P685" s="77"/>
      <c r="Q685" s="77"/>
      <c r="R685" s="37"/>
      <c r="S685" s="37"/>
      <c r="T685" s="76"/>
      <c r="U685" s="76"/>
      <c r="V685" s="76"/>
      <c r="W685" s="76"/>
      <c r="X685" s="76"/>
      <c r="Y685" s="76"/>
      <c r="Z685" s="76"/>
      <c r="AA685" s="76"/>
    </row>
    <row r="686" spans="1:27" ht="15.75" customHeight="1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7"/>
      <c r="P686" s="77"/>
      <c r="Q686" s="77"/>
      <c r="R686" s="37"/>
      <c r="S686" s="37"/>
      <c r="T686" s="76"/>
      <c r="U686" s="76"/>
      <c r="V686" s="76"/>
      <c r="W686" s="76"/>
      <c r="X686" s="76"/>
      <c r="Y686" s="76"/>
      <c r="Z686" s="76"/>
      <c r="AA686" s="76"/>
    </row>
    <row r="687" spans="1:27" ht="15.75" customHeight="1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7"/>
      <c r="P687" s="77"/>
      <c r="Q687" s="77"/>
      <c r="R687" s="37"/>
      <c r="S687" s="37"/>
      <c r="T687" s="76"/>
      <c r="U687" s="76"/>
      <c r="V687" s="76"/>
      <c r="W687" s="76"/>
      <c r="X687" s="76"/>
      <c r="Y687" s="76"/>
      <c r="Z687" s="76"/>
      <c r="AA687" s="76"/>
    </row>
    <row r="688" spans="1:27" ht="15.75" customHeight="1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7"/>
      <c r="P688" s="77"/>
      <c r="Q688" s="77"/>
      <c r="R688" s="37"/>
      <c r="S688" s="37"/>
      <c r="T688" s="76"/>
      <c r="U688" s="76"/>
      <c r="V688" s="76"/>
      <c r="W688" s="76"/>
      <c r="X688" s="76"/>
      <c r="Y688" s="76"/>
      <c r="Z688" s="76"/>
      <c r="AA688" s="76"/>
    </row>
    <row r="689" spans="1:27" ht="15.75" customHeight="1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7"/>
      <c r="P689" s="77"/>
      <c r="Q689" s="77"/>
      <c r="R689" s="37"/>
      <c r="S689" s="37"/>
      <c r="T689" s="76"/>
      <c r="U689" s="76"/>
      <c r="V689" s="76"/>
      <c r="W689" s="76"/>
      <c r="X689" s="76"/>
      <c r="Y689" s="76"/>
      <c r="Z689" s="76"/>
      <c r="AA689" s="76"/>
    </row>
    <row r="690" spans="1:27" ht="15.75" customHeight="1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7"/>
      <c r="P690" s="77"/>
      <c r="Q690" s="77"/>
      <c r="R690" s="37"/>
      <c r="S690" s="37"/>
      <c r="T690" s="76"/>
      <c r="U690" s="76"/>
      <c r="V690" s="76"/>
      <c r="W690" s="76"/>
      <c r="X690" s="76"/>
      <c r="Y690" s="76"/>
      <c r="Z690" s="76"/>
      <c r="AA690" s="76"/>
    </row>
    <row r="691" spans="1:27" ht="15.75" customHeight="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7"/>
      <c r="P691" s="77"/>
      <c r="Q691" s="77"/>
      <c r="R691" s="37"/>
      <c r="S691" s="37"/>
      <c r="T691" s="76"/>
      <c r="U691" s="76"/>
      <c r="V691" s="76"/>
      <c r="W691" s="76"/>
      <c r="X691" s="76"/>
      <c r="Y691" s="76"/>
      <c r="Z691" s="76"/>
      <c r="AA691" s="76"/>
    </row>
    <row r="692" spans="1:27" ht="15.75" customHeight="1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7"/>
      <c r="P692" s="77"/>
      <c r="Q692" s="77"/>
      <c r="R692" s="37"/>
      <c r="S692" s="37"/>
      <c r="T692" s="76"/>
      <c r="U692" s="76"/>
      <c r="V692" s="76"/>
      <c r="W692" s="76"/>
      <c r="X692" s="76"/>
      <c r="Y692" s="76"/>
      <c r="Z692" s="76"/>
      <c r="AA692" s="76"/>
    </row>
    <row r="693" spans="1:27" ht="15.75" customHeight="1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7"/>
      <c r="P693" s="77"/>
      <c r="Q693" s="77"/>
      <c r="R693" s="37"/>
      <c r="S693" s="37"/>
      <c r="T693" s="76"/>
      <c r="U693" s="76"/>
      <c r="V693" s="76"/>
      <c r="W693" s="76"/>
      <c r="X693" s="76"/>
      <c r="Y693" s="76"/>
      <c r="Z693" s="76"/>
      <c r="AA693" s="76"/>
    </row>
    <row r="694" spans="1:27" ht="15.75" customHeight="1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7"/>
      <c r="P694" s="77"/>
      <c r="Q694" s="77"/>
      <c r="R694" s="37"/>
      <c r="S694" s="37"/>
      <c r="T694" s="76"/>
      <c r="U694" s="76"/>
      <c r="V694" s="76"/>
      <c r="W694" s="76"/>
      <c r="X694" s="76"/>
      <c r="Y694" s="76"/>
      <c r="Z694" s="76"/>
      <c r="AA694" s="76"/>
    </row>
    <row r="695" spans="1:27" ht="15.75" customHeight="1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7"/>
      <c r="P695" s="77"/>
      <c r="Q695" s="77"/>
      <c r="R695" s="37"/>
      <c r="S695" s="37"/>
      <c r="T695" s="76"/>
      <c r="U695" s="76"/>
      <c r="V695" s="76"/>
      <c r="W695" s="76"/>
      <c r="X695" s="76"/>
      <c r="Y695" s="76"/>
      <c r="Z695" s="76"/>
      <c r="AA695" s="76"/>
    </row>
    <row r="696" spans="1:27" ht="15.75" customHeight="1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7"/>
      <c r="P696" s="77"/>
      <c r="Q696" s="77"/>
      <c r="R696" s="37"/>
      <c r="S696" s="37"/>
      <c r="T696" s="76"/>
      <c r="U696" s="76"/>
      <c r="V696" s="76"/>
      <c r="W696" s="76"/>
      <c r="X696" s="76"/>
      <c r="Y696" s="76"/>
      <c r="Z696" s="76"/>
      <c r="AA696" s="76"/>
    </row>
    <row r="697" spans="1:27" ht="15.75" customHeight="1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7"/>
      <c r="P697" s="77"/>
      <c r="Q697" s="77"/>
      <c r="R697" s="37"/>
      <c r="S697" s="37"/>
      <c r="T697" s="76"/>
      <c r="U697" s="76"/>
      <c r="V697" s="76"/>
      <c r="W697" s="76"/>
      <c r="X697" s="76"/>
      <c r="Y697" s="76"/>
      <c r="Z697" s="76"/>
      <c r="AA697" s="76"/>
    </row>
    <row r="698" spans="1:27" ht="15.75" customHeight="1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7"/>
      <c r="P698" s="77"/>
      <c r="Q698" s="77"/>
      <c r="R698" s="37"/>
      <c r="S698" s="37"/>
      <c r="T698" s="76"/>
      <c r="U698" s="76"/>
      <c r="V698" s="76"/>
      <c r="W698" s="76"/>
      <c r="X698" s="76"/>
      <c r="Y698" s="76"/>
      <c r="Z698" s="76"/>
      <c r="AA698" s="76"/>
    </row>
    <row r="699" spans="1:27" ht="15.75" customHeight="1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7"/>
      <c r="P699" s="77"/>
      <c r="Q699" s="77"/>
      <c r="R699" s="37"/>
      <c r="S699" s="37"/>
      <c r="T699" s="76"/>
      <c r="U699" s="76"/>
      <c r="V699" s="76"/>
      <c r="W699" s="76"/>
      <c r="X699" s="76"/>
      <c r="Y699" s="76"/>
      <c r="Z699" s="76"/>
      <c r="AA699" s="76"/>
    </row>
    <row r="700" spans="1:27" ht="15.75" customHeight="1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7"/>
      <c r="P700" s="77"/>
      <c r="Q700" s="77"/>
      <c r="R700" s="37"/>
      <c r="S700" s="37"/>
      <c r="T700" s="76"/>
      <c r="U700" s="76"/>
      <c r="V700" s="76"/>
      <c r="W700" s="76"/>
      <c r="X700" s="76"/>
      <c r="Y700" s="76"/>
      <c r="Z700" s="76"/>
      <c r="AA700" s="76"/>
    </row>
    <row r="701" spans="1:27" ht="15.75" customHeight="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7"/>
      <c r="P701" s="77"/>
      <c r="Q701" s="77"/>
      <c r="R701" s="37"/>
      <c r="S701" s="37"/>
      <c r="T701" s="76"/>
      <c r="U701" s="76"/>
      <c r="V701" s="76"/>
      <c r="W701" s="76"/>
      <c r="X701" s="76"/>
      <c r="Y701" s="76"/>
      <c r="Z701" s="76"/>
      <c r="AA701" s="76"/>
    </row>
    <row r="702" spans="1:27" ht="15.75" customHeight="1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7"/>
      <c r="P702" s="77"/>
      <c r="Q702" s="77"/>
      <c r="R702" s="37"/>
      <c r="S702" s="37"/>
      <c r="T702" s="76"/>
      <c r="U702" s="76"/>
      <c r="V702" s="76"/>
      <c r="W702" s="76"/>
      <c r="X702" s="76"/>
      <c r="Y702" s="76"/>
      <c r="Z702" s="76"/>
      <c r="AA702" s="76"/>
    </row>
    <row r="703" spans="1:27" ht="15.75" customHeight="1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7"/>
      <c r="P703" s="77"/>
      <c r="Q703" s="77"/>
      <c r="R703" s="37"/>
      <c r="S703" s="37"/>
      <c r="T703" s="76"/>
      <c r="U703" s="76"/>
      <c r="V703" s="76"/>
      <c r="W703" s="76"/>
      <c r="X703" s="76"/>
      <c r="Y703" s="76"/>
      <c r="Z703" s="76"/>
      <c r="AA703" s="76"/>
    </row>
    <row r="704" spans="1:27" ht="15.75" customHeight="1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7"/>
      <c r="P704" s="77"/>
      <c r="Q704" s="77"/>
      <c r="R704" s="37"/>
      <c r="S704" s="37"/>
      <c r="T704" s="76"/>
      <c r="U704" s="76"/>
      <c r="V704" s="76"/>
      <c r="W704" s="76"/>
      <c r="X704" s="76"/>
      <c r="Y704" s="76"/>
      <c r="Z704" s="76"/>
      <c r="AA704" s="76"/>
    </row>
    <row r="705" spans="1:27" ht="15.75" customHeight="1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7"/>
      <c r="P705" s="77"/>
      <c r="Q705" s="77"/>
      <c r="R705" s="37"/>
      <c r="S705" s="37"/>
      <c r="T705" s="76"/>
      <c r="U705" s="76"/>
      <c r="V705" s="76"/>
      <c r="W705" s="76"/>
      <c r="X705" s="76"/>
      <c r="Y705" s="76"/>
      <c r="Z705" s="76"/>
      <c r="AA705" s="76"/>
    </row>
    <row r="706" spans="1:27" ht="15.75" customHeight="1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7"/>
      <c r="P706" s="77"/>
      <c r="Q706" s="77"/>
      <c r="R706" s="37"/>
      <c r="S706" s="37"/>
      <c r="T706" s="76"/>
      <c r="U706" s="76"/>
      <c r="V706" s="76"/>
      <c r="W706" s="76"/>
      <c r="X706" s="76"/>
      <c r="Y706" s="76"/>
      <c r="Z706" s="76"/>
      <c r="AA706" s="76"/>
    </row>
    <row r="707" spans="1:27" ht="15.75" customHeight="1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7"/>
      <c r="P707" s="77"/>
      <c r="Q707" s="77"/>
      <c r="R707" s="37"/>
      <c r="S707" s="37"/>
      <c r="T707" s="76"/>
      <c r="U707" s="76"/>
      <c r="V707" s="76"/>
      <c r="W707" s="76"/>
      <c r="X707" s="76"/>
      <c r="Y707" s="76"/>
      <c r="Z707" s="76"/>
      <c r="AA707" s="76"/>
    </row>
    <row r="708" spans="1:27" ht="15.75" customHeight="1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7"/>
      <c r="P708" s="77"/>
      <c r="Q708" s="77"/>
      <c r="R708" s="37"/>
      <c r="S708" s="37"/>
      <c r="T708" s="76"/>
      <c r="U708" s="76"/>
      <c r="V708" s="76"/>
      <c r="W708" s="76"/>
      <c r="X708" s="76"/>
      <c r="Y708" s="76"/>
      <c r="Z708" s="76"/>
      <c r="AA708" s="76"/>
    </row>
    <row r="709" spans="1:27" ht="15.75" customHeight="1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7"/>
      <c r="P709" s="77"/>
      <c r="Q709" s="77"/>
      <c r="R709" s="37"/>
      <c r="S709" s="37"/>
      <c r="T709" s="76"/>
      <c r="U709" s="76"/>
      <c r="V709" s="76"/>
      <c r="W709" s="76"/>
      <c r="X709" s="76"/>
      <c r="Y709" s="76"/>
      <c r="Z709" s="76"/>
      <c r="AA709" s="76"/>
    </row>
    <row r="710" spans="1:27" ht="15.75" customHeight="1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7"/>
      <c r="P710" s="77"/>
      <c r="Q710" s="77"/>
      <c r="R710" s="37"/>
      <c r="S710" s="37"/>
      <c r="T710" s="76"/>
      <c r="U710" s="76"/>
      <c r="V710" s="76"/>
      <c r="W710" s="76"/>
      <c r="X710" s="76"/>
      <c r="Y710" s="76"/>
      <c r="Z710" s="76"/>
      <c r="AA710" s="76"/>
    </row>
    <row r="711" spans="1:27" ht="15.75" customHeight="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7"/>
      <c r="P711" s="77"/>
      <c r="Q711" s="77"/>
      <c r="R711" s="37"/>
      <c r="S711" s="37"/>
      <c r="T711" s="76"/>
      <c r="U711" s="76"/>
      <c r="V711" s="76"/>
      <c r="W711" s="76"/>
      <c r="X711" s="76"/>
      <c r="Y711" s="76"/>
      <c r="Z711" s="76"/>
      <c r="AA711" s="76"/>
    </row>
    <row r="712" spans="1:27" ht="15.75" customHeight="1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7"/>
      <c r="P712" s="77"/>
      <c r="Q712" s="77"/>
      <c r="R712" s="37"/>
      <c r="S712" s="37"/>
      <c r="T712" s="76"/>
      <c r="U712" s="76"/>
      <c r="V712" s="76"/>
      <c r="W712" s="76"/>
      <c r="X712" s="76"/>
      <c r="Y712" s="76"/>
      <c r="Z712" s="76"/>
      <c r="AA712" s="76"/>
    </row>
    <row r="713" spans="1:27" ht="15.75" customHeight="1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7"/>
      <c r="P713" s="77"/>
      <c r="Q713" s="77"/>
      <c r="R713" s="37"/>
      <c r="S713" s="37"/>
      <c r="T713" s="76"/>
      <c r="U713" s="76"/>
      <c r="V713" s="76"/>
      <c r="W713" s="76"/>
      <c r="X713" s="76"/>
      <c r="Y713" s="76"/>
      <c r="Z713" s="76"/>
      <c r="AA713" s="76"/>
    </row>
    <row r="714" spans="1:27" ht="15.75" customHeight="1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7"/>
      <c r="P714" s="77"/>
      <c r="Q714" s="77"/>
      <c r="R714" s="37"/>
      <c r="S714" s="37"/>
      <c r="T714" s="76"/>
      <c r="U714" s="76"/>
      <c r="V714" s="76"/>
      <c r="W714" s="76"/>
      <c r="X714" s="76"/>
      <c r="Y714" s="76"/>
      <c r="Z714" s="76"/>
      <c r="AA714" s="76"/>
    </row>
    <row r="715" spans="1:27" ht="15.75" customHeight="1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7"/>
      <c r="P715" s="77"/>
      <c r="Q715" s="77"/>
      <c r="R715" s="37"/>
      <c r="S715" s="37"/>
      <c r="T715" s="76"/>
      <c r="U715" s="76"/>
      <c r="V715" s="76"/>
      <c r="W715" s="76"/>
      <c r="X715" s="76"/>
      <c r="Y715" s="76"/>
      <c r="Z715" s="76"/>
      <c r="AA715" s="76"/>
    </row>
    <row r="716" spans="1:27" ht="15.75" customHeight="1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7"/>
      <c r="P716" s="77"/>
      <c r="Q716" s="77"/>
      <c r="R716" s="37"/>
      <c r="S716" s="37"/>
      <c r="T716" s="76"/>
      <c r="U716" s="76"/>
      <c r="V716" s="76"/>
      <c r="W716" s="76"/>
      <c r="X716" s="76"/>
      <c r="Y716" s="76"/>
      <c r="Z716" s="76"/>
      <c r="AA716" s="76"/>
    </row>
    <row r="717" spans="1:27" ht="15.75" customHeight="1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7"/>
      <c r="P717" s="77"/>
      <c r="Q717" s="77"/>
      <c r="R717" s="37"/>
      <c r="S717" s="37"/>
      <c r="T717" s="76"/>
      <c r="U717" s="76"/>
      <c r="V717" s="76"/>
      <c r="W717" s="76"/>
      <c r="X717" s="76"/>
      <c r="Y717" s="76"/>
      <c r="Z717" s="76"/>
      <c r="AA717" s="76"/>
    </row>
    <row r="718" spans="1:27" ht="15.75" customHeight="1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7"/>
      <c r="P718" s="77"/>
      <c r="Q718" s="77"/>
      <c r="R718" s="37"/>
      <c r="S718" s="37"/>
      <c r="T718" s="76"/>
      <c r="U718" s="76"/>
      <c r="V718" s="76"/>
      <c r="W718" s="76"/>
      <c r="X718" s="76"/>
      <c r="Y718" s="76"/>
      <c r="Z718" s="76"/>
      <c r="AA718" s="76"/>
    </row>
    <row r="719" spans="1:27" ht="15.75" customHeight="1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7"/>
      <c r="P719" s="77"/>
      <c r="Q719" s="77"/>
      <c r="R719" s="37"/>
      <c r="S719" s="37"/>
      <c r="T719" s="76"/>
      <c r="U719" s="76"/>
      <c r="V719" s="76"/>
      <c r="W719" s="76"/>
      <c r="X719" s="76"/>
      <c r="Y719" s="76"/>
      <c r="Z719" s="76"/>
      <c r="AA719" s="76"/>
    </row>
    <row r="720" spans="1:27" ht="15.75" customHeight="1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7"/>
      <c r="P720" s="77"/>
      <c r="Q720" s="77"/>
      <c r="R720" s="37"/>
      <c r="S720" s="37"/>
      <c r="T720" s="76"/>
      <c r="U720" s="76"/>
      <c r="V720" s="76"/>
      <c r="W720" s="76"/>
      <c r="X720" s="76"/>
      <c r="Y720" s="76"/>
      <c r="Z720" s="76"/>
      <c r="AA720" s="76"/>
    </row>
    <row r="721" spans="1:27" ht="15.75" customHeight="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7"/>
      <c r="P721" s="77"/>
      <c r="Q721" s="77"/>
      <c r="R721" s="37"/>
      <c r="S721" s="37"/>
      <c r="T721" s="76"/>
      <c r="U721" s="76"/>
      <c r="V721" s="76"/>
      <c r="W721" s="76"/>
      <c r="X721" s="76"/>
      <c r="Y721" s="76"/>
      <c r="Z721" s="76"/>
      <c r="AA721" s="76"/>
    </row>
    <row r="722" spans="1:27" ht="15.75" customHeight="1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7"/>
      <c r="P722" s="77"/>
      <c r="Q722" s="77"/>
      <c r="R722" s="37"/>
      <c r="S722" s="37"/>
      <c r="T722" s="76"/>
      <c r="U722" s="76"/>
      <c r="V722" s="76"/>
      <c r="W722" s="76"/>
      <c r="X722" s="76"/>
      <c r="Y722" s="76"/>
      <c r="Z722" s="76"/>
      <c r="AA722" s="76"/>
    </row>
    <row r="723" spans="1:27" ht="15.75" customHeight="1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7"/>
      <c r="P723" s="77"/>
      <c r="Q723" s="77"/>
      <c r="R723" s="37"/>
      <c r="S723" s="37"/>
      <c r="T723" s="76"/>
      <c r="U723" s="76"/>
      <c r="V723" s="76"/>
      <c r="W723" s="76"/>
      <c r="X723" s="76"/>
      <c r="Y723" s="76"/>
      <c r="Z723" s="76"/>
      <c r="AA723" s="76"/>
    </row>
    <row r="724" spans="1:27" ht="15.75" customHeight="1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7"/>
      <c r="P724" s="77"/>
      <c r="Q724" s="77"/>
      <c r="R724" s="37"/>
      <c r="S724" s="37"/>
      <c r="T724" s="76"/>
      <c r="U724" s="76"/>
      <c r="V724" s="76"/>
      <c r="W724" s="76"/>
      <c r="X724" s="76"/>
      <c r="Y724" s="76"/>
      <c r="Z724" s="76"/>
      <c r="AA724" s="76"/>
    </row>
    <row r="725" spans="1:27" ht="15.75" customHeight="1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7"/>
      <c r="P725" s="77"/>
      <c r="Q725" s="77"/>
      <c r="R725" s="37"/>
      <c r="S725" s="37"/>
      <c r="T725" s="76"/>
      <c r="U725" s="76"/>
      <c r="V725" s="76"/>
      <c r="W725" s="76"/>
      <c r="X725" s="76"/>
      <c r="Y725" s="76"/>
      <c r="Z725" s="76"/>
      <c r="AA725" s="76"/>
    </row>
    <row r="726" spans="1:27" ht="15.75" customHeight="1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7"/>
      <c r="P726" s="77"/>
      <c r="Q726" s="77"/>
      <c r="R726" s="37"/>
      <c r="S726" s="37"/>
      <c r="T726" s="76"/>
      <c r="U726" s="76"/>
      <c r="V726" s="76"/>
      <c r="W726" s="76"/>
      <c r="X726" s="76"/>
      <c r="Y726" s="76"/>
      <c r="Z726" s="76"/>
      <c r="AA726" s="76"/>
    </row>
    <row r="727" spans="1:27" ht="15.75" customHeight="1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7"/>
      <c r="P727" s="77"/>
      <c r="Q727" s="77"/>
      <c r="R727" s="37"/>
      <c r="S727" s="37"/>
      <c r="T727" s="76"/>
      <c r="U727" s="76"/>
      <c r="V727" s="76"/>
      <c r="W727" s="76"/>
      <c r="X727" s="76"/>
      <c r="Y727" s="76"/>
      <c r="Z727" s="76"/>
      <c r="AA727" s="76"/>
    </row>
    <row r="728" spans="1:27" ht="15.75" customHeight="1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7"/>
      <c r="P728" s="77"/>
      <c r="Q728" s="77"/>
      <c r="R728" s="37"/>
      <c r="S728" s="37"/>
      <c r="T728" s="76"/>
      <c r="U728" s="76"/>
      <c r="V728" s="76"/>
      <c r="W728" s="76"/>
      <c r="X728" s="76"/>
      <c r="Y728" s="76"/>
      <c r="Z728" s="76"/>
      <c r="AA728" s="76"/>
    </row>
    <row r="729" spans="1:27" ht="15.75" customHeight="1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7"/>
      <c r="P729" s="77"/>
      <c r="Q729" s="77"/>
      <c r="R729" s="37"/>
      <c r="S729" s="37"/>
      <c r="T729" s="76"/>
      <c r="U729" s="76"/>
      <c r="V729" s="76"/>
      <c r="W729" s="76"/>
      <c r="X729" s="76"/>
      <c r="Y729" s="76"/>
      <c r="Z729" s="76"/>
      <c r="AA729" s="76"/>
    </row>
    <row r="730" spans="1:27" ht="15.75" customHeight="1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7"/>
      <c r="P730" s="77"/>
      <c r="Q730" s="77"/>
      <c r="R730" s="37"/>
      <c r="S730" s="37"/>
      <c r="T730" s="76"/>
      <c r="U730" s="76"/>
      <c r="V730" s="76"/>
      <c r="W730" s="76"/>
      <c r="X730" s="76"/>
      <c r="Y730" s="76"/>
      <c r="Z730" s="76"/>
      <c r="AA730" s="76"/>
    </row>
    <row r="731" spans="1:27" ht="15.75" customHeight="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7"/>
      <c r="P731" s="77"/>
      <c r="Q731" s="77"/>
      <c r="R731" s="37"/>
      <c r="S731" s="37"/>
      <c r="T731" s="76"/>
      <c r="U731" s="76"/>
      <c r="V731" s="76"/>
      <c r="W731" s="76"/>
      <c r="X731" s="76"/>
      <c r="Y731" s="76"/>
      <c r="Z731" s="76"/>
      <c r="AA731" s="76"/>
    </row>
    <row r="732" spans="1:27" ht="15.75" customHeight="1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7"/>
      <c r="P732" s="77"/>
      <c r="Q732" s="77"/>
      <c r="R732" s="37"/>
      <c r="S732" s="37"/>
      <c r="T732" s="76"/>
      <c r="U732" s="76"/>
      <c r="V732" s="76"/>
      <c r="W732" s="76"/>
      <c r="X732" s="76"/>
      <c r="Y732" s="76"/>
      <c r="Z732" s="76"/>
      <c r="AA732" s="76"/>
    </row>
    <row r="733" spans="1:27" ht="15.75" customHeight="1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7"/>
      <c r="P733" s="77"/>
      <c r="Q733" s="77"/>
      <c r="R733" s="37"/>
      <c r="S733" s="37"/>
      <c r="T733" s="76"/>
      <c r="U733" s="76"/>
      <c r="V733" s="76"/>
      <c r="W733" s="76"/>
      <c r="X733" s="76"/>
      <c r="Y733" s="76"/>
      <c r="Z733" s="76"/>
      <c r="AA733" s="76"/>
    </row>
    <row r="734" spans="1:27" ht="15.75" customHeight="1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7"/>
      <c r="P734" s="77"/>
      <c r="Q734" s="77"/>
      <c r="R734" s="37"/>
      <c r="S734" s="37"/>
      <c r="T734" s="76"/>
      <c r="U734" s="76"/>
      <c r="V734" s="76"/>
      <c r="W734" s="76"/>
      <c r="X734" s="76"/>
      <c r="Y734" s="76"/>
      <c r="Z734" s="76"/>
      <c r="AA734" s="76"/>
    </row>
    <row r="735" spans="1:27" ht="15.75" customHeight="1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7"/>
      <c r="P735" s="77"/>
      <c r="Q735" s="77"/>
      <c r="R735" s="37"/>
      <c r="S735" s="37"/>
      <c r="T735" s="76"/>
      <c r="U735" s="76"/>
      <c r="V735" s="76"/>
      <c r="W735" s="76"/>
      <c r="X735" s="76"/>
      <c r="Y735" s="76"/>
      <c r="Z735" s="76"/>
      <c r="AA735" s="76"/>
    </row>
    <row r="736" spans="1:27" ht="15.75" customHeight="1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7"/>
      <c r="P736" s="77"/>
      <c r="Q736" s="77"/>
      <c r="R736" s="37"/>
      <c r="S736" s="37"/>
      <c r="T736" s="76"/>
      <c r="U736" s="76"/>
      <c r="V736" s="76"/>
      <c r="W736" s="76"/>
      <c r="X736" s="76"/>
      <c r="Y736" s="76"/>
      <c r="Z736" s="76"/>
      <c r="AA736" s="76"/>
    </row>
    <row r="737" spans="1:27" ht="15.75" customHeight="1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7"/>
      <c r="P737" s="77"/>
      <c r="Q737" s="77"/>
      <c r="R737" s="37"/>
      <c r="S737" s="37"/>
      <c r="T737" s="76"/>
      <c r="U737" s="76"/>
      <c r="V737" s="76"/>
      <c r="W737" s="76"/>
      <c r="X737" s="76"/>
      <c r="Y737" s="76"/>
      <c r="Z737" s="76"/>
      <c r="AA737" s="76"/>
    </row>
    <row r="738" spans="1:27" ht="15.75" customHeight="1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7"/>
      <c r="P738" s="77"/>
      <c r="Q738" s="77"/>
      <c r="R738" s="37"/>
      <c r="S738" s="37"/>
      <c r="T738" s="76"/>
      <c r="U738" s="76"/>
      <c r="V738" s="76"/>
      <c r="W738" s="76"/>
      <c r="X738" s="76"/>
      <c r="Y738" s="76"/>
      <c r="Z738" s="76"/>
      <c r="AA738" s="76"/>
    </row>
    <row r="739" spans="1:27" ht="15.75" customHeight="1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7"/>
      <c r="P739" s="77"/>
      <c r="Q739" s="77"/>
      <c r="R739" s="37"/>
      <c r="S739" s="37"/>
      <c r="T739" s="76"/>
      <c r="U739" s="76"/>
      <c r="V739" s="76"/>
      <c r="W739" s="76"/>
      <c r="X739" s="76"/>
      <c r="Y739" s="76"/>
      <c r="Z739" s="76"/>
      <c r="AA739" s="76"/>
    </row>
    <row r="740" spans="1:27" ht="15.75" customHeight="1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7"/>
      <c r="P740" s="77"/>
      <c r="Q740" s="77"/>
      <c r="R740" s="37"/>
      <c r="S740" s="37"/>
      <c r="T740" s="76"/>
      <c r="U740" s="76"/>
      <c r="V740" s="76"/>
      <c r="W740" s="76"/>
      <c r="X740" s="76"/>
      <c r="Y740" s="76"/>
      <c r="Z740" s="76"/>
      <c r="AA740" s="76"/>
    </row>
    <row r="741" spans="1:27" ht="15.75" customHeight="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7"/>
      <c r="P741" s="77"/>
      <c r="Q741" s="77"/>
      <c r="R741" s="37"/>
      <c r="S741" s="37"/>
      <c r="T741" s="76"/>
      <c r="U741" s="76"/>
      <c r="V741" s="76"/>
      <c r="W741" s="76"/>
      <c r="X741" s="76"/>
      <c r="Y741" s="76"/>
      <c r="Z741" s="76"/>
      <c r="AA741" s="76"/>
    </row>
    <row r="742" spans="1:27" ht="15.75" customHeight="1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7"/>
      <c r="P742" s="77"/>
      <c r="Q742" s="77"/>
      <c r="R742" s="37"/>
      <c r="S742" s="37"/>
      <c r="T742" s="76"/>
      <c r="U742" s="76"/>
      <c r="V742" s="76"/>
      <c r="W742" s="76"/>
      <c r="X742" s="76"/>
      <c r="Y742" s="76"/>
      <c r="Z742" s="76"/>
      <c r="AA742" s="76"/>
    </row>
    <row r="743" spans="1:27" ht="15.75" customHeight="1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7"/>
      <c r="P743" s="77"/>
      <c r="Q743" s="77"/>
      <c r="R743" s="37"/>
      <c r="S743" s="37"/>
      <c r="T743" s="76"/>
      <c r="U743" s="76"/>
      <c r="V743" s="76"/>
      <c r="W743" s="76"/>
      <c r="X743" s="76"/>
      <c r="Y743" s="76"/>
      <c r="Z743" s="76"/>
      <c r="AA743" s="76"/>
    </row>
    <row r="744" spans="1:27" ht="15.75" customHeight="1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7"/>
      <c r="P744" s="77"/>
      <c r="Q744" s="77"/>
      <c r="R744" s="37"/>
      <c r="S744" s="37"/>
      <c r="T744" s="76"/>
      <c r="U744" s="76"/>
      <c r="V744" s="76"/>
      <c r="W744" s="76"/>
      <c r="X744" s="76"/>
      <c r="Y744" s="76"/>
      <c r="Z744" s="76"/>
      <c r="AA744" s="76"/>
    </row>
    <row r="745" spans="1:27" ht="15.75" customHeight="1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7"/>
      <c r="P745" s="77"/>
      <c r="Q745" s="77"/>
      <c r="R745" s="37"/>
      <c r="S745" s="37"/>
      <c r="T745" s="76"/>
      <c r="U745" s="76"/>
      <c r="V745" s="76"/>
      <c r="W745" s="76"/>
      <c r="X745" s="76"/>
      <c r="Y745" s="76"/>
      <c r="Z745" s="76"/>
      <c r="AA745" s="76"/>
    </row>
    <row r="746" spans="1:27" ht="15.75" customHeight="1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7"/>
      <c r="P746" s="77"/>
      <c r="Q746" s="77"/>
      <c r="R746" s="37"/>
      <c r="S746" s="37"/>
      <c r="T746" s="76"/>
      <c r="U746" s="76"/>
      <c r="V746" s="76"/>
      <c r="W746" s="76"/>
      <c r="X746" s="76"/>
      <c r="Y746" s="76"/>
      <c r="Z746" s="76"/>
      <c r="AA746" s="76"/>
    </row>
    <row r="747" spans="1:27" ht="15.75" customHeight="1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7"/>
      <c r="P747" s="77"/>
      <c r="Q747" s="77"/>
      <c r="R747" s="37"/>
      <c r="S747" s="37"/>
      <c r="T747" s="76"/>
      <c r="U747" s="76"/>
      <c r="V747" s="76"/>
      <c r="W747" s="76"/>
      <c r="X747" s="76"/>
      <c r="Y747" s="76"/>
      <c r="Z747" s="76"/>
      <c r="AA747" s="76"/>
    </row>
    <row r="748" spans="1:27" ht="15.75" customHeight="1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7"/>
      <c r="P748" s="77"/>
      <c r="Q748" s="77"/>
      <c r="R748" s="37"/>
      <c r="S748" s="37"/>
      <c r="T748" s="76"/>
      <c r="U748" s="76"/>
      <c r="V748" s="76"/>
      <c r="W748" s="76"/>
      <c r="X748" s="76"/>
      <c r="Y748" s="76"/>
      <c r="Z748" s="76"/>
      <c r="AA748" s="76"/>
    </row>
    <row r="749" spans="1:27" ht="15.75" customHeight="1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7"/>
      <c r="P749" s="77"/>
      <c r="Q749" s="77"/>
      <c r="R749" s="37"/>
      <c r="S749" s="37"/>
      <c r="T749" s="76"/>
      <c r="U749" s="76"/>
      <c r="V749" s="76"/>
      <c r="W749" s="76"/>
      <c r="X749" s="76"/>
      <c r="Y749" s="76"/>
      <c r="Z749" s="76"/>
      <c r="AA749" s="76"/>
    </row>
    <row r="750" spans="1:27" ht="15.75" customHeight="1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7"/>
      <c r="P750" s="77"/>
      <c r="Q750" s="77"/>
      <c r="R750" s="37"/>
      <c r="S750" s="37"/>
      <c r="T750" s="76"/>
      <c r="U750" s="76"/>
      <c r="V750" s="76"/>
      <c r="W750" s="76"/>
      <c r="X750" s="76"/>
      <c r="Y750" s="76"/>
      <c r="Z750" s="76"/>
      <c r="AA750" s="76"/>
    </row>
    <row r="751" spans="1:27" ht="15.75" customHeight="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7"/>
      <c r="P751" s="77"/>
      <c r="Q751" s="77"/>
      <c r="R751" s="37"/>
      <c r="S751" s="37"/>
      <c r="T751" s="76"/>
      <c r="U751" s="76"/>
      <c r="V751" s="76"/>
      <c r="W751" s="76"/>
      <c r="X751" s="76"/>
      <c r="Y751" s="76"/>
      <c r="Z751" s="76"/>
      <c r="AA751" s="76"/>
    </row>
    <row r="752" spans="1:27" ht="15.75" customHeight="1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7"/>
      <c r="P752" s="77"/>
      <c r="Q752" s="77"/>
      <c r="R752" s="37"/>
      <c r="S752" s="37"/>
      <c r="T752" s="76"/>
      <c r="U752" s="76"/>
      <c r="V752" s="76"/>
      <c r="W752" s="76"/>
      <c r="X752" s="76"/>
      <c r="Y752" s="76"/>
      <c r="Z752" s="76"/>
      <c r="AA752" s="76"/>
    </row>
    <row r="753" spans="1:27" ht="15.75" customHeight="1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7"/>
      <c r="P753" s="77"/>
      <c r="Q753" s="77"/>
      <c r="R753" s="37"/>
      <c r="S753" s="37"/>
      <c r="T753" s="76"/>
      <c r="U753" s="76"/>
      <c r="V753" s="76"/>
      <c r="W753" s="76"/>
      <c r="X753" s="76"/>
      <c r="Y753" s="76"/>
      <c r="Z753" s="76"/>
      <c r="AA753" s="76"/>
    </row>
    <row r="754" spans="1:27" ht="15.75" customHeight="1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7"/>
      <c r="P754" s="77"/>
      <c r="Q754" s="77"/>
      <c r="R754" s="37"/>
      <c r="S754" s="37"/>
      <c r="T754" s="76"/>
      <c r="U754" s="76"/>
      <c r="V754" s="76"/>
      <c r="W754" s="76"/>
      <c r="X754" s="76"/>
      <c r="Y754" s="76"/>
      <c r="Z754" s="76"/>
      <c r="AA754" s="76"/>
    </row>
    <row r="755" spans="1:27" ht="15.75" customHeight="1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7"/>
      <c r="P755" s="77"/>
      <c r="Q755" s="77"/>
      <c r="R755" s="37"/>
      <c r="S755" s="37"/>
      <c r="T755" s="76"/>
      <c r="U755" s="76"/>
      <c r="V755" s="76"/>
      <c r="W755" s="76"/>
      <c r="X755" s="76"/>
      <c r="Y755" s="76"/>
      <c r="Z755" s="76"/>
      <c r="AA755" s="76"/>
    </row>
    <row r="756" spans="1:27" ht="15.75" customHeight="1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7"/>
      <c r="P756" s="77"/>
      <c r="Q756" s="77"/>
      <c r="R756" s="37"/>
      <c r="S756" s="37"/>
      <c r="T756" s="76"/>
      <c r="U756" s="76"/>
      <c r="V756" s="76"/>
      <c r="W756" s="76"/>
      <c r="X756" s="76"/>
      <c r="Y756" s="76"/>
      <c r="Z756" s="76"/>
      <c r="AA756" s="76"/>
    </row>
    <row r="757" spans="1:27" ht="15.75" customHeight="1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7"/>
      <c r="P757" s="77"/>
      <c r="Q757" s="77"/>
      <c r="R757" s="37"/>
      <c r="S757" s="37"/>
      <c r="T757" s="76"/>
      <c r="U757" s="76"/>
      <c r="V757" s="76"/>
      <c r="W757" s="76"/>
      <c r="X757" s="76"/>
      <c r="Y757" s="76"/>
      <c r="Z757" s="76"/>
      <c r="AA757" s="76"/>
    </row>
    <row r="758" spans="1:27" ht="15.75" customHeight="1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7"/>
      <c r="P758" s="77"/>
      <c r="Q758" s="77"/>
      <c r="R758" s="37"/>
      <c r="S758" s="37"/>
      <c r="T758" s="76"/>
      <c r="U758" s="76"/>
      <c r="V758" s="76"/>
      <c r="W758" s="76"/>
      <c r="X758" s="76"/>
      <c r="Y758" s="76"/>
      <c r="Z758" s="76"/>
      <c r="AA758" s="76"/>
    </row>
    <row r="759" spans="1:27" ht="15.75" customHeight="1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7"/>
      <c r="P759" s="77"/>
      <c r="Q759" s="77"/>
      <c r="R759" s="37"/>
      <c r="S759" s="37"/>
      <c r="T759" s="76"/>
      <c r="U759" s="76"/>
      <c r="V759" s="76"/>
      <c r="W759" s="76"/>
      <c r="X759" s="76"/>
      <c r="Y759" s="76"/>
      <c r="Z759" s="76"/>
      <c r="AA759" s="76"/>
    </row>
    <row r="760" spans="1:27" ht="15.75" customHeight="1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7"/>
      <c r="P760" s="77"/>
      <c r="Q760" s="77"/>
      <c r="R760" s="37"/>
      <c r="S760" s="37"/>
      <c r="T760" s="76"/>
      <c r="U760" s="76"/>
      <c r="V760" s="76"/>
      <c r="W760" s="76"/>
      <c r="X760" s="76"/>
      <c r="Y760" s="76"/>
      <c r="Z760" s="76"/>
      <c r="AA760" s="76"/>
    </row>
    <row r="761" spans="1:27" ht="15.75" customHeight="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7"/>
      <c r="P761" s="77"/>
      <c r="Q761" s="77"/>
      <c r="R761" s="37"/>
      <c r="S761" s="37"/>
      <c r="T761" s="76"/>
      <c r="U761" s="76"/>
      <c r="V761" s="76"/>
      <c r="W761" s="76"/>
      <c r="X761" s="76"/>
      <c r="Y761" s="76"/>
      <c r="Z761" s="76"/>
      <c r="AA761" s="76"/>
    </row>
    <row r="762" spans="1:27" ht="15.75" customHeight="1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7"/>
      <c r="P762" s="77"/>
      <c r="Q762" s="77"/>
      <c r="R762" s="37"/>
      <c r="S762" s="37"/>
      <c r="T762" s="76"/>
      <c r="U762" s="76"/>
      <c r="V762" s="76"/>
      <c r="W762" s="76"/>
      <c r="X762" s="76"/>
      <c r="Y762" s="76"/>
      <c r="Z762" s="76"/>
      <c r="AA762" s="76"/>
    </row>
    <row r="763" spans="1:27" ht="15.75" customHeight="1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7"/>
      <c r="P763" s="77"/>
      <c r="Q763" s="77"/>
      <c r="R763" s="37"/>
      <c r="S763" s="37"/>
      <c r="T763" s="76"/>
      <c r="U763" s="76"/>
      <c r="V763" s="76"/>
      <c r="W763" s="76"/>
      <c r="X763" s="76"/>
      <c r="Y763" s="76"/>
      <c r="Z763" s="76"/>
      <c r="AA763" s="76"/>
    </row>
    <row r="764" spans="1:27" ht="15.75" customHeight="1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7"/>
      <c r="P764" s="77"/>
      <c r="Q764" s="77"/>
      <c r="R764" s="37"/>
      <c r="S764" s="37"/>
      <c r="T764" s="76"/>
      <c r="U764" s="76"/>
      <c r="V764" s="76"/>
      <c r="W764" s="76"/>
      <c r="X764" s="76"/>
      <c r="Y764" s="76"/>
      <c r="Z764" s="76"/>
      <c r="AA764" s="76"/>
    </row>
    <row r="765" spans="1:27" ht="15.75" customHeight="1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7"/>
      <c r="P765" s="77"/>
      <c r="Q765" s="77"/>
      <c r="R765" s="37"/>
      <c r="S765" s="37"/>
      <c r="T765" s="76"/>
      <c r="U765" s="76"/>
      <c r="V765" s="76"/>
      <c r="W765" s="76"/>
      <c r="X765" s="76"/>
      <c r="Y765" s="76"/>
      <c r="Z765" s="76"/>
      <c r="AA765" s="76"/>
    </row>
    <row r="766" spans="1:27" ht="15.75" customHeight="1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7"/>
      <c r="P766" s="77"/>
      <c r="Q766" s="77"/>
      <c r="R766" s="37"/>
      <c r="S766" s="37"/>
      <c r="T766" s="76"/>
      <c r="U766" s="76"/>
      <c r="V766" s="76"/>
      <c r="W766" s="76"/>
      <c r="X766" s="76"/>
      <c r="Y766" s="76"/>
      <c r="Z766" s="76"/>
      <c r="AA766" s="76"/>
    </row>
    <row r="767" spans="1:27" ht="15.75" customHeight="1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7"/>
      <c r="P767" s="77"/>
      <c r="Q767" s="77"/>
      <c r="R767" s="37"/>
      <c r="S767" s="37"/>
      <c r="T767" s="76"/>
      <c r="U767" s="76"/>
      <c r="V767" s="76"/>
      <c r="W767" s="76"/>
      <c r="X767" s="76"/>
      <c r="Y767" s="76"/>
      <c r="Z767" s="76"/>
      <c r="AA767" s="76"/>
    </row>
    <row r="768" spans="1:27" ht="15.75" customHeight="1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7"/>
      <c r="P768" s="77"/>
      <c r="Q768" s="77"/>
      <c r="R768" s="37"/>
      <c r="S768" s="37"/>
      <c r="T768" s="76"/>
      <c r="U768" s="76"/>
      <c r="V768" s="76"/>
      <c r="W768" s="76"/>
      <c r="X768" s="76"/>
      <c r="Y768" s="76"/>
      <c r="Z768" s="76"/>
      <c r="AA768" s="76"/>
    </row>
    <row r="769" spans="1:27" ht="15.75" customHeight="1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7"/>
      <c r="P769" s="77"/>
      <c r="Q769" s="77"/>
      <c r="R769" s="37"/>
      <c r="S769" s="37"/>
      <c r="T769" s="76"/>
      <c r="U769" s="76"/>
      <c r="V769" s="76"/>
      <c r="W769" s="76"/>
      <c r="X769" s="76"/>
      <c r="Y769" s="76"/>
      <c r="Z769" s="76"/>
      <c r="AA769" s="76"/>
    </row>
    <row r="770" spans="1:27" ht="15.75" customHeight="1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7"/>
      <c r="P770" s="77"/>
      <c r="Q770" s="77"/>
      <c r="R770" s="37"/>
      <c r="S770" s="37"/>
      <c r="T770" s="76"/>
      <c r="U770" s="76"/>
      <c r="V770" s="76"/>
      <c r="W770" s="76"/>
      <c r="X770" s="76"/>
      <c r="Y770" s="76"/>
      <c r="Z770" s="76"/>
      <c r="AA770" s="76"/>
    </row>
    <row r="771" spans="1:27" ht="15.75" customHeight="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7"/>
      <c r="P771" s="77"/>
      <c r="Q771" s="77"/>
      <c r="R771" s="37"/>
      <c r="S771" s="37"/>
      <c r="T771" s="76"/>
      <c r="U771" s="76"/>
      <c r="V771" s="76"/>
      <c r="W771" s="76"/>
      <c r="X771" s="76"/>
      <c r="Y771" s="76"/>
      <c r="Z771" s="76"/>
      <c r="AA771" s="76"/>
    </row>
    <row r="772" spans="1:27" ht="15.75" customHeight="1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7"/>
      <c r="P772" s="77"/>
      <c r="Q772" s="77"/>
      <c r="R772" s="37"/>
      <c r="S772" s="37"/>
      <c r="T772" s="76"/>
      <c r="U772" s="76"/>
      <c r="V772" s="76"/>
      <c r="W772" s="76"/>
      <c r="X772" s="76"/>
      <c r="Y772" s="76"/>
      <c r="Z772" s="76"/>
      <c r="AA772" s="76"/>
    </row>
    <row r="773" spans="1:27" ht="15.75" customHeight="1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7"/>
      <c r="P773" s="77"/>
      <c r="Q773" s="77"/>
      <c r="R773" s="37"/>
      <c r="S773" s="37"/>
      <c r="T773" s="76"/>
      <c r="U773" s="76"/>
      <c r="V773" s="76"/>
      <c r="W773" s="76"/>
      <c r="X773" s="76"/>
      <c r="Y773" s="76"/>
      <c r="Z773" s="76"/>
      <c r="AA773" s="76"/>
    </row>
    <row r="774" spans="1:27" ht="15.75" customHeight="1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7"/>
      <c r="P774" s="77"/>
      <c r="Q774" s="77"/>
      <c r="R774" s="37"/>
      <c r="S774" s="37"/>
      <c r="T774" s="76"/>
      <c r="U774" s="76"/>
      <c r="V774" s="76"/>
      <c r="W774" s="76"/>
      <c r="X774" s="76"/>
      <c r="Y774" s="76"/>
      <c r="Z774" s="76"/>
      <c r="AA774" s="76"/>
    </row>
    <row r="775" spans="1:27" ht="15.75" customHeight="1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7"/>
      <c r="P775" s="77"/>
      <c r="Q775" s="77"/>
      <c r="R775" s="37"/>
      <c r="S775" s="37"/>
      <c r="T775" s="76"/>
      <c r="U775" s="76"/>
      <c r="V775" s="76"/>
      <c r="W775" s="76"/>
      <c r="X775" s="76"/>
      <c r="Y775" s="76"/>
      <c r="Z775" s="76"/>
      <c r="AA775" s="76"/>
    </row>
    <row r="776" spans="1:27" ht="15.75" customHeight="1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7"/>
      <c r="P776" s="77"/>
      <c r="Q776" s="77"/>
      <c r="R776" s="37"/>
      <c r="S776" s="37"/>
      <c r="T776" s="76"/>
      <c r="U776" s="76"/>
      <c r="V776" s="76"/>
      <c r="W776" s="76"/>
      <c r="X776" s="76"/>
      <c r="Y776" s="76"/>
      <c r="Z776" s="76"/>
      <c r="AA776" s="76"/>
    </row>
    <row r="777" spans="1:27" ht="15.75" customHeight="1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7"/>
      <c r="P777" s="77"/>
      <c r="Q777" s="77"/>
      <c r="R777" s="37"/>
      <c r="S777" s="37"/>
      <c r="T777" s="76"/>
      <c r="U777" s="76"/>
      <c r="V777" s="76"/>
      <c r="W777" s="76"/>
      <c r="X777" s="76"/>
      <c r="Y777" s="76"/>
      <c r="Z777" s="76"/>
      <c r="AA777" s="76"/>
    </row>
    <row r="778" spans="1:27" ht="15.75" customHeight="1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7"/>
      <c r="P778" s="77"/>
      <c r="Q778" s="77"/>
      <c r="R778" s="37"/>
      <c r="S778" s="37"/>
      <c r="T778" s="76"/>
      <c r="U778" s="76"/>
      <c r="V778" s="76"/>
      <c r="W778" s="76"/>
      <c r="X778" s="76"/>
      <c r="Y778" s="76"/>
      <c r="Z778" s="76"/>
      <c r="AA778" s="76"/>
    </row>
    <row r="779" spans="1:27" ht="15.75" customHeight="1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7"/>
      <c r="P779" s="77"/>
      <c r="Q779" s="77"/>
      <c r="R779" s="37"/>
      <c r="S779" s="37"/>
      <c r="T779" s="76"/>
      <c r="U779" s="76"/>
      <c r="V779" s="76"/>
      <c r="W779" s="76"/>
      <c r="X779" s="76"/>
      <c r="Y779" s="76"/>
      <c r="Z779" s="76"/>
      <c r="AA779" s="76"/>
    </row>
    <row r="780" spans="1:27" ht="15.75" customHeight="1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7"/>
      <c r="P780" s="77"/>
      <c r="Q780" s="77"/>
      <c r="R780" s="37"/>
      <c r="S780" s="37"/>
      <c r="T780" s="76"/>
      <c r="U780" s="76"/>
      <c r="V780" s="76"/>
      <c r="W780" s="76"/>
      <c r="X780" s="76"/>
      <c r="Y780" s="76"/>
      <c r="Z780" s="76"/>
      <c r="AA780" s="76"/>
    </row>
    <row r="781" spans="1:27" ht="15.75" customHeight="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7"/>
      <c r="P781" s="77"/>
      <c r="Q781" s="77"/>
      <c r="R781" s="37"/>
      <c r="S781" s="37"/>
      <c r="T781" s="76"/>
      <c r="U781" s="76"/>
      <c r="V781" s="76"/>
      <c r="W781" s="76"/>
      <c r="X781" s="76"/>
      <c r="Y781" s="76"/>
      <c r="Z781" s="76"/>
      <c r="AA781" s="76"/>
    </row>
    <row r="782" spans="1:27" ht="15.75" customHeight="1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7"/>
      <c r="P782" s="77"/>
      <c r="Q782" s="77"/>
      <c r="R782" s="37"/>
      <c r="S782" s="37"/>
      <c r="T782" s="76"/>
      <c r="U782" s="76"/>
      <c r="V782" s="76"/>
      <c r="W782" s="76"/>
      <c r="X782" s="76"/>
      <c r="Y782" s="76"/>
      <c r="Z782" s="76"/>
      <c r="AA782" s="76"/>
    </row>
    <row r="783" spans="1:27" ht="15.75" customHeight="1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7"/>
      <c r="P783" s="77"/>
      <c r="Q783" s="77"/>
      <c r="R783" s="37"/>
      <c r="S783" s="37"/>
      <c r="T783" s="76"/>
      <c r="U783" s="76"/>
      <c r="V783" s="76"/>
      <c r="W783" s="76"/>
      <c r="X783" s="76"/>
      <c r="Y783" s="76"/>
      <c r="Z783" s="76"/>
      <c r="AA783" s="76"/>
    </row>
    <row r="784" spans="1:27" ht="15.75" customHeight="1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7"/>
      <c r="P784" s="77"/>
      <c r="Q784" s="77"/>
      <c r="R784" s="37"/>
      <c r="S784" s="37"/>
      <c r="T784" s="76"/>
      <c r="U784" s="76"/>
      <c r="V784" s="76"/>
      <c r="W784" s="76"/>
      <c r="X784" s="76"/>
      <c r="Y784" s="76"/>
      <c r="Z784" s="76"/>
      <c r="AA784" s="76"/>
    </row>
    <row r="785" spans="1:27" ht="15.75" customHeight="1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7"/>
      <c r="P785" s="77"/>
      <c r="Q785" s="77"/>
      <c r="R785" s="37"/>
      <c r="S785" s="37"/>
      <c r="T785" s="76"/>
      <c r="U785" s="76"/>
      <c r="V785" s="76"/>
      <c r="W785" s="76"/>
      <c r="X785" s="76"/>
      <c r="Y785" s="76"/>
      <c r="Z785" s="76"/>
      <c r="AA785" s="76"/>
    </row>
    <row r="786" spans="1:27" ht="15.75" customHeight="1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7"/>
      <c r="P786" s="77"/>
      <c r="Q786" s="77"/>
      <c r="R786" s="37"/>
      <c r="S786" s="37"/>
      <c r="T786" s="76"/>
      <c r="U786" s="76"/>
      <c r="V786" s="76"/>
      <c r="W786" s="76"/>
      <c r="X786" s="76"/>
      <c r="Y786" s="76"/>
      <c r="Z786" s="76"/>
      <c r="AA786" s="76"/>
    </row>
    <row r="787" spans="1:27" ht="15.75" customHeight="1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7"/>
      <c r="P787" s="77"/>
      <c r="Q787" s="77"/>
      <c r="R787" s="37"/>
      <c r="S787" s="37"/>
      <c r="T787" s="76"/>
      <c r="U787" s="76"/>
      <c r="V787" s="76"/>
      <c r="W787" s="76"/>
      <c r="X787" s="76"/>
      <c r="Y787" s="76"/>
      <c r="Z787" s="76"/>
      <c r="AA787" s="76"/>
    </row>
    <row r="788" spans="1:27" ht="15.75" customHeight="1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7"/>
      <c r="P788" s="77"/>
      <c r="Q788" s="77"/>
      <c r="R788" s="37"/>
      <c r="S788" s="37"/>
      <c r="T788" s="76"/>
      <c r="U788" s="76"/>
      <c r="V788" s="76"/>
      <c r="W788" s="76"/>
      <c r="X788" s="76"/>
      <c r="Y788" s="76"/>
      <c r="Z788" s="76"/>
      <c r="AA788" s="76"/>
    </row>
    <row r="789" spans="1:27" ht="15.75" customHeight="1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7"/>
      <c r="P789" s="77"/>
      <c r="Q789" s="77"/>
      <c r="R789" s="37"/>
      <c r="S789" s="37"/>
      <c r="T789" s="76"/>
      <c r="U789" s="76"/>
      <c r="V789" s="76"/>
      <c r="W789" s="76"/>
      <c r="X789" s="76"/>
      <c r="Y789" s="76"/>
      <c r="Z789" s="76"/>
      <c r="AA789" s="76"/>
    </row>
    <row r="790" spans="1:27" ht="15.75" customHeight="1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7"/>
      <c r="P790" s="77"/>
      <c r="Q790" s="77"/>
      <c r="R790" s="37"/>
      <c r="S790" s="37"/>
      <c r="T790" s="76"/>
      <c r="U790" s="76"/>
      <c r="V790" s="76"/>
      <c r="W790" s="76"/>
      <c r="X790" s="76"/>
      <c r="Y790" s="76"/>
      <c r="Z790" s="76"/>
      <c r="AA790" s="76"/>
    </row>
    <row r="791" spans="1:27" ht="15.75" customHeight="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7"/>
      <c r="P791" s="77"/>
      <c r="Q791" s="77"/>
      <c r="R791" s="37"/>
      <c r="S791" s="37"/>
      <c r="T791" s="76"/>
      <c r="U791" s="76"/>
      <c r="V791" s="76"/>
      <c r="W791" s="76"/>
      <c r="X791" s="76"/>
      <c r="Y791" s="76"/>
      <c r="Z791" s="76"/>
      <c r="AA791" s="76"/>
    </row>
    <row r="792" spans="1:27" ht="15.75" customHeight="1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7"/>
      <c r="P792" s="77"/>
      <c r="Q792" s="77"/>
      <c r="R792" s="37"/>
      <c r="S792" s="37"/>
      <c r="T792" s="76"/>
      <c r="U792" s="76"/>
      <c r="V792" s="76"/>
      <c r="W792" s="76"/>
      <c r="X792" s="76"/>
      <c r="Y792" s="76"/>
      <c r="Z792" s="76"/>
      <c r="AA792" s="76"/>
    </row>
    <row r="793" spans="1:27" ht="15.75" customHeight="1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7"/>
      <c r="P793" s="77"/>
      <c r="Q793" s="77"/>
      <c r="R793" s="37"/>
      <c r="S793" s="37"/>
      <c r="T793" s="76"/>
      <c r="U793" s="76"/>
      <c r="V793" s="76"/>
      <c r="W793" s="76"/>
      <c r="X793" s="76"/>
      <c r="Y793" s="76"/>
      <c r="Z793" s="76"/>
      <c r="AA793" s="76"/>
    </row>
    <row r="794" spans="1:27" ht="15.75" customHeight="1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7"/>
      <c r="P794" s="77"/>
      <c r="Q794" s="77"/>
      <c r="R794" s="37"/>
      <c r="S794" s="37"/>
      <c r="T794" s="76"/>
      <c r="U794" s="76"/>
      <c r="V794" s="76"/>
      <c r="W794" s="76"/>
      <c r="X794" s="76"/>
      <c r="Y794" s="76"/>
      <c r="Z794" s="76"/>
      <c r="AA794" s="76"/>
    </row>
    <row r="795" spans="1:27" ht="15.75" customHeight="1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7"/>
      <c r="P795" s="77"/>
      <c r="Q795" s="77"/>
      <c r="R795" s="37"/>
      <c r="S795" s="37"/>
      <c r="T795" s="76"/>
      <c r="U795" s="76"/>
      <c r="V795" s="76"/>
      <c r="W795" s="76"/>
      <c r="X795" s="76"/>
      <c r="Y795" s="76"/>
      <c r="Z795" s="76"/>
      <c r="AA795" s="76"/>
    </row>
    <row r="796" spans="1:27" ht="15.75" customHeight="1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7"/>
      <c r="P796" s="77"/>
      <c r="Q796" s="77"/>
      <c r="R796" s="37"/>
      <c r="S796" s="37"/>
      <c r="T796" s="76"/>
      <c r="U796" s="76"/>
      <c r="V796" s="76"/>
      <c r="W796" s="76"/>
      <c r="X796" s="76"/>
      <c r="Y796" s="76"/>
      <c r="Z796" s="76"/>
      <c r="AA796" s="76"/>
    </row>
    <row r="797" spans="1:27" ht="15.75" customHeight="1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7"/>
      <c r="P797" s="77"/>
      <c r="Q797" s="77"/>
      <c r="R797" s="37"/>
      <c r="S797" s="37"/>
      <c r="T797" s="76"/>
      <c r="U797" s="76"/>
      <c r="V797" s="76"/>
      <c r="W797" s="76"/>
      <c r="X797" s="76"/>
      <c r="Y797" s="76"/>
      <c r="Z797" s="76"/>
      <c r="AA797" s="76"/>
    </row>
    <row r="798" spans="1:27" ht="15.75" customHeight="1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7"/>
      <c r="P798" s="77"/>
      <c r="Q798" s="77"/>
      <c r="R798" s="37"/>
      <c r="S798" s="37"/>
      <c r="T798" s="76"/>
      <c r="U798" s="76"/>
      <c r="V798" s="76"/>
      <c r="W798" s="76"/>
      <c r="X798" s="76"/>
      <c r="Y798" s="76"/>
      <c r="Z798" s="76"/>
      <c r="AA798" s="76"/>
    </row>
    <row r="799" spans="1:27" ht="15.75" customHeight="1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7"/>
      <c r="P799" s="77"/>
      <c r="Q799" s="77"/>
      <c r="R799" s="37"/>
      <c r="S799" s="37"/>
      <c r="T799" s="76"/>
      <c r="U799" s="76"/>
      <c r="V799" s="76"/>
      <c r="W799" s="76"/>
      <c r="X799" s="76"/>
      <c r="Y799" s="76"/>
      <c r="Z799" s="76"/>
      <c r="AA799" s="76"/>
    </row>
    <row r="800" spans="1:27" ht="15.75" customHeight="1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7"/>
      <c r="P800" s="77"/>
      <c r="Q800" s="77"/>
      <c r="R800" s="37"/>
      <c r="S800" s="37"/>
      <c r="T800" s="76"/>
      <c r="U800" s="76"/>
      <c r="V800" s="76"/>
      <c r="W800" s="76"/>
      <c r="X800" s="76"/>
      <c r="Y800" s="76"/>
      <c r="Z800" s="76"/>
      <c r="AA800" s="76"/>
    </row>
    <row r="801" spans="1:27" ht="15.75" customHeight="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7"/>
      <c r="P801" s="77"/>
      <c r="Q801" s="77"/>
      <c r="R801" s="37"/>
      <c r="S801" s="37"/>
      <c r="T801" s="76"/>
      <c r="U801" s="76"/>
      <c r="V801" s="76"/>
      <c r="W801" s="76"/>
      <c r="X801" s="76"/>
      <c r="Y801" s="76"/>
      <c r="Z801" s="76"/>
      <c r="AA801" s="76"/>
    </row>
    <row r="802" spans="1:27" ht="15.75" customHeight="1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7"/>
      <c r="P802" s="77"/>
      <c r="Q802" s="77"/>
      <c r="R802" s="37"/>
      <c r="S802" s="37"/>
      <c r="T802" s="76"/>
      <c r="U802" s="76"/>
      <c r="V802" s="76"/>
      <c r="W802" s="76"/>
      <c r="X802" s="76"/>
      <c r="Y802" s="76"/>
      <c r="Z802" s="76"/>
      <c r="AA802" s="76"/>
    </row>
    <row r="803" spans="1:27" ht="15.75" customHeight="1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7"/>
      <c r="P803" s="77"/>
      <c r="Q803" s="77"/>
      <c r="R803" s="37"/>
      <c r="S803" s="37"/>
      <c r="T803" s="76"/>
      <c r="U803" s="76"/>
      <c r="V803" s="76"/>
      <c r="W803" s="76"/>
      <c r="X803" s="76"/>
      <c r="Y803" s="76"/>
      <c r="Z803" s="76"/>
      <c r="AA803" s="76"/>
    </row>
    <row r="804" spans="1:27" ht="15.75" customHeight="1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7"/>
      <c r="P804" s="77"/>
      <c r="Q804" s="77"/>
      <c r="R804" s="37"/>
      <c r="S804" s="37"/>
      <c r="T804" s="76"/>
      <c r="U804" s="76"/>
      <c r="V804" s="76"/>
      <c r="W804" s="76"/>
      <c r="X804" s="76"/>
      <c r="Y804" s="76"/>
      <c r="Z804" s="76"/>
      <c r="AA804" s="76"/>
    </row>
    <row r="805" spans="1:27" ht="15.75" customHeight="1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7"/>
      <c r="P805" s="77"/>
      <c r="Q805" s="77"/>
      <c r="R805" s="37"/>
      <c r="S805" s="37"/>
      <c r="T805" s="76"/>
      <c r="U805" s="76"/>
      <c r="V805" s="76"/>
      <c r="W805" s="76"/>
      <c r="X805" s="76"/>
      <c r="Y805" s="76"/>
      <c r="Z805" s="76"/>
      <c r="AA805" s="76"/>
    </row>
    <row r="806" spans="1:27" ht="15.75" customHeight="1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7"/>
      <c r="P806" s="77"/>
      <c r="Q806" s="77"/>
      <c r="R806" s="37"/>
      <c r="S806" s="37"/>
      <c r="T806" s="76"/>
      <c r="U806" s="76"/>
      <c r="V806" s="76"/>
      <c r="W806" s="76"/>
      <c r="X806" s="76"/>
      <c r="Y806" s="76"/>
      <c r="Z806" s="76"/>
      <c r="AA806" s="76"/>
    </row>
    <row r="807" spans="1:27" ht="15.75" customHeight="1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7"/>
      <c r="P807" s="77"/>
      <c r="Q807" s="77"/>
      <c r="R807" s="37"/>
      <c r="S807" s="37"/>
      <c r="T807" s="76"/>
      <c r="U807" s="76"/>
      <c r="V807" s="76"/>
      <c r="W807" s="76"/>
      <c r="X807" s="76"/>
      <c r="Y807" s="76"/>
      <c r="Z807" s="76"/>
      <c r="AA807" s="76"/>
    </row>
    <row r="808" spans="1:27" ht="15.75" customHeight="1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7"/>
      <c r="P808" s="77"/>
      <c r="Q808" s="77"/>
      <c r="R808" s="37"/>
      <c r="S808" s="37"/>
      <c r="T808" s="76"/>
      <c r="U808" s="76"/>
      <c r="V808" s="76"/>
      <c r="W808" s="76"/>
      <c r="X808" s="76"/>
      <c r="Y808" s="76"/>
      <c r="Z808" s="76"/>
      <c r="AA808" s="76"/>
    </row>
    <row r="809" spans="1:27" ht="15.75" customHeight="1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7"/>
      <c r="P809" s="77"/>
      <c r="Q809" s="77"/>
      <c r="R809" s="37"/>
      <c r="S809" s="37"/>
      <c r="T809" s="76"/>
      <c r="U809" s="76"/>
      <c r="V809" s="76"/>
      <c r="W809" s="76"/>
      <c r="X809" s="76"/>
      <c r="Y809" s="76"/>
      <c r="Z809" s="76"/>
      <c r="AA809" s="76"/>
    </row>
    <row r="810" spans="1:27" ht="15.75" customHeight="1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7"/>
      <c r="P810" s="77"/>
      <c r="Q810" s="77"/>
      <c r="R810" s="37"/>
      <c r="S810" s="37"/>
      <c r="T810" s="76"/>
      <c r="U810" s="76"/>
      <c r="V810" s="76"/>
      <c r="W810" s="76"/>
      <c r="X810" s="76"/>
      <c r="Y810" s="76"/>
      <c r="Z810" s="76"/>
      <c r="AA810" s="76"/>
    </row>
    <row r="811" spans="1:27" ht="15.75" customHeight="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7"/>
      <c r="P811" s="77"/>
      <c r="Q811" s="77"/>
      <c r="R811" s="37"/>
      <c r="S811" s="37"/>
      <c r="T811" s="76"/>
      <c r="U811" s="76"/>
      <c r="V811" s="76"/>
      <c r="W811" s="76"/>
      <c r="X811" s="76"/>
      <c r="Y811" s="76"/>
      <c r="Z811" s="76"/>
      <c r="AA811" s="76"/>
    </row>
    <row r="812" spans="1:27" ht="15.75" customHeight="1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7"/>
      <c r="P812" s="77"/>
      <c r="Q812" s="77"/>
      <c r="R812" s="37"/>
      <c r="S812" s="37"/>
      <c r="T812" s="76"/>
      <c r="U812" s="76"/>
      <c r="V812" s="76"/>
      <c r="W812" s="76"/>
      <c r="X812" s="76"/>
      <c r="Y812" s="76"/>
      <c r="Z812" s="76"/>
      <c r="AA812" s="76"/>
    </row>
    <row r="813" spans="1:27" ht="15.75" customHeight="1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7"/>
      <c r="P813" s="77"/>
      <c r="Q813" s="77"/>
      <c r="R813" s="37"/>
      <c r="S813" s="37"/>
      <c r="T813" s="76"/>
      <c r="U813" s="76"/>
      <c r="V813" s="76"/>
      <c r="W813" s="76"/>
      <c r="X813" s="76"/>
      <c r="Y813" s="76"/>
      <c r="Z813" s="76"/>
      <c r="AA813" s="76"/>
    </row>
    <row r="814" spans="1:27" ht="15.75" customHeight="1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7"/>
      <c r="P814" s="77"/>
      <c r="Q814" s="77"/>
      <c r="R814" s="37"/>
      <c r="S814" s="37"/>
      <c r="T814" s="76"/>
      <c r="U814" s="76"/>
      <c r="V814" s="76"/>
      <c r="W814" s="76"/>
      <c r="X814" s="76"/>
      <c r="Y814" s="76"/>
      <c r="Z814" s="76"/>
      <c r="AA814" s="76"/>
    </row>
    <row r="815" spans="1:27" ht="15.75" customHeight="1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7"/>
      <c r="P815" s="77"/>
      <c r="Q815" s="77"/>
      <c r="R815" s="37"/>
      <c r="S815" s="37"/>
      <c r="T815" s="76"/>
      <c r="U815" s="76"/>
      <c r="V815" s="76"/>
      <c r="W815" s="76"/>
      <c r="X815" s="76"/>
      <c r="Y815" s="76"/>
      <c r="Z815" s="76"/>
      <c r="AA815" s="76"/>
    </row>
    <row r="816" spans="1:27" ht="15.75" customHeight="1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7"/>
      <c r="P816" s="77"/>
      <c r="Q816" s="77"/>
      <c r="R816" s="37"/>
      <c r="S816" s="37"/>
      <c r="T816" s="76"/>
      <c r="U816" s="76"/>
      <c r="V816" s="76"/>
      <c r="W816" s="76"/>
      <c r="X816" s="76"/>
      <c r="Y816" s="76"/>
      <c r="Z816" s="76"/>
      <c r="AA816" s="76"/>
    </row>
    <row r="817" spans="1:27" ht="15.75" customHeight="1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7"/>
      <c r="P817" s="77"/>
      <c r="Q817" s="77"/>
      <c r="R817" s="37"/>
      <c r="S817" s="37"/>
      <c r="T817" s="76"/>
      <c r="U817" s="76"/>
      <c r="V817" s="76"/>
      <c r="W817" s="76"/>
      <c r="X817" s="76"/>
      <c r="Y817" s="76"/>
      <c r="Z817" s="76"/>
      <c r="AA817" s="76"/>
    </row>
    <row r="818" spans="1:27" ht="15.75" customHeight="1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7"/>
      <c r="P818" s="77"/>
      <c r="Q818" s="77"/>
      <c r="R818" s="37"/>
      <c r="S818" s="37"/>
      <c r="T818" s="76"/>
      <c r="U818" s="76"/>
      <c r="V818" s="76"/>
      <c r="W818" s="76"/>
      <c r="X818" s="76"/>
      <c r="Y818" s="76"/>
      <c r="Z818" s="76"/>
      <c r="AA818" s="76"/>
    </row>
    <row r="819" spans="1:27" ht="15.75" customHeight="1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7"/>
      <c r="P819" s="77"/>
      <c r="Q819" s="77"/>
      <c r="R819" s="37"/>
      <c r="S819" s="37"/>
      <c r="T819" s="76"/>
      <c r="U819" s="76"/>
      <c r="V819" s="76"/>
      <c r="W819" s="76"/>
      <c r="X819" s="76"/>
      <c r="Y819" s="76"/>
      <c r="Z819" s="76"/>
      <c r="AA819" s="76"/>
    </row>
    <row r="820" spans="1:27" ht="15.75" customHeight="1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7"/>
      <c r="P820" s="77"/>
      <c r="Q820" s="77"/>
      <c r="R820" s="37"/>
      <c r="S820" s="37"/>
      <c r="T820" s="76"/>
      <c r="U820" s="76"/>
      <c r="V820" s="76"/>
      <c r="W820" s="76"/>
      <c r="X820" s="76"/>
      <c r="Y820" s="76"/>
      <c r="Z820" s="76"/>
      <c r="AA820" s="76"/>
    </row>
    <row r="821" spans="1:27" ht="15.75" customHeight="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7"/>
      <c r="P821" s="77"/>
      <c r="Q821" s="77"/>
      <c r="R821" s="37"/>
      <c r="S821" s="37"/>
      <c r="T821" s="76"/>
      <c r="U821" s="76"/>
      <c r="V821" s="76"/>
      <c r="W821" s="76"/>
      <c r="X821" s="76"/>
      <c r="Y821" s="76"/>
      <c r="Z821" s="76"/>
      <c r="AA821" s="76"/>
    </row>
    <row r="822" spans="1:27" ht="15.75" customHeight="1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7"/>
      <c r="P822" s="77"/>
      <c r="Q822" s="77"/>
      <c r="R822" s="37"/>
      <c r="S822" s="37"/>
      <c r="T822" s="76"/>
      <c r="U822" s="76"/>
      <c r="V822" s="76"/>
      <c r="W822" s="76"/>
      <c r="X822" s="76"/>
      <c r="Y822" s="76"/>
      <c r="Z822" s="76"/>
      <c r="AA822" s="76"/>
    </row>
    <row r="823" spans="1:27" ht="15.75" customHeight="1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7"/>
      <c r="P823" s="77"/>
      <c r="Q823" s="77"/>
      <c r="R823" s="37"/>
      <c r="S823" s="37"/>
      <c r="T823" s="76"/>
      <c r="U823" s="76"/>
      <c r="V823" s="76"/>
      <c r="W823" s="76"/>
      <c r="X823" s="76"/>
      <c r="Y823" s="76"/>
      <c r="Z823" s="76"/>
      <c r="AA823" s="76"/>
    </row>
    <row r="824" spans="1:27" ht="15.75" customHeight="1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7"/>
      <c r="P824" s="77"/>
      <c r="Q824" s="77"/>
      <c r="R824" s="37"/>
      <c r="S824" s="37"/>
      <c r="T824" s="76"/>
      <c r="U824" s="76"/>
      <c r="V824" s="76"/>
      <c r="W824" s="76"/>
      <c r="X824" s="76"/>
      <c r="Y824" s="76"/>
      <c r="Z824" s="76"/>
      <c r="AA824" s="76"/>
    </row>
    <row r="825" spans="1:27" ht="15.75" customHeight="1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7"/>
      <c r="P825" s="77"/>
      <c r="Q825" s="77"/>
      <c r="R825" s="37"/>
      <c r="S825" s="37"/>
      <c r="T825" s="76"/>
      <c r="U825" s="76"/>
      <c r="V825" s="76"/>
      <c r="W825" s="76"/>
      <c r="X825" s="76"/>
      <c r="Y825" s="76"/>
      <c r="Z825" s="76"/>
      <c r="AA825" s="76"/>
    </row>
    <row r="826" spans="1:27" ht="15.75" customHeight="1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7"/>
      <c r="P826" s="77"/>
      <c r="Q826" s="77"/>
      <c r="R826" s="37"/>
      <c r="S826" s="37"/>
      <c r="T826" s="76"/>
      <c r="U826" s="76"/>
      <c r="V826" s="76"/>
      <c r="W826" s="76"/>
      <c r="X826" s="76"/>
      <c r="Y826" s="76"/>
      <c r="Z826" s="76"/>
      <c r="AA826" s="76"/>
    </row>
    <row r="827" spans="1:27" ht="15.75" customHeight="1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7"/>
      <c r="P827" s="77"/>
      <c r="Q827" s="77"/>
      <c r="R827" s="37"/>
      <c r="S827" s="37"/>
      <c r="T827" s="76"/>
      <c r="U827" s="76"/>
      <c r="V827" s="76"/>
      <c r="W827" s="76"/>
      <c r="X827" s="76"/>
      <c r="Y827" s="76"/>
      <c r="Z827" s="76"/>
      <c r="AA827" s="76"/>
    </row>
    <row r="828" spans="1:27" ht="15.75" customHeight="1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7"/>
      <c r="P828" s="77"/>
      <c r="Q828" s="77"/>
      <c r="R828" s="37"/>
      <c r="S828" s="37"/>
      <c r="T828" s="76"/>
      <c r="U828" s="76"/>
      <c r="V828" s="76"/>
      <c r="W828" s="76"/>
      <c r="X828" s="76"/>
      <c r="Y828" s="76"/>
      <c r="Z828" s="76"/>
      <c r="AA828" s="76"/>
    </row>
    <row r="829" spans="1:27" ht="15.75" customHeight="1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7"/>
      <c r="P829" s="77"/>
      <c r="Q829" s="77"/>
      <c r="R829" s="37"/>
      <c r="S829" s="37"/>
      <c r="T829" s="76"/>
      <c r="U829" s="76"/>
      <c r="V829" s="76"/>
      <c r="W829" s="76"/>
      <c r="X829" s="76"/>
      <c r="Y829" s="76"/>
      <c r="Z829" s="76"/>
      <c r="AA829" s="76"/>
    </row>
    <row r="830" spans="1:27" ht="15.75" customHeight="1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7"/>
      <c r="P830" s="77"/>
      <c r="Q830" s="77"/>
      <c r="R830" s="37"/>
      <c r="S830" s="37"/>
      <c r="T830" s="76"/>
      <c r="U830" s="76"/>
      <c r="V830" s="76"/>
      <c r="W830" s="76"/>
      <c r="X830" s="76"/>
      <c r="Y830" s="76"/>
      <c r="Z830" s="76"/>
      <c r="AA830" s="76"/>
    </row>
    <row r="831" spans="1:27" ht="15.75" customHeight="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7"/>
      <c r="P831" s="77"/>
      <c r="Q831" s="77"/>
      <c r="R831" s="37"/>
      <c r="S831" s="37"/>
      <c r="T831" s="76"/>
      <c r="U831" s="76"/>
      <c r="V831" s="76"/>
      <c r="W831" s="76"/>
      <c r="X831" s="76"/>
      <c r="Y831" s="76"/>
      <c r="Z831" s="76"/>
      <c r="AA831" s="76"/>
    </row>
    <row r="832" spans="1:27" ht="15.75" customHeight="1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7"/>
      <c r="P832" s="77"/>
      <c r="Q832" s="77"/>
      <c r="R832" s="37"/>
      <c r="S832" s="37"/>
      <c r="T832" s="76"/>
      <c r="U832" s="76"/>
      <c r="V832" s="76"/>
      <c r="W832" s="76"/>
      <c r="X832" s="76"/>
      <c r="Y832" s="76"/>
      <c r="Z832" s="76"/>
      <c r="AA832" s="76"/>
    </row>
    <row r="833" spans="1:27" ht="15.75" customHeight="1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7"/>
      <c r="P833" s="77"/>
      <c r="Q833" s="77"/>
      <c r="R833" s="37"/>
      <c r="S833" s="37"/>
      <c r="T833" s="76"/>
      <c r="U833" s="76"/>
      <c r="V833" s="76"/>
      <c r="W833" s="76"/>
      <c r="X833" s="76"/>
      <c r="Y833" s="76"/>
      <c r="Z833" s="76"/>
      <c r="AA833" s="76"/>
    </row>
    <row r="834" spans="1:27" ht="15.75" customHeight="1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7"/>
      <c r="P834" s="77"/>
      <c r="Q834" s="77"/>
      <c r="R834" s="37"/>
      <c r="S834" s="37"/>
      <c r="T834" s="76"/>
      <c r="U834" s="76"/>
      <c r="V834" s="76"/>
      <c r="W834" s="76"/>
      <c r="X834" s="76"/>
      <c r="Y834" s="76"/>
      <c r="Z834" s="76"/>
      <c r="AA834" s="76"/>
    </row>
    <row r="835" spans="1:27" ht="15.75" customHeight="1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7"/>
      <c r="P835" s="77"/>
      <c r="Q835" s="77"/>
      <c r="R835" s="37"/>
      <c r="S835" s="37"/>
      <c r="T835" s="76"/>
      <c r="U835" s="76"/>
      <c r="V835" s="76"/>
      <c r="W835" s="76"/>
      <c r="X835" s="76"/>
      <c r="Y835" s="76"/>
      <c r="Z835" s="76"/>
      <c r="AA835" s="76"/>
    </row>
    <row r="836" spans="1:27" ht="15.75" customHeight="1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7"/>
      <c r="P836" s="77"/>
      <c r="Q836" s="77"/>
      <c r="R836" s="37"/>
      <c r="S836" s="37"/>
      <c r="T836" s="76"/>
      <c r="U836" s="76"/>
      <c r="V836" s="76"/>
      <c r="W836" s="76"/>
      <c r="X836" s="76"/>
      <c r="Y836" s="76"/>
      <c r="Z836" s="76"/>
      <c r="AA836" s="76"/>
    </row>
    <row r="837" spans="1:27" ht="15.75" customHeight="1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7"/>
      <c r="P837" s="77"/>
      <c r="Q837" s="77"/>
      <c r="R837" s="37"/>
      <c r="S837" s="37"/>
      <c r="T837" s="76"/>
      <c r="U837" s="76"/>
      <c r="V837" s="76"/>
      <c r="W837" s="76"/>
      <c r="X837" s="76"/>
      <c r="Y837" s="76"/>
      <c r="Z837" s="76"/>
      <c r="AA837" s="76"/>
    </row>
    <row r="838" spans="1:27" ht="15.75" customHeight="1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7"/>
      <c r="P838" s="77"/>
      <c r="Q838" s="77"/>
      <c r="R838" s="37"/>
      <c r="S838" s="37"/>
      <c r="T838" s="76"/>
      <c r="U838" s="76"/>
      <c r="V838" s="76"/>
      <c r="W838" s="76"/>
      <c r="X838" s="76"/>
      <c r="Y838" s="76"/>
      <c r="Z838" s="76"/>
      <c r="AA838" s="76"/>
    </row>
    <row r="839" spans="1:27" ht="15.75" customHeight="1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7"/>
      <c r="P839" s="77"/>
      <c r="Q839" s="77"/>
      <c r="R839" s="37"/>
      <c r="S839" s="37"/>
      <c r="T839" s="76"/>
      <c r="U839" s="76"/>
      <c r="V839" s="76"/>
      <c r="W839" s="76"/>
      <c r="X839" s="76"/>
      <c r="Y839" s="76"/>
      <c r="Z839" s="76"/>
      <c r="AA839" s="76"/>
    </row>
    <row r="840" spans="1:27" ht="15.75" customHeight="1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7"/>
      <c r="P840" s="77"/>
      <c r="Q840" s="77"/>
      <c r="R840" s="37"/>
      <c r="S840" s="37"/>
      <c r="T840" s="76"/>
      <c r="U840" s="76"/>
      <c r="V840" s="76"/>
      <c r="W840" s="76"/>
      <c r="X840" s="76"/>
      <c r="Y840" s="76"/>
      <c r="Z840" s="76"/>
      <c r="AA840" s="76"/>
    </row>
    <row r="841" spans="1:27" ht="15.75" customHeight="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7"/>
      <c r="P841" s="77"/>
      <c r="Q841" s="77"/>
      <c r="R841" s="37"/>
      <c r="S841" s="37"/>
      <c r="T841" s="76"/>
      <c r="U841" s="76"/>
      <c r="V841" s="76"/>
      <c r="W841" s="76"/>
      <c r="X841" s="76"/>
      <c r="Y841" s="76"/>
      <c r="Z841" s="76"/>
      <c r="AA841" s="76"/>
    </row>
    <row r="842" spans="1:27" ht="15.75" customHeight="1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7"/>
      <c r="P842" s="77"/>
      <c r="Q842" s="77"/>
      <c r="R842" s="37"/>
      <c r="S842" s="37"/>
      <c r="T842" s="76"/>
      <c r="U842" s="76"/>
      <c r="V842" s="76"/>
      <c r="W842" s="76"/>
      <c r="X842" s="76"/>
      <c r="Y842" s="76"/>
      <c r="Z842" s="76"/>
      <c r="AA842" s="76"/>
    </row>
    <row r="843" spans="1:27" ht="15.75" customHeight="1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7"/>
      <c r="P843" s="77"/>
      <c r="Q843" s="77"/>
      <c r="R843" s="37"/>
      <c r="S843" s="37"/>
      <c r="T843" s="76"/>
      <c r="U843" s="76"/>
      <c r="V843" s="76"/>
      <c r="W843" s="76"/>
      <c r="X843" s="76"/>
      <c r="Y843" s="76"/>
      <c r="Z843" s="76"/>
      <c r="AA843" s="76"/>
    </row>
    <row r="844" spans="1:27" ht="15.75" customHeight="1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7"/>
      <c r="P844" s="77"/>
      <c r="Q844" s="77"/>
      <c r="R844" s="37"/>
      <c r="S844" s="37"/>
      <c r="T844" s="76"/>
      <c r="U844" s="76"/>
      <c r="V844" s="76"/>
      <c r="W844" s="76"/>
      <c r="X844" s="76"/>
      <c r="Y844" s="76"/>
      <c r="Z844" s="76"/>
      <c r="AA844" s="76"/>
    </row>
    <row r="845" spans="1:27" ht="15.75" customHeight="1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7"/>
      <c r="P845" s="77"/>
      <c r="Q845" s="77"/>
      <c r="R845" s="37"/>
      <c r="S845" s="37"/>
      <c r="T845" s="76"/>
      <c r="U845" s="76"/>
      <c r="V845" s="76"/>
      <c r="W845" s="76"/>
      <c r="X845" s="76"/>
      <c r="Y845" s="76"/>
      <c r="Z845" s="76"/>
      <c r="AA845" s="76"/>
    </row>
    <row r="846" spans="1:27" ht="15.75" customHeight="1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7"/>
      <c r="P846" s="77"/>
      <c r="Q846" s="77"/>
      <c r="R846" s="37"/>
      <c r="S846" s="37"/>
      <c r="T846" s="76"/>
      <c r="U846" s="76"/>
      <c r="V846" s="76"/>
      <c r="W846" s="76"/>
      <c r="X846" s="76"/>
      <c r="Y846" s="76"/>
      <c r="Z846" s="76"/>
      <c r="AA846" s="76"/>
    </row>
    <row r="847" spans="1:27" ht="15.75" customHeight="1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7"/>
      <c r="P847" s="77"/>
      <c r="Q847" s="77"/>
      <c r="R847" s="37"/>
      <c r="S847" s="37"/>
      <c r="T847" s="76"/>
      <c r="U847" s="76"/>
      <c r="V847" s="76"/>
      <c r="W847" s="76"/>
      <c r="X847" s="76"/>
      <c r="Y847" s="76"/>
      <c r="Z847" s="76"/>
      <c r="AA847" s="76"/>
    </row>
    <row r="848" spans="1:27" ht="15.75" customHeight="1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7"/>
      <c r="P848" s="77"/>
      <c r="Q848" s="77"/>
      <c r="R848" s="37"/>
      <c r="S848" s="37"/>
      <c r="T848" s="76"/>
      <c r="U848" s="76"/>
      <c r="V848" s="76"/>
      <c r="W848" s="76"/>
      <c r="X848" s="76"/>
      <c r="Y848" s="76"/>
      <c r="Z848" s="76"/>
      <c r="AA848" s="76"/>
    </row>
    <row r="849" spans="1:27" ht="15.75" customHeight="1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7"/>
      <c r="P849" s="77"/>
      <c r="Q849" s="77"/>
      <c r="R849" s="37"/>
      <c r="S849" s="37"/>
      <c r="T849" s="76"/>
      <c r="U849" s="76"/>
      <c r="V849" s="76"/>
      <c r="W849" s="76"/>
      <c r="X849" s="76"/>
      <c r="Y849" s="76"/>
      <c r="Z849" s="76"/>
      <c r="AA849" s="76"/>
    </row>
    <row r="850" spans="1:27" ht="15.75" customHeight="1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7"/>
      <c r="P850" s="77"/>
      <c r="Q850" s="77"/>
      <c r="R850" s="37"/>
      <c r="S850" s="37"/>
      <c r="T850" s="76"/>
      <c r="U850" s="76"/>
      <c r="V850" s="76"/>
      <c r="W850" s="76"/>
      <c r="X850" s="76"/>
      <c r="Y850" s="76"/>
      <c r="Z850" s="76"/>
      <c r="AA850" s="76"/>
    </row>
    <row r="851" spans="1:27" ht="15.75" customHeight="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7"/>
      <c r="P851" s="77"/>
      <c r="Q851" s="77"/>
      <c r="R851" s="37"/>
      <c r="S851" s="37"/>
      <c r="T851" s="76"/>
      <c r="U851" s="76"/>
      <c r="V851" s="76"/>
      <c r="W851" s="76"/>
      <c r="X851" s="76"/>
      <c r="Y851" s="76"/>
      <c r="Z851" s="76"/>
      <c r="AA851" s="76"/>
    </row>
    <row r="852" spans="1:27" ht="15.75" customHeight="1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7"/>
      <c r="P852" s="77"/>
      <c r="Q852" s="77"/>
      <c r="R852" s="37"/>
      <c r="S852" s="37"/>
      <c r="T852" s="76"/>
      <c r="U852" s="76"/>
      <c r="V852" s="76"/>
      <c r="W852" s="76"/>
      <c r="X852" s="76"/>
      <c r="Y852" s="76"/>
      <c r="Z852" s="76"/>
      <c r="AA852" s="76"/>
    </row>
    <row r="853" spans="1:27" ht="15.75" customHeight="1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7"/>
      <c r="P853" s="77"/>
      <c r="Q853" s="77"/>
      <c r="R853" s="37"/>
      <c r="S853" s="37"/>
      <c r="T853" s="76"/>
      <c r="U853" s="76"/>
      <c r="V853" s="76"/>
      <c r="W853" s="76"/>
      <c r="X853" s="76"/>
      <c r="Y853" s="76"/>
      <c r="Z853" s="76"/>
      <c r="AA853" s="76"/>
    </row>
    <row r="854" spans="1:27" ht="15.75" customHeight="1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7"/>
      <c r="P854" s="77"/>
      <c r="Q854" s="77"/>
      <c r="R854" s="37"/>
      <c r="S854" s="37"/>
      <c r="T854" s="76"/>
      <c r="U854" s="76"/>
      <c r="V854" s="76"/>
      <c r="W854" s="76"/>
      <c r="X854" s="76"/>
      <c r="Y854" s="76"/>
      <c r="Z854" s="76"/>
      <c r="AA854" s="76"/>
    </row>
    <row r="855" spans="1:27" ht="15.75" customHeight="1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7"/>
      <c r="P855" s="77"/>
      <c r="Q855" s="77"/>
      <c r="R855" s="37"/>
      <c r="S855" s="37"/>
      <c r="T855" s="76"/>
      <c r="U855" s="76"/>
      <c r="V855" s="76"/>
      <c r="W855" s="76"/>
      <c r="X855" s="76"/>
      <c r="Y855" s="76"/>
      <c r="Z855" s="76"/>
      <c r="AA855" s="76"/>
    </row>
    <row r="856" spans="1:27" ht="15.75" customHeight="1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7"/>
      <c r="P856" s="77"/>
      <c r="Q856" s="77"/>
      <c r="R856" s="37"/>
      <c r="S856" s="37"/>
      <c r="T856" s="76"/>
      <c r="U856" s="76"/>
      <c r="V856" s="76"/>
      <c r="W856" s="76"/>
      <c r="X856" s="76"/>
      <c r="Y856" s="76"/>
      <c r="Z856" s="76"/>
      <c r="AA856" s="76"/>
    </row>
    <row r="857" spans="1:27" ht="15.75" customHeight="1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7"/>
      <c r="P857" s="77"/>
      <c r="Q857" s="77"/>
      <c r="R857" s="37"/>
      <c r="S857" s="37"/>
      <c r="T857" s="76"/>
      <c r="U857" s="76"/>
      <c r="V857" s="76"/>
      <c r="W857" s="76"/>
      <c r="X857" s="76"/>
      <c r="Y857" s="76"/>
      <c r="Z857" s="76"/>
      <c r="AA857" s="76"/>
    </row>
    <row r="858" spans="1:27" ht="15.75" customHeight="1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7"/>
      <c r="P858" s="77"/>
      <c r="Q858" s="77"/>
      <c r="R858" s="37"/>
      <c r="S858" s="37"/>
      <c r="T858" s="76"/>
      <c r="U858" s="76"/>
      <c r="V858" s="76"/>
      <c r="W858" s="76"/>
      <c r="X858" s="76"/>
      <c r="Y858" s="76"/>
      <c r="Z858" s="76"/>
      <c r="AA858" s="76"/>
    </row>
    <row r="859" spans="1:27" ht="15.75" customHeight="1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7"/>
      <c r="P859" s="77"/>
      <c r="Q859" s="77"/>
      <c r="R859" s="37"/>
      <c r="S859" s="37"/>
      <c r="T859" s="76"/>
      <c r="U859" s="76"/>
      <c r="V859" s="76"/>
      <c r="W859" s="76"/>
      <c r="X859" s="76"/>
      <c r="Y859" s="76"/>
      <c r="Z859" s="76"/>
      <c r="AA859" s="76"/>
    </row>
    <row r="860" spans="1:27" ht="15.75" customHeight="1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7"/>
      <c r="P860" s="77"/>
      <c r="Q860" s="77"/>
      <c r="R860" s="37"/>
      <c r="S860" s="37"/>
      <c r="T860" s="76"/>
      <c r="U860" s="76"/>
      <c r="V860" s="76"/>
      <c r="W860" s="76"/>
      <c r="X860" s="76"/>
      <c r="Y860" s="76"/>
      <c r="Z860" s="76"/>
      <c r="AA860" s="76"/>
    </row>
    <row r="861" spans="1:27" ht="15.75" customHeight="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7"/>
      <c r="P861" s="77"/>
      <c r="Q861" s="77"/>
      <c r="R861" s="37"/>
      <c r="S861" s="37"/>
      <c r="T861" s="76"/>
      <c r="U861" s="76"/>
      <c r="V861" s="76"/>
      <c r="W861" s="76"/>
      <c r="X861" s="76"/>
      <c r="Y861" s="76"/>
      <c r="Z861" s="76"/>
      <c r="AA861" s="76"/>
    </row>
    <row r="862" spans="1:27" ht="15.75" customHeight="1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7"/>
      <c r="P862" s="77"/>
      <c r="Q862" s="77"/>
      <c r="R862" s="37"/>
      <c r="S862" s="37"/>
      <c r="T862" s="76"/>
      <c r="U862" s="76"/>
      <c r="V862" s="76"/>
      <c r="W862" s="76"/>
      <c r="X862" s="76"/>
      <c r="Y862" s="76"/>
      <c r="Z862" s="76"/>
      <c r="AA862" s="76"/>
    </row>
    <row r="863" spans="1:27" ht="15.75" customHeight="1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7"/>
      <c r="P863" s="77"/>
      <c r="Q863" s="77"/>
      <c r="R863" s="37"/>
      <c r="S863" s="37"/>
      <c r="T863" s="76"/>
      <c r="U863" s="76"/>
      <c r="V863" s="76"/>
      <c r="W863" s="76"/>
      <c r="X863" s="76"/>
      <c r="Y863" s="76"/>
      <c r="Z863" s="76"/>
      <c r="AA863" s="76"/>
    </row>
    <row r="864" spans="1:27" ht="15.75" customHeight="1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7"/>
      <c r="P864" s="77"/>
      <c r="Q864" s="77"/>
      <c r="R864" s="37"/>
      <c r="S864" s="37"/>
      <c r="T864" s="76"/>
      <c r="U864" s="76"/>
      <c r="V864" s="76"/>
      <c r="W864" s="76"/>
      <c r="X864" s="76"/>
      <c r="Y864" s="76"/>
      <c r="Z864" s="76"/>
      <c r="AA864" s="76"/>
    </row>
    <row r="865" spans="1:27" ht="15.75" customHeight="1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7"/>
      <c r="P865" s="77"/>
      <c r="Q865" s="77"/>
      <c r="R865" s="37"/>
      <c r="S865" s="37"/>
      <c r="T865" s="76"/>
      <c r="U865" s="76"/>
      <c r="V865" s="76"/>
      <c r="W865" s="76"/>
      <c r="X865" s="76"/>
      <c r="Y865" s="76"/>
      <c r="Z865" s="76"/>
      <c r="AA865" s="76"/>
    </row>
    <row r="866" spans="1:27" ht="15.75" customHeight="1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7"/>
      <c r="P866" s="77"/>
      <c r="Q866" s="77"/>
      <c r="R866" s="37"/>
      <c r="S866" s="37"/>
      <c r="T866" s="76"/>
      <c r="U866" s="76"/>
      <c r="V866" s="76"/>
      <c r="W866" s="76"/>
      <c r="X866" s="76"/>
      <c r="Y866" s="76"/>
      <c r="Z866" s="76"/>
      <c r="AA866" s="76"/>
    </row>
    <row r="867" spans="1:27" ht="15.75" customHeight="1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7"/>
      <c r="P867" s="77"/>
      <c r="Q867" s="77"/>
      <c r="R867" s="37"/>
      <c r="S867" s="37"/>
      <c r="T867" s="76"/>
      <c r="U867" s="76"/>
      <c r="V867" s="76"/>
      <c r="W867" s="76"/>
      <c r="X867" s="76"/>
      <c r="Y867" s="76"/>
      <c r="Z867" s="76"/>
      <c r="AA867" s="76"/>
    </row>
    <row r="868" spans="1:27" ht="15.75" customHeight="1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7"/>
      <c r="P868" s="77"/>
      <c r="Q868" s="77"/>
      <c r="R868" s="37"/>
      <c r="S868" s="37"/>
      <c r="T868" s="76"/>
      <c r="U868" s="76"/>
      <c r="V868" s="76"/>
      <c r="W868" s="76"/>
      <c r="X868" s="76"/>
      <c r="Y868" s="76"/>
      <c r="Z868" s="76"/>
      <c r="AA868" s="76"/>
    </row>
    <row r="869" spans="1:27" ht="15.75" customHeight="1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7"/>
      <c r="P869" s="77"/>
      <c r="Q869" s="77"/>
      <c r="R869" s="37"/>
      <c r="S869" s="37"/>
      <c r="T869" s="76"/>
      <c r="U869" s="76"/>
      <c r="V869" s="76"/>
      <c r="W869" s="76"/>
      <c r="X869" s="76"/>
      <c r="Y869" s="76"/>
      <c r="Z869" s="76"/>
      <c r="AA869" s="76"/>
    </row>
    <row r="870" spans="1:27" ht="15.75" customHeight="1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7"/>
      <c r="P870" s="77"/>
      <c r="Q870" s="77"/>
      <c r="R870" s="37"/>
      <c r="S870" s="37"/>
      <c r="T870" s="76"/>
      <c r="U870" s="76"/>
      <c r="V870" s="76"/>
      <c r="W870" s="76"/>
      <c r="X870" s="76"/>
      <c r="Y870" s="76"/>
      <c r="Z870" s="76"/>
      <c r="AA870" s="76"/>
    </row>
    <row r="871" spans="1:27" ht="15.75" customHeight="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7"/>
      <c r="P871" s="77"/>
      <c r="Q871" s="77"/>
      <c r="R871" s="37"/>
      <c r="S871" s="37"/>
      <c r="T871" s="76"/>
      <c r="U871" s="76"/>
      <c r="V871" s="76"/>
      <c r="W871" s="76"/>
      <c r="X871" s="76"/>
      <c r="Y871" s="76"/>
      <c r="Z871" s="76"/>
      <c r="AA871" s="76"/>
    </row>
    <row r="872" spans="1:27" ht="15.75" customHeight="1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7"/>
      <c r="P872" s="77"/>
      <c r="Q872" s="77"/>
      <c r="R872" s="37"/>
      <c r="S872" s="37"/>
      <c r="T872" s="76"/>
      <c r="U872" s="76"/>
      <c r="V872" s="76"/>
      <c r="W872" s="76"/>
      <c r="X872" s="76"/>
      <c r="Y872" s="76"/>
      <c r="Z872" s="76"/>
      <c r="AA872" s="76"/>
    </row>
    <row r="873" spans="1:27" ht="15.75" customHeight="1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7"/>
      <c r="P873" s="77"/>
      <c r="Q873" s="77"/>
      <c r="R873" s="37"/>
      <c r="S873" s="37"/>
      <c r="T873" s="76"/>
      <c r="U873" s="76"/>
      <c r="V873" s="76"/>
      <c r="W873" s="76"/>
      <c r="X873" s="76"/>
      <c r="Y873" s="76"/>
      <c r="Z873" s="76"/>
      <c r="AA873" s="76"/>
    </row>
    <row r="874" spans="1:27" ht="15.75" customHeight="1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7"/>
      <c r="P874" s="77"/>
      <c r="Q874" s="77"/>
      <c r="R874" s="37"/>
      <c r="S874" s="37"/>
      <c r="T874" s="76"/>
      <c r="U874" s="76"/>
      <c r="V874" s="76"/>
      <c r="W874" s="76"/>
      <c r="X874" s="76"/>
      <c r="Y874" s="76"/>
      <c r="Z874" s="76"/>
      <c r="AA874" s="76"/>
    </row>
    <row r="875" spans="1:27" ht="15.75" customHeight="1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7"/>
      <c r="P875" s="77"/>
      <c r="Q875" s="77"/>
      <c r="R875" s="37"/>
      <c r="S875" s="37"/>
      <c r="T875" s="76"/>
      <c r="U875" s="76"/>
      <c r="V875" s="76"/>
      <c r="W875" s="76"/>
      <c r="X875" s="76"/>
      <c r="Y875" s="76"/>
      <c r="Z875" s="76"/>
      <c r="AA875" s="76"/>
    </row>
    <row r="876" spans="1:27" ht="15.75" customHeight="1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7"/>
      <c r="P876" s="77"/>
      <c r="Q876" s="77"/>
      <c r="R876" s="37"/>
      <c r="S876" s="37"/>
      <c r="T876" s="76"/>
      <c r="U876" s="76"/>
      <c r="V876" s="76"/>
      <c r="W876" s="76"/>
      <c r="X876" s="76"/>
      <c r="Y876" s="76"/>
      <c r="Z876" s="76"/>
      <c r="AA876" s="76"/>
    </row>
    <row r="877" spans="1:27" ht="15.75" customHeight="1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7"/>
      <c r="P877" s="77"/>
      <c r="Q877" s="77"/>
      <c r="R877" s="37"/>
      <c r="S877" s="37"/>
      <c r="T877" s="76"/>
      <c r="U877" s="76"/>
      <c r="V877" s="76"/>
      <c r="W877" s="76"/>
      <c r="X877" s="76"/>
      <c r="Y877" s="76"/>
      <c r="Z877" s="76"/>
      <c r="AA877" s="76"/>
    </row>
    <row r="878" spans="1:27" ht="15.75" customHeight="1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7"/>
      <c r="P878" s="77"/>
      <c r="Q878" s="77"/>
      <c r="R878" s="37"/>
      <c r="S878" s="37"/>
      <c r="T878" s="76"/>
      <c r="U878" s="76"/>
      <c r="V878" s="76"/>
      <c r="W878" s="76"/>
      <c r="X878" s="76"/>
      <c r="Y878" s="76"/>
      <c r="Z878" s="76"/>
      <c r="AA878" s="76"/>
    </row>
    <row r="879" spans="1:27" ht="15.75" customHeight="1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7"/>
      <c r="P879" s="77"/>
      <c r="Q879" s="77"/>
      <c r="R879" s="37"/>
      <c r="S879" s="37"/>
      <c r="T879" s="76"/>
      <c r="U879" s="76"/>
      <c r="V879" s="76"/>
      <c r="W879" s="76"/>
      <c r="X879" s="76"/>
      <c r="Y879" s="76"/>
      <c r="Z879" s="76"/>
      <c r="AA879" s="76"/>
    </row>
    <row r="880" spans="1:27" ht="15.75" customHeight="1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7"/>
      <c r="P880" s="77"/>
      <c r="Q880" s="77"/>
      <c r="R880" s="37"/>
      <c r="S880" s="37"/>
      <c r="T880" s="76"/>
      <c r="U880" s="76"/>
      <c r="V880" s="76"/>
      <c r="W880" s="76"/>
      <c r="X880" s="76"/>
      <c r="Y880" s="76"/>
      <c r="Z880" s="76"/>
      <c r="AA880" s="76"/>
    </row>
    <row r="881" spans="1:27" ht="15.75" customHeight="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7"/>
      <c r="P881" s="77"/>
      <c r="Q881" s="77"/>
      <c r="R881" s="37"/>
      <c r="S881" s="37"/>
      <c r="T881" s="76"/>
      <c r="U881" s="76"/>
      <c r="V881" s="76"/>
      <c r="W881" s="76"/>
      <c r="X881" s="76"/>
      <c r="Y881" s="76"/>
      <c r="Z881" s="76"/>
      <c r="AA881" s="76"/>
    </row>
    <row r="882" spans="1:27" ht="15.75" customHeight="1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7"/>
      <c r="P882" s="77"/>
      <c r="Q882" s="77"/>
      <c r="R882" s="37"/>
      <c r="S882" s="37"/>
      <c r="T882" s="76"/>
      <c r="U882" s="76"/>
      <c r="V882" s="76"/>
      <c r="W882" s="76"/>
      <c r="X882" s="76"/>
      <c r="Y882" s="76"/>
      <c r="Z882" s="76"/>
      <c r="AA882" s="76"/>
    </row>
    <row r="883" spans="1:27" ht="15.75" customHeight="1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7"/>
      <c r="P883" s="77"/>
      <c r="Q883" s="77"/>
      <c r="R883" s="37"/>
      <c r="S883" s="37"/>
      <c r="T883" s="76"/>
      <c r="U883" s="76"/>
      <c r="V883" s="76"/>
      <c r="W883" s="76"/>
      <c r="X883" s="76"/>
      <c r="Y883" s="76"/>
      <c r="Z883" s="76"/>
      <c r="AA883" s="76"/>
    </row>
    <row r="884" spans="1:27" ht="15.75" customHeight="1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7"/>
      <c r="P884" s="77"/>
      <c r="Q884" s="77"/>
      <c r="R884" s="37"/>
      <c r="S884" s="37"/>
      <c r="T884" s="76"/>
      <c r="U884" s="76"/>
      <c r="V884" s="76"/>
      <c r="W884" s="76"/>
      <c r="X884" s="76"/>
      <c r="Y884" s="76"/>
      <c r="Z884" s="76"/>
      <c r="AA884" s="76"/>
    </row>
    <row r="885" spans="1:27" ht="15.75" customHeight="1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7"/>
      <c r="P885" s="77"/>
      <c r="Q885" s="77"/>
      <c r="R885" s="37"/>
      <c r="S885" s="37"/>
      <c r="T885" s="76"/>
      <c r="U885" s="76"/>
      <c r="V885" s="76"/>
      <c r="W885" s="76"/>
      <c r="X885" s="76"/>
      <c r="Y885" s="76"/>
      <c r="Z885" s="76"/>
      <c r="AA885" s="76"/>
    </row>
    <row r="886" spans="1:27" ht="15.75" customHeight="1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7"/>
      <c r="P886" s="77"/>
      <c r="Q886" s="77"/>
      <c r="R886" s="37"/>
      <c r="S886" s="37"/>
      <c r="T886" s="76"/>
      <c r="U886" s="76"/>
      <c r="V886" s="76"/>
      <c r="W886" s="76"/>
      <c r="X886" s="76"/>
      <c r="Y886" s="76"/>
      <c r="Z886" s="76"/>
      <c r="AA886" s="76"/>
    </row>
    <row r="887" spans="1:27" ht="15.75" customHeight="1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7"/>
      <c r="P887" s="77"/>
      <c r="Q887" s="77"/>
      <c r="R887" s="37"/>
      <c r="S887" s="37"/>
      <c r="T887" s="76"/>
      <c r="U887" s="76"/>
      <c r="V887" s="76"/>
      <c r="W887" s="76"/>
      <c r="X887" s="76"/>
      <c r="Y887" s="76"/>
      <c r="Z887" s="76"/>
      <c r="AA887" s="76"/>
    </row>
    <row r="888" spans="1:27" ht="15.75" customHeight="1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7"/>
      <c r="P888" s="77"/>
      <c r="Q888" s="77"/>
      <c r="R888" s="37"/>
      <c r="S888" s="37"/>
      <c r="T888" s="76"/>
      <c r="U888" s="76"/>
      <c r="V888" s="76"/>
      <c r="W888" s="76"/>
      <c r="X888" s="76"/>
      <c r="Y888" s="76"/>
      <c r="Z888" s="76"/>
      <c r="AA888" s="76"/>
    </row>
    <row r="889" spans="1:27" ht="15.75" customHeight="1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7"/>
      <c r="P889" s="77"/>
      <c r="Q889" s="77"/>
      <c r="R889" s="37"/>
      <c r="S889" s="37"/>
      <c r="T889" s="76"/>
      <c r="U889" s="76"/>
      <c r="V889" s="76"/>
      <c r="W889" s="76"/>
      <c r="X889" s="76"/>
      <c r="Y889" s="76"/>
      <c r="Z889" s="76"/>
      <c r="AA889" s="76"/>
    </row>
    <row r="890" spans="1:27" ht="15.75" customHeight="1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7"/>
      <c r="P890" s="77"/>
      <c r="Q890" s="77"/>
      <c r="R890" s="37"/>
      <c r="S890" s="37"/>
      <c r="T890" s="76"/>
      <c r="U890" s="76"/>
      <c r="V890" s="76"/>
      <c r="W890" s="76"/>
      <c r="X890" s="76"/>
      <c r="Y890" s="76"/>
      <c r="Z890" s="76"/>
      <c r="AA890" s="76"/>
    </row>
    <row r="891" spans="1:27" ht="15.75" customHeight="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7"/>
      <c r="P891" s="77"/>
      <c r="Q891" s="77"/>
      <c r="R891" s="37"/>
      <c r="S891" s="37"/>
      <c r="T891" s="76"/>
      <c r="U891" s="76"/>
      <c r="V891" s="76"/>
      <c r="W891" s="76"/>
      <c r="X891" s="76"/>
      <c r="Y891" s="76"/>
      <c r="Z891" s="76"/>
      <c r="AA891" s="76"/>
    </row>
    <row r="892" spans="1:27" ht="15.75" customHeight="1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7"/>
      <c r="P892" s="77"/>
      <c r="Q892" s="77"/>
      <c r="R892" s="37"/>
      <c r="S892" s="37"/>
      <c r="T892" s="76"/>
      <c r="U892" s="76"/>
      <c r="V892" s="76"/>
      <c r="W892" s="76"/>
      <c r="X892" s="76"/>
      <c r="Y892" s="76"/>
      <c r="Z892" s="76"/>
      <c r="AA892" s="76"/>
    </row>
    <row r="893" spans="1:27" ht="15.75" customHeight="1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7"/>
      <c r="P893" s="77"/>
      <c r="Q893" s="77"/>
      <c r="R893" s="37"/>
      <c r="S893" s="37"/>
      <c r="T893" s="76"/>
      <c r="U893" s="76"/>
      <c r="V893" s="76"/>
      <c r="W893" s="76"/>
      <c r="X893" s="76"/>
      <c r="Y893" s="76"/>
      <c r="Z893" s="76"/>
      <c r="AA893" s="76"/>
    </row>
    <row r="894" spans="1:27" ht="15.75" customHeight="1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7"/>
      <c r="P894" s="77"/>
      <c r="Q894" s="77"/>
      <c r="R894" s="37"/>
      <c r="S894" s="37"/>
      <c r="T894" s="76"/>
      <c r="U894" s="76"/>
      <c r="V894" s="76"/>
      <c r="W894" s="76"/>
      <c r="X894" s="76"/>
      <c r="Y894" s="76"/>
      <c r="Z894" s="76"/>
      <c r="AA894" s="76"/>
    </row>
    <row r="895" spans="1:27" ht="15.75" customHeight="1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7"/>
      <c r="P895" s="77"/>
      <c r="Q895" s="77"/>
      <c r="R895" s="37"/>
      <c r="S895" s="37"/>
      <c r="T895" s="76"/>
      <c r="U895" s="76"/>
      <c r="V895" s="76"/>
      <c r="W895" s="76"/>
      <c r="X895" s="76"/>
      <c r="Y895" s="76"/>
      <c r="Z895" s="76"/>
      <c r="AA895" s="76"/>
    </row>
    <row r="896" spans="1:27" ht="15.75" customHeight="1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7"/>
      <c r="P896" s="77"/>
      <c r="Q896" s="77"/>
      <c r="R896" s="37"/>
      <c r="S896" s="37"/>
      <c r="T896" s="76"/>
      <c r="U896" s="76"/>
      <c r="V896" s="76"/>
      <c r="W896" s="76"/>
      <c r="X896" s="76"/>
      <c r="Y896" s="76"/>
      <c r="Z896" s="76"/>
      <c r="AA896" s="76"/>
    </row>
    <row r="897" spans="1:27" ht="15.75" customHeight="1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7"/>
      <c r="P897" s="77"/>
      <c r="Q897" s="77"/>
      <c r="R897" s="37"/>
      <c r="S897" s="37"/>
      <c r="T897" s="76"/>
      <c r="U897" s="76"/>
      <c r="V897" s="76"/>
      <c r="W897" s="76"/>
      <c r="X897" s="76"/>
      <c r="Y897" s="76"/>
      <c r="Z897" s="76"/>
      <c r="AA897" s="76"/>
    </row>
    <row r="898" spans="1:27" ht="15.75" customHeight="1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7"/>
      <c r="P898" s="77"/>
      <c r="Q898" s="77"/>
      <c r="R898" s="37"/>
      <c r="S898" s="37"/>
      <c r="T898" s="76"/>
      <c r="U898" s="76"/>
      <c r="V898" s="76"/>
      <c r="W898" s="76"/>
      <c r="X898" s="76"/>
      <c r="Y898" s="76"/>
      <c r="Z898" s="76"/>
      <c r="AA898" s="76"/>
    </row>
    <row r="899" spans="1:27" ht="15.75" customHeight="1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7"/>
      <c r="P899" s="77"/>
      <c r="Q899" s="77"/>
      <c r="R899" s="37"/>
      <c r="S899" s="37"/>
      <c r="T899" s="76"/>
      <c r="U899" s="76"/>
      <c r="V899" s="76"/>
      <c r="W899" s="76"/>
      <c r="X899" s="76"/>
      <c r="Y899" s="76"/>
      <c r="Z899" s="76"/>
      <c r="AA899" s="76"/>
    </row>
    <row r="900" spans="1:27" ht="15.75" customHeight="1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7"/>
      <c r="P900" s="77"/>
      <c r="Q900" s="77"/>
      <c r="R900" s="37"/>
      <c r="S900" s="37"/>
      <c r="T900" s="76"/>
      <c r="U900" s="76"/>
      <c r="V900" s="76"/>
      <c r="W900" s="76"/>
      <c r="X900" s="76"/>
      <c r="Y900" s="76"/>
      <c r="Z900" s="76"/>
      <c r="AA900" s="76"/>
    </row>
    <row r="901" spans="1:27" ht="15.75" customHeight="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7"/>
      <c r="P901" s="77"/>
      <c r="Q901" s="77"/>
      <c r="R901" s="37"/>
      <c r="S901" s="37"/>
      <c r="T901" s="76"/>
      <c r="U901" s="76"/>
      <c r="V901" s="76"/>
      <c r="W901" s="76"/>
      <c r="X901" s="76"/>
      <c r="Y901" s="76"/>
      <c r="Z901" s="76"/>
      <c r="AA901" s="76"/>
    </row>
    <row r="902" spans="1:27" ht="15.75" customHeight="1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7"/>
      <c r="P902" s="77"/>
      <c r="Q902" s="77"/>
      <c r="R902" s="37"/>
      <c r="S902" s="37"/>
      <c r="T902" s="76"/>
      <c r="U902" s="76"/>
      <c r="V902" s="76"/>
      <c r="W902" s="76"/>
      <c r="X902" s="76"/>
      <c r="Y902" s="76"/>
      <c r="Z902" s="76"/>
      <c r="AA902" s="76"/>
    </row>
    <row r="903" spans="1:27" ht="15.75" customHeight="1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7"/>
      <c r="P903" s="77"/>
      <c r="Q903" s="77"/>
      <c r="R903" s="37"/>
      <c r="S903" s="37"/>
      <c r="T903" s="76"/>
      <c r="U903" s="76"/>
      <c r="V903" s="76"/>
      <c r="W903" s="76"/>
      <c r="X903" s="76"/>
      <c r="Y903" s="76"/>
      <c r="Z903" s="76"/>
      <c r="AA903" s="76"/>
    </row>
    <row r="904" spans="1:27" ht="15.75" customHeight="1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7"/>
      <c r="P904" s="77"/>
      <c r="Q904" s="77"/>
      <c r="R904" s="37"/>
      <c r="S904" s="37"/>
      <c r="T904" s="76"/>
      <c r="U904" s="76"/>
      <c r="V904" s="76"/>
      <c r="W904" s="76"/>
      <c r="X904" s="76"/>
      <c r="Y904" s="76"/>
      <c r="Z904" s="76"/>
      <c r="AA904" s="76"/>
    </row>
    <row r="905" spans="1:27" ht="15.75" customHeight="1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7"/>
      <c r="P905" s="77"/>
      <c r="Q905" s="77"/>
      <c r="R905" s="37"/>
      <c r="S905" s="37"/>
      <c r="T905" s="76"/>
      <c r="U905" s="76"/>
      <c r="V905" s="76"/>
      <c r="W905" s="76"/>
      <c r="X905" s="76"/>
      <c r="Y905" s="76"/>
      <c r="Z905" s="76"/>
      <c r="AA905" s="76"/>
    </row>
    <row r="906" spans="1:27" ht="15.75" customHeight="1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7"/>
      <c r="P906" s="77"/>
      <c r="Q906" s="77"/>
      <c r="R906" s="37"/>
      <c r="S906" s="37"/>
      <c r="T906" s="76"/>
      <c r="U906" s="76"/>
      <c r="V906" s="76"/>
      <c r="W906" s="76"/>
      <c r="X906" s="76"/>
      <c r="Y906" s="76"/>
      <c r="Z906" s="76"/>
      <c r="AA906" s="76"/>
    </row>
    <row r="907" spans="1:27" ht="15.75" customHeight="1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7"/>
      <c r="P907" s="77"/>
      <c r="Q907" s="77"/>
      <c r="R907" s="37"/>
      <c r="S907" s="37"/>
      <c r="T907" s="76"/>
      <c r="U907" s="76"/>
      <c r="V907" s="76"/>
      <c r="W907" s="76"/>
      <c r="X907" s="76"/>
      <c r="Y907" s="76"/>
      <c r="Z907" s="76"/>
      <c r="AA907" s="76"/>
    </row>
    <row r="908" spans="1:27" ht="15.75" customHeight="1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7"/>
      <c r="P908" s="77"/>
      <c r="Q908" s="77"/>
      <c r="R908" s="37"/>
      <c r="S908" s="37"/>
      <c r="T908" s="76"/>
      <c r="U908" s="76"/>
      <c r="V908" s="76"/>
      <c r="W908" s="76"/>
      <c r="X908" s="76"/>
      <c r="Y908" s="76"/>
      <c r="Z908" s="76"/>
      <c r="AA908" s="76"/>
    </row>
    <row r="909" spans="1:27" ht="15.75" customHeight="1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7"/>
      <c r="P909" s="77"/>
      <c r="Q909" s="77"/>
      <c r="R909" s="37"/>
      <c r="S909" s="37"/>
      <c r="T909" s="76"/>
      <c r="U909" s="76"/>
      <c r="V909" s="76"/>
      <c r="W909" s="76"/>
      <c r="X909" s="76"/>
      <c r="Y909" s="76"/>
      <c r="Z909" s="76"/>
      <c r="AA909" s="76"/>
    </row>
    <row r="910" spans="1:27" ht="15.75" customHeight="1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7"/>
      <c r="P910" s="77"/>
      <c r="Q910" s="77"/>
      <c r="R910" s="37"/>
      <c r="S910" s="37"/>
      <c r="T910" s="76"/>
      <c r="U910" s="76"/>
      <c r="V910" s="76"/>
      <c r="W910" s="76"/>
      <c r="X910" s="76"/>
      <c r="Y910" s="76"/>
      <c r="Z910" s="76"/>
      <c r="AA910" s="76"/>
    </row>
    <row r="911" spans="1:27" ht="15.75" customHeight="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7"/>
      <c r="P911" s="77"/>
      <c r="Q911" s="77"/>
      <c r="R911" s="37"/>
      <c r="S911" s="37"/>
      <c r="T911" s="76"/>
      <c r="U911" s="76"/>
      <c r="V911" s="76"/>
      <c r="W911" s="76"/>
      <c r="X911" s="76"/>
      <c r="Y911" s="76"/>
      <c r="Z911" s="76"/>
      <c r="AA911" s="76"/>
    </row>
    <row r="912" spans="1:27" ht="15.75" customHeight="1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7"/>
      <c r="P912" s="77"/>
      <c r="Q912" s="77"/>
      <c r="R912" s="37"/>
      <c r="S912" s="37"/>
      <c r="T912" s="76"/>
      <c r="U912" s="76"/>
      <c r="V912" s="76"/>
      <c r="W912" s="76"/>
      <c r="X912" s="76"/>
      <c r="Y912" s="76"/>
      <c r="Z912" s="76"/>
      <c r="AA912" s="76"/>
    </row>
    <row r="913" spans="1:27" ht="15.75" customHeight="1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7"/>
      <c r="P913" s="77"/>
      <c r="Q913" s="77"/>
      <c r="R913" s="37"/>
      <c r="S913" s="37"/>
      <c r="T913" s="76"/>
      <c r="U913" s="76"/>
      <c r="V913" s="76"/>
      <c r="W913" s="76"/>
      <c r="X913" s="76"/>
      <c r="Y913" s="76"/>
      <c r="Z913" s="76"/>
      <c r="AA913" s="76"/>
    </row>
    <row r="914" spans="1:27" ht="15.75" customHeight="1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7"/>
      <c r="P914" s="77"/>
      <c r="Q914" s="77"/>
      <c r="R914" s="37"/>
      <c r="S914" s="37"/>
      <c r="T914" s="76"/>
      <c r="U914" s="76"/>
      <c r="V914" s="76"/>
      <c r="W914" s="76"/>
      <c r="X914" s="76"/>
      <c r="Y914" s="76"/>
      <c r="Z914" s="76"/>
      <c r="AA914" s="76"/>
    </row>
    <row r="915" spans="1:27" ht="15.75" customHeight="1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7"/>
      <c r="P915" s="77"/>
      <c r="Q915" s="77"/>
      <c r="R915" s="37"/>
      <c r="S915" s="37"/>
      <c r="T915" s="76"/>
      <c r="U915" s="76"/>
      <c r="V915" s="76"/>
      <c r="W915" s="76"/>
      <c r="X915" s="76"/>
      <c r="Y915" s="76"/>
      <c r="Z915" s="76"/>
      <c r="AA915" s="76"/>
    </row>
    <row r="916" spans="1:27" ht="15.75" customHeight="1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7"/>
      <c r="P916" s="77"/>
      <c r="Q916" s="77"/>
      <c r="R916" s="37"/>
      <c r="S916" s="37"/>
      <c r="T916" s="76"/>
      <c r="U916" s="76"/>
      <c r="V916" s="76"/>
      <c r="W916" s="76"/>
      <c r="X916" s="76"/>
      <c r="Y916" s="76"/>
      <c r="Z916" s="76"/>
      <c r="AA916" s="76"/>
    </row>
    <row r="917" spans="1:27" ht="15.75" customHeight="1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7"/>
      <c r="P917" s="77"/>
      <c r="Q917" s="77"/>
      <c r="R917" s="37"/>
      <c r="S917" s="37"/>
      <c r="T917" s="76"/>
      <c r="U917" s="76"/>
      <c r="V917" s="76"/>
      <c r="W917" s="76"/>
      <c r="X917" s="76"/>
      <c r="Y917" s="76"/>
      <c r="Z917" s="76"/>
      <c r="AA917" s="76"/>
    </row>
    <row r="918" spans="1:27" ht="15.75" customHeight="1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7"/>
      <c r="P918" s="77"/>
      <c r="Q918" s="77"/>
      <c r="R918" s="37"/>
      <c r="S918" s="37"/>
      <c r="T918" s="76"/>
      <c r="U918" s="76"/>
      <c r="V918" s="76"/>
      <c r="W918" s="76"/>
      <c r="X918" s="76"/>
      <c r="Y918" s="76"/>
      <c r="Z918" s="76"/>
      <c r="AA918" s="76"/>
    </row>
    <row r="919" spans="1:27" ht="15.75" customHeight="1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7"/>
      <c r="P919" s="77"/>
      <c r="Q919" s="77"/>
      <c r="R919" s="37"/>
      <c r="S919" s="37"/>
      <c r="T919" s="76"/>
      <c r="U919" s="76"/>
      <c r="V919" s="76"/>
      <c r="W919" s="76"/>
      <c r="X919" s="76"/>
      <c r="Y919" s="76"/>
      <c r="Z919" s="76"/>
      <c r="AA919" s="76"/>
    </row>
    <row r="920" spans="1:27" ht="15.75" customHeight="1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7"/>
      <c r="P920" s="77"/>
      <c r="Q920" s="77"/>
      <c r="R920" s="37"/>
      <c r="S920" s="37"/>
      <c r="T920" s="76"/>
      <c r="U920" s="76"/>
      <c r="V920" s="76"/>
      <c r="W920" s="76"/>
      <c r="X920" s="76"/>
      <c r="Y920" s="76"/>
      <c r="Z920" s="76"/>
      <c r="AA920" s="76"/>
    </row>
    <row r="921" spans="1:27" ht="15.75" customHeight="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7"/>
      <c r="P921" s="77"/>
      <c r="Q921" s="77"/>
      <c r="R921" s="37"/>
      <c r="S921" s="37"/>
      <c r="T921" s="76"/>
      <c r="U921" s="76"/>
      <c r="V921" s="76"/>
      <c r="W921" s="76"/>
      <c r="X921" s="76"/>
      <c r="Y921" s="76"/>
      <c r="Z921" s="76"/>
      <c r="AA921" s="76"/>
    </row>
    <row r="922" spans="1:27" ht="15.75" customHeight="1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7"/>
      <c r="P922" s="77"/>
      <c r="Q922" s="77"/>
      <c r="R922" s="37"/>
      <c r="S922" s="37"/>
      <c r="T922" s="76"/>
      <c r="U922" s="76"/>
      <c r="V922" s="76"/>
      <c r="W922" s="76"/>
      <c r="X922" s="76"/>
      <c r="Y922" s="76"/>
      <c r="Z922" s="76"/>
      <c r="AA922" s="76"/>
    </row>
    <row r="923" spans="1:27" ht="15.75" customHeight="1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7"/>
      <c r="P923" s="77"/>
      <c r="Q923" s="77"/>
      <c r="R923" s="37"/>
      <c r="S923" s="37"/>
      <c r="T923" s="76"/>
      <c r="U923" s="76"/>
      <c r="V923" s="76"/>
      <c r="W923" s="76"/>
      <c r="X923" s="76"/>
      <c r="Y923" s="76"/>
      <c r="Z923" s="76"/>
      <c r="AA923" s="76"/>
    </row>
    <row r="924" spans="1:27" ht="15.75" customHeight="1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7"/>
      <c r="P924" s="77"/>
      <c r="Q924" s="77"/>
      <c r="R924" s="37"/>
      <c r="S924" s="37"/>
      <c r="T924" s="76"/>
      <c r="U924" s="76"/>
      <c r="V924" s="76"/>
      <c r="W924" s="76"/>
      <c r="X924" s="76"/>
      <c r="Y924" s="76"/>
      <c r="Z924" s="76"/>
      <c r="AA924" s="76"/>
    </row>
    <row r="925" spans="1:27" ht="15.75" customHeight="1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7"/>
      <c r="P925" s="77"/>
      <c r="Q925" s="77"/>
      <c r="R925" s="37"/>
      <c r="S925" s="37"/>
      <c r="T925" s="76"/>
      <c r="U925" s="76"/>
      <c r="V925" s="76"/>
      <c r="W925" s="76"/>
      <c r="X925" s="76"/>
      <c r="Y925" s="76"/>
      <c r="Z925" s="76"/>
      <c r="AA925" s="76"/>
    </row>
    <row r="926" spans="1:27" ht="15.75" customHeight="1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7"/>
      <c r="P926" s="77"/>
      <c r="Q926" s="77"/>
      <c r="R926" s="37"/>
      <c r="S926" s="37"/>
      <c r="T926" s="76"/>
      <c r="U926" s="76"/>
      <c r="V926" s="76"/>
      <c r="W926" s="76"/>
      <c r="X926" s="76"/>
      <c r="Y926" s="76"/>
      <c r="Z926" s="76"/>
      <c r="AA926" s="76"/>
    </row>
    <row r="927" spans="1:27" ht="15.75" customHeight="1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7"/>
      <c r="P927" s="77"/>
      <c r="Q927" s="77"/>
      <c r="R927" s="37"/>
      <c r="S927" s="37"/>
      <c r="T927" s="76"/>
      <c r="U927" s="76"/>
      <c r="V927" s="76"/>
      <c r="W927" s="76"/>
      <c r="X927" s="76"/>
      <c r="Y927" s="76"/>
      <c r="Z927" s="76"/>
      <c r="AA927" s="76"/>
    </row>
    <row r="928" spans="1:27" ht="15.75" customHeight="1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7"/>
      <c r="P928" s="77"/>
      <c r="Q928" s="77"/>
      <c r="R928" s="37"/>
      <c r="S928" s="37"/>
      <c r="T928" s="76"/>
      <c r="U928" s="76"/>
      <c r="V928" s="76"/>
      <c r="W928" s="76"/>
      <c r="X928" s="76"/>
      <c r="Y928" s="76"/>
      <c r="Z928" s="76"/>
      <c r="AA928" s="76"/>
    </row>
    <row r="929" spans="1:27" ht="15.75" customHeight="1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7"/>
      <c r="P929" s="77"/>
      <c r="Q929" s="77"/>
      <c r="R929" s="37"/>
      <c r="S929" s="37"/>
      <c r="T929" s="76"/>
      <c r="U929" s="76"/>
      <c r="V929" s="76"/>
      <c r="W929" s="76"/>
      <c r="X929" s="76"/>
      <c r="Y929" s="76"/>
      <c r="Z929" s="76"/>
      <c r="AA929" s="76"/>
    </row>
    <row r="930" spans="1:27" ht="15.75" customHeight="1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7"/>
      <c r="P930" s="77"/>
      <c r="Q930" s="77"/>
      <c r="R930" s="37"/>
      <c r="S930" s="37"/>
      <c r="T930" s="76"/>
      <c r="U930" s="76"/>
      <c r="V930" s="76"/>
      <c r="W930" s="76"/>
      <c r="X930" s="76"/>
      <c r="Y930" s="76"/>
      <c r="Z930" s="76"/>
      <c r="AA930" s="76"/>
    </row>
    <row r="931" spans="1:27" ht="15.75" customHeight="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7"/>
      <c r="P931" s="77"/>
      <c r="Q931" s="77"/>
      <c r="R931" s="37"/>
      <c r="S931" s="37"/>
      <c r="T931" s="76"/>
      <c r="U931" s="76"/>
      <c r="V931" s="76"/>
      <c r="W931" s="76"/>
      <c r="X931" s="76"/>
      <c r="Y931" s="76"/>
      <c r="Z931" s="76"/>
      <c r="AA931" s="76"/>
    </row>
    <row r="932" spans="1:27" ht="15.75" customHeight="1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7"/>
      <c r="P932" s="77"/>
      <c r="Q932" s="77"/>
      <c r="R932" s="37"/>
      <c r="S932" s="37"/>
      <c r="T932" s="76"/>
      <c r="U932" s="76"/>
      <c r="V932" s="76"/>
      <c r="W932" s="76"/>
      <c r="X932" s="76"/>
      <c r="Y932" s="76"/>
      <c r="Z932" s="76"/>
      <c r="AA932" s="76"/>
    </row>
    <row r="933" spans="1:27" ht="15.75" customHeight="1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7"/>
      <c r="P933" s="77"/>
      <c r="Q933" s="77"/>
      <c r="R933" s="37"/>
      <c r="S933" s="37"/>
      <c r="T933" s="76"/>
      <c r="U933" s="76"/>
      <c r="V933" s="76"/>
      <c r="W933" s="76"/>
      <c r="X933" s="76"/>
      <c r="Y933" s="76"/>
      <c r="Z933" s="76"/>
      <c r="AA933" s="76"/>
    </row>
    <row r="934" spans="1:27" ht="15.75" customHeight="1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7"/>
      <c r="P934" s="77"/>
      <c r="Q934" s="77"/>
      <c r="R934" s="37"/>
      <c r="S934" s="37"/>
      <c r="T934" s="76"/>
      <c r="U934" s="76"/>
      <c r="V934" s="76"/>
      <c r="W934" s="76"/>
      <c r="X934" s="76"/>
      <c r="Y934" s="76"/>
      <c r="Z934" s="76"/>
      <c r="AA934" s="76"/>
    </row>
    <row r="935" spans="1:27" ht="15.75" customHeight="1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7"/>
      <c r="P935" s="77"/>
      <c r="Q935" s="77"/>
      <c r="R935" s="37"/>
      <c r="S935" s="37"/>
      <c r="T935" s="76"/>
      <c r="U935" s="76"/>
      <c r="V935" s="76"/>
      <c r="W935" s="76"/>
      <c r="X935" s="76"/>
      <c r="Y935" s="76"/>
      <c r="Z935" s="76"/>
      <c r="AA935" s="76"/>
    </row>
    <row r="936" spans="1:27" ht="15.75" customHeight="1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7"/>
      <c r="P936" s="77"/>
      <c r="Q936" s="77"/>
      <c r="R936" s="37"/>
      <c r="S936" s="37"/>
      <c r="T936" s="76"/>
      <c r="U936" s="76"/>
      <c r="V936" s="76"/>
      <c r="W936" s="76"/>
      <c r="X936" s="76"/>
      <c r="Y936" s="76"/>
      <c r="Z936" s="76"/>
      <c r="AA936" s="76"/>
    </row>
    <row r="937" spans="1:27" ht="15.75" customHeight="1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7"/>
      <c r="P937" s="77"/>
      <c r="Q937" s="77"/>
      <c r="R937" s="37"/>
      <c r="S937" s="37"/>
      <c r="T937" s="76"/>
      <c r="U937" s="76"/>
      <c r="V937" s="76"/>
      <c r="W937" s="76"/>
      <c r="X937" s="76"/>
      <c r="Y937" s="76"/>
      <c r="Z937" s="76"/>
      <c r="AA937" s="76"/>
    </row>
    <row r="938" spans="1:27" ht="15.75" customHeight="1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7"/>
      <c r="P938" s="77"/>
      <c r="Q938" s="77"/>
      <c r="R938" s="37"/>
      <c r="S938" s="37"/>
      <c r="T938" s="76"/>
      <c r="U938" s="76"/>
      <c r="V938" s="76"/>
      <c r="W938" s="76"/>
      <c r="X938" s="76"/>
      <c r="Y938" s="76"/>
      <c r="Z938" s="76"/>
      <c r="AA938" s="76"/>
    </row>
    <row r="939" spans="1:27" ht="15.75" customHeight="1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7"/>
      <c r="P939" s="77"/>
      <c r="Q939" s="77"/>
      <c r="R939" s="37"/>
      <c r="S939" s="37"/>
      <c r="T939" s="76"/>
      <c r="U939" s="76"/>
      <c r="V939" s="76"/>
      <c r="W939" s="76"/>
      <c r="X939" s="76"/>
      <c r="Y939" s="76"/>
      <c r="Z939" s="76"/>
      <c r="AA939" s="76"/>
    </row>
    <row r="940" spans="1:27" ht="15.75" customHeight="1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7"/>
      <c r="P940" s="77"/>
      <c r="Q940" s="77"/>
      <c r="R940" s="37"/>
      <c r="S940" s="37"/>
      <c r="T940" s="76"/>
      <c r="U940" s="76"/>
      <c r="V940" s="76"/>
      <c r="W940" s="76"/>
      <c r="X940" s="76"/>
      <c r="Y940" s="76"/>
      <c r="Z940" s="76"/>
      <c r="AA940" s="76"/>
    </row>
    <row r="941" spans="1:27" ht="15.75" customHeight="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7"/>
      <c r="P941" s="77"/>
      <c r="Q941" s="77"/>
      <c r="R941" s="37"/>
      <c r="S941" s="37"/>
      <c r="T941" s="76"/>
      <c r="U941" s="76"/>
      <c r="V941" s="76"/>
      <c r="W941" s="76"/>
      <c r="X941" s="76"/>
      <c r="Y941" s="76"/>
      <c r="Z941" s="76"/>
      <c r="AA941" s="76"/>
    </row>
    <row r="942" spans="1:27" ht="15.75" customHeight="1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7"/>
      <c r="P942" s="77"/>
      <c r="Q942" s="77"/>
      <c r="R942" s="37"/>
      <c r="S942" s="37"/>
      <c r="T942" s="76"/>
      <c r="U942" s="76"/>
      <c r="V942" s="76"/>
      <c r="W942" s="76"/>
      <c r="X942" s="76"/>
      <c r="Y942" s="76"/>
      <c r="Z942" s="76"/>
      <c r="AA942" s="76"/>
    </row>
    <row r="943" spans="1:27" ht="15.75" customHeight="1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7"/>
      <c r="P943" s="77"/>
      <c r="Q943" s="77"/>
      <c r="R943" s="37"/>
      <c r="S943" s="37"/>
      <c r="T943" s="76"/>
      <c r="U943" s="76"/>
      <c r="V943" s="76"/>
      <c r="W943" s="76"/>
      <c r="X943" s="76"/>
      <c r="Y943" s="76"/>
      <c r="Z943" s="76"/>
      <c r="AA943" s="76"/>
    </row>
    <row r="944" spans="1:27" ht="15.75" customHeight="1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7"/>
      <c r="P944" s="77"/>
      <c r="Q944" s="77"/>
      <c r="R944" s="37"/>
      <c r="S944" s="37"/>
      <c r="T944" s="76"/>
      <c r="U944" s="76"/>
      <c r="V944" s="76"/>
      <c r="W944" s="76"/>
      <c r="X944" s="76"/>
      <c r="Y944" s="76"/>
      <c r="Z944" s="76"/>
      <c r="AA944" s="76"/>
    </row>
    <row r="945" spans="1:27" ht="15.75" customHeight="1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7"/>
      <c r="P945" s="77"/>
      <c r="Q945" s="77"/>
      <c r="R945" s="37"/>
      <c r="S945" s="37"/>
      <c r="T945" s="76"/>
      <c r="U945" s="76"/>
      <c r="V945" s="76"/>
      <c r="W945" s="76"/>
      <c r="X945" s="76"/>
      <c r="Y945" s="76"/>
      <c r="Z945" s="76"/>
      <c r="AA945" s="76"/>
    </row>
    <row r="946" spans="1:27" ht="15.75" customHeight="1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7"/>
      <c r="P946" s="77"/>
      <c r="Q946" s="77"/>
      <c r="R946" s="37"/>
      <c r="S946" s="37"/>
      <c r="T946" s="76"/>
      <c r="U946" s="76"/>
      <c r="V946" s="76"/>
      <c r="W946" s="76"/>
      <c r="X946" s="76"/>
      <c r="Y946" s="76"/>
      <c r="Z946" s="76"/>
      <c r="AA946" s="76"/>
    </row>
    <row r="947" spans="1:27" ht="15.75" customHeight="1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7"/>
      <c r="P947" s="77"/>
      <c r="Q947" s="77"/>
      <c r="R947" s="37"/>
      <c r="S947" s="37"/>
      <c r="T947" s="76"/>
      <c r="U947" s="76"/>
      <c r="V947" s="76"/>
      <c r="W947" s="76"/>
      <c r="X947" s="76"/>
      <c r="Y947" s="76"/>
      <c r="Z947" s="76"/>
      <c r="AA947" s="76"/>
    </row>
    <row r="948" spans="1:27" ht="15.75" customHeight="1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7"/>
      <c r="P948" s="77"/>
      <c r="Q948" s="77"/>
      <c r="R948" s="37"/>
      <c r="S948" s="37"/>
      <c r="T948" s="76"/>
      <c r="U948" s="76"/>
      <c r="V948" s="76"/>
      <c r="W948" s="76"/>
      <c r="X948" s="76"/>
      <c r="Y948" s="76"/>
      <c r="Z948" s="76"/>
      <c r="AA948" s="76"/>
    </row>
    <row r="949" spans="1:27" ht="15.75" customHeight="1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7"/>
      <c r="P949" s="77"/>
      <c r="Q949" s="77"/>
      <c r="R949" s="37"/>
      <c r="S949" s="37"/>
      <c r="T949" s="76"/>
      <c r="U949" s="76"/>
      <c r="V949" s="76"/>
      <c r="W949" s="76"/>
      <c r="X949" s="76"/>
      <c r="Y949" s="76"/>
      <c r="Z949" s="76"/>
      <c r="AA949" s="76"/>
    </row>
    <row r="950" spans="1:27" ht="15.75" customHeight="1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7"/>
      <c r="P950" s="77"/>
      <c r="Q950" s="77"/>
      <c r="R950" s="37"/>
      <c r="S950" s="37"/>
      <c r="T950" s="76"/>
      <c r="U950" s="76"/>
      <c r="V950" s="76"/>
      <c r="W950" s="76"/>
      <c r="X950" s="76"/>
      <c r="Y950" s="76"/>
      <c r="Z950" s="76"/>
      <c r="AA950" s="76"/>
    </row>
    <row r="951" spans="1:27" ht="15.75" customHeight="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7"/>
      <c r="P951" s="77"/>
      <c r="Q951" s="77"/>
      <c r="R951" s="37"/>
      <c r="S951" s="37"/>
      <c r="T951" s="76"/>
      <c r="U951" s="76"/>
      <c r="V951" s="76"/>
      <c r="W951" s="76"/>
      <c r="X951" s="76"/>
      <c r="Y951" s="76"/>
      <c r="Z951" s="76"/>
      <c r="AA951" s="76"/>
    </row>
    <row r="952" spans="1:27" ht="15.75" customHeight="1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7"/>
      <c r="P952" s="77"/>
      <c r="Q952" s="77"/>
      <c r="R952" s="37"/>
      <c r="S952" s="37"/>
      <c r="T952" s="76"/>
      <c r="U952" s="76"/>
      <c r="V952" s="76"/>
      <c r="W952" s="76"/>
      <c r="X952" s="76"/>
      <c r="Y952" s="76"/>
      <c r="Z952" s="76"/>
      <c r="AA952" s="76"/>
    </row>
    <row r="953" spans="1:27" ht="15.75" customHeight="1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7"/>
      <c r="P953" s="77"/>
      <c r="Q953" s="77"/>
      <c r="R953" s="37"/>
      <c r="S953" s="37"/>
      <c r="T953" s="76"/>
      <c r="U953" s="76"/>
      <c r="V953" s="76"/>
      <c r="W953" s="76"/>
      <c r="X953" s="76"/>
      <c r="Y953" s="76"/>
      <c r="Z953" s="76"/>
      <c r="AA953" s="76"/>
    </row>
    <row r="954" spans="1:27" ht="15.75" customHeight="1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7"/>
      <c r="P954" s="77"/>
      <c r="Q954" s="77"/>
      <c r="R954" s="37"/>
      <c r="S954" s="37"/>
      <c r="T954" s="76"/>
      <c r="U954" s="76"/>
      <c r="V954" s="76"/>
      <c r="W954" s="76"/>
      <c r="X954" s="76"/>
      <c r="Y954" s="76"/>
      <c r="Z954" s="76"/>
      <c r="AA954" s="76"/>
    </row>
    <row r="955" spans="1:27" ht="15.75" customHeight="1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7"/>
      <c r="P955" s="77"/>
      <c r="Q955" s="77"/>
      <c r="R955" s="37"/>
      <c r="S955" s="37"/>
      <c r="T955" s="76"/>
      <c r="U955" s="76"/>
      <c r="V955" s="76"/>
      <c r="W955" s="76"/>
      <c r="X955" s="76"/>
      <c r="Y955" s="76"/>
      <c r="Z955" s="76"/>
      <c r="AA955" s="76"/>
    </row>
    <row r="956" spans="1:27" ht="15.75" customHeight="1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7"/>
      <c r="P956" s="77"/>
      <c r="Q956" s="77"/>
      <c r="R956" s="37"/>
      <c r="S956" s="37"/>
      <c r="T956" s="76"/>
      <c r="U956" s="76"/>
      <c r="V956" s="76"/>
      <c r="W956" s="76"/>
      <c r="X956" s="76"/>
      <c r="Y956" s="76"/>
      <c r="Z956" s="76"/>
      <c r="AA956" s="76"/>
    </row>
    <row r="957" spans="1:27" ht="15.75" customHeight="1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7"/>
      <c r="P957" s="77"/>
      <c r="Q957" s="77"/>
      <c r="R957" s="37"/>
      <c r="S957" s="37"/>
      <c r="T957" s="76"/>
      <c r="U957" s="76"/>
      <c r="V957" s="76"/>
      <c r="W957" s="76"/>
      <c r="X957" s="76"/>
      <c r="Y957" s="76"/>
      <c r="Z957" s="76"/>
      <c r="AA957" s="76"/>
    </row>
    <row r="958" spans="1:27" ht="15.75" customHeight="1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7"/>
      <c r="P958" s="77"/>
      <c r="Q958" s="77"/>
      <c r="R958" s="37"/>
      <c r="S958" s="37"/>
      <c r="T958" s="76"/>
      <c r="U958" s="76"/>
      <c r="V958" s="76"/>
      <c r="W958" s="76"/>
      <c r="X958" s="76"/>
      <c r="Y958" s="76"/>
      <c r="Z958" s="76"/>
      <c r="AA958" s="76"/>
    </row>
    <row r="959" spans="1:27" ht="15.75" customHeight="1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7"/>
      <c r="P959" s="77"/>
      <c r="Q959" s="77"/>
      <c r="R959" s="37"/>
      <c r="S959" s="37"/>
      <c r="T959" s="76"/>
      <c r="U959" s="76"/>
      <c r="V959" s="76"/>
      <c r="W959" s="76"/>
      <c r="X959" s="76"/>
      <c r="Y959" s="76"/>
      <c r="Z959" s="76"/>
      <c r="AA959" s="76"/>
    </row>
    <row r="960" spans="1:27" ht="15.75" customHeight="1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7"/>
      <c r="P960" s="77"/>
      <c r="Q960" s="77"/>
      <c r="R960" s="37"/>
      <c r="S960" s="37"/>
      <c r="T960" s="76"/>
      <c r="U960" s="76"/>
      <c r="V960" s="76"/>
      <c r="W960" s="76"/>
      <c r="X960" s="76"/>
      <c r="Y960" s="76"/>
      <c r="Z960" s="76"/>
      <c r="AA960" s="76"/>
    </row>
    <row r="961" spans="1:27" ht="15.75" customHeight="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7"/>
      <c r="P961" s="77"/>
      <c r="Q961" s="77"/>
      <c r="R961" s="37"/>
      <c r="S961" s="37"/>
      <c r="T961" s="76"/>
      <c r="U961" s="76"/>
      <c r="V961" s="76"/>
      <c r="W961" s="76"/>
      <c r="X961" s="76"/>
      <c r="Y961" s="76"/>
      <c r="Z961" s="76"/>
      <c r="AA961" s="76"/>
    </row>
    <row r="962" spans="1:27" ht="15.75" customHeight="1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7"/>
      <c r="P962" s="77"/>
      <c r="Q962" s="77"/>
      <c r="R962" s="37"/>
      <c r="S962" s="37"/>
      <c r="T962" s="76"/>
      <c r="U962" s="76"/>
      <c r="V962" s="76"/>
      <c r="W962" s="76"/>
      <c r="X962" s="76"/>
      <c r="Y962" s="76"/>
      <c r="Z962" s="76"/>
      <c r="AA962" s="76"/>
    </row>
    <row r="963" spans="1:27" ht="15.75" customHeight="1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7"/>
      <c r="P963" s="77"/>
      <c r="Q963" s="77"/>
      <c r="R963" s="37"/>
      <c r="S963" s="37"/>
      <c r="T963" s="76"/>
      <c r="U963" s="76"/>
      <c r="V963" s="76"/>
      <c r="W963" s="76"/>
      <c r="X963" s="76"/>
      <c r="Y963" s="76"/>
      <c r="Z963" s="76"/>
      <c r="AA963" s="76"/>
    </row>
    <row r="964" spans="1:27" ht="15.75" customHeight="1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7"/>
      <c r="P964" s="77"/>
      <c r="Q964" s="77"/>
      <c r="R964" s="37"/>
      <c r="S964" s="37"/>
      <c r="T964" s="76"/>
      <c r="U964" s="76"/>
      <c r="V964" s="76"/>
      <c r="W964" s="76"/>
      <c r="X964" s="76"/>
      <c r="Y964" s="76"/>
      <c r="Z964" s="76"/>
      <c r="AA964" s="76"/>
    </row>
    <row r="965" spans="1:27" ht="15.75" customHeight="1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7"/>
      <c r="P965" s="77"/>
      <c r="Q965" s="77"/>
      <c r="R965" s="37"/>
      <c r="S965" s="37"/>
      <c r="T965" s="76"/>
      <c r="U965" s="76"/>
      <c r="V965" s="76"/>
      <c r="W965" s="76"/>
      <c r="X965" s="76"/>
      <c r="Y965" s="76"/>
      <c r="Z965" s="76"/>
      <c r="AA965" s="76"/>
    </row>
    <row r="966" spans="1:27" ht="15.75" customHeight="1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7"/>
      <c r="P966" s="77"/>
      <c r="Q966" s="77"/>
      <c r="R966" s="37"/>
      <c r="S966" s="37"/>
      <c r="T966" s="76"/>
      <c r="U966" s="76"/>
      <c r="V966" s="76"/>
      <c r="W966" s="76"/>
      <c r="X966" s="76"/>
      <c r="Y966" s="76"/>
      <c r="Z966" s="76"/>
      <c r="AA966" s="76"/>
    </row>
    <row r="967" spans="1:27" ht="15.75" customHeight="1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7"/>
      <c r="P967" s="77"/>
      <c r="Q967" s="77"/>
      <c r="R967" s="37"/>
      <c r="S967" s="37"/>
      <c r="T967" s="76"/>
      <c r="U967" s="76"/>
      <c r="V967" s="76"/>
      <c r="W967" s="76"/>
      <c r="X967" s="76"/>
      <c r="Y967" s="76"/>
      <c r="Z967" s="76"/>
      <c r="AA967" s="76"/>
    </row>
    <row r="968" spans="1:27" ht="15.75" customHeight="1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7"/>
      <c r="P968" s="77"/>
      <c r="Q968" s="77"/>
      <c r="R968" s="37"/>
      <c r="S968" s="37"/>
      <c r="T968" s="76"/>
      <c r="U968" s="76"/>
      <c r="V968" s="76"/>
      <c r="W968" s="76"/>
      <c r="X968" s="76"/>
      <c r="Y968" s="76"/>
      <c r="Z968" s="76"/>
      <c r="AA968" s="76"/>
    </row>
    <row r="969" spans="1:27" ht="15.75" customHeight="1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7"/>
      <c r="P969" s="77"/>
      <c r="Q969" s="77"/>
      <c r="R969" s="37"/>
      <c r="S969" s="37"/>
      <c r="T969" s="76"/>
      <c r="U969" s="76"/>
      <c r="V969" s="76"/>
      <c r="W969" s="76"/>
      <c r="X969" s="76"/>
      <c r="Y969" s="76"/>
      <c r="Z969" s="76"/>
      <c r="AA969" s="76"/>
    </row>
    <row r="970" spans="1:27" ht="15.75" customHeight="1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7"/>
      <c r="P970" s="77"/>
      <c r="Q970" s="77"/>
      <c r="R970" s="37"/>
      <c r="S970" s="37"/>
      <c r="T970" s="76"/>
      <c r="U970" s="76"/>
      <c r="V970" s="76"/>
      <c r="W970" s="76"/>
      <c r="X970" s="76"/>
      <c r="Y970" s="76"/>
      <c r="Z970" s="76"/>
      <c r="AA970" s="76"/>
    </row>
    <row r="971" spans="1:27" ht="15.75" customHeight="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7"/>
      <c r="P971" s="77"/>
      <c r="Q971" s="77"/>
      <c r="R971" s="37"/>
      <c r="S971" s="37"/>
      <c r="T971" s="76"/>
      <c r="U971" s="76"/>
      <c r="V971" s="76"/>
      <c r="W971" s="76"/>
      <c r="X971" s="76"/>
      <c r="Y971" s="76"/>
      <c r="Z971" s="76"/>
      <c r="AA971" s="76"/>
    </row>
    <row r="972" spans="1:27" ht="15.75" customHeight="1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7"/>
      <c r="P972" s="77"/>
      <c r="Q972" s="77"/>
      <c r="R972" s="37"/>
      <c r="S972" s="37"/>
      <c r="T972" s="76"/>
      <c r="U972" s="76"/>
      <c r="V972" s="76"/>
      <c r="W972" s="76"/>
      <c r="X972" s="76"/>
      <c r="Y972" s="76"/>
      <c r="Z972" s="76"/>
      <c r="AA972" s="76"/>
    </row>
    <row r="973" spans="1:27" ht="15.75" customHeight="1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7"/>
      <c r="P973" s="77"/>
      <c r="Q973" s="77"/>
      <c r="R973" s="37"/>
      <c r="S973" s="37"/>
      <c r="T973" s="76"/>
      <c r="U973" s="76"/>
      <c r="V973" s="76"/>
      <c r="W973" s="76"/>
      <c r="X973" s="76"/>
      <c r="Y973" s="76"/>
      <c r="Z973" s="76"/>
      <c r="AA973" s="76"/>
    </row>
    <row r="974" spans="1:27" ht="15.75" customHeight="1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7"/>
      <c r="P974" s="77"/>
      <c r="Q974" s="77"/>
      <c r="R974" s="37"/>
      <c r="S974" s="37"/>
      <c r="T974" s="76"/>
      <c r="U974" s="76"/>
      <c r="V974" s="76"/>
      <c r="W974" s="76"/>
      <c r="X974" s="76"/>
      <c r="Y974" s="76"/>
      <c r="Z974" s="76"/>
      <c r="AA974" s="76"/>
    </row>
    <row r="975" spans="1:27" ht="15.75" customHeight="1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7"/>
      <c r="P975" s="77"/>
      <c r="Q975" s="77"/>
      <c r="R975" s="37"/>
      <c r="S975" s="37"/>
      <c r="T975" s="76"/>
      <c r="U975" s="76"/>
      <c r="V975" s="76"/>
      <c r="W975" s="76"/>
      <c r="X975" s="76"/>
      <c r="Y975" s="76"/>
      <c r="Z975" s="76"/>
      <c r="AA975" s="76"/>
    </row>
    <row r="976" spans="1:27" ht="15.75" customHeight="1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7"/>
      <c r="P976" s="77"/>
      <c r="Q976" s="77"/>
      <c r="R976" s="37"/>
      <c r="S976" s="37"/>
      <c r="T976" s="76"/>
      <c r="U976" s="76"/>
      <c r="V976" s="76"/>
      <c r="W976" s="76"/>
      <c r="X976" s="76"/>
      <c r="Y976" s="76"/>
      <c r="Z976" s="76"/>
      <c r="AA976" s="76"/>
    </row>
    <row r="977" spans="1:27" ht="15.75" customHeight="1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7"/>
      <c r="P977" s="77"/>
      <c r="Q977" s="77"/>
      <c r="R977" s="37"/>
      <c r="S977" s="37"/>
      <c r="T977" s="76"/>
      <c r="U977" s="76"/>
      <c r="V977" s="76"/>
      <c r="W977" s="76"/>
      <c r="X977" s="76"/>
      <c r="Y977" s="76"/>
      <c r="Z977" s="76"/>
      <c r="AA977" s="76"/>
    </row>
    <row r="978" spans="1:27" ht="15.75" customHeight="1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7"/>
      <c r="P978" s="77"/>
      <c r="Q978" s="77"/>
      <c r="R978" s="37"/>
      <c r="S978" s="37"/>
      <c r="T978" s="76"/>
      <c r="U978" s="76"/>
      <c r="V978" s="76"/>
      <c r="W978" s="76"/>
      <c r="X978" s="76"/>
      <c r="Y978" s="76"/>
      <c r="Z978" s="76"/>
      <c r="AA978" s="76"/>
    </row>
    <row r="979" spans="1:27" ht="15.75" customHeight="1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7"/>
      <c r="P979" s="77"/>
      <c r="Q979" s="77"/>
      <c r="R979" s="37"/>
      <c r="S979" s="37"/>
      <c r="T979" s="76"/>
      <c r="U979" s="76"/>
      <c r="V979" s="76"/>
      <c r="W979" s="76"/>
      <c r="X979" s="76"/>
      <c r="Y979" s="76"/>
      <c r="Z979" s="76"/>
      <c r="AA979" s="76"/>
    </row>
    <row r="980" spans="1:27" ht="15.75" customHeight="1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7"/>
      <c r="P980" s="77"/>
      <c r="Q980" s="77"/>
      <c r="R980" s="37"/>
      <c r="S980" s="37"/>
      <c r="T980" s="76"/>
      <c r="U980" s="76"/>
      <c r="V980" s="76"/>
      <c r="W980" s="76"/>
      <c r="X980" s="76"/>
      <c r="Y980" s="76"/>
      <c r="Z980" s="76"/>
      <c r="AA980" s="76"/>
    </row>
    <row r="981" spans="1:27" ht="15.75" customHeight="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7"/>
      <c r="P981" s="77"/>
      <c r="Q981" s="77"/>
      <c r="R981" s="37"/>
      <c r="S981" s="37"/>
      <c r="T981" s="76"/>
      <c r="U981" s="76"/>
      <c r="V981" s="76"/>
      <c r="W981" s="76"/>
      <c r="X981" s="76"/>
      <c r="Y981" s="76"/>
      <c r="Z981" s="76"/>
      <c r="AA981" s="76"/>
    </row>
    <row r="982" spans="1:27" ht="15.75" customHeight="1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7"/>
      <c r="P982" s="77"/>
      <c r="Q982" s="77"/>
      <c r="R982" s="37"/>
      <c r="S982" s="37"/>
      <c r="T982" s="76"/>
      <c r="U982" s="76"/>
      <c r="V982" s="76"/>
      <c r="W982" s="76"/>
      <c r="X982" s="76"/>
      <c r="Y982" s="76"/>
      <c r="Z982" s="76"/>
      <c r="AA982" s="76"/>
    </row>
    <row r="983" spans="1:27" ht="15.75" customHeight="1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7"/>
      <c r="P983" s="77"/>
      <c r="Q983" s="77"/>
      <c r="R983" s="37"/>
      <c r="S983" s="37"/>
      <c r="T983" s="76"/>
      <c r="U983" s="76"/>
      <c r="V983" s="76"/>
      <c r="W983" s="76"/>
      <c r="X983" s="76"/>
      <c r="Y983" s="76"/>
      <c r="Z983" s="76"/>
      <c r="AA983" s="76"/>
    </row>
    <row r="984" spans="1:27" ht="15.75" customHeight="1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7"/>
      <c r="P984" s="77"/>
      <c r="Q984" s="77"/>
      <c r="R984" s="37"/>
      <c r="S984" s="37"/>
      <c r="T984" s="76"/>
      <c r="U984" s="76"/>
      <c r="V984" s="76"/>
      <c r="W984" s="76"/>
      <c r="X984" s="76"/>
      <c r="Y984" s="76"/>
      <c r="Z984" s="76"/>
      <c r="AA984" s="76"/>
    </row>
    <row r="985" spans="1:27" ht="15.75" customHeight="1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7"/>
      <c r="P985" s="77"/>
      <c r="Q985" s="77"/>
      <c r="R985" s="37"/>
      <c r="S985" s="37"/>
      <c r="T985" s="76"/>
      <c r="U985" s="76"/>
      <c r="V985" s="76"/>
      <c r="W985" s="76"/>
      <c r="X985" s="76"/>
      <c r="Y985" s="76"/>
      <c r="Z985" s="76"/>
      <c r="AA985" s="76"/>
    </row>
    <row r="986" spans="1:27" ht="15.75" customHeight="1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7"/>
      <c r="P986" s="77"/>
      <c r="Q986" s="77"/>
      <c r="R986" s="37"/>
      <c r="S986" s="37"/>
      <c r="T986" s="76"/>
      <c r="U986" s="76"/>
      <c r="V986" s="76"/>
      <c r="W986" s="76"/>
      <c r="X986" s="76"/>
      <c r="Y986" s="76"/>
      <c r="Z986" s="76"/>
      <c r="AA986" s="76"/>
    </row>
    <row r="987" spans="1:27" ht="15.75" customHeight="1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7"/>
      <c r="P987" s="77"/>
      <c r="Q987" s="77"/>
      <c r="R987" s="37"/>
      <c r="S987" s="37"/>
      <c r="T987" s="76"/>
      <c r="U987" s="76"/>
      <c r="V987" s="76"/>
      <c r="W987" s="76"/>
      <c r="X987" s="76"/>
      <c r="Y987" s="76"/>
      <c r="Z987" s="76"/>
      <c r="AA987" s="76"/>
    </row>
    <row r="988" spans="1:27" ht="15.75" customHeight="1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7"/>
      <c r="P988" s="77"/>
      <c r="Q988" s="77"/>
      <c r="R988" s="37"/>
      <c r="S988" s="37"/>
      <c r="T988" s="76"/>
      <c r="U988" s="76"/>
      <c r="V988" s="76"/>
      <c r="W988" s="76"/>
      <c r="X988" s="76"/>
      <c r="Y988" s="76"/>
      <c r="Z988" s="76"/>
      <c r="AA988" s="76"/>
    </row>
    <row r="989" spans="1:27" ht="15.75" customHeight="1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7"/>
      <c r="P989" s="77"/>
      <c r="Q989" s="77"/>
      <c r="R989" s="37"/>
      <c r="S989" s="37"/>
      <c r="T989" s="76"/>
      <c r="U989" s="76"/>
      <c r="V989" s="76"/>
      <c r="W989" s="76"/>
      <c r="X989" s="76"/>
      <c r="Y989" s="76"/>
      <c r="Z989" s="76"/>
      <c r="AA989" s="76"/>
    </row>
    <row r="990" spans="1:27" ht="15.75" customHeight="1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7"/>
      <c r="P990" s="77"/>
      <c r="Q990" s="77"/>
      <c r="R990" s="37"/>
      <c r="S990" s="37"/>
      <c r="T990" s="76"/>
      <c r="U990" s="76"/>
      <c r="V990" s="76"/>
      <c r="W990" s="76"/>
      <c r="X990" s="76"/>
      <c r="Y990" s="76"/>
      <c r="Z990" s="76"/>
      <c r="AA990" s="76"/>
    </row>
    <row r="991" spans="1:27" ht="15.75" customHeight="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7"/>
      <c r="P991" s="77"/>
      <c r="Q991" s="77"/>
      <c r="R991" s="37"/>
      <c r="S991" s="37"/>
      <c r="T991" s="76"/>
      <c r="U991" s="76"/>
      <c r="V991" s="76"/>
      <c r="W991" s="76"/>
      <c r="X991" s="76"/>
      <c r="Y991" s="76"/>
      <c r="Z991" s="76"/>
      <c r="AA991" s="76"/>
    </row>
    <row r="992" spans="1:27" ht="15.75" customHeight="1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7"/>
      <c r="P992" s="77"/>
      <c r="Q992" s="77"/>
      <c r="R992" s="37"/>
      <c r="S992" s="37"/>
      <c r="T992" s="76"/>
      <c r="U992" s="76"/>
      <c r="V992" s="76"/>
      <c r="W992" s="76"/>
      <c r="X992" s="76"/>
      <c r="Y992" s="76"/>
      <c r="Z992" s="76"/>
      <c r="AA992" s="76"/>
    </row>
    <row r="993" spans="1:27" ht="15.75" customHeight="1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7"/>
      <c r="P993" s="77"/>
      <c r="Q993" s="77"/>
      <c r="R993" s="37"/>
      <c r="S993" s="37"/>
      <c r="T993" s="76"/>
      <c r="U993" s="76"/>
      <c r="V993" s="76"/>
      <c r="W993" s="76"/>
      <c r="X993" s="76"/>
      <c r="Y993" s="76"/>
      <c r="Z993" s="76"/>
      <c r="AA993" s="76"/>
    </row>
    <row r="994" spans="1:27" ht="15.75" customHeight="1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7"/>
      <c r="P994" s="77"/>
      <c r="Q994" s="77"/>
      <c r="R994" s="37"/>
      <c r="S994" s="37"/>
      <c r="T994" s="76"/>
      <c r="U994" s="76"/>
      <c r="V994" s="76"/>
      <c r="W994" s="76"/>
      <c r="X994" s="76"/>
      <c r="Y994" s="76"/>
      <c r="Z994" s="76"/>
      <c r="AA994" s="76"/>
    </row>
    <row r="995" spans="1:27" ht="15.75" customHeight="1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7"/>
      <c r="P995" s="77"/>
      <c r="Q995" s="77"/>
      <c r="R995" s="37"/>
      <c r="S995" s="37"/>
      <c r="T995" s="76"/>
      <c r="U995" s="76"/>
      <c r="V995" s="76"/>
      <c r="W995" s="76"/>
      <c r="X995" s="76"/>
      <c r="Y995" s="76"/>
      <c r="Z995" s="76"/>
      <c r="AA995" s="76"/>
    </row>
    <row r="996" spans="1:27" ht="15.75" customHeight="1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7"/>
      <c r="P996" s="77"/>
      <c r="Q996" s="77"/>
      <c r="R996" s="37"/>
      <c r="S996" s="37"/>
      <c r="T996" s="76"/>
      <c r="U996" s="76"/>
      <c r="V996" s="76"/>
      <c r="W996" s="76"/>
      <c r="X996" s="76"/>
      <c r="Y996" s="76"/>
      <c r="Z996" s="76"/>
      <c r="AA996" s="76"/>
    </row>
    <row r="997" spans="1:27" ht="15.75" customHeight="1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7"/>
      <c r="P997" s="77"/>
      <c r="Q997" s="77"/>
      <c r="R997" s="37"/>
      <c r="S997" s="37"/>
      <c r="T997" s="76"/>
      <c r="U997" s="76"/>
      <c r="V997" s="76"/>
      <c r="W997" s="76"/>
      <c r="X997" s="76"/>
      <c r="Y997" s="76"/>
      <c r="Z997" s="76"/>
      <c r="AA997" s="76"/>
    </row>
    <row r="998" spans="1:27" ht="15.75" customHeight="1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7"/>
      <c r="P998" s="77"/>
      <c r="Q998" s="77"/>
      <c r="R998" s="37"/>
      <c r="S998" s="37"/>
      <c r="T998" s="76"/>
      <c r="U998" s="76"/>
      <c r="V998" s="76"/>
      <c r="W998" s="76"/>
      <c r="X998" s="76"/>
      <c r="Y998" s="76"/>
      <c r="Z998" s="76"/>
      <c r="AA998" s="76"/>
    </row>
    <row r="999" spans="1:27" ht="15.75" customHeight="1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7"/>
      <c r="P999" s="77"/>
      <c r="Q999" s="77"/>
      <c r="R999" s="37"/>
      <c r="S999" s="37"/>
      <c r="T999" s="76"/>
      <c r="U999" s="76"/>
      <c r="V999" s="76"/>
      <c r="W999" s="76"/>
      <c r="X999" s="76"/>
      <c r="Y999" s="76"/>
      <c r="Z999" s="76"/>
      <c r="AA999" s="76"/>
    </row>
    <row r="1000" spans="1:27" ht="15.75" customHeight="1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7"/>
      <c r="P1000" s="77"/>
      <c r="Q1000" s="77"/>
      <c r="R1000" s="37"/>
      <c r="S1000" s="37"/>
      <c r="T1000" s="76"/>
      <c r="U1000" s="76"/>
      <c r="V1000" s="76"/>
      <c r="W1000" s="76"/>
      <c r="X1000" s="76"/>
      <c r="Y1000" s="76"/>
      <c r="Z1000" s="76"/>
      <c r="AA1000" s="76"/>
    </row>
  </sheetData>
  <autoFilter ref="B5:Y69" xr:uid="{1759E590-6A58-482B-9567-A6E9A0332E68}"/>
  <mergeCells count="18">
    <mergeCell ref="B4:F4"/>
    <mergeCell ref="M5:M6"/>
    <mergeCell ref="O5:O6"/>
    <mergeCell ref="P5:P6"/>
    <mergeCell ref="Q5:Q6"/>
    <mergeCell ref="AB37:AB42"/>
    <mergeCell ref="AB8:AB16"/>
    <mergeCell ref="AB59:AB60"/>
    <mergeCell ref="C6:D6"/>
    <mergeCell ref="F6:G6"/>
    <mergeCell ref="U5:U6"/>
    <mergeCell ref="V5:V6"/>
    <mergeCell ref="R5:R6"/>
    <mergeCell ref="X5:X6"/>
    <mergeCell ref="Y5:Y6"/>
    <mergeCell ref="W5:W6"/>
    <mergeCell ref="S5:S6"/>
    <mergeCell ref="T5:T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E43D-C67B-476C-8369-C31461A73C6B}">
  <dimension ref="C2:R19"/>
  <sheetViews>
    <sheetView zoomScale="80" zoomScaleNormal="80" workbookViewId="0">
      <selection activeCell="T3" sqref="T3"/>
    </sheetView>
  </sheetViews>
  <sheetFormatPr defaultRowHeight="15.5"/>
  <cols>
    <col min="1" max="2" width="8.7265625" style="140"/>
    <col min="3" max="3" width="15.08984375" style="140" customWidth="1"/>
    <col min="4" max="9" width="0" style="140" hidden="1" customWidth="1"/>
    <col min="10" max="11" width="8.7265625" style="140"/>
    <col min="12" max="12" width="10" style="140" bestFit="1" customWidth="1"/>
    <col min="13" max="13" width="9.08984375" style="140" bestFit="1" customWidth="1"/>
    <col min="14" max="14" width="9.26953125" style="140" bestFit="1" customWidth="1"/>
    <col min="15" max="15" width="11.453125" style="140" bestFit="1" customWidth="1"/>
    <col min="16" max="16" width="8.1796875" style="140" bestFit="1" customWidth="1"/>
    <col min="17" max="17" width="0" style="140" hidden="1" customWidth="1"/>
    <col min="18" max="18" width="13.1796875" style="140" bestFit="1" customWidth="1"/>
    <col min="19" max="16384" width="8.7265625" style="140"/>
  </cols>
  <sheetData>
    <row r="2" spans="3:18">
      <c r="C2" s="136" t="s">
        <v>197</v>
      </c>
      <c r="D2" s="192" t="s">
        <v>160</v>
      </c>
      <c r="E2" s="187"/>
      <c r="F2" s="136"/>
      <c r="G2" s="186" t="s">
        <v>161</v>
      </c>
      <c r="H2" s="187"/>
      <c r="I2" s="138"/>
      <c r="J2" s="136" t="s">
        <v>101</v>
      </c>
      <c r="K2" s="136" t="s">
        <v>139</v>
      </c>
      <c r="L2" s="136" t="s">
        <v>140</v>
      </c>
      <c r="M2" s="136" t="s">
        <v>202</v>
      </c>
      <c r="N2" s="136" t="s">
        <v>203</v>
      </c>
      <c r="O2" s="136" t="s">
        <v>204</v>
      </c>
      <c r="P2" s="136" t="s">
        <v>198</v>
      </c>
      <c r="Q2" s="136" t="s">
        <v>199</v>
      </c>
      <c r="R2" s="136" t="s">
        <v>200</v>
      </c>
    </row>
    <row r="3" spans="3:18">
      <c r="C3" s="188" t="s">
        <v>166</v>
      </c>
      <c r="D3" s="139"/>
      <c r="E3" s="141"/>
      <c r="F3" s="136"/>
      <c r="G3" s="136"/>
      <c r="H3" s="141"/>
      <c r="I3" s="138"/>
      <c r="J3" s="136">
        <v>37.991660017964932</v>
      </c>
      <c r="K3" s="136">
        <v>123.27304668365956</v>
      </c>
      <c r="L3" s="136">
        <v>0.30819113374765733</v>
      </c>
      <c r="M3" s="136">
        <v>237.9</v>
      </c>
      <c r="N3" s="136">
        <v>10.160241391678623</v>
      </c>
      <c r="O3" s="136">
        <v>9.4600000000000009</v>
      </c>
      <c r="P3" s="136">
        <f>O3/N3</f>
        <v>0.93108024064741912</v>
      </c>
      <c r="Q3" s="136"/>
      <c r="R3" s="188" t="s">
        <v>196</v>
      </c>
    </row>
    <row r="4" spans="3:18">
      <c r="C4" s="189"/>
      <c r="D4" s="139"/>
      <c r="E4" s="141"/>
      <c r="F4" s="136"/>
      <c r="G4" s="136"/>
      <c r="H4" s="141"/>
      <c r="I4" s="138"/>
      <c r="J4" s="136">
        <v>37.483360148895585</v>
      </c>
      <c r="K4" s="136">
        <v>123.27304668365956</v>
      </c>
      <c r="L4" s="136">
        <v>0.30406776791267692</v>
      </c>
      <c r="M4" s="136">
        <v>237.9</v>
      </c>
      <c r="N4" s="136">
        <v>10.658572407986528</v>
      </c>
      <c r="O4" s="136">
        <v>10.34</v>
      </c>
      <c r="P4" s="136">
        <f>O4/N4</f>
        <v>0.97011115599798148</v>
      </c>
      <c r="Q4" s="136"/>
      <c r="R4" s="189"/>
    </row>
    <row r="5" spans="3:18">
      <c r="C5" s="188" t="s">
        <v>163</v>
      </c>
      <c r="D5" s="136">
        <v>86</v>
      </c>
      <c r="E5" s="136">
        <v>1.032</v>
      </c>
      <c r="F5" s="136">
        <v>83.333333333333329</v>
      </c>
      <c r="G5" s="136">
        <v>159208</v>
      </c>
      <c r="H5" s="136">
        <v>335.40800000000002</v>
      </c>
      <c r="I5" s="136">
        <v>0.29099999999999998</v>
      </c>
      <c r="J5" s="136">
        <v>52.134058765200059</v>
      </c>
      <c r="K5" s="136">
        <v>96.8092628879552</v>
      </c>
      <c r="L5" s="136">
        <v>0.53852345540053137</v>
      </c>
      <c r="M5" s="136">
        <v>233.08156233232415</v>
      </c>
      <c r="N5" s="136">
        <v>5.7729641358470047</v>
      </c>
      <c r="O5" s="136">
        <v>5.077</v>
      </c>
      <c r="P5" s="136">
        <f t="shared" ref="P5:P19" si="0">O5/N5</f>
        <v>0.8794442301268699</v>
      </c>
      <c r="Q5" s="136">
        <f>ABS((N5-O5)/(N5))*100</f>
        <v>12.055576987313009</v>
      </c>
      <c r="R5" s="186" t="s">
        <v>201</v>
      </c>
    </row>
    <row r="6" spans="3:18">
      <c r="C6" s="190"/>
      <c r="D6" s="136">
        <v>86</v>
      </c>
      <c r="E6" s="136">
        <v>1.0409999999999999</v>
      </c>
      <c r="F6" s="136">
        <v>82.61287223823247</v>
      </c>
      <c r="G6" s="136">
        <v>159208</v>
      </c>
      <c r="H6" s="136">
        <v>335.40800000000002</v>
      </c>
      <c r="I6" s="136">
        <v>0.29099999999999998</v>
      </c>
      <c r="J6" s="136">
        <v>51.908206185114778</v>
      </c>
      <c r="K6" s="136">
        <v>96.8092628879552</v>
      </c>
      <c r="L6" s="136">
        <v>0.53619049083342507</v>
      </c>
      <c r="M6" s="136">
        <v>234.09880580570535</v>
      </c>
      <c r="N6" s="136">
        <v>5.8997308831240129</v>
      </c>
      <c r="O6" s="136">
        <v>5.0359999999999996</v>
      </c>
      <c r="P6" s="136">
        <f t="shared" si="0"/>
        <v>0.85359825723666694</v>
      </c>
      <c r="Q6" s="136">
        <f t="shared" ref="Q6:Q13" si="1">ABS((N6-O6)/(N6))*100</f>
        <v>14.640174276333303</v>
      </c>
      <c r="R6" s="186"/>
    </row>
    <row r="7" spans="3:18">
      <c r="C7" s="189"/>
      <c r="D7" s="136">
        <v>86</v>
      </c>
      <c r="E7" s="136">
        <v>1.046</v>
      </c>
      <c r="F7" s="136">
        <v>82.217973231357547</v>
      </c>
      <c r="G7" s="136">
        <v>159208</v>
      </c>
      <c r="H7" s="136">
        <v>335.40800000000002</v>
      </c>
      <c r="I7" s="136">
        <v>0.29099999999999998</v>
      </c>
      <c r="J7" s="136">
        <v>51.783993979846514</v>
      </c>
      <c r="K7" s="136">
        <v>96.8092628879552</v>
      </c>
      <c r="L7" s="136">
        <v>0.5349074296720977</v>
      </c>
      <c r="M7" s="136">
        <v>234.65825947710337</v>
      </c>
      <c r="N7" s="136">
        <v>5.9707757261872203</v>
      </c>
      <c r="O7" s="136">
        <v>5.7089999999999996</v>
      </c>
      <c r="P7" s="136">
        <f t="shared" si="0"/>
        <v>0.95615716647351223</v>
      </c>
      <c r="Q7" s="136">
        <f t="shared" si="1"/>
        <v>4.3842833526487812</v>
      </c>
      <c r="R7" s="186"/>
    </row>
    <row r="8" spans="3:18">
      <c r="C8" s="188" t="s">
        <v>164</v>
      </c>
      <c r="D8" s="136">
        <v>90.51</v>
      </c>
      <c r="E8" s="136">
        <v>1.028</v>
      </c>
      <c r="F8" s="136">
        <v>88.04474708171206</v>
      </c>
      <c r="G8" s="136">
        <v>159208</v>
      </c>
      <c r="H8" s="136">
        <v>335.40800000000002</v>
      </c>
      <c r="I8" s="136">
        <v>0.29099999999999998</v>
      </c>
      <c r="J8" s="136">
        <v>53.587547969498182</v>
      </c>
      <c r="K8" s="136">
        <v>96.8092628879552</v>
      </c>
      <c r="L8" s="136">
        <v>0.55353740304292132</v>
      </c>
      <c r="M8" s="136">
        <v>226.53502473623379</v>
      </c>
      <c r="N8" s="136">
        <v>5.2899920358160673</v>
      </c>
      <c r="O8" s="136">
        <v>5.28</v>
      </c>
      <c r="P8" s="136">
        <f t="shared" si="0"/>
        <v>0.99811114350486441</v>
      </c>
      <c r="Q8" s="136">
        <f t="shared" si="1"/>
        <v>0.18888564951356432</v>
      </c>
      <c r="R8" s="186"/>
    </row>
    <row r="9" spans="3:18">
      <c r="C9" s="190"/>
      <c r="D9" s="136">
        <v>90.51</v>
      </c>
      <c r="E9" s="136">
        <v>1.0409999999999999</v>
      </c>
      <c r="F9" s="136">
        <v>86.945244956772342</v>
      </c>
      <c r="G9" s="136">
        <v>159208</v>
      </c>
      <c r="H9" s="136">
        <v>335.40800000000002</v>
      </c>
      <c r="I9" s="136">
        <v>0.29099999999999998</v>
      </c>
      <c r="J9" s="136">
        <v>53.251896329968879</v>
      </c>
      <c r="K9" s="136">
        <v>96.8092628879552</v>
      </c>
      <c r="L9" s="136">
        <v>0.55007025920238017</v>
      </c>
      <c r="M9" s="136">
        <v>228.04680485188251</v>
      </c>
      <c r="N9" s="136">
        <v>5.4608328257362251</v>
      </c>
      <c r="O9" s="136">
        <v>5.5529999999999999</v>
      </c>
      <c r="P9" s="136">
        <f t="shared" si="0"/>
        <v>1.0168778604298967</v>
      </c>
      <c r="Q9" s="136">
        <f t="shared" si="1"/>
        <v>1.687786042989678</v>
      </c>
      <c r="R9" s="186"/>
    </row>
    <row r="10" spans="3:18">
      <c r="C10" s="190"/>
      <c r="D10" s="136">
        <v>90.51</v>
      </c>
      <c r="E10" s="136">
        <v>1.0429999999999999</v>
      </c>
      <c r="F10" s="136">
        <v>86.778523489932894</v>
      </c>
      <c r="G10" s="136">
        <v>159208</v>
      </c>
      <c r="H10" s="136">
        <v>335.40800000000002</v>
      </c>
      <c r="I10" s="136">
        <v>0.29099999999999998</v>
      </c>
      <c r="J10" s="136">
        <v>53.200815362500784</v>
      </c>
      <c r="K10" s="136">
        <v>96.8092628879552</v>
      </c>
      <c r="L10" s="136">
        <v>0.54954261374837832</v>
      </c>
      <c r="M10" s="136">
        <v>228.27687431024913</v>
      </c>
      <c r="N10" s="136">
        <v>5.487366466501606</v>
      </c>
      <c r="O10" s="136">
        <v>5.2549999999999999</v>
      </c>
      <c r="P10" s="136">
        <f t="shared" si="0"/>
        <v>0.95765428317570556</v>
      </c>
      <c r="Q10" s="136">
        <f t="shared" si="1"/>
        <v>4.2345716824294426</v>
      </c>
      <c r="R10" s="186"/>
    </row>
    <row r="11" spans="3:18">
      <c r="C11" s="190"/>
      <c r="D11" s="136">
        <v>90.51</v>
      </c>
      <c r="E11" s="136">
        <v>1.0369999999999999</v>
      </c>
      <c r="F11" s="136">
        <v>87.280617164898757</v>
      </c>
      <c r="G11" s="136">
        <v>159208</v>
      </c>
      <c r="H11" s="136">
        <v>335.40800000000002</v>
      </c>
      <c r="I11" s="136">
        <v>0.29099999999999998</v>
      </c>
      <c r="J11" s="136">
        <v>53.354501234991567</v>
      </c>
      <c r="K11" s="136">
        <v>96.8092628879552</v>
      </c>
      <c r="L11" s="136">
        <v>0.55113012580978782</v>
      </c>
      <c r="M11" s="136">
        <v>227.5846707911079</v>
      </c>
      <c r="N11" s="136">
        <v>5.4079659671630287</v>
      </c>
      <c r="O11" s="136">
        <v>5.58</v>
      </c>
      <c r="P11" s="136">
        <f t="shared" si="0"/>
        <v>1.031811226971759</v>
      </c>
      <c r="Q11" s="136">
        <f t="shared" si="1"/>
        <v>3.1811226971759017</v>
      </c>
      <c r="R11" s="186"/>
    </row>
    <row r="12" spans="3:18">
      <c r="C12" s="190"/>
      <c r="D12" s="136">
        <v>90.51</v>
      </c>
      <c r="E12" s="136">
        <v>1.046</v>
      </c>
      <c r="F12" s="136">
        <v>86.529636711281071</v>
      </c>
      <c r="G12" s="136">
        <v>159208</v>
      </c>
      <c r="H12" s="136">
        <v>335.40800000000002</v>
      </c>
      <c r="I12" s="136">
        <v>0.29099999999999998</v>
      </c>
      <c r="J12" s="136">
        <v>53.124468781147911</v>
      </c>
      <c r="K12" s="136">
        <v>96.8092628879552</v>
      </c>
      <c r="L12" s="136">
        <v>0.54875398486023952</v>
      </c>
      <c r="M12" s="136">
        <v>228.62074047979581</v>
      </c>
      <c r="N12" s="136">
        <v>5.5272922349086793</v>
      </c>
      <c r="O12" s="136">
        <v>5.3559999999999999</v>
      </c>
      <c r="P12" s="136">
        <f t="shared" si="0"/>
        <v>0.96900973792794054</v>
      </c>
      <c r="Q12" s="136">
        <f t="shared" si="1"/>
        <v>3.0990262072059496</v>
      </c>
      <c r="R12" s="186"/>
    </row>
    <row r="13" spans="3:18">
      <c r="C13" s="190"/>
      <c r="D13" s="137">
        <v>90.51</v>
      </c>
      <c r="E13" s="137">
        <v>1.04</v>
      </c>
      <c r="F13" s="137">
        <v>87.02884615384616</v>
      </c>
      <c r="G13" s="137">
        <v>159208</v>
      </c>
      <c r="H13" s="137">
        <v>335.40800000000002</v>
      </c>
      <c r="I13" s="137">
        <v>0.29099999999999998</v>
      </c>
      <c r="J13" s="137">
        <v>53.277492051865011</v>
      </c>
      <c r="K13" s="137">
        <v>96.8092628879552</v>
      </c>
      <c r="L13" s="137">
        <v>0.55033465251695124</v>
      </c>
      <c r="M13" s="137">
        <v>227.93152132917277</v>
      </c>
      <c r="N13" s="137">
        <v>5.447591061090117</v>
      </c>
      <c r="O13" s="137">
        <v>5.6470000000000002</v>
      </c>
      <c r="P13" s="136">
        <f t="shared" si="0"/>
        <v>1.0366049757908919</v>
      </c>
      <c r="Q13" s="137">
        <f t="shared" si="1"/>
        <v>3.6604975790891969</v>
      </c>
      <c r="R13" s="188"/>
    </row>
    <row r="14" spans="3:18">
      <c r="C14" s="191" t="s">
        <v>166</v>
      </c>
      <c r="D14" s="136"/>
      <c r="E14" s="136"/>
      <c r="F14" s="136"/>
      <c r="G14" s="136"/>
      <c r="H14" s="136"/>
      <c r="I14" s="136"/>
      <c r="J14" s="136">
        <v>243.40520515490215</v>
      </c>
      <c r="K14" s="136">
        <v>116.04515249162264</v>
      </c>
      <c r="L14" s="136">
        <v>2.0975042897416478</v>
      </c>
      <c r="M14" s="136">
        <v>14.831717331020718</v>
      </c>
      <c r="N14" s="136">
        <v>1.6329994308858484E-2</v>
      </c>
      <c r="O14" s="136">
        <v>4.58E-2</v>
      </c>
      <c r="P14" s="136">
        <f t="shared" si="0"/>
        <v>2.8046549884683674</v>
      </c>
      <c r="Q14" s="136">
        <f t="shared" ref="Q14:Q18" si="2">ABS((N14-O14)/(N14))*100</f>
        <v>180.46549884683677</v>
      </c>
      <c r="R14" s="186" t="s">
        <v>194</v>
      </c>
    </row>
    <row r="15" spans="3:18">
      <c r="C15" s="191"/>
      <c r="D15" s="136"/>
      <c r="E15" s="136"/>
      <c r="F15" s="136"/>
      <c r="G15" s="136"/>
      <c r="H15" s="136"/>
      <c r="I15" s="136"/>
      <c r="J15" s="136">
        <v>226.59184622182613</v>
      </c>
      <c r="K15" s="136">
        <v>116.04515249162264</v>
      </c>
      <c r="L15" s="136">
        <v>1.9526179366965277</v>
      </c>
      <c r="M15" s="136">
        <v>17.114436583692541</v>
      </c>
      <c r="N15" s="136">
        <v>2.2178314531573418E-2</v>
      </c>
      <c r="O15" s="136">
        <v>5.2299999999999999E-2</v>
      </c>
      <c r="P15" s="136">
        <f t="shared" si="0"/>
        <v>2.3581593599254282</v>
      </c>
      <c r="Q15" s="136">
        <f t="shared" si="2"/>
        <v>135.81593599254285</v>
      </c>
      <c r="R15" s="186"/>
    </row>
    <row r="16" spans="3:18">
      <c r="C16" s="191"/>
      <c r="D16" s="136"/>
      <c r="E16" s="136"/>
      <c r="F16" s="136"/>
      <c r="G16" s="136"/>
      <c r="H16" s="136"/>
      <c r="I16" s="136"/>
      <c r="J16" s="136">
        <v>166.79735030432497</v>
      </c>
      <c r="K16" s="136">
        <v>116.04515249162264</v>
      </c>
      <c r="L16" s="136">
        <v>1.4373487105923373</v>
      </c>
      <c r="M16" s="136">
        <v>31.584417218020835</v>
      </c>
      <c r="N16" s="136">
        <v>7.6275684558612111E-2</v>
      </c>
      <c r="O16" s="136">
        <v>0.21099999999999999</v>
      </c>
      <c r="P16" s="136">
        <f t="shared" si="0"/>
        <v>2.766281302108307</v>
      </c>
      <c r="Q16" s="136">
        <f t="shared" si="2"/>
        <v>176.6281302108307</v>
      </c>
      <c r="R16" s="186"/>
    </row>
    <row r="17" spans="3:18">
      <c r="C17" s="191"/>
      <c r="D17" s="136"/>
      <c r="E17" s="136"/>
      <c r="F17" s="136"/>
      <c r="G17" s="136"/>
      <c r="H17" s="136"/>
      <c r="I17" s="136"/>
      <c r="J17" s="136">
        <v>147.03997668904844</v>
      </c>
      <c r="K17" s="136">
        <v>116.04515249162264</v>
      </c>
      <c r="L17" s="136">
        <v>1.2670927956224913</v>
      </c>
      <c r="M17" s="136">
        <v>40.642490422530628</v>
      </c>
      <c r="N17" s="136">
        <v>0.21581242535841413</v>
      </c>
      <c r="O17" s="136">
        <v>0.33</v>
      </c>
      <c r="P17" s="136">
        <f t="shared" si="0"/>
        <v>1.5291056548386728</v>
      </c>
      <c r="Q17" s="136">
        <f t="shared" si="2"/>
        <v>52.910565483867266</v>
      </c>
      <c r="R17" s="186"/>
    </row>
    <row r="18" spans="3:18">
      <c r="C18" s="191"/>
      <c r="D18" s="136"/>
      <c r="E18" s="136"/>
      <c r="F18" s="136"/>
      <c r="G18" s="136"/>
      <c r="H18" s="136"/>
      <c r="I18" s="136"/>
      <c r="J18" s="136">
        <v>118.62125819201557</v>
      </c>
      <c r="K18" s="136">
        <v>116.04515249162264</v>
      </c>
      <c r="L18" s="136">
        <v>1.0221991668336072</v>
      </c>
      <c r="M18" s="136">
        <v>62.44908939281769</v>
      </c>
      <c r="N18" s="136">
        <v>0.50952798446777847</v>
      </c>
      <c r="O18" s="136">
        <v>0.65</v>
      </c>
      <c r="P18" s="136">
        <f t="shared" si="0"/>
        <v>1.2756904818072945</v>
      </c>
      <c r="Q18" s="136">
        <f t="shared" si="2"/>
        <v>27.569048180729457</v>
      </c>
      <c r="R18" s="186"/>
    </row>
    <row r="19" spans="3:18">
      <c r="C19" s="191"/>
      <c r="D19" s="136"/>
      <c r="E19" s="136"/>
      <c r="F19" s="136"/>
      <c r="G19" s="136"/>
      <c r="H19" s="136"/>
      <c r="I19" s="136"/>
      <c r="J19" s="136">
        <v>102.17961161212421</v>
      </c>
      <c r="K19" s="136">
        <v>116.04515249162264</v>
      </c>
      <c r="L19" s="136">
        <v>0.88051598380639462</v>
      </c>
      <c r="M19" s="136">
        <v>84.163282882439617</v>
      </c>
      <c r="N19" s="136">
        <v>0.92546746558979398</v>
      </c>
      <c r="O19" s="136">
        <v>1.1719999999999999</v>
      </c>
      <c r="P19" s="136">
        <f t="shared" si="0"/>
        <v>1.2663870352839388</v>
      </c>
      <c r="Q19" s="136">
        <f>ABS((N19-O19)/(N19))*100</f>
        <v>26.638703528393886</v>
      </c>
      <c r="R19" s="186"/>
    </row>
  </sheetData>
  <autoFilter ref="C2:R2" xr:uid="{D999E43D-C67B-476C-8369-C31461A73C6B}">
    <filterColumn colId="1" showButton="0"/>
    <filterColumn colId="4" showButton="0"/>
  </autoFilter>
  <mergeCells count="9">
    <mergeCell ref="G2:H2"/>
    <mergeCell ref="R3:R4"/>
    <mergeCell ref="R5:R13"/>
    <mergeCell ref="R14:R19"/>
    <mergeCell ref="C5:C7"/>
    <mergeCell ref="C8:C13"/>
    <mergeCell ref="C14:C19"/>
    <mergeCell ref="C3:C4"/>
    <mergeCell ref="D2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A595-5213-465F-9FB2-37C1E9566433}">
  <dimension ref="D2:K82"/>
  <sheetViews>
    <sheetView topLeftCell="A8" zoomScale="85" zoomScaleNormal="85" workbookViewId="0">
      <selection activeCell="H26" sqref="H26"/>
    </sheetView>
  </sheetViews>
  <sheetFormatPr defaultRowHeight="14.5"/>
  <cols>
    <col min="4" max="5" width="8.7265625" style="117"/>
  </cols>
  <sheetData>
    <row r="2" spans="4:11">
      <c r="D2" s="193" t="s">
        <v>171</v>
      </c>
      <c r="E2" s="193"/>
      <c r="G2" s="193" t="s">
        <v>172</v>
      </c>
      <c r="H2" s="193"/>
      <c r="J2" t="s">
        <v>191</v>
      </c>
    </row>
    <row r="3" spans="4:11">
      <c r="D3" s="117" t="s">
        <v>140</v>
      </c>
      <c r="E3" s="117" t="s">
        <v>170</v>
      </c>
      <c r="G3" s="117" t="s">
        <v>140</v>
      </c>
      <c r="H3" s="117" t="s">
        <v>170</v>
      </c>
      <c r="J3" s="117" t="s">
        <v>140</v>
      </c>
      <c r="K3" s="117" t="s">
        <v>170</v>
      </c>
    </row>
    <row r="4" spans="4:11">
      <c r="D4" s="118">
        <v>0</v>
      </c>
      <c r="E4" s="118">
        <v>0.6</v>
      </c>
      <c r="G4" s="118">
        <v>0</v>
      </c>
      <c r="H4" s="118">
        <v>1</v>
      </c>
      <c r="J4" s="118">
        <v>0</v>
      </c>
      <c r="K4" s="118">
        <v>1</v>
      </c>
    </row>
    <row r="5" spans="4:11">
      <c r="D5" s="118">
        <v>0.1</v>
      </c>
      <c r="E5" s="118">
        <v>0.6</v>
      </c>
      <c r="G5" s="118">
        <v>0.05</v>
      </c>
      <c r="H5" s="118">
        <v>1</v>
      </c>
      <c r="J5" s="118">
        <v>0.1</v>
      </c>
      <c r="K5" s="118">
        <v>1</v>
      </c>
    </row>
    <row r="6" spans="4:11">
      <c r="D6" s="118">
        <v>0.2</v>
      </c>
      <c r="E6" s="118">
        <v>0.6</v>
      </c>
      <c r="G6" s="118">
        <v>0.1</v>
      </c>
      <c r="H6" s="118">
        <v>1</v>
      </c>
      <c r="J6" s="118">
        <v>0.2</v>
      </c>
      <c r="K6" s="118">
        <v>1</v>
      </c>
    </row>
    <row r="7" spans="4:11">
      <c r="D7" s="118">
        <v>0.3</v>
      </c>
      <c r="E7" s="118">
        <v>0.6</v>
      </c>
      <c r="G7" s="118">
        <v>0.15</v>
      </c>
      <c r="H7" s="118">
        <v>1</v>
      </c>
      <c r="J7" s="118">
        <v>0.3</v>
      </c>
      <c r="K7" s="118">
        <v>1</v>
      </c>
    </row>
    <row r="8" spans="4:11">
      <c r="D8" s="118">
        <v>0.4</v>
      </c>
      <c r="E8" s="118">
        <f>(0.888-0.72*D8)</f>
        <v>0.60000000000000009</v>
      </c>
      <c r="G8" s="118">
        <v>0.2</v>
      </c>
      <c r="H8" s="118">
        <v>1</v>
      </c>
      <c r="J8" s="118">
        <v>0.4</v>
      </c>
      <c r="K8" s="118">
        <v>1</v>
      </c>
    </row>
    <row r="9" spans="4:11">
      <c r="D9" s="119">
        <v>0.41</v>
      </c>
      <c r="E9" s="119">
        <f>(0.888-0.72*D9)</f>
        <v>0.59279999999999999</v>
      </c>
      <c r="G9" s="118">
        <v>0.25</v>
      </c>
      <c r="H9" s="118">
        <v>1</v>
      </c>
      <c r="J9" s="119">
        <v>0.41</v>
      </c>
      <c r="K9" s="119">
        <f>(1.3914-0.9785*D9)</f>
        <v>0.99021499999999996</v>
      </c>
    </row>
    <row r="10" spans="4:11">
      <c r="D10" s="119">
        <v>0.42</v>
      </c>
      <c r="E10" s="119">
        <f t="shared" ref="E10:E21" si="0">(0.888-0.72*D10)</f>
        <v>0.58560000000000001</v>
      </c>
      <c r="G10" s="118">
        <v>0.3</v>
      </c>
      <c r="H10" s="118">
        <v>1</v>
      </c>
      <c r="J10" s="119">
        <v>0.42</v>
      </c>
      <c r="K10" s="119">
        <f t="shared" ref="K10:K21" si="1">(1.3914-0.9785*D10)</f>
        <v>0.98042999999999991</v>
      </c>
    </row>
    <row r="11" spans="4:11">
      <c r="D11" s="119">
        <v>0.43</v>
      </c>
      <c r="E11" s="119">
        <f t="shared" si="0"/>
        <v>0.57840000000000003</v>
      </c>
      <c r="G11" s="118">
        <v>0.30399999999999999</v>
      </c>
      <c r="H11" s="118">
        <v>1</v>
      </c>
      <c r="J11" s="119">
        <v>0.43</v>
      </c>
      <c r="K11" s="119">
        <f t="shared" si="1"/>
        <v>0.97064499999999998</v>
      </c>
    </row>
    <row r="12" spans="4:11">
      <c r="D12" s="119">
        <v>0.44</v>
      </c>
      <c r="E12" s="119">
        <f t="shared" si="0"/>
        <v>0.57120000000000004</v>
      </c>
      <c r="G12" s="119">
        <v>0.30499999999999999</v>
      </c>
      <c r="H12" s="121">
        <f>(1.395-1.3*G12)</f>
        <v>0.99849999999999994</v>
      </c>
      <c r="J12" s="119">
        <v>0.44</v>
      </c>
      <c r="K12" s="119">
        <f t="shared" si="1"/>
        <v>0.96085999999999994</v>
      </c>
    </row>
    <row r="13" spans="4:11">
      <c r="D13" s="119">
        <v>0.45</v>
      </c>
      <c r="E13" s="119">
        <f t="shared" si="0"/>
        <v>0.56400000000000006</v>
      </c>
      <c r="G13" s="119">
        <v>0.41</v>
      </c>
      <c r="H13" s="121">
        <f t="shared" ref="H13:H25" si="2">(1.395-1.3*G13)</f>
        <v>0.86199999999999999</v>
      </c>
      <c r="J13" s="119">
        <v>0.45</v>
      </c>
      <c r="K13" s="119">
        <f t="shared" si="1"/>
        <v>0.95107499999999989</v>
      </c>
    </row>
    <row r="14" spans="4:11">
      <c r="D14" s="119">
        <v>0.46</v>
      </c>
      <c r="E14" s="119">
        <f t="shared" si="0"/>
        <v>0.55679999999999996</v>
      </c>
      <c r="G14" s="119">
        <v>0.42</v>
      </c>
      <c r="H14" s="121">
        <f t="shared" si="2"/>
        <v>0.84899999999999998</v>
      </c>
      <c r="J14" s="119">
        <v>0.46</v>
      </c>
      <c r="K14" s="119">
        <f t="shared" si="1"/>
        <v>0.94128999999999996</v>
      </c>
    </row>
    <row r="15" spans="4:11">
      <c r="D15" s="119">
        <v>0.47</v>
      </c>
      <c r="E15" s="119">
        <f t="shared" si="0"/>
        <v>0.54960000000000009</v>
      </c>
      <c r="G15" s="119">
        <v>0.43</v>
      </c>
      <c r="H15" s="121">
        <f t="shared" si="2"/>
        <v>0.83599999999999997</v>
      </c>
      <c r="J15" s="119">
        <v>0.47</v>
      </c>
      <c r="K15" s="119">
        <f t="shared" si="1"/>
        <v>0.93150500000000003</v>
      </c>
    </row>
    <row r="16" spans="4:11">
      <c r="D16" s="119">
        <v>0.48</v>
      </c>
      <c r="E16" s="119">
        <f t="shared" si="0"/>
        <v>0.54239999999999999</v>
      </c>
      <c r="G16" s="119">
        <v>0.44</v>
      </c>
      <c r="H16" s="121">
        <f t="shared" si="2"/>
        <v>0.82299999999999995</v>
      </c>
      <c r="J16" s="119">
        <v>0.48</v>
      </c>
      <c r="K16" s="119">
        <f t="shared" si="1"/>
        <v>0.92171999999999998</v>
      </c>
    </row>
    <row r="17" spans="4:11">
      <c r="D17" s="119">
        <v>0.5</v>
      </c>
      <c r="E17" s="119">
        <f t="shared" si="0"/>
        <v>0.52800000000000002</v>
      </c>
      <c r="G17" s="119">
        <v>0.45</v>
      </c>
      <c r="H17" s="121">
        <f t="shared" si="2"/>
        <v>0.80999999999999994</v>
      </c>
      <c r="J17" s="119">
        <v>0.5</v>
      </c>
      <c r="K17" s="119">
        <f t="shared" si="1"/>
        <v>0.90215000000000001</v>
      </c>
    </row>
    <row r="18" spans="4:11">
      <c r="D18" s="119">
        <v>0.6</v>
      </c>
      <c r="E18" s="119">
        <f t="shared" si="0"/>
        <v>0.45600000000000002</v>
      </c>
      <c r="G18" s="119">
        <v>0.46</v>
      </c>
      <c r="H18" s="121">
        <f t="shared" si="2"/>
        <v>0.79699999999999993</v>
      </c>
      <c r="J18" s="119">
        <v>0.6</v>
      </c>
      <c r="K18" s="119">
        <f t="shared" si="1"/>
        <v>0.80430000000000001</v>
      </c>
    </row>
    <row r="19" spans="4:11">
      <c r="D19" s="119">
        <v>0.7</v>
      </c>
      <c r="E19" s="119">
        <f t="shared" si="0"/>
        <v>0.38400000000000001</v>
      </c>
      <c r="G19" s="119">
        <v>0.47</v>
      </c>
      <c r="H19" s="121">
        <f t="shared" si="2"/>
        <v>0.78400000000000003</v>
      </c>
      <c r="J19" s="119">
        <v>0.7</v>
      </c>
      <c r="K19" s="119">
        <f t="shared" si="1"/>
        <v>0.70645000000000002</v>
      </c>
    </row>
    <row r="20" spans="4:11">
      <c r="D20" s="119">
        <v>0.8</v>
      </c>
      <c r="E20" s="119">
        <f t="shared" si="0"/>
        <v>0.31200000000000006</v>
      </c>
      <c r="G20" s="119">
        <v>0.48</v>
      </c>
      <c r="H20" s="121">
        <f t="shared" si="2"/>
        <v>0.77100000000000002</v>
      </c>
      <c r="J20" s="119">
        <v>0.8</v>
      </c>
      <c r="K20" s="119">
        <f t="shared" si="1"/>
        <v>0.60859999999999992</v>
      </c>
    </row>
    <row r="21" spans="4:11">
      <c r="D21" s="119">
        <v>0.83330000000000004</v>
      </c>
      <c r="E21" s="119">
        <f t="shared" si="0"/>
        <v>0.28802400000000006</v>
      </c>
      <c r="G21" s="119">
        <v>0.5</v>
      </c>
      <c r="H21" s="121">
        <f t="shared" si="2"/>
        <v>0.745</v>
      </c>
      <c r="J21" s="119">
        <v>0.83330000000000004</v>
      </c>
      <c r="K21" s="119">
        <f t="shared" si="1"/>
        <v>0.57601594999999994</v>
      </c>
    </row>
    <row r="22" spans="4:11">
      <c r="D22" s="120">
        <v>0.85</v>
      </c>
      <c r="E22" s="120">
        <f>0.2*(D22)^-2</f>
        <v>0.27681660899653981</v>
      </c>
      <c r="G22" s="119">
        <v>0.6</v>
      </c>
      <c r="H22" s="121">
        <f t="shared" si="2"/>
        <v>0.61499999999999999</v>
      </c>
      <c r="J22" s="120">
        <v>0.85</v>
      </c>
      <c r="K22" s="120">
        <f>0.4*(J22)^-2</f>
        <v>0.55363321799307963</v>
      </c>
    </row>
    <row r="23" spans="4:11">
      <c r="D23" s="120">
        <v>0.88</v>
      </c>
      <c r="E23" s="120">
        <f t="shared" ref="E23:E52" si="3">0.2*(D23)^-2</f>
        <v>0.25826446280991738</v>
      </c>
      <c r="G23" s="119">
        <v>0.7</v>
      </c>
      <c r="H23" s="121">
        <f t="shared" si="2"/>
        <v>0.4850000000000001</v>
      </c>
      <c r="J23" s="120">
        <v>0.88</v>
      </c>
      <c r="K23" s="120">
        <f t="shared" ref="K23:K77" si="4">0.4*(J23)^-2</f>
        <v>0.51652892561983477</v>
      </c>
    </row>
    <row r="24" spans="4:11">
      <c r="D24" s="120">
        <v>0.89</v>
      </c>
      <c r="E24" s="120">
        <f t="shared" si="3"/>
        <v>0.2524933720489837</v>
      </c>
      <c r="G24" s="119">
        <v>0.8</v>
      </c>
      <c r="H24" s="121">
        <f t="shared" si="2"/>
        <v>0.35499999999999998</v>
      </c>
      <c r="J24" s="120">
        <v>0.89</v>
      </c>
      <c r="K24" s="120">
        <f t="shared" si="4"/>
        <v>0.5049867440979674</v>
      </c>
    </row>
    <row r="25" spans="4:11">
      <c r="D25" s="120">
        <v>0.89500000000000002</v>
      </c>
      <c r="E25" s="120">
        <f t="shared" si="3"/>
        <v>0.249680097375238</v>
      </c>
      <c r="G25" s="119">
        <v>0.83330000000000004</v>
      </c>
      <c r="H25" s="121">
        <f t="shared" si="2"/>
        <v>0.31170999999999993</v>
      </c>
      <c r="J25" s="120">
        <v>0.89500000000000002</v>
      </c>
      <c r="K25" s="120">
        <f t="shared" si="4"/>
        <v>0.49936019475047599</v>
      </c>
    </row>
    <row r="26" spans="4:11">
      <c r="D26" s="120">
        <v>0.9</v>
      </c>
      <c r="E26" s="120">
        <f t="shared" si="3"/>
        <v>0.24691358024691357</v>
      </c>
      <c r="G26" s="120">
        <v>0.84</v>
      </c>
      <c r="H26" s="122">
        <f>0.215*(G26)^-2</f>
        <v>0.30470521541950119</v>
      </c>
      <c r="J26" s="120">
        <v>0.9</v>
      </c>
      <c r="K26" s="120">
        <f t="shared" si="4"/>
        <v>0.49382716049382713</v>
      </c>
    </row>
    <row r="27" spans="4:11">
      <c r="D27" s="120">
        <v>1</v>
      </c>
      <c r="E27" s="120">
        <f t="shared" si="3"/>
        <v>0.2</v>
      </c>
      <c r="G27" s="120">
        <v>0.85</v>
      </c>
      <c r="H27" s="122">
        <f t="shared" ref="H27:H42" si="5">0.215*(G27)^-2</f>
        <v>0.29757785467128028</v>
      </c>
      <c r="J27" s="120">
        <v>1</v>
      </c>
      <c r="K27" s="120">
        <f t="shared" si="4"/>
        <v>0.4</v>
      </c>
    </row>
    <row r="28" spans="4:11">
      <c r="D28" s="120">
        <v>1.1000000000000001</v>
      </c>
      <c r="E28" s="120">
        <f t="shared" si="3"/>
        <v>0.16528925619834711</v>
      </c>
      <c r="G28" s="120">
        <v>0.88</v>
      </c>
      <c r="H28" s="122">
        <f t="shared" si="5"/>
        <v>0.27763429752066116</v>
      </c>
      <c r="J28" s="120">
        <v>1.1000000000000001</v>
      </c>
      <c r="K28" s="120">
        <f t="shared" si="4"/>
        <v>0.33057851239669422</v>
      </c>
    </row>
    <row r="29" spans="4:11">
      <c r="D29" s="120">
        <v>1.2</v>
      </c>
      <c r="E29" s="120">
        <f t="shared" si="3"/>
        <v>0.1388888888888889</v>
      </c>
      <c r="G29" s="120">
        <v>0.89</v>
      </c>
      <c r="H29" s="122">
        <f t="shared" si="5"/>
        <v>0.27143037495265748</v>
      </c>
      <c r="J29" s="120">
        <v>1.2</v>
      </c>
      <c r="K29" s="120">
        <f t="shared" si="4"/>
        <v>0.27777777777777779</v>
      </c>
    </row>
    <row r="30" spans="4:11">
      <c r="D30" s="120">
        <v>1.3</v>
      </c>
      <c r="E30" s="120">
        <f t="shared" si="3"/>
        <v>0.11834319526627218</v>
      </c>
      <c r="G30" s="120">
        <v>0.89500000000000002</v>
      </c>
      <c r="H30" s="122">
        <f t="shared" si="5"/>
        <v>0.26840610467838083</v>
      </c>
      <c r="J30" s="120">
        <v>1.3</v>
      </c>
      <c r="K30" s="120">
        <f t="shared" si="4"/>
        <v>0.23668639053254437</v>
      </c>
    </row>
    <row r="31" spans="4:11">
      <c r="D31" s="120">
        <v>1.4</v>
      </c>
      <c r="E31" s="120">
        <f t="shared" si="3"/>
        <v>0.10204081632653064</v>
      </c>
      <c r="G31" s="120">
        <v>0.9</v>
      </c>
      <c r="H31" s="122">
        <f t="shared" si="5"/>
        <v>0.26543209876543206</v>
      </c>
      <c r="J31" s="120">
        <v>1.4</v>
      </c>
      <c r="K31" s="120">
        <f t="shared" si="4"/>
        <v>0.20408163265306128</v>
      </c>
    </row>
    <row r="32" spans="4:11">
      <c r="D32" s="120">
        <v>1.5</v>
      </c>
      <c r="E32" s="120">
        <f t="shared" si="3"/>
        <v>8.8888888888888892E-2</v>
      </c>
      <c r="G32" s="120">
        <v>1</v>
      </c>
      <c r="H32" s="122">
        <f t="shared" si="5"/>
        <v>0.215</v>
      </c>
      <c r="J32" s="120">
        <v>1.5</v>
      </c>
      <c r="K32" s="120">
        <f t="shared" si="4"/>
        <v>0.17777777777777778</v>
      </c>
    </row>
    <row r="33" spans="4:11">
      <c r="D33" s="120">
        <v>1.6</v>
      </c>
      <c r="E33" s="120">
        <f t="shared" si="3"/>
        <v>7.8125E-2</v>
      </c>
      <c r="G33" s="120">
        <v>1.1000000000000001</v>
      </c>
      <c r="H33" s="122">
        <f t="shared" si="5"/>
        <v>0.17768595041322313</v>
      </c>
      <c r="J33" s="120">
        <v>1.6</v>
      </c>
      <c r="K33" s="120">
        <f t="shared" si="4"/>
        <v>0.15625</v>
      </c>
    </row>
    <row r="34" spans="4:11">
      <c r="D34" s="120">
        <v>1.7</v>
      </c>
      <c r="E34" s="120">
        <f t="shared" si="3"/>
        <v>6.9204152249134954E-2</v>
      </c>
      <c r="G34" s="120">
        <v>1.2</v>
      </c>
      <c r="H34" s="122">
        <f t="shared" si="5"/>
        <v>0.14930555555555555</v>
      </c>
      <c r="J34" s="120">
        <v>1.7</v>
      </c>
      <c r="K34" s="120">
        <f t="shared" si="4"/>
        <v>0.13840830449826991</v>
      </c>
    </row>
    <row r="35" spans="4:11">
      <c r="D35" s="120">
        <v>1.8</v>
      </c>
      <c r="E35" s="120">
        <f t="shared" si="3"/>
        <v>6.1728395061728392E-2</v>
      </c>
      <c r="G35" s="120">
        <v>1.3</v>
      </c>
      <c r="H35" s="122">
        <f t="shared" si="5"/>
        <v>0.12721893491124259</v>
      </c>
      <c r="J35" s="120">
        <v>1.8</v>
      </c>
      <c r="K35" s="120">
        <f t="shared" si="4"/>
        <v>0.12345679012345678</v>
      </c>
    </row>
    <row r="36" spans="4:11">
      <c r="D36" s="120">
        <v>1.9</v>
      </c>
      <c r="E36" s="120">
        <f t="shared" si="3"/>
        <v>5.5401662049861501E-2</v>
      </c>
      <c r="G36" s="120">
        <v>1.4</v>
      </c>
      <c r="H36" s="122">
        <f t="shared" si="5"/>
        <v>0.10969387755102043</v>
      </c>
      <c r="J36" s="120">
        <v>1.9</v>
      </c>
      <c r="K36" s="120">
        <f t="shared" si="4"/>
        <v>0.110803324099723</v>
      </c>
    </row>
    <row r="37" spans="4:11">
      <c r="D37" s="120">
        <v>2</v>
      </c>
      <c r="E37" s="120">
        <f t="shared" si="3"/>
        <v>0.05</v>
      </c>
      <c r="G37" s="120">
        <v>1.5</v>
      </c>
      <c r="H37" s="122">
        <f t="shared" si="5"/>
        <v>9.5555555555555546E-2</v>
      </c>
      <c r="J37" s="120">
        <v>2</v>
      </c>
      <c r="K37" s="120">
        <f t="shared" si="4"/>
        <v>0.1</v>
      </c>
    </row>
    <row r="38" spans="4:11">
      <c r="D38" s="120">
        <v>2.1</v>
      </c>
      <c r="E38" s="120">
        <f t="shared" si="3"/>
        <v>4.5351473922902494E-2</v>
      </c>
      <c r="G38" s="120">
        <v>1.6</v>
      </c>
      <c r="H38" s="122">
        <f t="shared" si="5"/>
        <v>8.3984374999999986E-2</v>
      </c>
      <c r="J38" s="120">
        <v>2.1</v>
      </c>
      <c r="K38" s="120">
        <f t="shared" si="4"/>
        <v>9.0702947845804988E-2</v>
      </c>
    </row>
    <row r="39" spans="4:11">
      <c r="D39" s="120">
        <v>2.2000000000000002</v>
      </c>
      <c r="E39" s="120">
        <f t="shared" si="3"/>
        <v>4.1322314049586778E-2</v>
      </c>
      <c r="G39" s="120">
        <v>1.7</v>
      </c>
      <c r="H39" s="122">
        <f t="shared" si="5"/>
        <v>7.4394463667820071E-2</v>
      </c>
      <c r="J39" s="120">
        <v>2.2000000000000002</v>
      </c>
      <c r="K39" s="120">
        <f t="shared" si="4"/>
        <v>8.2644628099173556E-2</v>
      </c>
    </row>
    <row r="40" spans="4:11">
      <c r="D40" s="120">
        <v>2.2999999999999998</v>
      </c>
      <c r="E40" s="120">
        <f t="shared" si="3"/>
        <v>3.7807183364839327E-2</v>
      </c>
      <c r="G40" s="120">
        <v>1.8</v>
      </c>
      <c r="H40" s="122">
        <f t="shared" si="5"/>
        <v>6.6358024691358014E-2</v>
      </c>
      <c r="J40" s="120">
        <v>2.2999999999999998</v>
      </c>
      <c r="K40" s="120">
        <f t="shared" si="4"/>
        <v>7.5614366729678653E-2</v>
      </c>
    </row>
    <row r="41" spans="4:11">
      <c r="D41" s="120">
        <v>2.4</v>
      </c>
      <c r="E41" s="120">
        <f t="shared" si="3"/>
        <v>3.4722222222222224E-2</v>
      </c>
      <c r="G41" s="120">
        <v>1.9</v>
      </c>
      <c r="H41" s="122">
        <f t="shared" si="5"/>
        <v>5.9556786703601108E-2</v>
      </c>
      <c r="J41" s="120">
        <v>2.4</v>
      </c>
      <c r="K41" s="120">
        <f t="shared" si="4"/>
        <v>6.9444444444444448E-2</v>
      </c>
    </row>
    <row r="42" spans="4:11">
      <c r="D42" s="120">
        <v>2.5</v>
      </c>
      <c r="E42" s="120">
        <f t="shared" si="3"/>
        <v>3.2000000000000001E-2</v>
      </c>
      <c r="G42" s="120">
        <v>2</v>
      </c>
      <c r="H42" s="122">
        <f t="shared" si="5"/>
        <v>5.3749999999999999E-2</v>
      </c>
      <c r="J42" s="120">
        <v>2.5</v>
      </c>
      <c r="K42" s="120">
        <f t="shared" si="4"/>
        <v>6.4000000000000001E-2</v>
      </c>
    </row>
    <row r="43" spans="4:11">
      <c r="D43" s="120">
        <v>2.6</v>
      </c>
      <c r="E43" s="120">
        <f t="shared" si="3"/>
        <v>2.9585798816568046E-2</v>
      </c>
      <c r="G43" s="120">
        <v>2.1</v>
      </c>
      <c r="H43" s="122">
        <f t="shared" ref="H43:H77" si="6">0.215*(G43)^-2</f>
        <v>4.8752834467120178E-2</v>
      </c>
      <c r="J43" s="120">
        <v>2.6</v>
      </c>
      <c r="K43" s="120">
        <f t="shared" si="4"/>
        <v>5.9171597633136092E-2</v>
      </c>
    </row>
    <row r="44" spans="4:11">
      <c r="D44" s="120">
        <v>2.7</v>
      </c>
      <c r="E44" s="120">
        <f t="shared" si="3"/>
        <v>2.743484224965706E-2</v>
      </c>
      <c r="G44" s="120">
        <v>2.2000000000000002</v>
      </c>
      <c r="H44" s="122">
        <f t="shared" si="6"/>
        <v>4.4421487603305783E-2</v>
      </c>
      <c r="J44" s="120">
        <v>2.7</v>
      </c>
      <c r="K44" s="120">
        <f t="shared" si="4"/>
        <v>5.486968449931412E-2</v>
      </c>
    </row>
    <row r="45" spans="4:11">
      <c r="D45" s="120">
        <v>2.8</v>
      </c>
      <c r="E45" s="120">
        <f t="shared" si="3"/>
        <v>2.5510204081632661E-2</v>
      </c>
      <c r="G45" s="120">
        <v>2.2999999999999998</v>
      </c>
      <c r="H45" s="122">
        <f t="shared" si="6"/>
        <v>4.0642722117202275E-2</v>
      </c>
      <c r="J45" s="120">
        <v>2.8</v>
      </c>
      <c r="K45" s="120">
        <f t="shared" si="4"/>
        <v>5.1020408163265321E-2</v>
      </c>
    </row>
    <row r="46" spans="4:11">
      <c r="D46" s="120">
        <v>2.9</v>
      </c>
      <c r="E46" s="120">
        <f t="shared" si="3"/>
        <v>2.3781212841854936E-2</v>
      </c>
      <c r="G46" s="120">
        <v>2.4</v>
      </c>
      <c r="H46" s="122">
        <f t="shared" si="6"/>
        <v>3.7326388888888888E-2</v>
      </c>
      <c r="J46" s="120">
        <v>2.9</v>
      </c>
      <c r="K46" s="120">
        <f t="shared" si="4"/>
        <v>4.7562425683709872E-2</v>
      </c>
    </row>
    <row r="47" spans="4:11">
      <c r="D47" s="120">
        <v>3</v>
      </c>
      <c r="E47" s="120">
        <f t="shared" si="3"/>
        <v>2.2222222222222223E-2</v>
      </c>
      <c r="G47" s="120">
        <v>2.5</v>
      </c>
      <c r="H47" s="122">
        <f t="shared" si="6"/>
        <v>3.44E-2</v>
      </c>
      <c r="J47" s="120">
        <v>3</v>
      </c>
      <c r="K47" s="120">
        <f t="shared" si="4"/>
        <v>4.4444444444444446E-2</v>
      </c>
    </row>
    <row r="48" spans="4:11">
      <c r="D48" s="120">
        <v>3.1</v>
      </c>
      <c r="E48" s="120">
        <f t="shared" si="3"/>
        <v>2.0811654526534856E-2</v>
      </c>
      <c r="G48" s="120">
        <v>2.6</v>
      </c>
      <c r="H48" s="122">
        <f t="shared" si="6"/>
        <v>3.1804733727810647E-2</v>
      </c>
      <c r="J48" s="120">
        <v>3.1</v>
      </c>
      <c r="K48" s="120">
        <f t="shared" si="4"/>
        <v>4.1623309053069713E-2</v>
      </c>
    </row>
    <row r="49" spans="4:11">
      <c r="D49" s="120">
        <v>3.2</v>
      </c>
      <c r="E49" s="120">
        <f t="shared" si="3"/>
        <v>1.953125E-2</v>
      </c>
      <c r="G49" s="120">
        <v>2.7</v>
      </c>
      <c r="H49" s="122">
        <f t="shared" si="6"/>
        <v>2.9492455418381337E-2</v>
      </c>
      <c r="J49" s="120">
        <v>3.2</v>
      </c>
      <c r="K49" s="120">
        <f t="shared" si="4"/>
        <v>3.90625E-2</v>
      </c>
    </row>
    <row r="50" spans="4:11">
      <c r="D50" s="120">
        <v>3.3</v>
      </c>
      <c r="E50" s="120">
        <f t="shared" si="3"/>
        <v>1.8365472910927459E-2</v>
      </c>
      <c r="G50" s="120">
        <v>2.8</v>
      </c>
      <c r="H50" s="122">
        <f t="shared" si="6"/>
        <v>2.7423469387755108E-2</v>
      </c>
      <c r="J50" s="120">
        <v>3.3</v>
      </c>
      <c r="K50" s="120">
        <f t="shared" si="4"/>
        <v>3.6730945821854918E-2</v>
      </c>
    </row>
    <row r="51" spans="4:11">
      <c r="D51" s="120">
        <v>3.4</v>
      </c>
      <c r="E51" s="120">
        <f t="shared" si="3"/>
        <v>1.7301038062283738E-2</v>
      </c>
      <c r="G51" s="120">
        <v>2.9</v>
      </c>
      <c r="H51" s="122">
        <f t="shared" si="6"/>
        <v>2.5564803804994055E-2</v>
      </c>
      <c r="J51" s="120">
        <v>3.4</v>
      </c>
      <c r="K51" s="120">
        <f t="shared" si="4"/>
        <v>3.4602076124567477E-2</v>
      </c>
    </row>
    <row r="52" spans="4:11">
      <c r="D52" s="120">
        <v>3.5</v>
      </c>
      <c r="E52" s="120">
        <f t="shared" si="3"/>
        <v>1.6326530612244896E-2</v>
      </c>
      <c r="G52" s="120">
        <v>3</v>
      </c>
      <c r="H52" s="122">
        <f t="shared" si="6"/>
        <v>2.3888888888888887E-2</v>
      </c>
      <c r="J52" s="120">
        <v>3.5</v>
      </c>
      <c r="K52" s="120">
        <f t="shared" si="4"/>
        <v>3.2653061224489792E-2</v>
      </c>
    </row>
    <row r="53" spans="4:11">
      <c r="D53" s="120">
        <v>3.6</v>
      </c>
      <c r="E53" s="120">
        <f t="shared" ref="E53:E61" si="7">0.2*(D53)^-2</f>
        <v>1.5432098765432098E-2</v>
      </c>
      <c r="G53" s="120">
        <v>3.1</v>
      </c>
      <c r="H53" s="122">
        <f t="shared" si="6"/>
        <v>2.237252861602497E-2</v>
      </c>
      <c r="J53" s="120">
        <v>3.6</v>
      </c>
      <c r="K53" s="120">
        <f t="shared" si="4"/>
        <v>3.0864197530864196E-2</v>
      </c>
    </row>
    <row r="54" spans="4:11">
      <c r="D54" s="120">
        <v>3.7</v>
      </c>
      <c r="E54" s="120">
        <f t="shared" si="7"/>
        <v>1.4609203798392987E-2</v>
      </c>
      <c r="G54" s="120">
        <v>3.2</v>
      </c>
      <c r="H54" s="122">
        <f t="shared" si="6"/>
        <v>2.0996093749999997E-2</v>
      </c>
      <c r="J54" s="120">
        <v>3.7</v>
      </c>
      <c r="K54" s="120">
        <f t="shared" si="4"/>
        <v>2.9218407596785973E-2</v>
      </c>
    </row>
    <row r="55" spans="4:11">
      <c r="D55" s="120">
        <v>3.8</v>
      </c>
      <c r="E55" s="120">
        <f t="shared" si="7"/>
        <v>1.3850415512465375E-2</v>
      </c>
      <c r="G55" s="120">
        <v>3.3</v>
      </c>
      <c r="H55" s="122">
        <f t="shared" si="6"/>
        <v>1.9742883379247018E-2</v>
      </c>
      <c r="J55" s="120">
        <v>3.8</v>
      </c>
      <c r="K55" s="120">
        <f t="shared" si="4"/>
        <v>2.7700831024930751E-2</v>
      </c>
    </row>
    <row r="56" spans="4:11">
      <c r="D56" s="120">
        <v>3.9</v>
      </c>
      <c r="E56" s="120">
        <f t="shared" si="7"/>
        <v>1.3149243918474688E-2</v>
      </c>
      <c r="G56" s="120">
        <v>3.4</v>
      </c>
      <c r="H56" s="122">
        <f t="shared" si="6"/>
        <v>1.8598615916955018E-2</v>
      </c>
      <c r="J56" s="120">
        <v>3.9</v>
      </c>
      <c r="K56" s="120">
        <f t="shared" si="4"/>
        <v>2.6298487836949377E-2</v>
      </c>
    </row>
    <row r="57" spans="4:11">
      <c r="D57" s="120">
        <v>4</v>
      </c>
      <c r="E57" s="120">
        <f t="shared" si="7"/>
        <v>1.2500000000000001E-2</v>
      </c>
      <c r="G57" s="120">
        <v>3.5</v>
      </c>
      <c r="H57" s="122">
        <f t="shared" si="6"/>
        <v>1.7551020408163264E-2</v>
      </c>
      <c r="J57" s="120">
        <v>4</v>
      </c>
      <c r="K57" s="120">
        <f t="shared" si="4"/>
        <v>2.5000000000000001E-2</v>
      </c>
    </row>
    <row r="58" spans="4:11">
      <c r="D58" s="120">
        <v>4.0999999999999996</v>
      </c>
      <c r="E58" s="120">
        <f t="shared" si="7"/>
        <v>1.1897679952409281E-2</v>
      </c>
      <c r="G58" s="120">
        <v>3.6</v>
      </c>
      <c r="H58" s="122">
        <f t="shared" si="6"/>
        <v>1.6589506172839504E-2</v>
      </c>
      <c r="J58" s="120">
        <v>4.0999999999999996</v>
      </c>
      <c r="K58" s="120">
        <f t="shared" si="4"/>
        <v>2.3795359904818562E-2</v>
      </c>
    </row>
    <row r="59" spans="4:11">
      <c r="D59" s="120">
        <v>4.2</v>
      </c>
      <c r="E59" s="120">
        <f t="shared" si="7"/>
        <v>1.1337868480725623E-2</v>
      </c>
      <c r="G59" s="120">
        <v>3.7</v>
      </c>
      <c r="H59" s="122">
        <f t="shared" si="6"/>
        <v>1.5704894083272459E-2</v>
      </c>
      <c r="J59" s="120">
        <v>4.2</v>
      </c>
      <c r="K59" s="120">
        <f t="shared" si="4"/>
        <v>2.2675736961451247E-2</v>
      </c>
    </row>
    <row r="60" spans="4:11">
      <c r="D60" s="120">
        <v>4.3</v>
      </c>
      <c r="E60" s="120">
        <f t="shared" si="7"/>
        <v>1.0816657652785291E-2</v>
      </c>
      <c r="G60" s="120">
        <v>3.8</v>
      </c>
      <c r="H60" s="122">
        <f t="shared" si="6"/>
        <v>1.4889196675900277E-2</v>
      </c>
      <c r="J60" s="120">
        <v>4.3</v>
      </c>
      <c r="K60" s="120">
        <f t="shared" si="4"/>
        <v>2.1633315305570583E-2</v>
      </c>
    </row>
    <row r="61" spans="4:11">
      <c r="D61" s="120">
        <v>4.4000000000000004</v>
      </c>
      <c r="E61" s="120">
        <f t="shared" si="7"/>
        <v>1.0330578512396695E-2</v>
      </c>
      <c r="G61" s="120">
        <v>3.9</v>
      </c>
      <c r="H61" s="122">
        <f t="shared" si="6"/>
        <v>1.4135437212360288E-2</v>
      </c>
      <c r="J61" s="120">
        <v>4.4000000000000004</v>
      </c>
      <c r="K61" s="120">
        <f t="shared" si="4"/>
        <v>2.0661157024793389E-2</v>
      </c>
    </row>
    <row r="62" spans="4:11">
      <c r="D62" s="120">
        <v>4.5</v>
      </c>
      <c r="E62" s="120">
        <f t="shared" ref="E62:E76" si="8">0.2*(D62)^-2</f>
        <v>9.876543209876543E-3</v>
      </c>
      <c r="G62" s="120">
        <v>4</v>
      </c>
      <c r="H62" s="122">
        <f t="shared" si="6"/>
        <v>1.34375E-2</v>
      </c>
      <c r="J62" s="120">
        <v>4.5</v>
      </c>
      <c r="K62" s="120">
        <f t="shared" si="4"/>
        <v>1.9753086419753086E-2</v>
      </c>
    </row>
    <row r="63" spans="4:11">
      <c r="D63" s="120">
        <v>4.5999999999999996</v>
      </c>
      <c r="E63" s="120">
        <f t="shared" si="8"/>
        <v>9.4517958412098316E-3</v>
      </c>
      <c r="G63" s="120">
        <v>4.0999999999999996</v>
      </c>
      <c r="H63" s="122">
        <f t="shared" si="6"/>
        <v>1.2790005948839977E-2</v>
      </c>
      <c r="J63" s="120">
        <v>4.5999999999999996</v>
      </c>
      <c r="K63" s="120">
        <f t="shared" si="4"/>
        <v>1.8903591682419663E-2</v>
      </c>
    </row>
    <row r="64" spans="4:11">
      <c r="D64" s="120">
        <v>4.7</v>
      </c>
      <c r="E64" s="120">
        <f t="shared" si="8"/>
        <v>9.0538705296514237E-3</v>
      </c>
      <c r="G64" s="120">
        <v>4.2</v>
      </c>
      <c r="H64" s="122">
        <f t="shared" si="6"/>
        <v>1.2188208616780044E-2</v>
      </c>
      <c r="J64" s="120">
        <v>4.7</v>
      </c>
      <c r="K64" s="120">
        <f t="shared" si="4"/>
        <v>1.8107741059302847E-2</v>
      </c>
    </row>
    <row r="65" spans="4:11">
      <c r="D65" s="120">
        <v>4.8</v>
      </c>
      <c r="E65" s="120">
        <f t="shared" si="8"/>
        <v>8.6805555555555559E-3</v>
      </c>
      <c r="G65" s="120">
        <v>4.3</v>
      </c>
      <c r="H65" s="122">
        <f t="shared" si="6"/>
        <v>1.1627906976744186E-2</v>
      </c>
      <c r="J65" s="120">
        <v>4.8</v>
      </c>
      <c r="K65" s="120">
        <f t="shared" si="4"/>
        <v>1.7361111111111112E-2</v>
      </c>
    </row>
    <row r="66" spans="4:11">
      <c r="D66" s="120">
        <v>4.9000000000000004</v>
      </c>
      <c r="E66" s="120">
        <f t="shared" si="8"/>
        <v>8.3298625572678035E-3</v>
      </c>
      <c r="G66" s="120">
        <v>4.4000000000000004</v>
      </c>
      <c r="H66" s="122">
        <f t="shared" si="6"/>
        <v>1.1105371900826446E-2</v>
      </c>
      <c r="J66" s="120">
        <v>4.9000000000000004</v>
      </c>
      <c r="K66" s="120">
        <f t="shared" si="4"/>
        <v>1.6659725114535607E-2</v>
      </c>
    </row>
    <row r="67" spans="4:11">
      <c r="D67" s="120">
        <v>5</v>
      </c>
      <c r="E67" s="120">
        <f t="shared" si="8"/>
        <v>8.0000000000000002E-3</v>
      </c>
      <c r="G67" s="120">
        <v>4.5</v>
      </c>
      <c r="H67" s="122">
        <f t="shared" si="6"/>
        <v>1.0617283950617283E-2</v>
      </c>
      <c r="J67" s="120">
        <v>5</v>
      </c>
      <c r="K67" s="120">
        <f t="shared" si="4"/>
        <v>1.6E-2</v>
      </c>
    </row>
    <row r="68" spans="4:11">
      <c r="D68" s="120">
        <v>5.0999999999999996</v>
      </c>
      <c r="E68" s="120">
        <f t="shared" si="8"/>
        <v>7.6893502499038842E-3</v>
      </c>
      <c r="G68" s="120">
        <v>4.5999999999999996</v>
      </c>
      <c r="H68" s="122">
        <f t="shared" si="6"/>
        <v>1.0160680529300569E-2</v>
      </c>
      <c r="J68" s="120">
        <v>5.0999999999999996</v>
      </c>
      <c r="K68" s="120">
        <f t="shared" si="4"/>
        <v>1.5378700499807768E-2</v>
      </c>
    </row>
    <row r="69" spans="4:11">
      <c r="D69" s="120">
        <v>5.2</v>
      </c>
      <c r="E69" s="120">
        <f t="shared" si="8"/>
        <v>7.3964497041420114E-3</v>
      </c>
      <c r="G69" s="120">
        <v>4.7</v>
      </c>
      <c r="H69" s="122">
        <f t="shared" si="6"/>
        <v>9.7329108193752803E-3</v>
      </c>
      <c r="J69" s="120">
        <v>5.2</v>
      </c>
      <c r="K69" s="120">
        <f t="shared" si="4"/>
        <v>1.4792899408284023E-2</v>
      </c>
    </row>
    <row r="70" spans="4:11">
      <c r="D70" s="120">
        <v>5.3</v>
      </c>
      <c r="E70" s="120">
        <f t="shared" si="8"/>
        <v>7.1199715201139199E-3</v>
      </c>
      <c r="G70" s="120">
        <v>4.8</v>
      </c>
      <c r="H70" s="122">
        <f t="shared" si="6"/>
        <v>9.331597222222222E-3</v>
      </c>
      <c r="J70" s="120">
        <v>5.3</v>
      </c>
      <c r="K70" s="120">
        <f t="shared" si="4"/>
        <v>1.423994304022784E-2</v>
      </c>
    </row>
    <row r="71" spans="4:11">
      <c r="D71" s="120">
        <v>5.4</v>
      </c>
      <c r="E71" s="120">
        <f t="shared" si="8"/>
        <v>6.858710562414265E-3</v>
      </c>
      <c r="G71" s="120">
        <v>4.9000000000000004</v>
      </c>
      <c r="H71" s="122">
        <f t="shared" si="6"/>
        <v>8.9546022490628874E-3</v>
      </c>
      <c r="J71" s="120">
        <v>5.4</v>
      </c>
      <c r="K71" s="120">
        <f t="shared" si="4"/>
        <v>1.371742112482853E-2</v>
      </c>
    </row>
    <row r="72" spans="4:11">
      <c r="D72" s="120">
        <v>5.5</v>
      </c>
      <c r="E72" s="120">
        <f t="shared" si="8"/>
        <v>6.611570247933885E-3</v>
      </c>
      <c r="G72" s="120">
        <v>5</v>
      </c>
      <c r="H72" s="122">
        <f t="shared" si="6"/>
        <v>8.6E-3</v>
      </c>
      <c r="J72" s="120">
        <v>5.5</v>
      </c>
      <c r="K72" s="120">
        <f t="shared" si="4"/>
        <v>1.322314049586777E-2</v>
      </c>
    </row>
    <row r="73" spans="4:11">
      <c r="D73" s="120">
        <v>5.6</v>
      </c>
      <c r="E73" s="120">
        <f t="shared" si="8"/>
        <v>6.3775510204081651E-3</v>
      </c>
      <c r="G73" s="120">
        <v>5.0999999999999996</v>
      </c>
      <c r="H73" s="122">
        <f t="shared" si="6"/>
        <v>8.2660515186466759E-3</v>
      </c>
      <c r="J73" s="120">
        <v>5.6</v>
      </c>
      <c r="K73" s="120">
        <f t="shared" si="4"/>
        <v>1.275510204081633E-2</v>
      </c>
    </row>
    <row r="74" spans="4:11">
      <c r="D74" s="120">
        <v>5.7</v>
      </c>
      <c r="E74" s="120">
        <f t="shared" si="8"/>
        <v>6.1557402277623886E-3</v>
      </c>
      <c r="G74" s="120">
        <v>5.2</v>
      </c>
      <c r="H74" s="122">
        <f t="shared" si="6"/>
        <v>7.9511834319526617E-3</v>
      </c>
      <c r="J74" s="120">
        <v>5.7</v>
      </c>
      <c r="K74" s="120">
        <f t="shared" si="4"/>
        <v>1.2311480455524777E-2</v>
      </c>
    </row>
    <row r="75" spans="4:11">
      <c r="D75" s="120">
        <v>5.8</v>
      </c>
      <c r="E75" s="120">
        <f t="shared" si="8"/>
        <v>5.945303210463734E-3</v>
      </c>
      <c r="G75" s="120">
        <v>5.3</v>
      </c>
      <c r="H75" s="122">
        <f t="shared" si="6"/>
        <v>7.6539693841224639E-3</v>
      </c>
      <c r="J75" s="120">
        <v>5.8</v>
      </c>
      <c r="K75" s="120">
        <f t="shared" si="4"/>
        <v>1.1890606420927468E-2</v>
      </c>
    </row>
    <row r="76" spans="4:11">
      <c r="D76" s="120">
        <v>5.9</v>
      </c>
      <c r="E76" s="120">
        <f t="shared" si="8"/>
        <v>5.7454754380925023E-3</v>
      </c>
      <c r="G76" s="120">
        <v>5.4</v>
      </c>
      <c r="H76" s="122">
        <f t="shared" si="6"/>
        <v>7.3731138545953343E-3</v>
      </c>
      <c r="J76" s="120">
        <v>5.9</v>
      </c>
      <c r="K76" s="120">
        <f t="shared" si="4"/>
        <v>1.1490950876185005E-2</v>
      </c>
    </row>
    <row r="77" spans="4:11">
      <c r="D77" s="120">
        <v>6</v>
      </c>
      <c r="E77" s="120">
        <f t="shared" ref="E77" si="9">0.2*(D77)^-2</f>
        <v>5.5555555555555558E-3</v>
      </c>
      <c r="G77" s="120">
        <v>5.5</v>
      </c>
      <c r="H77" s="122">
        <f t="shared" si="6"/>
        <v>7.1074380165289256E-3</v>
      </c>
      <c r="J77" s="120">
        <v>6</v>
      </c>
      <c r="K77" s="120">
        <f t="shared" si="4"/>
        <v>1.1111111111111112E-2</v>
      </c>
    </row>
    <row r="78" spans="4:11">
      <c r="D78" s="120"/>
      <c r="E78" s="120"/>
      <c r="G78" s="120">
        <v>5.6</v>
      </c>
      <c r="H78" s="122">
        <f t="shared" ref="H78:H82" si="10">0.215*(G78)^-2</f>
        <v>6.8558673469387771E-3</v>
      </c>
    </row>
    <row r="79" spans="4:11">
      <c r="G79" s="120">
        <v>5.7</v>
      </c>
      <c r="H79" s="122">
        <f t="shared" si="10"/>
        <v>6.6174207448445668E-3</v>
      </c>
    </row>
    <row r="80" spans="4:11">
      <c r="G80" s="120">
        <v>5.8</v>
      </c>
      <c r="H80" s="122">
        <f t="shared" si="10"/>
        <v>6.3912009512485136E-3</v>
      </c>
    </row>
    <row r="81" spans="7:8">
      <c r="G81" s="120">
        <v>5.9</v>
      </c>
      <c r="H81" s="122">
        <f t="shared" si="10"/>
        <v>6.1763860959494392E-3</v>
      </c>
    </row>
    <row r="82" spans="7:8">
      <c r="G82" s="120">
        <v>6</v>
      </c>
      <c r="H82" s="122">
        <f t="shared" si="10"/>
        <v>5.9722222222222216E-3</v>
      </c>
    </row>
  </sheetData>
  <mergeCells count="2">
    <mergeCell ref="D2:E2"/>
    <mergeCell ref="G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8279-6642-41DB-876B-F2B0FA74C8A7}">
  <dimension ref="B3:AC33"/>
  <sheetViews>
    <sheetView zoomScale="55" zoomScaleNormal="55" workbookViewId="0">
      <selection activeCell="AD27" sqref="AD27"/>
    </sheetView>
  </sheetViews>
  <sheetFormatPr defaultRowHeight="14.5"/>
  <cols>
    <col min="5" max="5" width="11.36328125" customWidth="1"/>
    <col min="6" max="6" width="10.90625" bestFit="1" customWidth="1"/>
    <col min="7" max="7" width="8.7265625" style="17"/>
    <col min="8" max="8" width="9.54296875" style="17" customWidth="1"/>
    <col min="12" max="12" width="10" customWidth="1"/>
    <col min="13" max="13" width="10.90625" bestFit="1" customWidth="1"/>
    <col min="14" max="14" width="9" bestFit="1" customWidth="1"/>
    <col min="15" max="19" width="10.90625" bestFit="1" customWidth="1"/>
    <col min="20" max="20" width="7.453125" bestFit="1" customWidth="1"/>
    <col min="21" max="23" width="10.90625" bestFit="1" customWidth="1"/>
    <col min="24" max="24" width="20.08984375" customWidth="1"/>
  </cols>
  <sheetData>
    <row r="3" spans="2:29" ht="31">
      <c r="B3" s="84" t="s">
        <v>13</v>
      </c>
      <c r="C3" s="84" t="s">
        <v>14</v>
      </c>
      <c r="D3" s="84" t="s">
        <v>15</v>
      </c>
      <c r="E3" s="85" t="s">
        <v>16</v>
      </c>
      <c r="F3" s="84" t="s">
        <v>17</v>
      </c>
      <c r="G3" s="84" t="s">
        <v>18</v>
      </c>
      <c r="H3" s="85" t="s">
        <v>173</v>
      </c>
      <c r="I3" s="84" t="s">
        <v>20</v>
      </c>
      <c r="J3" s="85" t="s">
        <v>21</v>
      </c>
      <c r="K3" s="123" t="s">
        <v>22</v>
      </c>
      <c r="L3" s="85" t="s">
        <v>23</v>
      </c>
      <c r="M3" s="85" t="s">
        <v>24</v>
      </c>
      <c r="N3" s="85" t="s">
        <v>25</v>
      </c>
      <c r="O3" s="85" t="s">
        <v>26</v>
      </c>
      <c r="P3" s="85" t="s">
        <v>27</v>
      </c>
      <c r="Q3" s="85" t="s">
        <v>28</v>
      </c>
      <c r="R3" s="85" t="s">
        <v>29</v>
      </c>
      <c r="S3" s="85" t="s">
        <v>30</v>
      </c>
      <c r="T3" s="124" t="s">
        <v>31</v>
      </c>
      <c r="U3" s="124" t="s">
        <v>32</v>
      </c>
      <c r="V3" s="124" t="s">
        <v>33</v>
      </c>
      <c r="W3" s="124" t="s">
        <v>34</v>
      </c>
      <c r="X3" s="84" t="s">
        <v>35</v>
      </c>
      <c r="Y3" s="62" t="s">
        <v>101</v>
      </c>
      <c r="Z3" s="62" t="s">
        <v>139</v>
      </c>
      <c r="AA3" s="70" t="s">
        <v>140</v>
      </c>
      <c r="AB3" s="38" t="s">
        <v>141</v>
      </c>
      <c r="AC3" s="38" t="s">
        <v>145</v>
      </c>
    </row>
    <row r="4" spans="2:29" ht="15.5">
      <c r="B4" s="62">
        <v>1</v>
      </c>
      <c r="C4" s="62" t="s">
        <v>36</v>
      </c>
      <c r="D4" s="62">
        <v>58.84</v>
      </c>
      <c r="E4" s="62">
        <v>58.84</v>
      </c>
      <c r="F4" s="29">
        <v>0.432</v>
      </c>
      <c r="G4" s="62">
        <v>58.84</v>
      </c>
      <c r="H4" s="62">
        <f>G4/E4</f>
        <v>1</v>
      </c>
      <c r="I4" s="62">
        <f>D4/F4</f>
        <v>136.20370370370372</v>
      </c>
      <c r="J4" s="62">
        <v>200</v>
      </c>
      <c r="K4" s="62">
        <v>193000</v>
      </c>
      <c r="L4" s="62">
        <v>0.28000000000000003</v>
      </c>
      <c r="M4" s="29">
        <f>4*(SQRT(D4*F4))</f>
        <v>20.166855977072878</v>
      </c>
      <c r="N4" s="62">
        <v>1.6E-2</v>
      </c>
      <c r="O4" s="29">
        <f>N4*M4</f>
        <v>0.32266969563316605</v>
      </c>
      <c r="P4" s="29">
        <f t="shared" ref="P4:P33" si="0">O4/F4</f>
        <v>0.74692059174343994</v>
      </c>
      <c r="Q4" s="29">
        <f>((2*K4)/(SQRT(3*(1-L4^2))))*(F4/D4)^2</f>
        <v>12.513465765148297</v>
      </c>
      <c r="R4" s="29">
        <f>(2*J4)*(F4/D4)</f>
        <v>2.9367777022433716</v>
      </c>
      <c r="S4" s="29">
        <f>1/((1/(0.3*Q4)^2+1/(R4)^2)^0.5)</f>
        <v>2.3130759052927554</v>
      </c>
      <c r="T4" s="29">
        <v>2.8908499999999999</v>
      </c>
      <c r="U4" s="29">
        <f>S4/R4</f>
        <v>0.7876237631216767</v>
      </c>
      <c r="V4" s="29">
        <f>T4/R4</f>
        <v>0.98436119212962969</v>
      </c>
      <c r="W4" s="29">
        <f>Q4/R4</f>
        <v>4.2609509584567471</v>
      </c>
      <c r="X4" s="194" t="s">
        <v>174</v>
      </c>
      <c r="Y4" s="58">
        <f>5.711*(D4/F4)^0.5</f>
        <v>66.650992178856029</v>
      </c>
      <c r="Z4" s="58">
        <f>(2*3.142^2*K4/(J4))^0.5</f>
        <v>138.03360648769561</v>
      </c>
      <c r="AA4" s="115">
        <f>Y4/Z4</f>
        <v>0.48286061543133946</v>
      </c>
      <c r="AB4" s="58">
        <f>(T4*D4)/(2*F4)</f>
        <v>196.87223842592593</v>
      </c>
      <c r="AC4" s="58">
        <f>AB4/J4</f>
        <v>0.98436119212962969</v>
      </c>
    </row>
    <row r="5" spans="2:29" ht="15.5">
      <c r="B5" s="23">
        <v>2</v>
      </c>
      <c r="C5" s="23" t="s">
        <v>38</v>
      </c>
      <c r="D5" s="23">
        <v>59.62</v>
      </c>
      <c r="E5" s="23">
        <v>58.84</v>
      </c>
      <c r="F5" s="58">
        <v>0.432</v>
      </c>
      <c r="G5" s="23">
        <v>50</v>
      </c>
      <c r="H5" s="23">
        <f>G5/E5</f>
        <v>0.84976206662134601</v>
      </c>
      <c r="I5" s="23">
        <f>D5/F5</f>
        <v>138.00925925925927</v>
      </c>
      <c r="J5" s="23">
        <v>200</v>
      </c>
      <c r="K5" s="23">
        <v>193000</v>
      </c>
      <c r="L5" s="23">
        <v>0.28000000000000003</v>
      </c>
      <c r="M5" s="58">
        <f t="shared" ref="M5:M23" si="1">4*(SQRT(D5*F5))</f>
        <v>20.300084728887217</v>
      </c>
      <c r="N5" s="23">
        <v>1.6E-2</v>
      </c>
      <c r="O5" s="58">
        <f t="shared" ref="O5:O23" si="2">N5*M5</f>
        <v>0.32480135566219548</v>
      </c>
      <c r="P5" s="58">
        <f t="shared" si="0"/>
        <v>0.75185498995878586</v>
      </c>
      <c r="Q5" s="58">
        <f t="shared" ref="Q5:Q21" si="3">((2*K5)/(SQRT(3*(1-L5^2))))*(F5/D5)^2</f>
        <v>12.188183790743707</v>
      </c>
      <c r="R5" s="58">
        <f t="shared" ref="R5:R21" si="4">(2*J5)*(F5/D5)</f>
        <v>2.8983562562898357</v>
      </c>
      <c r="S5" s="58">
        <f t="shared" ref="S5:S21" si="5">1/((1/(0.3*Q5)^2+1/(R5)^2)^0.5)</f>
        <v>2.2713364631304476</v>
      </c>
      <c r="T5" s="58">
        <v>2.84802</v>
      </c>
      <c r="U5" s="58">
        <f t="shared" ref="U5:U21" si="6">S5/R5</f>
        <v>0.78366365701294727</v>
      </c>
      <c r="V5" s="58">
        <f t="shared" ref="V5:V21" si="7">T5/R5</f>
        <v>0.98263282638888882</v>
      </c>
      <c r="W5" s="58">
        <f t="shared" ref="W5:W21" si="8">Q5/R5</f>
        <v>4.2052055416906242</v>
      </c>
      <c r="X5" s="194"/>
      <c r="Y5" s="58">
        <f t="shared" ref="Y5:Y33" si="9">5.711*(D5/F5)^0.5</f>
        <v>67.091310119603534</v>
      </c>
      <c r="Z5" s="58">
        <f t="shared" ref="Z5:Z33" si="10">(2*3.142^2*K5/(J5))^0.5</f>
        <v>138.03360648769561</v>
      </c>
      <c r="AA5" s="115">
        <f t="shared" ref="AA5:AA33" si="11">Y5/Z5</f>
        <v>0.48605054831762357</v>
      </c>
      <c r="AB5" s="58">
        <f t="shared" ref="AB5:AB33" si="12">(T5*D5)/(2*F5)</f>
        <v>196.52656527777776</v>
      </c>
      <c r="AC5" s="58">
        <f t="shared" ref="AC5:AC33" si="13">AB5/J5</f>
        <v>0.98263282638888882</v>
      </c>
    </row>
    <row r="6" spans="2:29" ht="15.5">
      <c r="B6" s="23">
        <v>3</v>
      </c>
      <c r="C6" s="23" t="s">
        <v>39</v>
      </c>
      <c r="D6" s="23">
        <v>60.97</v>
      </c>
      <c r="E6" s="23">
        <v>58.84</v>
      </c>
      <c r="F6" s="58">
        <v>0.432</v>
      </c>
      <c r="G6" s="23">
        <v>45</v>
      </c>
      <c r="H6" s="23">
        <f t="shared" ref="H6:H13" si="14">G6/E6</f>
        <v>0.76478585995921133</v>
      </c>
      <c r="I6" s="23">
        <f t="shared" ref="I6:I13" si="15">D6/F6</f>
        <v>141.13425925925927</v>
      </c>
      <c r="J6" s="23">
        <v>200</v>
      </c>
      <c r="K6" s="23">
        <v>193000</v>
      </c>
      <c r="L6" s="23">
        <v>0.28000000000000003</v>
      </c>
      <c r="M6" s="58">
        <f t="shared" si="1"/>
        <v>20.528629764307212</v>
      </c>
      <c r="N6" s="23">
        <v>1.6E-2</v>
      </c>
      <c r="O6" s="58">
        <f t="shared" si="2"/>
        <v>0.32845807622891537</v>
      </c>
      <c r="P6" s="58">
        <f t="shared" si="0"/>
        <v>0.76031962090026706</v>
      </c>
      <c r="Q6" s="58">
        <f t="shared" si="3"/>
        <v>11.654416854682015</v>
      </c>
      <c r="R6" s="58">
        <f t="shared" si="4"/>
        <v>2.8341807446285059</v>
      </c>
      <c r="S6" s="58">
        <f t="shared" si="5"/>
        <v>2.2016748513195816</v>
      </c>
      <c r="T6" s="58">
        <v>2.77888</v>
      </c>
      <c r="U6" s="58">
        <f t="shared" si="6"/>
        <v>0.77682937317682232</v>
      </c>
      <c r="V6" s="58">
        <f t="shared" si="7"/>
        <v>0.98048792592592593</v>
      </c>
      <c r="W6" s="58">
        <f t="shared" si="8"/>
        <v>4.112093724710431</v>
      </c>
      <c r="X6" s="194"/>
      <c r="Y6" s="58">
        <f t="shared" si="9"/>
        <v>67.846646171272283</v>
      </c>
      <c r="Z6" s="58">
        <f t="shared" si="10"/>
        <v>138.03360648769561</v>
      </c>
      <c r="AA6" s="115">
        <f t="shared" si="11"/>
        <v>0.49152266536859757</v>
      </c>
      <c r="AB6" s="58">
        <f t="shared" si="12"/>
        <v>196.09758518518518</v>
      </c>
      <c r="AC6" s="58">
        <f t="shared" si="13"/>
        <v>0.98048792592592593</v>
      </c>
    </row>
    <row r="7" spans="2:29" ht="15.5">
      <c r="B7" s="23">
        <v>4</v>
      </c>
      <c r="C7" s="23" t="s">
        <v>40</v>
      </c>
      <c r="D7" s="23">
        <v>63.28</v>
      </c>
      <c r="E7" s="23">
        <v>58.84</v>
      </c>
      <c r="F7" s="58">
        <v>0.432</v>
      </c>
      <c r="G7" s="23">
        <v>40</v>
      </c>
      <c r="H7" s="23">
        <f t="shared" si="14"/>
        <v>0.67980965329707677</v>
      </c>
      <c r="I7" s="23">
        <f t="shared" si="15"/>
        <v>146.4814814814815</v>
      </c>
      <c r="J7" s="23">
        <v>200</v>
      </c>
      <c r="K7" s="23">
        <v>193000</v>
      </c>
      <c r="L7" s="23">
        <v>0.28000000000000003</v>
      </c>
      <c r="M7" s="58">
        <f t="shared" si="1"/>
        <v>20.913903509388199</v>
      </c>
      <c r="N7" s="23">
        <v>1.6E-2</v>
      </c>
      <c r="O7" s="58">
        <f t="shared" si="2"/>
        <v>0.33462245615021119</v>
      </c>
      <c r="P7" s="58">
        <f t="shared" si="0"/>
        <v>0.77458901886622966</v>
      </c>
      <c r="Q7" s="58">
        <f t="shared" si="3"/>
        <v>10.819071649420493</v>
      </c>
      <c r="R7" s="58">
        <f t="shared" si="4"/>
        <v>2.7307206068268015</v>
      </c>
      <c r="S7" s="58">
        <f t="shared" si="5"/>
        <v>2.0895574355518787</v>
      </c>
      <c r="T7" s="58">
        <v>2.6689400000000001</v>
      </c>
      <c r="U7" s="58">
        <f t="shared" si="6"/>
        <v>0.76520367200071115</v>
      </c>
      <c r="V7" s="58">
        <f t="shared" si="7"/>
        <v>0.97737571296296299</v>
      </c>
      <c r="W7" s="58">
        <f t="shared" si="8"/>
        <v>3.9619841086535232</v>
      </c>
      <c r="X7" s="194"/>
      <c r="Y7" s="58">
        <f t="shared" si="9"/>
        <v>69.119966980391212</v>
      </c>
      <c r="Z7" s="58">
        <f t="shared" si="10"/>
        <v>138.03360648769561</v>
      </c>
      <c r="AA7" s="115">
        <f t="shared" si="11"/>
        <v>0.50074738130204988</v>
      </c>
      <c r="AB7" s="58">
        <f t="shared" si="12"/>
        <v>195.47514259259262</v>
      </c>
      <c r="AC7" s="58">
        <f t="shared" si="13"/>
        <v>0.97737571296296311</v>
      </c>
    </row>
    <row r="8" spans="2:29" ht="15.5">
      <c r="B8" s="62">
        <v>5</v>
      </c>
      <c r="C8" s="62" t="s">
        <v>41</v>
      </c>
      <c r="D8" s="62">
        <v>67</v>
      </c>
      <c r="E8" s="62">
        <v>58.84</v>
      </c>
      <c r="F8" s="29">
        <v>0.432</v>
      </c>
      <c r="G8" s="62">
        <v>35</v>
      </c>
      <c r="H8" s="62">
        <f t="shared" si="14"/>
        <v>0.5948334466349422</v>
      </c>
      <c r="I8" s="62">
        <f t="shared" si="15"/>
        <v>155.09259259259258</v>
      </c>
      <c r="J8" s="62">
        <v>200</v>
      </c>
      <c r="K8" s="62">
        <v>193000</v>
      </c>
      <c r="L8" s="62">
        <v>0.28000000000000003</v>
      </c>
      <c r="M8" s="29">
        <f t="shared" si="1"/>
        <v>21.519851300601498</v>
      </c>
      <c r="N8" s="62">
        <v>1.6E-2</v>
      </c>
      <c r="O8" s="29">
        <f t="shared" si="2"/>
        <v>0.34431762080962397</v>
      </c>
      <c r="P8" s="29">
        <f t="shared" si="0"/>
        <v>0.79703152965190738</v>
      </c>
      <c r="Q8" s="29">
        <f t="shared" si="3"/>
        <v>9.6510225973621786</v>
      </c>
      <c r="R8" s="29">
        <f t="shared" si="4"/>
        <v>2.5791044776119403</v>
      </c>
      <c r="S8" s="29">
        <f t="shared" si="5"/>
        <v>1.9258295861875763</v>
      </c>
      <c r="T8" s="29">
        <v>2.5071500000000002</v>
      </c>
      <c r="U8" s="29">
        <f t="shared" si="6"/>
        <v>0.74670475853337737</v>
      </c>
      <c r="V8" s="29">
        <f t="shared" si="7"/>
        <v>0.97210098379629639</v>
      </c>
      <c r="W8" s="29">
        <f t="shared" si="8"/>
        <v>3.7420052894864928</v>
      </c>
      <c r="X8" s="194"/>
      <c r="Y8" s="58">
        <f t="shared" si="9"/>
        <v>71.12261040378192</v>
      </c>
      <c r="Z8" s="58">
        <f t="shared" si="10"/>
        <v>138.03360648769561</v>
      </c>
      <c r="AA8" s="115">
        <f t="shared" si="11"/>
        <v>0.51525575701104231</v>
      </c>
      <c r="AB8" s="58">
        <f t="shared" si="12"/>
        <v>194.42019675925926</v>
      </c>
      <c r="AC8" s="58">
        <f t="shared" si="13"/>
        <v>0.97210098379629628</v>
      </c>
    </row>
    <row r="9" spans="2:29" ht="15.5">
      <c r="B9" s="23">
        <v>6</v>
      </c>
      <c r="C9" s="23" t="s">
        <v>42</v>
      </c>
      <c r="D9" s="23">
        <v>72.7</v>
      </c>
      <c r="E9" s="23">
        <v>58.84</v>
      </c>
      <c r="F9" s="58">
        <v>0.432</v>
      </c>
      <c r="G9" s="23">
        <v>30</v>
      </c>
      <c r="H9" s="23">
        <f t="shared" si="14"/>
        <v>0.50985723997280763</v>
      </c>
      <c r="I9" s="23">
        <f t="shared" si="15"/>
        <v>168.28703703703704</v>
      </c>
      <c r="J9" s="23">
        <v>200</v>
      </c>
      <c r="K9" s="23">
        <v>193000</v>
      </c>
      <c r="L9" s="23">
        <v>0.28000000000000003</v>
      </c>
      <c r="M9" s="58">
        <f t="shared" si="1"/>
        <v>22.416565303364386</v>
      </c>
      <c r="N9" s="23">
        <v>1.6E-2</v>
      </c>
      <c r="O9" s="58">
        <f t="shared" si="2"/>
        <v>0.35866504485383016</v>
      </c>
      <c r="P9" s="58">
        <f t="shared" si="0"/>
        <v>0.83024315938386617</v>
      </c>
      <c r="Q9" s="58">
        <f t="shared" si="3"/>
        <v>8.1969845438109949</v>
      </c>
      <c r="R9" s="58">
        <f t="shared" si="4"/>
        <v>2.3768913342503439</v>
      </c>
      <c r="S9" s="58">
        <f t="shared" si="5"/>
        <v>1.7090385688382834</v>
      </c>
      <c r="T9" s="58">
        <v>2.2940499999999999</v>
      </c>
      <c r="U9" s="58">
        <f t="shared" si="6"/>
        <v>0.71902259232953247</v>
      </c>
      <c r="V9" s="58">
        <f t="shared" si="7"/>
        <v>0.96514719328703702</v>
      </c>
      <c r="W9" s="58">
        <f t="shared" si="8"/>
        <v>3.4486156037908526</v>
      </c>
      <c r="X9" s="194"/>
      <c r="Y9" s="58">
        <f t="shared" si="9"/>
        <v>74.086229425644675</v>
      </c>
      <c r="Z9" s="58">
        <f t="shared" si="10"/>
        <v>138.03360648769561</v>
      </c>
      <c r="AA9" s="115">
        <f t="shared" si="11"/>
        <v>0.53672602861571084</v>
      </c>
      <c r="AB9" s="58">
        <f t="shared" si="12"/>
        <v>193.02943865740741</v>
      </c>
      <c r="AC9" s="58">
        <f t="shared" si="13"/>
        <v>0.96514719328703702</v>
      </c>
    </row>
    <row r="10" spans="2:29" ht="15.5">
      <c r="B10" s="23">
        <v>7</v>
      </c>
      <c r="C10" s="23" t="s">
        <v>43</v>
      </c>
      <c r="D10" s="23">
        <v>81.739999999999995</v>
      </c>
      <c r="E10" s="23">
        <v>58.84</v>
      </c>
      <c r="F10" s="58">
        <v>0.432</v>
      </c>
      <c r="G10" s="23">
        <v>25</v>
      </c>
      <c r="H10" s="23">
        <f t="shared" si="14"/>
        <v>0.42488103331067301</v>
      </c>
      <c r="I10" s="23">
        <f t="shared" si="15"/>
        <v>189.21296296296296</v>
      </c>
      <c r="J10" s="23">
        <v>200</v>
      </c>
      <c r="K10" s="23">
        <v>193000</v>
      </c>
      <c r="L10" s="23">
        <v>0.28000000000000003</v>
      </c>
      <c r="M10" s="58">
        <f t="shared" si="1"/>
        <v>23.769452665133034</v>
      </c>
      <c r="N10" s="23">
        <v>1.6E-2</v>
      </c>
      <c r="O10" s="58">
        <f t="shared" si="2"/>
        <v>0.38031124264212857</v>
      </c>
      <c r="P10" s="58">
        <f t="shared" si="0"/>
        <v>0.8803500987086309</v>
      </c>
      <c r="Q10" s="58">
        <f t="shared" si="3"/>
        <v>6.4841592296171582</v>
      </c>
      <c r="R10" s="58">
        <f t="shared" si="4"/>
        <v>2.1140200636163446</v>
      </c>
      <c r="S10" s="58">
        <f t="shared" si="5"/>
        <v>1.4314502999443759</v>
      </c>
      <c r="T10" s="58">
        <v>2.01126</v>
      </c>
      <c r="U10" s="58">
        <f t="shared" si="6"/>
        <v>0.67712238146674353</v>
      </c>
      <c r="V10" s="58">
        <f t="shared" si="7"/>
        <v>0.95139115972222221</v>
      </c>
      <c r="W10" s="58">
        <f t="shared" si="8"/>
        <v>3.0672174503987644</v>
      </c>
      <c r="X10" s="194"/>
      <c r="Y10" s="58">
        <f t="shared" si="9"/>
        <v>78.557490839452996</v>
      </c>
      <c r="Z10" s="58">
        <f t="shared" si="10"/>
        <v>138.03360648769561</v>
      </c>
      <c r="AA10" s="115">
        <f t="shared" si="11"/>
        <v>0.5691185852371079</v>
      </c>
      <c r="AB10" s="58">
        <f t="shared" si="12"/>
        <v>190.27823194444443</v>
      </c>
      <c r="AC10" s="58">
        <f t="shared" si="13"/>
        <v>0.9513911597222221</v>
      </c>
    </row>
    <row r="11" spans="2:29" ht="15.5">
      <c r="B11" s="23">
        <v>8</v>
      </c>
      <c r="C11" s="23" t="s">
        <v>44</v>
      </c>
      <c r="D11" s="23">
        <v>96.55</v>
      </c>
      <c r="E11" s="23">
        <v>58.84</v>
      </c>
      <c r="F11" s="58">
        <v>0.432</v>
      </c>
      <c r="G11" s="23">
        <v>20</v>
      </c>
      <c r="H11" s="23">
        <f t="shared" si="14"/>
        <v>0.33990482664853838</v>
      </c>
      <c r="I11" s="23">
        <f t="shared" si="15"/>
        <v>223.49537037037035</v>
      </c>
      <c r="J11" s="23">
        <v>200</v>
      </c>
      <c r="K11" s="23">
        <v>193000</v>
      </c>
      <c r="L11" s="23">
        <v>0.28000000000000003</v>
      </c>
      <c r="M11" s="58">
        <f t="shared" si="1"/>
        <v>25.833187956580193</v>
      </c>
      <c r="N11" s="23">
        <v>1.6E-2</v>
      </c>
      <c r="O11" s="58">
        <f t="shared" si="2"/>
        <v>0.4133310073052831</v>
      </c>
      <c r="P11" s="58">
        <f t="shared" si="0"/>
        <v>0.95678473913259976</v>
      </c>
      <c r="Q11" s="58">
        <f t="shared" si="3"/>
        <v>4.6474891192606673</v>
      </c>
      <c r="R11" s="58">
        <f t="shared" si="4"/>
        <v>1.789746245468669</v>
      </c>
      <c r="S11" s="58">
        <f t="shared" si="5"/>
        <v>1.0998897022978227</v>
      </c>
      <c r="T11" s="58">
        <v>1.66028</v>
      </c>
      <c r="U11" s="58">
        <f t="shared" si="6"/>
        <v>0.61455064095402079</v>
      </c>
      <c r="V11" s="58">
        <f t="shared" si="7"/>
        <v>0.92766223379629631</v>
      </c>
      <c r="W11" s="58">
        <f t="shared" si="8"/>
        <v>2.5967307550035734</v>
      </c>
      <c r="X11" s="194"/>
      <c r="Y11" s="58">
        <f t="shared" si="9"/>
        <v>85.378088206035585</v>
      </c>
      <c r="Z11" s="58">
        <f t="shared" si="10"/>
        <v>138.03360648769561</v>
      </c>
      <c r="AA11" s="115">
        <f t="shared" si="11"/>
        <v>0.61853117062217911</v>
      </c>
      <c r="AB11" s="58">
        <f t="shared" si="12"/>
        <v>185.53244675925924</v>
      </c>
      <c r="AC11" s="58">
        <f t="shared" si="13"/>
        <v>0.9276622337962962</v>
      </c>
    </row>
    <row r="12" spans="2:29" ht="15.5">
      <c r="B12" s="23">
        <v>9</v>
      </c>
      <c r="C12" s="23" t="s">
        <v>45</v>
      </c>
      <c r="D12" s="23">
        <v>122.9</v>
      </c>
      <c r="E12" s="23">
        <v>58.84</v>
      </c>
      <c r="F12" s="58">
        <v>0.432</v>
      </c>
      <c r="G12" s="23">
        <v>15</v>
      </c>
      <c r="H12" s="23">
        <f t="shared" si="14"/>
        <v>0.25492861998640381</v>
      </c>
      <c r="I12" s="23">
        <f t="shared" si="15"/>
        <v>284.49074074074076</v>
      </c>
      <c r="J12" s="23">
        <v>200</v>
      </c>
      <c r="K12" s="23">
        <v>193000</v>
      </c>
      <c r="L12" s="23">
        <v>0.28000000000000003</v>
      </c>
      <c r="M12" s="58">
        <f t="shared" si="1"/>
        <v>29.14592252785971</v>
      </c>
      <c r="N12" s="23">
        <v>1.6E-2</v>
      </c>
      <c r="O12" s="58">
        <f t="shared" si="2"/>
        <v>0.46633476044575539</v>
      </c>
      <c r="P12" s="58">
        <f t="shared" si="0"/>
        <v>1.0794786121429523</v>
      </c>
      <c r="Q12" s="58">
        <f t="shared" si="3"/>
        <v>2.8682643307192275</v>
      </c>
      <c r="R12" s="58">
        <f t="shared" si="4"/>
        <v>1.406021155410903</v>
      </c>
      <c r="S12" s="58">
        <f t="shared" si="5"/>
        <v>0.73394223549751902</v>
      </c>
      <c r="T12" s="58">
        <v>1.22577</v>
      </c>
      <c r="U12" s="58">
        <f t="shared" si="6"/>
        <v>0.52199942559401102</v>
      </c>
      <c r="V12" s="58">
        <f t="shared" si="7"/>
        <v>0.87180053819444459</v>
      </c>
      <c r="W12" s="58">
        <f t="shared" si="8"/>
        <v>2.039986610216395</v>
      </c>
      <c r="X12" s="194"/>
      <c r="Y12" s="58">
        <f t="shared" si="9"/>
        <v>96.326599280443759</v>
      </c>
      <c r="Z12" s="58">
        <f t="shared" si="10"/>
        <v>138.03360648769561</v>
      </c>
      <c r="AA12" s="115">
        <f t="shared" si="11"/>
        <v>0.69784889152360419</v>
      </c>
      <c r="AB12" s="58">
        <f t="shared" si="12"/>
        <v>174.36010763888888</v>
      </c>
      <c r="AC12" s="58">
        <f t="shared" si="13"/>
        <v>0.87180053819444436</v>
      </c>
    </row>
    <row r="13" spans="2:29" ht="15.5">
      <c r="B13" s="62">
        <v>10</v>
      </c>
      <c r="C13" s="62" t="s">
        <v>46</v>
      </c>
      <c r="D13" s="62">
        <v>178.107</v>
      </c>
      <c r="E13" s="62">
        <v>58.84</v>
      </c>
      <c r="F13" s="29">
        <v>0.432</v>
      </c>
      <c r="G13" s="62">
        <v>10</v>
      </c>
      <c r="H13" s="62">
        <f t="shared" si="14"/>
        <v>0.16995241332426919</v>
      </c>
      <c r="I13" s="62">
        <f t="shared" si="15"/>
        <v>412.28472222222223</v>
      </c>
      <c r="J13" s="62">
        <v>200</v>
      </c>
      <c r="K13" s="62">
        <v>193000</v>
      </c>
      <c r="L13" s="62">
        <v>0.28000000000000003</v>
      </c>
      <c r="M13" s="29">
        <f t="shared" si="1"/>
        <v>35.086686705928791</v>
      </c>
      <c r="N13" s="62">
        <v>1.6E-2</v>
      </c>
      <c r="O13" s="29">
        <f t="shared" si="2"/>
        <v>0.5613869872948607</v>
      </c>
      <c r="P13" s="29">
        <f t="shared" si="0"/>
        <v>1.2995069150343999</v>
      </c>
      <c r="Q13" s="29">
        <f t="shared" si="3"/>
        <v>1.3657177718120246</v>
      </c>
      <c r="R13" s="29">
        <f t="shared" si="4"/>
        <v>0.97020330475500682</v>
      </c>
      <c r="S13" s="29">
        <f t="shared" si="5"/>
        <v>0.37743976156954523</v>
      </c>
      <c r="T13" s="29">
        <v>0.70072699999999999</v>
      </c>
      <c r="U13" s="29">
        <f t="shared" si="6"/>
        <v>0.38903161813580434</v>
      </c>
      <c r="V13" s="29">
        <f t="shared" si="7"/>
        <v>0.72224759137152772</v>
      </c>
      <c r="W13" s="29">
        <f t="shared" si="8"/>
        <v>1.4076614304636821</v>
      </c>
      <c r="X13" s="194"/>
      <c r="Y13" s="58">
        <f t="shared" si="9"/>
        <v>115.96068737127275</v>
      </c>
      <c r="Z13" s="58">
        <f t="shared" si="10"/>
        <v>138.03360648769561</v>
      </c>
      <c r="AA13" s="115">
        <f t="shared" si="11"/>
        <v>0.8400902528154226</v>
      </c>
      <c r="AB13" s="58">
        <f t="shared" si="12"/>
        <v>144.44951827430555</v>
      </c>
      <c r="AC13" s="58">
        <f t="shared" si="13"/>
        <v>0.72224759137152772</v>
      </c>
    </row>
    <row r="14" spans="2:29" ht="15.5">
      <c r="B14" s="99">
        <v>11</v>
      </c>
      <c r="C14" s="99" t="s">
        <v>47</v>
      </c>
      <c r="D14" s="99">
        <v>58.84</v>
      </c>
      <c r="E14" s="99">
        <v>58.84</v>
      </c>
      <c r="F14" s="74">
        <v>0.432</v>
      </c>
      <c r="G14" s="99">
        <v>58.84</v>
      </c>
      <c r="H14" s="99">
        <f>G14/E14</f>
        <v>1</v>
      </c>
      <c r="I14" s="99">
        <f>D14/F14</f>
        <v>136.20370370370372</v>
      </c>
      <c r="J14" s="99">
        <v>300</v>
      </c>
      <c r="K14" s="99">
        <v>193000</v>
      </c>
      <c r="L14" s="99">
        <v>0.28000000000000003</v>
      </c>
      <c r="M14" s="74">
        <f t="shared" si="1"/>
        <v>20.166855977072878</v>
      </c>
      <c r="N14" s="99">
        <v>1.6E-2</v>
      </c>
      <c r="O14" s="74">
        <f t="shared" si="2"/>
        <v>0.32266969563316605</v>
      </c>
      <c r="P14" s="74">
        <f t="shared" si="0"/>
        <v>0.74692059174343994</v>
      </c>
      <c r="Q14" s="74">
        <f t="shared" si="3"/>
        <v>12.513465765148297</v>
      </c>
      <c r="R14" s="74">
        <f>(2*J14)*(F14/D14)</f>
        <v>4.4051665533650572</v>
      </c>
      <c r="S14" s="74">
        <f>1/((1/(0.3*Q14)^2+1/(R14)^2)^0.5)</f>
        <v>2.8572600614233239</v>
      </c>
      <c r="T14" s="74">
        <v>4.1293300000000004</v>
      </c>
      <c r="U14" s="74">
        <f t="shared" si="6"/>
        <v>0.64861567135088116</v>
      </c>
      <c r="V14" s="74">
        <f t="shared" si="7"/>
        <v>0.9373833996913582</v>
      </c>
      <c r="W14" s="74">
        <f>Q14/R14</f>
        <v>2.8406339723044978</v>
      </c>
      <c r="X14" s="195" t="s">
        <v>175</v>
      </c>
      <c r="Y14" s="58">
        <f t="shared" si="9"/>
        <v>66.650992178856029</v>
      </c>
      <c r="Z14" s="58">
        <f t="shared" si="10"/>
        <v>112.70396775032664</v>
      </c>
      <c r="AA14" s="115">
        <f t="shared" si="11"/>
        <v>0.59138106234651944</v>
      </c>
      <c r="AB14" s="58">
        <f t="shared" si="12"/>
        <v>281.21501990740745</v>
      </c>
      <c r="AC14" s="58">
        <f t="shared" si="13"/>
        <v>0.9373833996913582</v>
      </c>
    </row>
    <row r="15" spans="2:29" ht="15.5">
      <c r="B15" s="99">
        <v>12</v>
      </c>
      <c r="C15" s="99" t="s">
        <v>48</v>
      </c>
      <c r="D15" s="99">
        <v>59.62</v>
      </c>
      <c r="E15" s="99">
        <v>58.84</v>
      </c>
      <c r="F15" s="74">
        <v>0.432</v>
      </c>
      <c r="G15" s="99">
        <v>50</v>
      </c>
      <c r="H15" s="99">
        <f t="shared" ref="H15:H23" si="16">G15/E15</f>
        <v>0.84976206662134601</v>
      </c>
      <c r="I15" s="99">
        <f t="shared" ref="I15:I23" si="17">D15/F15</f>
        <v>138.00925925925927</v>
      </c>
      <c r="J15" s="99">
        <v>300</v>
      </c>
      <c r="K15" s="99">
        <v>193000</v>
      </c>
      <c r="L15" s="99">
        <v>0.28000000000000003</v>
      </c>
      <c r="M15" s="74">
        <f t="shared" si="1"/>
        <v>20.300084728887217</v>
      </c>
      <c r="N15" s="99">
        <v>1.6E-2</v>
      </c>
      <c r="O15" s="74">
        <f t="shared" si="2"/>
        <v>0.32480135566219548</v>
      </c>
      <c r="P15" s="74">
        <f t="shared" si="0"/>
        <v>0.75185498995878586</v>
      </c>
      <c r="Q15" s="74">
        <f t="shared" si="3"/>
        <v>12.188183790743707</v>
      </c>
      <c r="R15" s="74">
        <f t="shared" si="4"/>
        <v>4.3475343844347538</v>
      </c>
      <c r="S15" s="74">
        <f t="shared" si="5"/>
        <v>2.798330146878397</v>
      </c>
      <c r="T15" s="74">
        <v>4.0531300000000003</v>
      </c>
      <c r="U15" s="74">
        <f t="shared" si="6"/>
        <v>0.64365911788923613</v>
      </c>
      <c r="V15" s="74">
        <f t="shared" si="7"/>
        <v>0.93228244830246909</v>
      </c>
      <c r="W15" s="74">
        <f t="shared" si="8"/>
        <v>2.8034703611270824</v>
      </c>
      <c r="X15" s="196"/>
      <c r="Y15" s="58">
        <f t="shared" si="9"/>
        <v>67.091310119603534</v>
      </c>
      <c r="Z15" s="58">
        <f t="shared" si="10"/>
        <v>112.70396775032664</v>
      </c>
      <c r="AA15" s="115">
        <f t="shared" si="11"/>
        <v>0.59528791628907929</v>
      </c>
      <c r="AB15" s="58">
        <f t="shared" si="12"/>
        <v>279.68473449074077</v>
      </c>
      <c r="AC15" s="58">
        <f t="shared" si="13"/>
        <v>0.9322824483024692</v>
      </c>
    </row>
    <row r="16" spans="2:29" ht="15.5">
      <c r="B16" s="99">
        <v>13</v>
      </c>
      <c r="C16" s="99" t="s">
        <v>49</v>
      </c>
      <c r="D16" s="99">
        <v>60.97</v>
      </c>
      <c r="E16" s="99">
        <v>58.84</v>
      </c>
      <c r="F16" s="74">
        <v>0.432</v>
      </c>
      <c r="G16" s="99">
        <v>45</v>
      </c>
      <c r="H16" s="99">
        <f t="shared" si="16"/>
        <v>0.76478585995921133</v>
      </c>
      <c r="I16" s="99">
        <f t="shared" si="17"/>
        <v>141.13425925925927</v>
      </c>
      <c r="J16" s="99">
        <v>300</v>
      </c>
      <c r="K16" s="99">
        <v>193000</v>
      </c>
      <c r="L16" s="99">
        <v>0.28000000000000003</v>
      </c>
      <c r="M16" s="74">
        <f t="shared" si="1"/>
        <v>20.528629764307212</v>
      </c>
      <c r="N16" s="99">
        <v>1.6E-2</v>
      </c>
      <c r="O16" s="74">
        <f t="shared" si="2"/>
        <v>0.32845807622891537</v>
      </c>
      <c r="P16" s="74">
        <f t="shared" si="0"/>
        <v>0.76031962090026706</v>
      </c>
      <c r="Q16" s="74">
        <f t="shared" si="3"/>
        <v>11.654416854682015</v>
      </c>
      <c r="R16" s="74">
        <f t="shared" si="4"/>
        <v>4.2512711169427586</v>
      </c>
      <c r="S16" s="74">
        <f t="shared" si="5"/>
        <v>2.7003902218395819</v>
      </c>
      <c r="T16" s="74">
        <v>3.9567399999999999</v>
      </c>
      <c r="U16" s="74">
        <f t="shared" si="6"/>
        <v>0.63519595611712698</v>
      </c>
      <c r="V16" s="74">
        <f t="shared" si="7"/>
        <v>0.93071928163580253</v>
      </c>
      <c r="W16" s="74">
        <f t="shared" si="8"/>
        <v>2.7413958164736205</v>
      </c>
      <c r="X16" s="196"/>
      <c r="Y16" s="74">
        <f t="shared" si="9"/>
        <v>67.846646171272283</v>
      </c>
      <c r="Z16" s="74">
        <f t="shared" si="10"/>
        <v>112.70396775032664</v>
      </c>
      <c r="AA16" s="116">
        <f t="shared" si="11"/>
        <v>0.60198986358291406</v>
      </c>
      <c r="AB16" s="74">
        <f t="shared" si="12"/>
        <v>279.21578449074076</v>
      </c>
      <c r="AC16" s="74">
        <f t="shared" si="13"/>
        <v>0.93071928163580253</v>
      </c>
    </row>
    <row r="17" spans="2:29" ht="15.5">
      <c r="B17" s="99">
        <v>14</v>
      </c>
      <c r="C17" s="99" t="s">
        <v>51</v>
      </c>
      <c r="D17" s="99">
        <v>63.28</v>
      </c>
      <c r="E17" s="99">
        <v>58.84</v>
      </c>
      <c r="F17" s="74">
        <v>0.432</v>
      </c>
      <c r="G17" s="99">
        <v>40</v>
      </c>
      <c r="H17" s="99">
        <f t="shared" si="16"/>
        <v>0.67980965329707677</v>
      </c>
      <c r="I17" s="99">
        <f t="shared" si="17"/>
        <v>146.4814814814815</v>
      </c>
      <c r="J17" s="99">
        <v>300</v>
      </c>
      <c r="K17" s="99">
        <v>193000</v>
      </c>
      <c r="L17" s="99">
        <v>0.28000000000000003</v>
      </c>
      <c r="M17" s="74">
        <f t="shared" si="1"/>
        <v>20.913903509388199</v>
      </c>
      <c r="N17" s="99">
        <v>1.6E-2</v>
      </c>
      <c r="O17" s="74">
        <f t="shared" si="2"/>
        <v>0.33462245615021119</v>
      </c>
      <c r="P17" s="74">
        <f t="shared" si="0"/>
        <v>0.77458901886622966</v>
      </c>
      <c r="Q17" s="74">
        <f t="shared" si="3"/>
        <v>10.819071649420493</v>
      </c>
      <c r="R17" s="74">
        <f t="shared" si="4"/>
        <v>4.096080910240202</v>
      </c>
      <c r="S17" s="74">
        <f t="shared" si="5"/>
        <v>2.543890191078503</v>
      </c>
      <c r="T17" s="74">
        <v>3.77433</v>
      </c>
      <c r="U17" s="74">
        <f t="shared" si="6"/>
        <v>0.62105467319231356</v>
      </c>
      <c r="V17" s="74">
        <f t="shared" si="7"/>
        <v>0.92144908333333342</v>
      </c>
      <c r="W17" s="74">
        <f t="shared" si="8"/>
        <v>2.6413227391023488</v>
      </c>
      <c r="X17" s="196"/>
      <c r="Y17" s="74">
        <f t="shared" si="9"/>
        <v>69.119966980391212</v>
      </c>
      <c r="Z17" s="74">
        <f t="shared" si="10"/>
        <v>112.70396775032664</v>
      </c>
      <c r="AA17" s="116">
        <f t="shared" si="11"/>
        <v>0.61328778711245402</v>
      </c>
      <c r="AB17" s="74">
        <f t="shared" si="12"/>
        <v>276.43472500000001</v>
      </c>
      <c r="AC17" s="74">
        <f t="shared" si="13"/>
        <v>0.92144908333333342</v>
      </c>
    </row>
    <row r="18" spans="2:29" ht="15.5">
      <c r="B18" s="99">
        <v>15</v>
      </c>
      <c r="C18" s="99" t="s">
        <v>52</v>
      </c>
      <c r="D18" s="99">
        <v>67</v>
      </c>
      <c r="E18" s="99">
        <v>58.84</v>
      </c>
      <c r="F18" s="74">
        <v>0.432</v>
      </c>
      <c r="G18" s="99">
        <v>35</v>
      </c>
      <c r="H18" s="99">
        <f t="shared" si="16"/>
        <v>0.5948334466349422</v>
      </c>
      <c r="I18" s="99">
        <f t="shared" si="17"/>
        <v>155.09259259259258</v>
      </c>
      <c r="J18" s="99">
        <v>300</v>
      </c>
      <c r="K18" s="99">
        <v>193000</v>
      </c>
      <c r="L18" s="99">
        <v>0.28000000000000003</v>
      </c>
      <c r="M18" s="74">
        <f t="shared" si="1"/>
        <v>21.519851300601498</v>
      </c>
      <c r="N18" s="99">
        <v>1.6E-2</v>
      </c>
      <c r="O18" s="74">
        <f t="shared" si="2"/>
        <v>0.34431762080962397</v>
      </c>
      <c r="P18" s="74">
        <f t="shared" si="0"/>
        <v>0.79703152965190738</v>
      </c>
      <c r="Q18" s="74">
        <f t="shared" si="3"/>
        <v>9.6510225973621786</v>
      </c>
      <c r="R18" s="74">
        <f t="shared" si="4"/>
        <v>3.8686567164179104</v>
      </c>
      <c r="S18" s="74">
        <f t="shared" si="5"/>
        <v>2.318023273533198</v>
      </c>
      <c r="T18" s="74">
        <v>3.5541</v>
      </c>
      <c r="U18" s="74">
        <f t="shared" si="6"/>
        <v>0.59918039863705352</v>
      </c>
      <c r="V18" s="74">
        <f t="shared" si="7"/>
        <v>0.91869097222222229</v>
      </c>
      <c r="W18" s="74">
        <f t="shared" si="8"/>
        <v>2.4946701929909953</v>
      </c>
      <c r="X18" s="196"/>
      <c r="Y18" s="74">
        <f t="shared" si="9"/>
        <v>71.12261040378192</v>
      </c>
      <c r="Z18" s="74">
        <f t="shared" si="10"/>
        <v>112.70396775032664</v>
      </c>
      <c r="AA18" s="116">
        <f t="shared" si="11"/>
        <v>0.63105684585426491</v>
      </c>
      <c r="AB18" s="74">
        <f t="shared" si="12"/>
        <v>275.60729166666664</v>
      </c>
      <c r="AC18" s="74">
        <f t="shared" si="13"/>
        <v>0.91869097222222218</v>
      </c>
    </row>
    <row r="19" spans="2:29" ht="15.5">
      <c r="B19" s="99">
        <v>16</v>
      </c>
      <c r="C19" s="99" t="s">
        <v>53</v>
      </c>
      <c r="D19" s="99">
        <v>72.7</v>
      </c>
      <c r="E19" s="99">
        <v>58.84</v>
      </c>
      <c r="F19" s="74">
        <v>0.432</v>
      </c>
      <c r="G19" s="99">
        <v>30</v>
      </c>
      <c r="H19" s="99">
        <f t="shared" si="16"/>
        <v>0.50985723997280763</v>
      </c>
      <c r="I19" s="99">
        <f t="shared" si="17"/>
        <v>168.28703703703704</v>
      </c>
      <c r="J19" s="99">
        <v>300</v>
      </c>
      <c r="K19" s="99">
        <v>193000</v>
      </c>
      <c r="L19" s="99">
        <v>0.28000000000000003</v>
      </c>
      <c r="M19" s="74">
        <f t="shared" si="1"/>
        <v>22.416565303364386</v>
      </c>
      <c r="N19" s="99">
        <v>1.6E-2</v>
      </c>
      <c r="O19" s="74">
        <f t="shared" si="2"/>
        <v>0.35866504485383016</v>
      </c>
      <c r="P19" s="74">
        <f t="shared" si="0"/>
        <v>0.83024315938386617</v>
      </c>
      <c r="Q19" s="74">
        <f t="shared" si="3"/>
        <v>8.1969845438109949</v>
      </c>
      <c r="R19" s="74">
        <f t="shared" si="4"/>
        <v>3.5653370013755157</v>
      </c>
      <c r="S19" s="74">
        <f t="shared" si="5"/>
        <v>2.0242944577074864</v>
      </c>
      <c r="T19" s="74">
        <v>3.21713</v>
      </c>
      <c r="U19" s="74">
        <f t="shared" si="6"/>
        <v>0.56777086063014759</v>
      </c>
      <c r="V19" s="74">
        <f t="shared" si="7"/>
        <v>0.90233545910493829</v>
      </c>
      <c r="W19" s="74">
        <f t="shared" si="8"/>
        <v>2.2990770691939018</v>
      </c>
      <c r="X19" s="196"/>
      <c r="Y19" s="74">
        <f t="shared" si="9"/>
        <v>74.086229425644675</v>
      </c>
      <c r="Z19" s="74">
        <f t="shared" si="10"/>
        <v>112.70396775032664</v>
      </c>
      <c r="AA19" s="116">
        <f t="shared" si="11"/>
        <v>0.65735245088946703</v>
      </c>
      <c r="AB19" s="74">
        <f t="shared" si="12"/>
        <v>270.70063773148149</v>
      </c>
      <c r="AC19" s="74">
        <f t="shared" si="13"/>
        <v>0.90233545910493829</v>
      </c>
    </row>
    <row r="20" spans="2:29" ht="15.5">
      <c r="B20" s="99">
        <v>17</v>
      </c>
      <c r="C20" s="99" t="s">
        <v>54</v>
      </c>
      <c r="D20" s="99">
        <v>81.739999999999995</v>
      </c>
      <c r="E20" s="99">
        <v>58.84</v>
      </c>
      <c r="F20" s="74">
        <v>0.432</v>
      </c>
      <c r="G20" s="99">
        <v>25</v>
      </c>
      <c r="H20" s="99">
        <f t="shared" si="16"/>
        <v>0.42488103331067301</v>
      </c>
      <c r="I20" s="99">
        <f t="shared" si="17"/>
        <v>189.21296296296296</v>
      </c>
      <c r="J20" s="99">
        <v>300</v>
      </c>
      <c r="K20" s="99">
        <v>193000</v>
      </c>
      <c r="L20" s="99">
        <v>0.28000000000000003</v>
      </c>
      <c r="M20" s="74">
        <f t="shared" si="1"/>
        <v>23.769452665133034</v>
      </c>
      <c r="N20" s="99">
        <v>1.6E-2</v>
      </c>
      <c r="O20" s="74">
        <f t="shared" si="2"/>
        <v>0.38031124264212857</v>
      </c>
      <c r="P20" s="74">
        <f t="shared" si="0"/>
        <v>0.8803500987086309</v>
      </c>
      <c r="Q20" s="74">
        <f t="shared" si="3"/>
        <v>6.4841592296171582</v>
      </c>
      <c r="R20" s="74">
        <f t="shared" si="4"/>
        <v>3.1710300954245167</v>
      </c>
      <c r="S20" s="74">
        <f t="shared" si="5"/>
        <v>1.6581214334638459</v>
      </c>
      <c r="T20" s="74">
        <v>2.7700499999999999</v>
      </c>
      <c r="U20" s="74">
        <f t="shared" si="6"/>
        <v>0.52289678229681624</v>
      </c>
      <c r="V20" s="74">
        <f t="shared" si="7"/>
        <v>0.8735489467592592</v>
      </c>
      <c r="W20" s="74">
        <f t="shared" si="8"/>
        <v>2.0448116335991764</v>
      </c>
      <c r="X20" s="196"/>
      <c r="Y20" s="74">
        <f t="shared" si="9"/>
        <v>78.557490839452996</v>
      </c>
      <c r="Z20" s="74">
        <f t="shared" si="10"/>
        <v>112.70396775032664</v>
      </c>
      <c r="AA20" s="116">
        <f t="shared" si="11"/>
        <v>0.69702506848278478</v>
      </c>
      <c r="AB20" s="74">
        <f t="shared" si="12"/>
        <v>262.06468402777773</v>
      </c>
      <c r="AC20" s="74">
        <f t="shared" si="13"/>
        <v>0.87354894675925909</v>
      </c>
    </row>
    <row r="21" spans="2:29" ht="15.5">
      <c r="B21" s="99">
        <v>18</v>
      </c>
      <c r="C21" s="99" t="s">
        <v>55</v>
      </c>
      <c r="D21" s="99">
        <v>96.55</v>
      </c>
      <c r="E21" s="99">
        <v>58.84</v>
      </c>
      <c r="F21" s="74">
        <v>0.432</v>
      </c>
      <c r="G21" s="99">
        <v>20</v>
      </c>
      <c r="H21" s="99">
        <f t="shared" si="16"/>
        <v>0.33990482664853838</v>
      </c>
      <c r="I21" s="99">
        <f t="shared" si="17"/>
        <v>223.49537037037035</v>
      </c>
      <c r="J21" s="99">
        <v>300</v>
      </c>
      <c r="K21" s="99">
        <v>193000</v>
      </c>
      <c r="L21" s="99">
        <v>0.28000000000000003</v>
      </c>
      <c r="M21" s="74">
        <f t="shared" si="1"/>
        <v>25.833187956580193</v>
      </c>
      <c r="N21" s="99">
        <v>1.6E-2</v>
      </c>
      <c r="O21" s="74">
        <f t="shared" si="2"/>
        <v>0.4133310073052831</v>
      </c>
      <c r="P21" s="74">
        <f t="shared" si="0"/>
        <v>0.95678473913259976</v>
      </c>
      <c r="Q21" s="74">
        <f t="shared" si="3"/>
        <v>4.6474891192606673</v>
      </c>
      <c r="R21" s="74">
        <f t="shared" si="4"/>
        <v>2.6846193682030037</v>
      </c>
      <c r="S21" s="74">
        <f t="shared" si="5"/>
        <v>1.2373301159976151</v>
      </c>
      <c r="T21" s="74">
        <v>2.2742</v>
      </c>
      <c r="U21" s="74">
        <f t="shared" si="6"/>
        <v>0.46089592090883386</v>
      </c>
      <c r="V21" s="74">
        <f t="shared" si="7"/>
        <v>0.8471219521604938</v>
      </c>
      <c r="W21" s="74">
        <f t="shared" si="8"/>
        <v>1.7311538366690487</v>
      </c>
      <c r="X21" s="196"/>
      <c r="Y21" s="74">
        <f t="shared" si="9"/>
        <v>85.378088206035585</v>
      </c>
      <c r="Z21" s="74">
        <f t="shared" si="10"/>
        <v>112.70396775032664</v>
      </c>
      <c r="AA21" s="116">
        <f t="shared" si="11"/>
        <v>0.75754287901534989</v>
      </c>
      <c r="AB21" s="74">
        <f t="shared" si="12"/>
        <v>254.13658564814813</v>
      </c>
      <c r="AC21" s="74">
        <f t="shared" si="13"/>
        <v>0.8471219521604938</v>
      </c>
    </row>
    <row r="22" spans="2:29" ht="15.5">
      <c r="B22" s="99">
        <v>19</v>
      </c>
      <c r="C22" s="99" t="s">
        <v>56</v>
      </c>
      <c r="D22" s="99">
        <v>122.9</v>
      </c>
      <c r="E22" s="99">
        <v>58.84</v>
      </c>
      <c r="F22" s="74">
        <v>0.432</v>
      </c>
      <c r="G22" s="99">
        <v>15</v>
      </c>
      <c r="H22" s="99">
        <f t="shared" si="16"/>
        <v>0.25492861998640381</v>
      </c>
      <c r="I22" s="99">
        <f t="shared" si="17"/>
        <v>284.49074074074076</v>
      </c>
      <c r="J22" s="99">
        <v>300</v>
      </c>
      <c r="K22" s="99">
        <v>193000</v>
      </c>
      <c r="L22" s="99">
        <v>0.28000000000000003</v>
      </c>
      <c r="M22" s="74">
        <f t="shared" si="1"/>
        <v>29.14592252785971</v>
      </c>
      <c r="N22" s="99">
        <v>1.6E-2</v>
      </c>
      <c r="O22" s="74">
        <f>N22*M22</f>
        <v>0.46633476044575539</v>
      </c>
      <c r="P22" s="74">
        <f t="shared" si="0"/>
        <v>1.0794786121429523</v>
      </c>
      <c r="Q22" s="74">
        <f>((2*K22)/(SQRT(3*(1-L22^2))))*(F22/D22)^2</f>
        <v>2.8682643307192275</v>
      </c>
      <c r="R22" s="74">
        <f>(2*J22)*(F22/D22)</f>
        <v>2.1090317331163546</v>
      </c>
      <c r="S22" s="74">
        <f>1/((1/(0.3*Q22)^2+1/(R22)^2)^0.5)</f>
        <v>0.79671898059777757</v>
      </c>
      <c r="T22" s="74">
        <v>1.64463</v>
      </c>
      <c r="U22" s="74">
        <f>S22/R22</f>
        <v>0.37776528825411604</v>
      </c>
      <c r="V22" s="74">
        <f>T22/R22</f>
        <v>0.77980334490740744</v>
      </c>
      <c r="W22" s="74">
        <f>Q22/R22</f>
        <v>1.3599910734775968</v>
      </c>
      <c r="X22" s="196"/>
      <c r="Y22" s="74">
        <f t="shared" si="9"/>
        <v>96.326599280443759</v>
      </c>
      <c r="Z22" s="74">
        <f t="shared" si="10"/>
        <v>112.70396775032664</v>
      </c>
      <c r="AA22" s="116">
        <f t="shared" si="11"/>
        <v>0.85468685089983965</v>
      </c>
      <c r="AB22" s="74">
        <f t="shared" si="12"/>
        <v>233.94100347222223</v>
      </c>
      <c r="AC22" s="74">
        <f t="shared" si="13"/>
        <v>0.77980334490740744</v>
      </c>
    </row>
    <row r="23" spans="2:29" ht="15.5">
      <c r="B23" s="99">
        <v>20</v>
      </c>
      <c r="C23" s="99" t="s">
        <v>57</v>
      </c>
      <c r="D23" s="99">
        <v>178.107</v>
      </c>
      <c r="E23" s="99">
        <v>58.84</v>
      </c>
      <c r="F23" s="74">
        <v>0.432</v>
      </c>
      <c r="G23" s="99">
        <v>10</v>
      </c>
      <c r="H23" s="99">
        <f t="shared" si="16"/>
        <v>0.16995241332426919</v>
      </c>
      <c r="I23" s="99">
        <f t="shared" si="17"/>
        <v>412.28472222222223</v>
      </c>
      <c r="J23" s="99">
        <v>300</v>
      </c>
      <c r="K23" s="99">
        <v>193000</v>
      </c>
      <c r="L23" s="99">
        <v>0.28000000000000003</v>
      </c>
      <c r="M23" s="74">
        <f t="shared" si="1"/>
        <v>35.086686705928791</v>
      </c>
      <c r="N23" s="99">
        <v>1.6E-2</v>
      </c>
      <c r="O23" s="74">
        <f t="shared" si="2"/>
        <v>0.5613869872948607</v>
      </c>
      <c r="P23" s="74">
        <f t="shared" si="0"/>
        <v>1.2995069150343999</v>
      </c>
      <c r="Q23" s="74">
        <f>((2*K23)/(SQRT(3*(1-L23^2))))*(F23/D23)^2</f>
        <v>1.3657177718120246</v>
      </c>
      <c r="R23" s="74">
        <f>(2*J23)*(F23/D23)</f>
        <v>1.4553049571325103</v>
      </c>
      <c r="S23" s="74">
        <f>1/((1/(0.3*Q23)^2+1/(R23)^2)^0.5)</f>
        <v>0.39438381953008977</v>
      </c>
      <c r="T23" s="74">
        <v>0.82465900000000003</v>
      </c>
      <c r="U23" s="74">
        <f>S23/R23</f>
        <v>0.27099737247317013</v>
      </c>
      <c r="V23" s="74">
        <f>T23/R23</f>
        <v>0.56665717790509262</v>
      </c>
      <c r="W23" s="74">
        <f>Q23/R23</f>
        <v>0.93844095364245472</v>
      </c>
      <c r="X23" s="197"/>
      <c r="Y23" s="74">
        <f t="shared" si="9"/>
        <v>115.96068737127275</v>
      </c>
      <c r="Z23" s="74">
        <f t="shared" si="10"/>
        <v>112.70396775032664</v>
      </c>
      <c r="AA23" s="116">
        <f t="shared" si="11"/>
        <v>1.0288962286417522</v>
      </c>
      <c r="AB23" s="74">
        <f t="shared" si="12"/>
        <v>169.99715337152779</v>
      </c>
      <c r="AC23" s="74">
        <f t="shared" si="13"/>
        <v>0.56665717790509262</v>
      </c>
    </row>
    <row r="24" spans="2:29" ht="15.5">
      <c r="B24" s="23">
        <v>21</v>
      </c>
      <c r="C24" s="23" t="s">
        <v>58</v>
      </c>
      <c r="D24" s="23">
        <v>58.84</v>
      </c>
      <c r="E24" s="23">
        <v>58.84</v>
      </c>
      <c r="F24" s="58">
        <v>0.432</v>
      </c>
      <c r="G24" s="23">
        <v>58.84</v>
      </c>
      <c r="H24" s="23">
        <f>G24/E24</f>
        <v>1</v>
      </c>
      <c r="I24" s="23">
        <f>D24/F24</f>
        <v>136.20370370370372</v>
      </c>
      <c r="J24" s="23">
        <v>400</v>
      </c>
      <c r="K24" s="23">
        <v>193000</v>
      </c>
      <c r="L24" s="23">
        <v>0.28000000000000003</v>
      </c>
      <c r="M24" s="58">
        <f>4*(SQRT(D24*F24))</f>
        <v>20.166855977072878</v>
      </c>
      <c r="N24" s="23">
        <v>1.6E-2</v>
      </c>
      <c r="O24" s="58">
        <f>N24*M24</f>
        <v>0.32266969563316605</v>
      </c>
      <c r="P24" s="58">
        <f t="shared" si="0"/>
        <v>0.74692059174343994</v>
      </c>
      <c r="Q24" s="58">
        <f>((2*K24)/(SQRT(3*(1-L24^2))))*(F24/D24)^2</f>
        <v>12.513465765148297</v>
      </c>
      <c r="R24" s="58">
        <f>(2*J24)*(F24/D24)</f>
        <v>5.8735554044867433</v>
      </c>
      <c r="S24" s="58">
        <f>1/((1/(0.3*Q24)^2+1/(R24)^2)^0.5)</f>
        <v>3.1631510199080237</v>
      </c>
      <c r="T24" s="58">
        <v>5.3502099999999997</v>
      </c>
      <c r="U24" s="58">
        <f>S24/R24</f>
        <v>0.53854110535702582</v>
      </c>
      <c r="V24" s="125">
        <f>T24/R24</f>
        <v>0.91089802199074077</v>
      </c>
      <c r="W24" s="58">
        <f>Q24/R24</f>
        <v>2.1304754792283735</v>
      </c>
      <c r="X24" s="194" t="s">
        <v>176</v>
      </c>
      <c r="Y24" s="74">
        <f t="shared" si="9"/>
        <v>66.650992178856029</v>
      </c>
      <c r="Z24" s="74">
        <f t="shared" si="10"/>
        <v>97.604499179084982</v>
      </c>
      <c r="AA24" s="116">
        <f t="shared" si="11"/>
        <v>0.68286803107881966</v>
      </c>
      <c r="AB24" s="74">
        <f t="shared" si="12"/>
        <v>364.35920879629634</v>
      </c>
      <c r="AC24" s="74">
        <f t="shared" si="13"/>
        <v>0.91089802199074088</v>
      </c>
    </row>
    <row r="25" spans="2:29" ht="15.5">
      <c r="B25" s="23">
        <v>22</v>
      </c>
      <c r="C25" s="23" t="s">
        <v>59</v>
      </c>
      <c r="D25" s="23">
        <v>59.62</v>
      </c>
      <c r="E25" s="23">
        <v>58.84</v>
      </c>
      <c r="F25" s="58">
        <v>0.432</v>
      </c>
      <c r="G25" s="23">
        <v>50</v>
      </c>
      <c r="H25" s="23">
        <f t="shared" ref="H25:H33" si="18">G25/E25</f>
        <v>0.84976206662134601</v>
      </c>
      <c r="I25" s="23">
        <f>D25/F25</f>
        <v>138.00925925925927</v>
      </c>
      <c r="J25" s="23">
        <v>400</v>
      </c>
      <c r="K25" s="23">
        <v>193000</v>
      </c>
      <c r="L25" s="23">
        <v>0.28000000000000003</v>
      </c>
      <c r="M25" s="58">
        <f t="shared" ref="M25:M33" si="19">4*(SQRT(D25*F25))</f>
        <v>20.300084728887217</v>
      </c>
      <c r="N25" s="23">
        <v>1.6E-2</v>
      </c>
      <c r="O25" s="58">
        <f t="shared" ref="O25:O33" si="20">N25*M25</f>
        <v>0.32480135566219548</v>
      </c>
      <c r="P25" s="58">
        <f t="shared" si="0"/>
        <v>0.75185498995878586</v>
      </c>
      <c r="Q25" s="58">
        <f t="shared" ref="Q25:Q33" si="21">((2*K25)/(SQRT(3*(1-L25^2))))*(F25/D25)^2</f>
        <v>12.188183790743707</v>
      </c>
      <c r="R25" s="58">
        <f t="shared" ref="R25:R33" si="22">(2*J25)*(F25/D25)</f>
        <v>5.7967125125796715</v>
      </c>
      <c r="S25" s="58">
        <f t="shared" ref="S25:S33" si="23">1/((1/(0.3*Q25)^2+1/(R25)^2)^0.5)</f>
        <v>3.0926061216178153</v>
      </c>
      <c r="T25" s="58">
        <v>5.2635399999999999</v>
      </c>
      <c r="U25" s="58">
        <f t="shared" ref="U25:U33" si="24">S25/R25</f>
        <v>0.53351035003140668</v>
      </c>
      <c r="V25" s="58">
        <f t="shared" ref="V25:V33" si="25">T25/R25</f>
        <v>0.90802157060185185</v>
      </c>
      <c r="W25" s="58">
        <f t="shared" ref="W25:W33" si="26">Q25/R25</f>
        <v>2.1026027708453121</v>
      </c>
      <c r="X25" s="194"/>
      <c r="Y25" s="74">
        <f t="shared" si="9"/>
        <v>67.091310119603534</v>
      </c>
      <c r="Z25" s="74">
        <f t="shared" si="10"/>
        <v>97.604499179084982</v>
      </c>
      <c r="AA25" s="116">
        <f t="shared" si="11"/>
        <v>0.68737927742966265</v>
      </c>
      <c r="AB25" s="74">
        <f t="shared" si="12"/>
        <v>363.20862824074072</v>
      </c>
      <c r="AC25" s="74">
        <f t="shared" si="13"/>
        <v>0.90802157060185185</v>
      </c>
    </row>
    <row r="26" spans="2:29" ht="15.5">
      <c r="B26" s="23">
        <v>23</v>
      </c>
      <c r="C26" s="23" t="s">
        <v>60</v>
      </c>
      <c r="D26" s="23">
        <v>60.97</v>
      </c>
      <c r="E26" s="23">
        <v>58.84</v>
      </c>
      <c r="F26" s="58">
        <v>0.432</v>
      </c>
      <c r="G26" s="23">
        <v>45</v>
      </c>
      <c r="H26" s="23">
        <f t="shared" si="18"/>
        <v>0.76478585995921133</v>
      </c>
      <c r="I26" s="23">
        <f t="shared" ref="I26:I33" si="27">D26/F26</f>
        <v>141.13425925925927</v>
      </c>
      <c r="J26" s="23">
        <v>400</v>
      </c>
      <c r="K26" s="23">
        <v>193000</v>
      </c>
      <c r="L26" s="23">
        <v>0.28000000000000003</v>
      </c>
      <c r="M26" s="58">
        <f t="shared" si="19"/>
        <v>20.528629764307212</v>
      </c>
      <c r="N26" s="23">
        <v>1.6E-2</v>
      </c>
      <c r="O26" s="58">
        <f t="shared" si="20"/>
        <v>0.32845807622891537</v>
      </c>
      <c r="P26" s="58">
        <f t="shared" si="0"/>
        <v>0.76031962090026706</v>
      </c>
      <c r="Q26" s="58">
        <f t="shared" si="21"/>
        <v>11.654416854682015</v>
      </c>
      <c r="R26" s="58">
        <f t="shared" si="22"/>
        <v>5.6683614892570118</v>
      </c>
      <c r="S26" s="58">
        <f t="shared" si="23"/>
        <v>2.9757740664050694</v>
      </c>
      <c r="T26" s="58">
        <v>5.1318999999999999</v>
      </c>
      <c r="U26" s="58">
        <f t="shared" si="24"/>
        <v>0.52497958573124148</v>
      </c>
      <c r="V26" s="58">
        <f t="shared" si="25"/>
        <v>0.90535863136574068</v>
      </c>
      <c r="W26" s="58">
        <f t="shared" si="26"/>
        <v>2.0560468623552155</v>
      </c>
      <c r="X26" s="194"/>
      <c r="Y26" s="74">
        <f t="shared" si="9"/>
        <v>67.846646171272283</v>
      </c>
      <c r="Z26" s="74">
        <f t="shared" si="10"/>
        <v>97.604499179084982</v>
      </c>
      <c r="AA26" s="116">
        <f t="shared" si="11"/>
        <v>0.69511801957804309</v>
      </c>
      <c r="AB26" s="74">
        <f t="shared" si="12"/>
        <v>362.14345254629626</v>
      </c>
      <c r="AC26" s="74">
        <f t="shared" si="13"/>
        <v>0.90535863136574068</v>
      </c>
    </row>
    <row r="27" spans="2:29" ht="15.5">
      <c r="B27" s="23">
        <v>24</v>
      </c>
      <c r="C27" s="23" t="s">
        <v>61</v>
      </c>
      <c r="D27" s="23">
        <v>63.28</v>
      </c>
      <c r="E27" s="23">
        <v>58.84</v>
      </c>
      <c r="F27" s="58">
        <v>0.432</v>
      </c>
      <c r="G27" s="23">
        <v>40</v>
      </c>
      <c r="H27" s="23">
        <f t="shared" si="18"/>
        <v>0.67980965329707677</v>
      </c>
      <c r="I27" s="23">
        <f t="shared" si="27"/>
        <v>146.4814814814815</v>
      </c>
      <c r="J27" s="23">
        <v>400</v>
      </c>
      <c r="K27" s="23">
        <v>193000</v>
      </c>
      <c r="L27" s="23">
        <v>0.28000000000000003</v>
      </c>
      <c r="M27" s="58">
        <f t="shared" si="19"/>
        <v>20.913903509388199</v>
      </c>
      <c r="N27" s="23">
        <v>1.6E-2</v>
      </c>
      <c r="O27" s="58">
        <f t="shared" si="20"/>
        <v>0.33462245615021119</v>
      </c>
      <c r="P27" s="58">
        <f t="shared" si="0"/>
        <v>0.77458901886622966</v>
      </c>
      <c r="Q27" s="58">
        <f t="shared" si="21"/>
        <v>10.819071649420493</v>
      </c>
      <c r="R27" s="58">
        <f t="shared" si="22"/>
        <v>5.461441213653603</v>
      </c>
      <c r="S27" s="58">
        <f t="shared" si="23"/>
        <v>2.7901780437007822</v>
      </c>
      <c r="T27" s="58">
        <v>4.89032</v>
      </c>
      <c r="U27" s="58">
        <f t="shared" si="24"/>
        <v>0.51088676679799039</v>
      </c>
      <c r="V27" s="58">
        <f t="shared" si="25"/>
        <v>0.8954266481481481</v>
      </c>
      <c r="W27" s="58">
        <f t="shared" si="26"/>
        <v>1.9809920543267616</v>
      </c>
      <c r="X27" s="194"/>
      <c r="Y27" s="74">
        <f t="shared" si="9"/>
        <v>69.119966980391212</v>
      </c>
      <c r="Z27" s="74">
        <f t="shared" si="10"/>
        <v>97.604499179084982</v>
      </c>
      <c r="AA27" s="116">
        <f t="shared" si="11"/>
        <v>0.70816373796017051</v>
      </c>
      <c r="AB27" s="74">
        <f t="shared" si="12"/>
        <v>358.17065925925931</v>
      </c>
      <c r="AC27" s="74">
        <f t="shared" si="13"/>
        <v>0.89542664814814832</v>
      </c>
    </row>
    <row r="28" spans="2:29" ht="15.5">
      <c r="B28" s="23">
        <v>25</v>
      </c>
      <c r="C28" s="23" t="s">
        <v>62</v>
      </c>
      <c r="D28" s="23">
        <v>67</v>
      </c>
      <c r="E28" s="23">
        <v>58.84</v>
      </c>
      <c r="F28" s="58">
        <v>0.432</v>
      </c>
      <c r="G28" s="23">
        <v>35</v>
      </c>
      <c r="H28" s="23">
        <f t="shared" si="18"/>
        <v>0.5948334466349422</v>
      </c>
      <c r="I28" s="23">
        <f t="shared" si="27"/>
        <v>155.09259259259258</v>
      </c>
      <c r="J28" s="23">
        <v>400</v>
      </c>
      <c r="K28" s="23">
        <v>193000</v>
      </c>
      <c r="L28" s="23">
        <v>0.28000000000000003</v>
      </c>
      <c r="M28" s="58">
        <f t="shared" si="19"/>
        <v>21.519851300601498</v>
      </c>
      <c r="N28" s="23">
        <v>1.6E-2</v>
      </c>
      <c r="O28" s="58">
        <f t="shared" si="20"/>
        <v>0.34431762080962397</v>
      </c>
      <c r="P28" s="58">
        <f t="shared" si="0"/>
        <v>0.79703152965190738</v>
      </c>
      <c r="Q28" s="58">
        <f t="shared" si="21"/>
        <v>9.6510225973621786</v>
      </c>
      <c r="R28" s="58">
        <f t="shared" si="22"/>
        <v>5.1582089552238806</v>
      </c>
      <c r="S28" s="58">
        <f t="shared" si="23"/>
        <v>2.5247712579204507</v>
      </c>
      <c r="T28" s="58">
        <v>4.5749399999999998</v>
      </c>
      <c r="U28" s="58">
        <f t="shared" si="24"/>
        <v>0.48946665011767998</v>
      </c>
      <c r="V28" s="58">
        <f t="shared" si="25"/>
        <v>0.88692413194444442</v>
      </c>
      <c r="W28" s="58">
        <f t="shared" si="26"/>
        <v>1.8710026447432464</v>
      </c>
      <c r="X28" s="194"/>
      <c r="Y28" s="58">
        <f t="shared" si="9"/>
        <v>71.12261040378192</v>
      </c>
      <c r="Z28" s="58">
        <f t="shared" si="10"/>
        <v>97.604499179084982</v>
      </c>
      <c r="AA28" s="115">
        <f t="shared" si="11"/>
        <v>0.72868167965583197</v>
      </c>
      <c r="AB28" s="58">
        <f t="shared" si="12"/>
        <v>354.76965277777776</v>
      </c>
      <c r="AC28" s="58">
        <f t="shared" si="13"/>
        <v>0.88692413194444442</v>
      </c>
    </row>
    <row r="29" spans="2:29" ht="15.5">
      <c r="B29" s="23">
        <v>26</v>
      </c>
      <c r="C29" s="23" t="s">
        <v>64</v>
      </c>
      <c r="D29" s="23">
        <v>72.7</v>
      </c>
      <c r="E29" s="23">
        <v>58.84</v>
      </c>
      <c r="F29" s="58">
        <v>0.432</v>
      </c>
      <c r="G29" s="23">
        <v>30</v>
      </c>
      <c r="H29" s="23">
        <f t="shared" si="18"/>
        <v>0.50985723997280763</v>
      </c>
      <c r="I29" s="23">
        <f t="shared" si="27"/>
        <v>168.28703703703704</v>
      </c>
      <c r="J29" s="23">
        <v>400</v>
      </c>
      <c r="K29" s="23">
        <v>193000</v>
      </c>
      <c r="L29" s="23">
        <v>0.28000000000000003</v>
      </c>
      <c r="M29" s="58">
        <f t="shared" si="19"/>
        <v>22.416565303364386</v>
      </c>
      <c r="N29" s="23">
        <v>1.6E-2</v>
      </c>
      <c r="O29" s="58">
        <f t="shared" si="20"/>
        <v>0.35866504485383016</v>
      </c>
      <c r="P29" s="58">
        <f t="shared" si="0"/>
        <v>0.83024315938386617</v>
      </c>
      <c r="Q29" s="58">
        <f t="shared" si="21"/>
        <v>8.1969845438109949</v>
      </c>
      <c r="R29" s="58">
        <f t="shared" si="22"/>
        <v>4.7537826685006879</v>
      </c>
      <c r="S29" s="58">
        <f t="shared" si="23"/>
        <v>2.1841664648521291</v>
      </c>
      <c r="T29" s="58">
        <v>4.0482100000000001</v>
      </c>
      <c r="U29" s="58">
        <f t="shared" si="24"/>
        <v>0.45945862845703062</v>
      </c>
      <c r="V29" s="58">
        <f t="shared" si="25"/>
        <v>0.85157658275462966</v>
      </c>
      <c r="W29" s="58">
        <f t="shared" si="26"/>
        <v>1.7243078018954263</v>
      </c>
      <c r="X29" s="194"/>
      <c r="Y29" s="58">
        <f t="shared" si="9"/>
        <v>74.086229425644675</v>
      </c>
      <c r="Z29" s="58">
        <f t="shared" si="10"/>
        <v>97.604499179084982</v>
      </c>
      <c r="AA29" s="115">
        <f t="shared" si="11"/>
        <v>0.75904522894698812</v>
      </c>
      <c r="AB29" s="58">
        <f t="shared" si="12"/>
        <v>340.63063310185186</v>
      </c>
      <c r="AC29" s="58">
        <f t="shared" si="13"/>
        <v>0.85157658275462966</v>
      </c>
    </row>
    <row r="30" spans="2:29" ht="15.5">
      <c r="B30" s="23">
        <v>27</v>
      </c>
      <c r="C30" s="23" t="s">
        <v>65</v>
      </c>
      <c r="D30" s="23">
        <v>81.739999999999995</v>
      </c>
      <c r="E30" s="23">
        <v>58.84</v>
      </c>
      <c r="F30" s="58">
        <v>0.432</v>
      </c>
      <c r="G30" s="23">
        <v>25</v>
      </c>
      <c r="H30" s="23">
        <f t="shared" si="18"/>
        <v>0.42488103331067301</v>
      </c>
      <c r="I30" s="23">
        <f t="shared" si="27"/>
        <v>189.21296296296296</v>
      </c>
      <c r="J30" s="23">
        <v>400</v>
      </c>
      <c r="K30" s="23">
        <v>193000</v>
      </c>
      <c r="L30" s="23">
        <v>0.28000000000000003</v>
      </c>
      <c r="M30" s="58">
        <f t="shared" si="19"/>
        <v>23.769452665133034</v>
      </c>
      <c r="N30" s="23">
        <v>1.6E-2</v>
      </c>
      <c r="O30" s="58">
        <f t="shared" si="20"/>
        <v>0.38031124264212857</v>
      </c>
      <c r="P30" s="58">
        <f t="shared" si="0"/>
        <v>0.8803500987086309</v>
      </c>
      <c r="Q30" s="58">
        <f t="shared" si="21"/>
        <v>6.4841592296171582</v>
      </c>
      <c r="R30" s="58">
        <f t="shared" si="22"/>
        <v>4.2280401272326893</v>
      </c>
      <c r="S30" s="58">
        <f t="shared" si="23"/>
        <v>1.7671835910325155</v>
      </c>
      <c r="T30" s="58">
        <v>3.5115699999999999</v>
      </c>
      <c r="U30" s="58">
        <f t="shared" si="24"/>
        <v>0.41796755419848902</v>
      </c>
      <c r="V30" s="58">
        <f t="shared" si="25"/>
        <v>0.83054320543981475</v>
      </c>
      <c r="W30" s="58">
        <f t="shared" si="26"/>
        <v>1.5336087251993822</v>
      </c>
      <c r="X30" s="194"/>
      <c r="Y30" s="58">
        <f t="shared" si="9"/>
        <v>78.557490839452996</v>
      </c>
      <c r="Z30" s="58">
        <f t="shared" si="10"/>
        <v>97.604499179084982</v>
      </c>
      <c r="AA30" s="115">
        <f t="shared" si="11"/>
        <v>0.8048552218409063</v>
      </c>
      <c r="AB30" s="58">
        <f t="shared" si="12"/>
        <v>332.21728217592585</v>
      </c>
      <c r="AC30" s="58">
        <f t="shared" si="13"/>
        <v>0.83054320543981464</v>
      </c>
    </row>
    <row r="31" spans="2:29" ht="15.5">
      <c r="B31" s="23">
        <v>28</v>
      </c>
      <c r="C31" s="23" t="s">
        <v>66</v>
      </c>
      <c r="D31" s="23">
        <v>96.55</v>
      </c>
      <c r="E31" s="23">
        <v>58.84</v>
      </c>
      <c r="F31" s="58">
        <v>0.432</v>
      </c>
      <c r="G31" s="23">
        <v>20</v>
      </c>
      <c r="H31" s="23">
        <f t="shared" si="18"/>
        <v>0.33990482664853838</v>
      </c>
      <c r="I31" s="23">
        <f t="shared" si="27"/>
        <v>223.49537037037035</v>
      </c>
      <c r="J31" s="23">
        <v>400</v>
      </c>
      <c r="K31" s="23">
        <v>193000</v>
      </c>
      <c r="L31" s="23">
        <v>0.28000000000000003</v>
      </c>
      <c r="M31" s="58">
        <f t="shared" si="19"/>
        <v>25.833187956580193</v>
      </c>
      <c r="N31" s="23">
        <v>1.6E-2</v>
      </c>
      <c r="O31" s="58">
        <f t="shared" si="20"/>
        <v>0.4133310073052831</v>
      </c>
      <c r="P31" s="58">
        <f t="shared" si="0"/>
        <v>0.95678473913259976</v>
      </c>
      <c r="Q31" s="58">
        <f t="shared" si="21"/>
        <v>4.6474891192606673</v>
      </c>
      <c r="R31" s="58">
        <f t="shared" si="22"/>
        <v>3.579492490937338</v>
      </c>
      <c r="S31" s="58">
        <f t="shared" si="23"/>
        <v>1.2991718696701895</v>
      </c>
      <c r="T31" s="58">
        <v>2.7799100000000001</v>
      </c>
      <c r="U31" s="58">
        <f t="shared" si="24"/>
        <v>0.36294862273338196</v>
      </c>
      <c r="V31" s="58">
        <f t="shared" si="25"/>
        <v>0.77662126880787041</v>
      </c>
      <c r="W31" s="58">
        <f t="shared" si="26"/>
        <v>1.2983653775017867</v>
      </c>
      <c r="X31" s="194"/>
      <c r="Y31" s="58">
        <f t="shared" si="9"/>
        <v>85.378088206035585</v>
      </c>
      <c r="Z31" s="58">
        <f t="shared" si="10"/>
        <v>97.604499179084982</v>
      </c>
      <c r="AA31" s="115">
        <f t="shared" si="11"/>
        <v>0.87473517024439262</v>
      </c>
      <c r="AB31" s="58">
        <f t="shared" si="12"/>
        <v>310.64850752314811</v>
      </c>
      <c r="AC31" s="58">
        <f t="shared" si="13"/>
        <v>0.7766212688078703</v>
      </c>
    </row>
    <row r="32" spans="2:29" ht="15.5">
      <c r="B32" s="23">
        <v>29</v>
      </c>
      <c r="C32" s="23" t="s">
        <v>67</v>
      </c>
      <c r="D32" s="23">
        <v>122.9</v>
      </c>
      <c r="E32" s="23">
        <v>58.84</v>
      </c>
      <c r="F32" s="58">
        <v>0.432</v>
      </c>
      <c r="G32" s="23">
        <v>15</v>
      </c>
      <c r="H32" s="23">
        <f t="shared" si="18"/>
        <v>0.25492861998640381</v>
      </c>
      <c r="I32" s="23">
        <f t="shared" si="27"/>
        <v>284.49074074074076</v>
      </c>
      <c r="J32" s="23">
        <v>400</v>
      </c>
      <c r="K32" s="23">
        <v>193000</v>
      </c>
      <c r="L32" s="23">
        <v>0.28000000000000003</v>
      </c>
      <c r="M32" s="58">
        <f t="shared" si="19"/>
        <v>29.14592252785971</v>
      </c>
      <c r="N32" s="23">
        <v>1.6E-2</v>
      </c>
      <c r="O32" s="58">
        <f t="shared" si="20"/>
        <v>0.46633476044575539</v>
      </c>
      <c r="P32" s="58">
        <f t="shared" si="0"/>
        <v>1.0794786121429523</v>
      </c>
      <c r="Q32" s="58">
        <f t="shared" si="21"/>
        <v>2.8682643307192275</v>
      </c>
      <c r="R32" s="58">
        <f t="shared" si="22"/>
        <v>2.812042310821806</v>
      </c>
      <c r="S32" s="58">
        <f t="shared" si="23"/>
        <v>0.82281892504251253</v>
      </c>
      <c r="T32" s="58">
        <v>1.8868199999999999</v>
      </c>
      <c r="U32" s="58">
        <f t="shared" si="24"/>
        <v>0.29260545685105555</v>
      </c>
      <c r="V32" s="58">
        <f t="shared" si="25"/>
        <v>0.6709785243055556</v>
      </c>
      <c r="W32" s="58">
        <f t="shared" si="26"/>
        <v>1.0199933051081975</v>
      </c>
      <c r="X32" s="194"/>
      <c r="Y32" s="58">
        <f t="shared" si="9"/>
        <v>96.326599280443759</v>
      </c>
      <c r="Z32" s="58">
        <f t="shared" si="10"/>
        <v>97.604499179084982</v>
      </c>
      <c r="AA32" s="115">
        <f t="shared" si="11"/>
        <v>0.98690736687971192</v>
      </c>
      <c r="AB32" s="58">
        <f t="shared" si="12"/>
        <v>268.39140972222219</v>
      </c>
      <c r="AC32" s="58">
        <f t="shared" si="13"/>
        <v>0.67097852430555549</v>
      </c>
    </row>
    <row r="33" spans="2:29" ht="15.5">
      <c r="B33" s="23">
        <v>30</v>
      </c>
      <c r="C33" s="23" t="s">
        <v>68</v>
      </c>
      <c r="D33" s="23">
        <v>178.107</v>
      </c>
      <c r="E33" s="23">
        <v>58.84</v>
      </c>
      <c r="F33" s="58">
        <v>0.432</v>
      </c>
      <c r="G33" s="23">
        <v>10</v>
      </c>
      <c r="H33" s="23">
        <f t="shared" si="18"/>
        <v>0.16995241332426919</v>
      </c>
      <c r="I33" s="23">
        <f t="shared" si="27"/>
        <v>412.28472222222223</v>
      </c>
      <c r="J33" s="23">
        <v>400</v>
      </c>
      <c r="K33" s="23">
        <v>193000</v>
      </c>
      <c r="L33" s="23">
        <v>0.28000000000000003</v>
      </c>
      <c r="M33" s="58">
        <f t="shared" si="19"/>
        <v>35.086686705928791</v>
      </c>
      <c r="N33" s="23">
        <v>1.6E-2</v>
      </c>
      <c r="O33" s="58">
        <f t="shared" si="20"/>
        <v>0.5613869872948607</v>
      </c>
      <c r="P33" s="58">
        <f t="shared" si="0"/>
        <v>1.2995069150343999</v>
      </c>
      <c r="Q33" s="58">
        <f t="shared" si="21"/>
        <v>1.3657177718120246</v>
      </c>
      <c r="R33" s="58">
        <f t="shared" si="22"/>
        <v>1.9404066095100136</v>
      </c>
      <c r="S33" s="58">
        <f t="shared" si="23"/>
        <v>0.40087643978900428</v>
      </c>
      <c r="T33" s="58">
        <v>0.84470100000000004</v>
      </c>
      <c r="U33" s="58">
        <f t="shared" si="24"/>
        <v>0.20659403952980376</v>
      </c>
      <c r="V33" s="58">
        <f t="shared" si="25"/>
        <v>0.43532164643229171</v>
      </c>
      <c r="W33" s="58">
        <f t="shared" si="26"/>
        <v>0.70383071523184104</v>
      </c>
      <c r="X33" s="194"/>
      <c r="Y33" s="58">
        <f t="shared" si="9"/>
        <v>115.96068737127275</v>
      </c>
      <c r="Z33" s="58">
        <f t="shared" si="10"/>
        <v>97.604499179084982</v>
      </c>
      <c r="AA33" s="115">
        <f t="shared" si="11"/>
        <v>1.1880670291490127</v>
      </c>
      <c r="AB33" s="58">
        <f t="shared" si="12"/>
        <v>174.12865857291666</v>
      </c>
      <c r="AC33" s="58">
        <f t="shared" si="13"/>
        <v>0.43532164643229165</v>
      </c>
    </row>
  </sheetData>
  <mergeCells count="3">
    <mergeCell ref="X4:X13"/>
    <mergeCell ref="X14:X23"/>
    <mergeCell ref="X24:X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5723-7A2D-4E43-8660-8A5B5C9E1FD5}">
  <dimension ref="B3:AX27"/>
  <sheetViews>
    <sheetView topLeftCell="Q1" zoomScale="85" zoomScaleNormal="85" workbookViewId="0">
      <selection activeCell="AL6" sqref="AL6:AL9"/>
    </sheetView>
  </sheetViews>
  <sheetFormatPr defaultRowHeight="14"/>
  <cols>
    <col min="1" max="7" width="8.7265625" style="55"/>
    <col min="8" max="8" width="8.7265625" style="56"/>
    <col min="9" max="12" width="8.7265625" style="55"/>
    <col min="13" max="13" width="8.7265625" style="55" bestFit="1" customWidth="1"/>
    <col min="14" max="14" width="8.7265625" style="55" customWidth="1"/>
    <col min="15" max="38" width="8.7265625" style="55"/>
    <col min="39" max="44" width="0" style="55" hidden="1" customWidth="1"/>
    <col min="45" max="50" width="9.81640625" style="55" hidden="1" customWidth="1"/>
    <col min="51" max="16384" width="8.7265625" style="55"/>
  </cols>
  <sheetData>
    <row r="3" spans="2:50">
      <c r="B3" s="54" t="s">
        <v>136</v>
      </c>
    </row>
    <row r="4" spans="2:50" ht="15.5">
      <c r="D4" s="37"/>
      <c r="E4" s="37"/>
      <c r="F4" s="37"/>
      <c r="G4" s="37"/>
      <c r="H4" s="53"/>
      <c r="I4" s="37"/>
      <c r="J4" s="37"/>
      <c r="K4" s="37"/>
      <c r="L4" s="37"/>
      <c r="M4" s="37"/>
      <c r="N4" s="37"/>
      <c r="O4" s="198">
        <v>200</v>
      </c>
      <c r="P4" s="198"/>
      <c r="Q4" s="198"/>
      <c r="R4" s="198"/>
      <c r="S4" s="198"/>
      <c r="T4" s="198"/>
      <c r="U4" s="37"/>
      <c r="V4" s="37"/>
      <c r="W4" s="37"/>
      <c r="X4" s="198">
        <v>300</v>
      </c>
      <c r="Y4" s="198"/>
      <c r="Z4" s="198"/>
      <c r="AA4" s="198"/>
      <c r="AB4" s="198"/>
      <c r="AC4" s="198"/>
      <c r="AD4" s="37"/>
      <c r="AE4" s="37"/>
      <c r="AF4" s="37"/>
      <c r="AG4" s="198">
        <v>400</v>
      </c>
      <c r="AH4" s="198"/>
      <c r="AI4" s="198"/>
      <c r="AJ4" s="198"/>
      <c r="AK4" s="198"/>
      <c r="AL4" s="198"/>
      <c r="AM4" s="198">
        <v>200</v>
      </c>
      <c r="AN4" s="198"/>
      <c r="AO4" s="198">
        <v>300</v>
      </c>
      <c r="AP4" s="198"/>
      <c r="AQ4" s="198">
        <v>400</v>
      </c>
      <c r="AR4" s="198"/>
    </row>
    <row r="5" spans="2:50" ht="31">
      <c r="B5" s="57" t="s">
        <v>132</v>
      </c>
      <c r="C5" s="23" t="s">
        <v>131</v>
      </c>
      <c r="D5" s="23" t="s">
        <v>20</v>
      </c>
      <c r="E5" s="23" t="s">
        <v>124</v>
      </c>
      <c r="F5" s="23" t="s">
        <v>133</v>
      </c>
      <c r="G5" s="23" t="s">
        <v>134</v>
      </c>
      <c r="H5" s="38" t="s">
        <v>135</v>
      </c>
      <c r="I5" s="23" t="s">
        <v>130</v>
      </c>
      <c r="J5" s="23" t="s">
        <v>89</v>
      </c>
      <c r="K5" s="23" t="s">
        <v>125</v>
      </c>
      <c r="L5" s="62" t="s">
        <v>101</v>
      </c>
      <c r="M5" s="62" t="s">
        <v>139</v>
      </c>
      <c r="N5" s="65" t="s">
        <v>140</v>
      </c>
      <c r="O5" s="23" t="s">
        <v>126</v>
      </c>
      <c r="P5" s="38" t="s">
        <v>141</v>
      </c>
      <c r="Q5" s="38" t="s">
        <v>142</v>
      </c>
      <c r="R5" s="23" t="s">
        <v>127</v>
      </c>
      <c r="S5" s="38" t="s">
        <v>143</v>
      </c>
      <c r="T5" s="38" t="s">
        <v>144</v>
      </c>
      <c r="U5" s="62" t="s">
        <v>101</v>
      </c>
      <c r="V5" s="62" t="s">
        <v>139</v>
      </c>
      <c r="W5" s="65" t="s">
        <v>140</v>
      </c>
      <c r="X5" s="23" t="s">
        <v>126</v>
      </c>
      <c r="Y5" s="38" t="s">
        <v>141</v>
      </c>
      <c r="Z5" s="38" t="s">
        <v>142</v>
      </c>
      <c r="AA5" s="23" t="s">
        <v>127</v>
      </c>
      <c r="AB5" s="38" t="s">
        <v>143</v>
      </c>
      <c r="AC5" s="38" t="s">
        <v>144</v>
      </c>
      <c r="AD5" s="62" t="s">
        <v>101</v>
      </c>
      <c r="AE5" s="62" t="s">
        <v>139</v>
      </c>
      <c r="AF5" s="70" t="s">
        <v>140</v>
      </c>
      <c r="AG5" s="23" t="s">
        <v>126</v>
      </c>
      <c r="AH5" s="38" t="s">
        <v>141</v>
      </c>
      <c r="AI5" s="38" t="s">
        <v>142</v>
      </c>
      <c r="AJ5" s="23" t="s">
        <v>127</v>
      </c>
      <c r="AK5" s="38" t="s">
        <v>143</v>
      </c>
      <c r="AL5" s="38" t="s">
        <v>144</v>
      </c>
      <c r="AM5" s="23" t="s">
        <v>128</v>
      </c>
      <c r="AN5" s="23" t="s">
        <v>129</v>
      </c>
      <c r="AO5" s="23" t="s">
        <v>128</v>
      </c>
      <c r="AP5" s="23" t="s">
        <v>129</v>
      </c>
      <c r="AQ5" s="23" t="s">
        <v>128</v>
      </c>
      <c r="AR5" s="23" t="s">
        <v>129</v>
      </c>
      <c r="AS5" s="62" t="s">
        <v>126</v>
      </c>
      <c r="AT5" s="62" t="s">
        <v>127</v>
      </c>
      <c r="AU5" s="23" t="s">
        <v>126</v>
      </c>
      <c r="AV5" s="23" t="s">
        <v>127</v>
      </c>
      <c r="AW5" s="62" t="s">
        <v>126</v>
      </c>
      <c r="AX5" s="62" t="s">
        <v>127</v>
      </c>
    </row>
    <row r="6" spans="2:50" ht="15.5">
      <c r="B6" s="57">
        <v>563.4</v>
      </c>
      <c r="C6" s="23">
        <v>2.254</v>
      </c>
      <c r="D6" s="23">
        <v>250</v>
      </c>
      <c r="E6" s="23">
        <v>4.0000000000000001E-3</v>
      </c>
      <c r="F6" s="23">
        <v>83.09</v>
      </c>
      <c r="G6" s="23">
        <v>6.16</v>
      </c>
      <c r="H6" s="38">
        <f>F6/G6</f>
        <v>13.488636363636363</v>
      </c>
      <c r="I6" s="23">
        <v>0.28000000000000003</v>
      </c>
      <c r="J6" s="23">
        <v>193000</v>
      </c>
      <c r="K6" s="58">
        <f>(2*J6)/(3*(1-I6^2))^0.5*(E6)^2</f>
        <v>3.7142867317865922</v>
      </c>
      <c r="L6" s="66">
        <f>5.711*(D6)^0.5</f>
        <v>90.298838586108076</v>
      </c>
      <c r="M6" s="66">
        <f>(2*3.142^2*J6/($O$4))^0.5</f>
        <v>138.03360648769561</v>
      </c>
      <c r="N6" s="66">
        <f>L6/M6</f>
        <v>0.65418010065655541</v>
      </c>
      <c r="O6" s="23">
        <v>1.1653800000000001</v>
      </c>
      <c r="P6" s="23">
        <f>(O6*B6)/(2*C6)</f>
        <v>145.64664862466728</v>
      </c>
      <c r="Q6" s="23">
        <f>P6/$O$4</f>
        <v>0.72823324312333637</v>
      </c>
      <c r="R6" s="58">
        <v>1.2756799999999999</v>
      </c>
      <c r="S6" s="23">
        <f>(R6*B6)/(2*C6)</f>
        <v>159.43170186335402</v>
      </c>
      <c r="T6" s="58">
        <f>S6/$O$4</f>
        <v>0.79715850931677013</v>
      </c>
      <c r="U6" s="29">
        <f>5.711*(D6)^0.5</f>
        <v>90.298838586108076</v>
      </c>
      <c r="V6" s="29">
        <f>(2*3.142^2*J6/($X$4))^0.5</f>
        <v>112.70396775032664</v>
      </c>
      <c r="W6" s="29">
        <f>U6/V6</f>
        <v>0.80120372324554978</v>
      </c>
      <c r="X6" s="57">
        <v>1.4915099999999999</v>
      </c>
      <c r="Y6" s="57">
        <f>(X6*B6)/(2*C6)</f>
        <v>186.40566415261753</v>
      </c>
      <c r="Z6" s="57">
        <f>Y6/$X$4</f>
        <v>0.62135221384205841</v>
      </c>
      <c r="AA6" s="58">
        <v>1.5506599999999999</v>
      </c>
      <c r="AB6" s="58">
        <f>(AA6*B6)/(2*C6)</f>
        <v>193.7981020408163</v>
      </c>
      <c r="AC6" s="58">
        <f>AB6/$X$4</f>
        <v>0.64599367346938763</v>
      </c>
      <c r="AD6" s="29">
        <f>5.711*(D6)^0.5</f>
        <v>90.298838586108076</v>
      </c>
      <c r="AE6" s="29">
        <f>(2*3.142^2*J6/($AG$4))^0.5</f>
        <v>97.604499179084982</v>
      </c>
      <c r="AF6" s="71">
        <f>AD6/AE6</f>
        <v>0.92515037058309724</v>
      </c>
      <c r="AG6" s="57">
        <v>1.7216400000000001</v>
      </c>
      <c r="AH6" s="57">
        <f>(AG6*B6)/(2*C6)</f>
        <v>215.16680922803906</v>
      </c>
      <c r="AI6" s="57">
        <f>AH6/$AG$4</f>
        <v>0.53791702307009759</v>
      </c>
      <c r="AJ6" s="58">
        <v>1.73617</v>
      </c>
      <c r="AK6" s="58">
        <f>(AJ6*B6)/(2*C6)</f>
        <v>216.98273691215616</v>
      </c>
      <c r="AL6" s="57">
        <f>AK6/$AG$4</f>
        <v>0.54245684228039037</v>
      </c>
      <c r="AM6" s="61">
        <f>O6/K6</f>
        <v>0.31375606789501842</v>
      </c>
      <c r="AN6" s="2">
        <f>R6/O6</f>
        <v>1.094647239527021</v>
      </c>
      <c r="AO6" s="61">
        <f>X6/K6</f>
        <v>0.40156027461094135</v>
      </c>
      <c r="AP6" s="2">
        <f>AA6/X6</f>
        <v>1.0396577964613043</v>
      </c>
      <c r="AQ6" s="61">
        <f>AG6/K6</f>
        <v>0.46351833456106978</v>
      </c>
      <c r="AR6" s="2">
        <f>AJ6/AG6</f>
        <v>1.0084396273320786</v>
      </c>
      <c r="AS6" s="63">
        <f>O6/$O$4</f>
        <v>5.8269000000000003E-3</v>
      </c>
      <c r="AT6" s="63">
        <f>R6/$O$4</f>
        <v>6.3783999999999993E-3</v>
      </c>
      <c r="AU6" s="57">
        <f>X6/$X$4</f>
        <v>4.9716999999999999E-3</v>
      </c>
      <c r="AV6" s="57">
        <f>AA6/$X$4</f>
        <v>5.1688666666666666E-3</v>
      </c>
      <c r="AW6" s="64">
        <f>AG6/$AG$4</f>
        <v>4.3040999999999999E-3</v>
      </c>
      <c r="AX6" s="64">
        <f>AJ6/$AG$4</f>
        <v>4.3404250000000002E-3</v>
      </c>
    </row>
    <row r="7" spans="2:50" ht="15.5">
      <c r="B7" s="57">
        <v>563.4</v>
      </c>
      <c r="C7" s="23">
        <v>1.127</v>
      </c>
      <c r="D7" s="23">
        <v>500</v>
      </c>
      <c r="E7" s="23">
        <v>2E-3</v>
      </c>
      <c r="F7" s="23">
        <v>83.09</v>
      </c>
      <c r="G7" s="23">
        <v>6.16</v>
      </c>
      <c r="H7" s="38">
        <f t="shared" ref="H7:H9" si="0">F7/G7</f>
        <v>13.488636363636363</v>
      </c>
      <c r="I7" s="23">
        <v>0.28000000000000003</v>
      </c>
      <c r="J7" s="23">
        <v>193000</v>
      </c>
      <c r="K7" s="58">
        <f t="shared" ref="K7:K9" si="1">(2*J7)/(3*(1-I7^2))^0.5*(E7)^2</f>
        <v>0.92857168294664805</v>
      </c>
      <c r="L7" s="66">
        <f t="shared" ref="L7:L9" si="2">5.711*(D7)^0.5</f>
        <v>127.701842195013</v>
      </c>
      <c r="M7" s="66">
        <f>(2*3.142^2*J7/$O$4)^0.5</f>
        <v>138.03360648769561</v>
      </c>
      <c r="N7" s="66">
        <f t="shared" ref="N7:N9" si="3">L7/M7</f>
        <v>0.92515037058309724</v>
      </c>
      <c r="O7" s="23">
        <v>0.57754700000000003</v>
      </c>
      <c r="P7" s="23">
        <f t="shared" ref="P7:P9" si="4">(O7*B7)/(2*C7)</f>
        <v>144.36112679680568</v>
      </c>
      <c r="Q7" s="23">
        <f t="shared" ref="Q7:Q9" si="5">P7/$O$4</f>
        <v>0.72180563398402842</v>
      </c>
      <c r="R7" s="58">
        <v>0.54386900000000005</v>
      </c>
      <c r="S7" s="23">
        <f t="shared" ref="S7:S9" si="6">(R7*B7)/(2*C7)</f>
        <v>135.94312094055013</v>
      </c>
      <c r="T7" s="58">
        <f t="shared" ref="T7:T9" si="7">S7/$O$4</f>
        <v>0.67971560470275061</v>
      </c>
      <c r="U7" s="29">
        <f t="shared" ref="U7:U9" si="8">5.711*(D7)^0.5</f>
        <v>127.701842195013</v>
      </c>
      <c r="V7" s="29">
        <f t="shared" ref="V7:V9" si="9">(2*3.142^2*J7/($X$4))^0.5</f>
        <v>112.70396775032664</v>
      </c>
      <c r="W7" s="29">
        <f t="shared" ref="W7:W9" si="10">U7/V7</f>
        <v>1.1330731716376763</v>
      </c>
      <c r="X7" s="23">
        <v>0.73131000000000002</v>
      </c>
      <c r="Y7" s="57">
        <f t="shared" ref="Y7:Y9" si="11">(X7*B7)/(2*C7)</f>
        <v>182.79505501330968</v>
      </c>
      <c r="Z7" s="57">
        <f t="shared" ref="Z7:Z9" si="12">Y7/$X$4</f>
        <v>0.60931685004436564</v>
      </c>
      <c r="AA7" s="58">
        <v>0.64916600000000002</v>
      </c>
      <c r="AB7" s="58">
        <f t="shared" ref="AB7:AB9" si="13">(AA7*B7)/(2*C7)</f>
        <v>162.26269937888199</v>
      </c>
      <c r="AC7" s="58">
        <f t="shared" ref="AC7:AC9" si="14">AB7/$X$4</f>
        <v>0.54087566459627334</v>
      </c>
      <c r="AD7" s="29">
        <f t="shared" ref="AD7:AD9" si="15">5.711*(D7)^0.5</f>
        <v>127.701842195013</v>
      </c>
      <c r="AE7" s="29">
        <f t="shared" ref="AE7:AE9" si="16">(2*3.142^2*J7/($AG$4))^0.5</f>
        <v>97.604499179084982</v>
      </c>
      <c r="AF7" s="71">
        <f t="shared" ref="AF7:AF9" si="17">AD7/AE7</f>
        <v>1.308360201313111</v>
      </c>
      <c r="AG7" s="23">
        <v>0.82579499999999995</v>
      </c>
      <c r="AH7" s="57">
        <f t="shared" ref="AH7:AH9" si="18">(AG7*B7)/(2*C7)</f>
        <v>206.41211313220938</v>
      </c>
      <c r="AI7" s="57">
        <f t="shared" ref="AI7:AI9" si="19">AH7/$AG$4</f>
        <v>0.51603028283052343</v>
      </c>
      <c r="AJ7" s="58">
        <v>0.689415</v>
      </c>
      <c r="AK7" s="58">
        <f t="shared" ref="AK7:AK9" si="20">(AJ7*B7)/(2*C7)</f>
        <v>172.32316370896183</v>
      </c>
      <c r="AL7" s="57">
        <f t="shared" ref="AL7:AL9" si="21">AK7/$AG$4</f>
        <v>0.43080790927240459</v>
      </c>
      <c r="AM7" s="61">
        <f>O7/K7</f>
        <v>0.6219735219226834</v>
      </c>
      <c r="AN7" s="2">
        <f>R7/O7</f>
        <v>0.94168786263282467</v>
      </c>
      <c r="AO7" s="61">
        <f>X7/K7</f>
        <v>0.78756439963722014</v>
      </c>
      <c r="AP7" s="2">
        <f>AA7/X7</f>
        <v>0.88767554115217895</v>
      </c>
      <c r="AQ7" s="61">
        <f>AG7/K7</f>
        <v>0.88931744868580787</v>
      </c>
      <c r="AR7" s="2">
        <f>AJ7/AG7</f>
        <v>0.83485005358472753</v>
      </c>
      <c r="AS7" s="63">
        <f>O7/$O$4</f>
        <v>2.8877350000000002E-3</v>
      </c>
      <c r="AT7" s="63">
        <f>R7/$O$4</f>
        <v>2.7193450000000002E-3</v>
      </c>
      <c r="AU7" s="57">
        <f>X7/$X$4</f>
        <v>2.4377000000000001E-3</v>
      </c>
      <c r="AV7" s="57">
        <f t="shared" ref="AV7:AV9" si="22">AA7/$X$4</f>
        <v>2.1638866666666666E-3</v>
      </c>
      <c r="AW7" s="64">
        <f>AG7/$AG$4</f>
        <v>2.0644875E-3</v>
      </c>
      <c r="AX7" s="64">
        <f>AJ7/$AG$4</f>
        <v>1.7235375E-3</v>
      </c>
    </row>
    <row r="8" spans="2:50" ht="15.5">
      <c r="B8" s="57">
        <v>563.4</v>
      </c>
      <c r="C8" s="23">
        <v>0.751</v>
      </c>
      <c r="D8" s="23">
        <v>700</v>
      </c>
      <c r="E8" s="23">
        <v>1.3333333333333333E-3</v>
      </c>
      <c r="F8" s="23">
        <v>83.09</v>
      </c>
      <c r="G8" s="23">
        <v>6.16</v>
      </c>
      <c r="H8" s="38">
        <f t="shared" si="0"/>
        <v>13.488636363636363</v>
      </c>
      <c r="I8" s="23">
        <v>0.28000000000000003</v>
      </c>
      <c r="J8" s="23">
        <v>193000</v>
      </c>
      <c r="K8" s="58">
        <f t="shared" si="1"/>
        <v>0.41269852575406579</v>
      </c>
      <c r="L8" s="66">
        <f t="shared" si="2"/>
        <v>151.09885737489878</v>
      </c>
      <c r="M8" s="66">
        <f t="shared" ref="M8:M9" si="23">(2*3.142^2*J8/$O$4)^0.5</f>
        <v>138.03360648769561</v>
      </c>
      <c r="N8" s="66">
        <f t="shared" si="3"/>
        <v>1.0946526807467558</v>
      </c>
      <c r="O8" s="23">
        <v>0.32458799999999999</v>
      </c>
      <c r="P8" s="23">
        <f t="shared" si="4"/>
        <v>121.75291557922769</v>
      </c>
      <c r="Q8" s="23">
        <f t="shared" si="5"/>
        <v>0.60876457789613847</v>
      </c>
      <c r="R8" s="58">
        <v>0.26696500000000001</v>
      </c>
      <c r="S8" s="23">
        <f t="shared" si="6"/>
        <v>100.13853595206392</v>
      </c>
      <c r="T8" s="58">
        <f t="shared" si="7"/>
        <v>0.50069267976031961</v>
      </c>
      <c r="U8" s="29">
        <f t="shared" si="8"/>
        <v>151.09885737489878</v>
      </c>
      <c r="V8" s="29">
        <f t="shared" si="9"/>
        <v>112.70396775032664</v>
      </c>
      <c r="W8" s="29">
        <f t="shared" si="10"/>
        <v>1.3406702566996438</v>
      </c>
      <c r="X8" s="23">
        <v>0.40313199999999999</v>
      </c>
      <c r="Y8" s="57">
        <f t="shared" si="11"/>
        <v>151.21475952063915</v>
      </c>
      <c r="Z8" s="57">
        <f t="shared" si="12"/>
        <v>0.50404919840213047</v>
      </c>
      <c r="AA8" s="58">
        <v>0.28375800000000001</v>
      </c>
      <c r="AB8" s="58">
        <f t="shared" si="13"/>
        <v>106.43758801597869</v>
      </c>
      <c r="AC8" s="58">
        <f t="shared" si="14"/>
        <v>0.3547919600532623</v>
      </c>
      <c r="AD8" s="29">
        <f t="shared" si="15"/>
        <v>151.09885737489878</v>
      </c>
      <c r="AE8" s="29">
        <f t="shared" si="16"/>
        <v>97.604499179084982</v>
      </c>
      <c r="AF8" s="71">
        <f t="shared" si="17"/>
        <v>1.5480726672001279</v>
      </c>
      <c r="AG8" s="23">
        <v>0.42875000000000002</v>
      </c>
      <c r="AH8" s="57">
        <f t="shared" si="18"/>
        <v>160.82406790945407</v>
      </c>
      <c r="AI8" s="57">
        <f t="shared" si="19"/>
        <v>0.40206016977363518</v>
      </c>
      <c r="AJ8" s="58">
        <v>0.28406199999999998</v>
      </c>
      <c r="AK8" s="58">
        <f t="shared" si="20"/>
        <v>106.55161837549932</v>
      </c>
      <c r="AL8" s="57">
        <f t="shared" si="21"/>
        <v>0.26637904593874828</v>
      </c>
      <c r="AM8" s="61">
        <f>O8/K8</f>
        <v>0.78650147685147687</v>
      </c>
      <c r="AN8" s="2">
        <f>R8/O8</f>
        <v>0.82247341244901229</v>
      </c>
      <c r="AO8" s="61">
        <f>X8/K8</f>
        <v>0.97681957856140567</v>
      </c>
      <c r="AP8" s="2">
        <f>AA8/X8</f>
        <v>0.7038835914787217</v>
      </c>
      <c r="AQ8" s="61">
        <f>AG8/K8</f>
        <v>1.0388939461719802</v>
      </c>
      <c r="AR8" s="2">
        <f>AJ8/AG8</f>
        <v>0.66253527696792991</v>
      </c>
      <c r="AS8" s="63">
        <f>O8/$O$4</f>
        <v>1.62294E-3</v>
      </c>
      <c r="AT8" s="63">
        <f>R8/$O$4</f>
        <v>1.334825E-3</v>
      </c>
      <c r="AU8" s="57">
        <f>X8/$X$4</f>
        <v>1.3437733333333333E-3</v>
      </c>
      <c r="AV8" s="57">
        <f t="shared" si="22"/>
        <v>9.4586000000000008E-4</v>
      </c>
      <c r="AW8" s="64">
        <f>AG8/$AG$4</f>
        <v>1.0718750000000001E-3</v>
      </c>
      <c r="AX8" s="64">
        <f>AJ8/$AG$4</f>
        <v>7.1015499999999997E-4</v>
      </c>
    </row>
    <row r="9" spans="2:50" ht="15.5">
      <c r="B9" s="57">
        <v>563.4</v>
      </c>
      <c r="C9" s="23">
        <v>0.56299999999999994</v>
      </c>
      <c r="D9" s="23">
        <v>1000</v>
      </c>
      <c r="E9" s="23">
        <v>1E-3</v>
      </c>
      <c r="F9" s="23">
        <v>83.09</v>
      </c>
      <c r="G9" s="23">
        <v>6.16</v>
      </c>
      <c r="H9" s="38">
        <f t="shared" si="0"/>
        <v>13.488636363636363</v>
      </c>
      <c r="I9" s="23">
        <v>0.28000000000000003</v>
      </c>
      <c r="J9" s="23">
        <v>193000</v>
      </c>
      <c r="K9" s="58">
        <f t="shared" si="1"/>
        <v>0.23214292073666201</v>
      </c>
      <c r="L9" s="29">
        <f t="shared" si="2"/>
        <v>180.59767717221615</v>
      </c>
      <c r="M9" s="29">
        <f t="shared" si="23"/>
        <v>138.03360648769561</v>
      </c>
      <c r="N9" s="29">
        <f t="shared" si="3"/>
        <v>1.3083602013131108</v>
      </c>
      <c r="O9" s="23">
        <v>0.222472</v>
      </c>
      <c r="P9" s="23">
        <f t="shared" si="4"/>
        <v>111.31503090586146</v>
      </c>
      <c r="Q9" s="23">
        <f t="shared" si="5"/>
        <v>0.55657515452930728</v>
      </c>
      <c r="R9" s="58">
        <v>0.13487399999999999</v>
      </c>
      <c r="S9" s="23">
        <f t="shared" si="6"/>
        <v>67.484912611012433</v>
      </c>
      <c r="T9" s="58">
        <f t="shared" si="7"/>
        <v>0.33742456305506219</v>
      </c>
      <c r="U9" s="29">
        <f t="shared" si="8"/>
        <v>180.59767717221615</v>
      </c>
      <c r="V9" s="29">
        <f t="shared" si="9"/>
        <v>112.70396775032664</v>
      </c>
      <c r="W9" s="29">
        <f t="shared" si="10"/>
        <v>1.6024074464910996</v>
      </c>
      <c r="X9" s="23">
        <v>0.23750599999999999</v>
      </c>
      <c r="Y9" s="57">
        <f t="shared" si="11"/>
        <v>118.83737158081706</v>
      </c>
      <c r="Z9" s="57">
        <f t="shared" si="12"/>
        <v>0.39612457193605688</v>
      </c>
      <c r="AA9" s="58">
        <v>0.15673599999999999</v>
      </c>
      <c r="AB9" s="58">
        <f t="shared" si="13"/>
        <v>78.423678863232681</v>
      </c>
      <c r="AC9" s="58">
        <f t="shared" si="14"/>
        <v>0.26141226287744229</v>
      </c>
      <c r="AD9" s="29">
        <f t="shared" si="15"/>
        <v>180.59767717221615</v>
      </c>
      <c r="AE9" s="29">
        <f t="shared" si="16"/>
        <v>97.604499179084982</v>
      </c>
      <c r="AF9" s="71">
        <f t="shared" si="17"/>
        <v>1.8503007411661945</v>
      </c>
      <c r="AG9" s="23">
        <v>0.23750599999999999</v>
      </c>
      <c r="AH9" s="57">
        <f t="shared" si="18"/>
        <v>118.83737158081706</v>
      </c>
      <c r="AI9" s="57">
        <f t="shared" si="19"/>
        <v>0.29709342895204266</v>
      </c>
      <c r="AJ9" s="58">
        <v>0.158224</v>
      </c>
      <c r="AK9" s="58">
        <f t="shared" si="20"/>
        <v>79.168207460035532</v>
      </c>
      <c r="AL9" s="57">
        <f t="shared" si="21"/>
        <v>0.19792051865008883</v>
      </c>
      <c r="AM9" s="23">
        <f>O9/K9</f>
        <v>0.95834066054664446</v>
      </c>
      <c r="AN9" s="50">
        <f>R9/O9</f>
        <v>0.60625157323168755</v>
      </c>
      <c r="AO9" s="23">
        <f>X9/K9</f>
        <v>1.0231024889594706</v>
      </c>
      <c r="AP9" s="50">
        <f>AA9/X9</f>
        <v>0.65992438085774674</v>
      </c>
      <c r="AQ9" s="23">
        <f>AG9/K9</f>
        <v>1.0231024889594706</v>
      </c>
      <c r="AR9" s="50">
        <f>AJ9/AG9</f>
        <v>0.6661894857393077</v>
      </c>
      <c r="AS9" s="62">
        <f>O9/$O$4</f>
        <v>1.11236E-3</v>
      </c>
      <c r="AT9" s="62">
        <f>R9/$O$4</f>
        <v>6.7436999999999998E-4</v>
      </c>
      <c r="AU9" s="57">
        <f>X9/$X$4</f>
        <v>7.9168666666666664E-4</v>
      </c>
      <c r="AV9" s="57">
        <f t="shared" si="22"/>
        <v>5.2245333333333325E-4</v>
      </c>
      <c r="AW9" s="64">
        <f>AG9/$AG$4</f>
        <v>5.93765E-4</v>
      </c>
      <c r="AX9" s="64">
        <f>AJ9/$AG$4</f>
        <v>3.9555999999999999E-4</v>
      </c>
    </row>
    <row r="10" spans="2:50" ht="15.5">
      <c r="C10" s="37"/>
      <c r="D10" s="37"/>
      <c r="E10" s="37"/>
      <c r="F10" s="37"/>
      <c r="G10" s="37"/>
      <c r="H10" s="53"/>
      <c r="I10" s="37"/>
      <c r="J10" s="37"/>
      <c r="K10" s="51"/>
      <c r="L10" s="51"/>
      <c r="M10" s="51"/>
      <c r="N10" s="51"/>
      <c r="O10" s="37"/>
      <c r="P10" s="37"/>
      <c r="Q10" s="37"/>
      <c r="R10" s="51"/>
      <c r="S10" s="51"/>
      <c r="T10" s="51"/>
      <c r="U10" s="51"/>
      <c r="V10" s="51"/>
      <c r="W10" s="51"/>
      <c r="X10" s="37"/>
      <c r="Y10" s="37"/>
      <c r="Z10" s="37"/>
      <c r="AA10" s="51"/>
      <c r="AB10" s="51"/>
      <c r="AC10" s="51"/>
      <c r="AD10" s="51"/>
      <c r="AE10" s="51"/>
      <c r="AF10" s="51"/>
      <c r="AG10" s="37"/>
      <c r="AH10" s="37"/>
      <c r="AI10" s="37"/>
      <c r="AJ10" s="37"/>
      <c r="AK10" s="37"/>
      <c r="AL10" s="51"/>
      <c r="AM10" s="37"/>
      <c r="AN10" s="51"/>
      <c r="AO10" s="37"/>
      <c r="AP10" s="51"/>
      <c r="AQ10" s="37"/>
      <c r="AR10" s="51"/>
    </row>
    <row r="11" spans="2:50" ht="15.5">
      <c r="B11" s="54" t="s">
        <v>137</v>
      </c>
      <c r="C11" s="37"/>
      <c r="D11" s="37"/>
      <c r="E11" s="37"/>
      <c r="F11" s="37"/>
      <c r="G11" s="37"/>
      <c r="H11" s="53"/>
      <c r="I11" s="37"/>
      <c r="J11" s="37"/>
      <c r="K11" s="51"/>
      <c r="L11" s="51"/>
      <c r="M11" s="51"/>
      <c r="N11" s="51"/>
      <c r="O11" s="37"/>
      <c r="P11" s="37"/>
      <c r="Q11" s="37"/>
      <c r="R11" s="51"/>
      <c r="S11" s="51"/>
      <c r="T11" s="51"/>
      <c r="U11" s="51"/>
      <c r="V11" s="51"/>
      <c r="W11" s="51"/>
      <c r="X11" s="37"/>
      <c r="Y11" s="37"/>
      <c r="Z11" s="37"/>
      <c r="AA11" s="51"/>
      <c r="AB11" s="51"/>
      <c r="AC11" s="51"/>
      <c r="AD11" s="51"/>
      <c r="AE11" s="51"/>
      <c r="AF11" s="51"/>
      <c r="AG11" s="37"/>
      <c r="AH11" s="37"/>
      <c r="AI11" s="37"/>
      <c r="AJ11" s="37"/>
      <c r="AK11" s="37"/>
      <c r="AL11" s="51"/>
      <c r="AM11" s="37"/>
      <c r="AN11" s="51"/>
      <c r="AO11" s="37"/>
      <c r="AP11" s="51"/>
      <c r="AQ11" s="37"/>
      <c r="AR11" s="51"/>
    </row>
    <row r="13" spans="2:50" ht="15.5">
      <c r="D13" s="37"/>
      <c r="E13" s="37"/>
      <c r="F13" s="37"/>
      <c r="G13" s="37"/>
      <c r="H13" s="53"/>
      <c r="I13" s="37"/>
      <c r="J13" s="37"/>
      <c r="K13" s="37"/>
      <c r="L13" s="37"/>
      <c r="M13" s="37"/>
      <c r="N13" s="37"/>
      <c r="O13" s="200">
        <v>200</v>
      </c>
      <c r="P13" s="201"/>
      <c r="Q13" s="201"/>
      <c r="R13" s="201"/>
      <c r="S13" s="201"/>
      <c r="T13" s="202"/>
      <c r="U13" s="69"/>
      <c r="V13" s="69"/>
      <c r="W13" s="69"/>
      <c r="X13" s="199">
        <v>300</v>
      </c>
      <c r="Y13" s="199"/>
      <c r="Z13" s="199"/>
      <c r="AA13" s="199"/>
      <c r="AB13" s="52"/>
      <c r="AC13" s="52"/>
      <c r="AD13" s="52"/>
      <c r="AE13" s="52"/>
      <c r="AF13" s="52"/>
      <c r="AG13" s="199">
        <v>400</v>
      </c>
      <c r="AH13" s="199"/>
      <c r="AI13" s="199"/>
      <c r="AJ13" s="199"/>
      <c r="AK13" s="199"/>
      <c r="AL13" s="199"/>
    </row>
    <row r="14" spans="2:50" ht="31">
      <c r="B14" s="57" t="s">
        <v>132</v>
      </c>
      <c r="C14" s="23" t="s">
        <v>131</v>
      </c>
      <c r="D14" s="23" t="s">
        <v>20</v>
      </c>
      <c r="E14" s="23" t="s">
        <v>124</v>
      </c>
      <c r="F14" s="23" t="s">
        <v>133</v>
      </c>
      <c r="G14" s="23" t="s">
        <v>134</v>
      </c>
      <c r="H14" s="38" t="s">
        <v>135</v>
      </c>
      <c r="I14" s="23" t="s">
        <v>130</v>
      </c>
      <c r="J14" s="23" t="s">
        <v>89</v>
      </c>
      <c r="K14" s="23" t="s">
        <v>125</v>
      </c>
      <c r="L14" s="62" t="s">
        <v>101</v>
      </c>
      <c r="M14" s="62" t="s">
        <v>139</v>
      </c>
      <c r="N14" s="65" t="s">
        <v>140</v>
      </c>
      <c r="O14" s="23" t="s">
        <v>126</v>
      </c>
      <c r="P14" s="38" t="s">
        <v>141</v>
      </c>
      <c r="Q14" s="38" t="s">
        <v>142</v>
      </c>
      <c r="R14" s="23" t="s">
        <v>127</v>
      </c>
      <c r="S14" s="38" t="s">
        <v>143</v>
      </c>
      <c r="T14" s="38" t="s">
        <v>144</v>
      </c>
      <c r="U14" s="38"/>
      <c r="V14" s="38"/>
      <c r="W14" s="38"/>
      <c r="X14" s="52" t="s">
        <v>126</v>
      </c>
      <c r="Y14" s="52"/>
      <c r="Z14" s="52"/>
      <c r="AA14" s="52" t="s">
        <v>127</v>
      </c>
      <c r="AB14" s="52"/>
      <c r="AC14" s="52"/>
      <c r="AD14" s="52"/>
      <c r="AE14" s="52"/>
      <c r="AF14" s="52"/>
      <c r="AG14" s="52" t="s">
        <v>126</v>
      </c>
      <c r="AH14" s="52"/>
      <c r="AI14" s="52"/>
      <c r="AJ14" s="52"/>
      <c r="AK14" s="52"/>
      <c r="AL14" s="52" t="s">
        <v>127</v>
      </c>
      <c r="AS14" s="62" t="s">
        <v>126</v>
      </c>
      <c r="AT14" s="62" t="s">
        <v>127</v>
      </c>
      <c r="AU14" s="23" t="s">
        <v>126</v>
      </c>
      <c r="AV14" s="23" t="s">
        <v>127</v>
      </c>
      <c r="AW14" s="62" t="s">
        <v>126</v>
      </c>
      <c r="AX14" s="62" t="s">
        <v>127</v>
      </c>
    </row>
    <row r="15" spans="2:50" ht="15.5">
      <c r="B15" s="57">
        <v>563.4</v>
      </c>
      <c r="C15" s="23">
        <v>2.254</v>
      </c>
      <c r="D15" s="23">
        <v>250</v>
      </c>
      <c r="E15" s="23">
        <v>4.0000000000000001E-3</v>
      </c>
      <c r="F15" s="23">
        <v>83.09</v>
      </c>
      <c r="G15" s="23">
        <f>F15/H15</f>
        <v>83.09</v>
      </c>
      <c r="H15" s="38">
        <v>1</v>
      </c>
      <c r="I15" s="23">
        <v>0.28000000000000003</v>
      </c>
      <c r="J15" s="23">
        <v>193000</v>
      </c>
      <c r="K15" s="58">
        <v>3.7142867317865922</v>
      </c>
      <c r="L15" s="29">
        <f>5.711*(D15)^0.5</f>
        <v>90.298838586108076</v>
      </c>
      <c r="M15" s="29">
        <f>(2*3.142^2*J15/$O$4)^0.5</f>
        <v>138.03360648769561</v>
      </c>
      <c r="N15" s="29">
        <f>L15/M15</f>
        <v>0.65418010065655541</v>
      </c>
      <c r="O15" s="61">
        <v>6.6088399999999998</v>
      </c>
      <c r="P15" s="23">
        <f>(O15*B15)/(2*C15)</f>
        <v>825.95839751552796</v>
      </c>
      <c r="Q15" s="23">
        <f>P15/$O$4</f>
        <v>4.1297919875776401</v>
      </c>
      <c r="R15" s="2">
        <v>6.3013000000000003</v>
      </c>
      <c r="S15" s="51">
        <f>(R15*B15)/(2*C15)</f>
        <v>787.52271960958296</v>
      </c>
      <c r="T15" s="51"/>
      <c r="U15" s="51"/>
      <c r="V15" s="51"/>
      <c r="W15" s="51"/>
      <c r="X15" s="60">
        <v>9.7779399999999992</v>
      </c>
      <c r="Y15" s="60"/>
      <c r="Z15" s="60"/>
      <c r="AA15" s="48">
        <v>9.0763599999999993</v>
      </c>
      <c r="AB15" s="68"/>
      <c r="AC15" s="68"/>
      <c r="AD15" s="68"/>
      <c r="AE15" s="68"/>
      <c r="AF15" s="68"/>
      <c r="AG15" s="60">
        <v>12.8645</v>
      </c>
      <c r="AH15" s="60"/>
      <c r="AI15" s="60"/>
      <c r="AJ15" s="60"/>
      <c r="AK15" s="60"/>
      <c r="AL15" s="48">
        <v>11.1995</v>
      </c>
      <c r="AS15" s="63">
        <f>O15/$O$4</f>
        <v>3.3044199999999996E-2</v>
      </c>
      <c r="AT15" s="63">
        <f>R15/$O$4</f>
        <v>3.15065E-2</v>
      </c>
      <c r="AU15" s="57">
        <f>X15/$X$4</f>
        <v>3.259313333333333E-2</v>
      </c>
      <c r="AV15" s="57">
        <f>AA15/$X$4</f>
        <v>3.025453333333333E-2</v>
      </c>
      <c r="AW15" s="64">
        <f>AG15/$AG$4</f>
        <v>3.2161250000000002E-2</v>
      </c>
      <c r="AX15" s="64">
        <f>AL15/$AG$4</f>
        <v>2.7998750000000003E-2</v>
      </c>
    </row>
    <row r="16" spans="2:50" ht="15.5">
      <c r="B16" s="57">
        <v>563.4</v>
      </c>
      <c r="C16" s="23">
        <v>1.127</v>
      </c>
      <c r="D16" s="23">
        <v>500</v>
      </c>
      <c r="E16" s="23">
        <v>2E-3</v>
      </c>
      <c r="F16" s="23">
        <v>83.09</v>
      </c>
      <c r="G16" s="23">
        <f t="shared" ref="G16:G18" si="24">F16/H16</f>
        <v>83.09</v>
      </c>
      <c r="H16" s="38">
        <v>1</v>
      </c>
      <c r="I16" s="23">
        <v>0.28000000000000003</v>
      </c>
      <c r="J16" s="23">
        <v>193000</v>
      </c>
      <c r="K16" s="58">
        <v>0.92857168294664805</v>
      </c>
      <c r="L16" s="29">
        <f t="shared" ref="L16:L18" si="25">5.711*(D16)^0.5</f>
        <v>127.701842195013</v>
      </c>
      <c r="M16" s="29">
        <f t="shared" ref="M16:M18" si="26">(2*3.142^2*J16/$O$4)^0.5</f>
        <v>138.03360648769561</v>
      </c>
      <c r="N16" s="29">
        <f t="shared" ref="N16:N18" si="27">L16/M16</f>
        <v>0.92515037058309724</v>
      </c>
      <c r="O16" s="23">
        <v>3.06521</v>
      </c>
      <c r="P16" s="23">
        <f t="shared" ref="P16:P18" si="28">(O16*B16)/(2*C16)</f>
        <v>766.16651020408165</v>
      </c>
      <c r="Q16" s="23">
        <f t="shared" ref="Q16:Q18" si="29">P16/$O$4</f>
        <v>3.8308325510204084</v>
      </c>
      <c r="R16" s="58">
        <v>2.6489400000000001</v>
      </c>
      <c r="S16" s="51">
        <f t="shared" ref="S16:S18" si="30">(R16*B16)/(2*C16)</f>
        <v>662.11747826086958</v>
      </c>
      <c r="T16" s="58"/>
      <c r="U16" s="58"/>
      <c r="V16" s="58"/>
      <c r="W16" s="58"/>
      <c r="X16" s="52">
        <v>4.4877099999999999</v>
      </c>
      <c r="Y16" s="52"/>
      <c r="Z16" s="52"/>
      <c r="AA16" s="49">
        <v>3.6026699999999998</v>
      </c>
      <c r="AB16" s="49"/>
      <c r="AC16" s="49"/>
      <c r="AD16" s="49"/>
      <c r="AE16" s="49"/>
      <c r="AF16" s="49"/>
      <c r="AG16" s="52">
        <v>5.8614899999999999</v>
      </c>
      <c r="AH16" s="52"/>
      <c r="AI16" s="52"/>
      <c r="AJ16" s="52"/>
      <c r="AK16" s="52"/>
      <c r="AL16" s="49">
        <v>4.1987800000000002</v>
      </c>
      <c r="AS16" s="63">
        <f>O16/$O$4</f>
        <v>1.5326050000000001E-2</v>
      </c>
      <c r="AT16" s="63">
        <f>R16/$O$4</f>
        <v>1.32447E-2</v>
      </c>
      <c r="AU16" s="57">
        <f>X16/$X$4</f>
        <v>1.4959033333333333E-2</v>
      </c>
      <c r="AV16" s="57">
        <f t="shared" ref="AV16:AV18" si="31">AA16/$X$4</f>
        <v>1.2008899999999999E-2</v>
      </c>
      <c r="AW16" s="64">
        <f>AG16/$AG$4</f>
        <v>1.4653724999999999E-2</v>
      </c>
      <c r="AX16" s="64">
        <f t="shared" ref="AX16:AX18" si="32">AL16/$AG$4</f>
        <v>1.049695E-2</v>
      </c>
    </row>
    <row r="17" spans="2:50" ht="15.5">
      <c r="B17" s="57">
        <v>563.4</v>
      </c>
      <c r="C17" s="23">
        <v>0.751</v>
      </c>
      <c r="D17" s="23">
        <v>700</v>
      </c>
      <c r="E17" s="23">
        <v>1.3333333333333333E-3</v>
      </c>
      <c r="F17" s="23">
        <v>83.09</v>
      </c>
      <c r="G17" s="23">
        <f t="shared" si="24"/>
        <v>83.09</v>
      </c>
      <c r="H17" s="38">
        <v>1</v>
      </c>
      <c r="I17" s="23">
        <v>0.28000000000000003</v>
      </c>
      <c r="J17" s="23">
        <v>193000</v>
      </c>
      <c r="K17" s="58">
        <v>0.41269852575406579</v>
      </c>
      <c r="L17" s="29">
        <f t="shared" si="25"/>
        <v>151.09885737489878</v>
      </c>
      <c r="M17" s="29">
        <f t="shared" si="26"/>
        <v>138.03360648769561</v>
      </c>
      <c r="N17" s="29">
        <f t="shared" si="27"/>
        <v>1.0946526807467558</v>
      </c>
      <c r="O17" s="23">
        <v>1.9499299999999999</v>
      </c>
      <c r="P17" s="23">
        <f t="shared" si="28"/>
        <v>731.41848335552584</v>
      </c>
      <c r="Q17" s="23">
        <f t="shared" si="29"/>
        <v>3.6570924167776293</v>
      </c>
      <c r="R17" s="58">
        <v>1.5104200000000001</v>
      </c>
      <c r="S17" s="51">
        <f t="shared" si="30"/>
        <v>566.55834087882829</v>
      </c>
      <c r="T17" s="58"/>
      <c r="U17" s="58"/>
      <c r="V17" s="58"/>
      <c r="W17" s="58"/>
      <c r="X17" s="52">
        <v>2.8373900000000001</v>
      </c>
      <c r="Y17" s="52"/>
      <c r="Z17" s="52"/>
      <c r="AA17" s="49">
        <v>1.8321799999999999</v>
      </c>
      <c r="AB17" s="49"/>
      <c r="AC17" s="49"/>
      <c r="AD17" s="49"/>
      <c r="AE17" s="49"/>
      <c r="AF17" s="49"/>
      <c r="AG17" s="52">
        <v>3.6520899999999998</v>
      </c>
      <c r="AH17" s="52"/>
      <c r="AI17" s="52"/>
      <c r="AJ17" s="52"/>
      <c r="AK17" s="52"/>
      <c r="AL17" s="49">
        <v>2.1399900000000001</v>
      </c>
      <c r="AS17" s="63">
        <f>O17/$O$4</f>
        <v>9.7496500000000003E-3</v>
      </c>
      <c r="AT17" s="63">
        <f>R17/$O$4</f>
        <v>7.5521000000000008E-3</v>
      </c>
      <c r="AU17" s="57">
        <f>X17/$X$4</f>
        <v>9.4579666666666663E-3</v>
      </c>
      <c r="AV17" s="57">
        <f t="shared" si="31"/>
        <v>6.1072666666666664E-3</v>
      </c>
      <c r="AW17" s="64">
        <f>AG17/$AG$4</f>
        <v>9.1302249999999988E-3</v>
      </c>
      <c r="AX17" s="64">
        <f t="shared" si="32"/>
        <v>5.3499749999999999E-3</v>
      </c>
    </row>
    <row r="18" spans="2:50" ht="15.5">
      <c r="B18" s="57">
        <v>563.4</v>
      </c>
      <c r="C18" s="23">
        <v>0.56299999999999994</v>
      </c>
      <c r="D18" s="23">
        <v>1000</v>
      </c>
      <c r="E18" s="23">
        <v>1E-3</v>
      </c>
      <c r="F18" s="23">
        <v>83.09</v>
      </c>
      <c r="G18" s="23">
        <f t="shared" si="24"/>
        <v>83.09</v>
      </c>
      <c r="H18" s="38">
        <v>1</v>
      </c>
      <c r="I18" s="23">
        <v>0.28000000000000003</v>
      </c>
      <c r="J18" s="23">
        <v>193000</v>
      </c>
      <c r="K18" s="58">
        <v>0.23214292073666201</v>
      </c>
      <c r="L18" s="29">
        <f t="shared" si="25"/>
        <v>180.59767717221615</v>
      </c>
      <c r="M18" s="29">
        <f t="shared" si="26"/>
        <v>138.03360648769561</v>
      </c>
      <c r="N18" s="29">
        <f t="shared" si="27"/>
        <v>1.3083602013131108</v>
      </c>
      <c r="O18" s="23">
        <v>1.4132100000000001</v>
      </c>
      <c r="P18" s="23">
        <f t="shared" si="28"/>
        <v>707.10702841918305</v>
      </c>
      <c r="Q18" s="23">
        <f t="shared" si="29"/>
        <v>3.5355351420959154</v>
      </c>
      <c r="R18" s="58">
        <v>0.97716400000000003</v>
      </c>
      <c r="S18" s="51">
        <f t="shared" si="30"/>
        <v>488.92912753108351</v>
      </c>
      <c r="T18" s="58"/>
      <c r="U18" s="58"/>
      <c r="V18" s="58"/>
      <c r="W18" s="58"/>
      <c r="X18" s="52">
        <v>2.0514199999999998</v>
      </c>
      <c r="Y18" s="52"/>
      <c r="Z18" s="52"/>
      <c r="AA18" s="49">
        <v>1.12975</v>
      </c>
      <c r="AB18" s="49"/>
      <c r="AC18" s="49"/>
      <c r="AD18" s="49"/>
      <c r="AE18" s="49"/>
      <c r="AF18" s="49"/>
      <c r="AG18" s="52">
        <v>2.64472</v>
      </c>
      <c r="AH18" s="52"/>
      <c r="AI18" s="52"/>
      <c r="AJ18" s="52"/>
      <c r="AK18" s="52"/>
      <c r="AL18" s="49">
        <v>1.0465500000000001</v>
      </c>
      <c r="AS18" s="62">
        <f>O18/$O$4</f>
        <v>7.0660500000000008E-3</v>
      </c>
      <c r="AT18" s="62">
        <f>R18/$O$4</f>
        <v>4.8858199999999999E-3</v>
      </c>
      <c r="AU18" s="57">
        <f>X18/$X$4</f>
        <v>6.8380666666666657E-3</v>
      </c>
      <c r="AV18" s="57">
        <f t="shared" si="31"/>
        <v>3.7658333333333333E-3</v>
      </c>
      <c r="AW18" s="64">
        <f>AG18/$AG$4</f>
        <v>6.6118000000000001E-3</v>
      </c>
      <c r="AX18" s="64">
        <f t="shared" si="32"/>
        <v>2.6163750000000002E-3</v>
      </c>
    </row>
    <row r="19" spans="2:50" ht="15.5">
      <c r="C19" s="37"/>
      <c r="D19" s="37"/>
      <c r="E19" s="37"/>
      <c r="F19" s="37"/>
      <c r="G19" s="37"/>
      <c r="H19" s="53"/>
      <c r="I19" s="37"/>
      <c r="J19" s="37"/>
      <c r="K19" s="51"/>
      <c r="L19" s="51"/>
      <c r="M19" s="51"/>
      <c r="N19" s="51"/>
      <c r="O19" s="37"/>
      <c r="P19" s="37"/>
      <c r="Q19" s="37"/>
      <c r="R19" s="51"/>
      <c r="S19" s="51"/>
      <c r="T19" s="51"/>
      <c r="U19" s="51"/>
      <c r="V19" s="51"/>
      <c r="W19" s="51"/>
      <c r="X19" s="37"/>
      <c r="Y19" s="37"/>
      <c r="Z19" s="37"/>
      <c r="AA19" s="51"/>
      <c r="AB19" s="51"/>
      <c r="AC19" s="51"/>
      <c r="AD19" s="51"/>
      <c r="AE19" s="51"/>
      <c r="AF19" s="51"/>
      <c r="AG19" s="37"/>
      <c r="AH19" s="37"/>
      <c r="AI19" s="37"/>
      <c r="AJ19" s="37"/>
      <c r="AK19" s="37"/>
      <c r="AL19" s="51"/>
    </row>
    <row r="20" spans="2:50" ht="15.5">
      <c r="B20" s="54" t="s">
        <v>138</v>
      </c>
      <c r="C20" s="37"/>
      <c r="D20" s="37"/>
      <c r="E20" s="37"/>
      <c r="F20" s="37"/>
      <c r="G20" s="37"/>
      <c r="H20" s="53"/>
      <c r="I20" s="37"/>
      <c r="J20" s="37"/>
      <c r="K20" s="51"/>
      <c r="L20" s="51"/>
      <c r="M20" s="51"/>
      <c r="N20" s="51"/>
      <c r="O20" s="37"/>
      <c r="P20" s="37"/>
      <c r="Q20" s="37"/>
      <c r="R20" s="51"/>
      <c r="S20" s="51"/>
      <c r="T20" s="51"/>
      <c r="U20" s="51"/>
      <c r="V20" s="51"/>
      <c r="W20" s="51"/>
      <c r="X20" s="37"/>
      <c r="Y20" s="37"/>
      <c r="Z20" s="37"/>
      <c r="AA20" s="51"/>
      <c r="AB20" s="51"/>
      <c r="AC20" s="51"/>
      <c r="AD20" s="51"/>
      <c r="AE20" s="51"/>
      <c r="AF20" s="51"/>
      <c r="AG20" s="37"/>
      <c r="AH20" s="37"/>
      <c r="AI20" s="37"/>
      <c r="AJ20" s="37"/>
      <c r="AK20" s="37"/>
      <c r="AL20" s="51"/>
    </row>
    <row r="22" spans="2:50" ht="15.5">
      <c r="D22" s="37"/>
      <c r="E22" s="37"/>
      <c r="F22" s="37"/>
      <c r="G22" s="37"/>
      <c r="H22" s="53"/>
      <c r="I22" s="37"/>
      <c r="J22" s="37"/>
      <c r="K22" s="37"/>
      <c r="L22" s="37"/>
      <c r="M22" s="37"/>
      <c r="N22" s="37"/>
      <c r="O22" s="199">
        <v>200</v>
      </c>
      <c r="P22" s="199"/>
      <c r="Q22" s="199"/>
      <c r="R22" s="199"/>
      <c r="S22" s="52"/>
      <c r="T22" s="52"/>
      <c r="U22" s="52"/>
      <c r="V22" s="52"/>
      <c r="W22" s="52"/>
      <c r="X22" s="199">
        <v>300</v>
      </c>
      <c r="Y22" s="199"/>
      <c r="Z22" s="199"/>
      <c r="AA22" s="199"/>
      <c r="AB22" s="52"/>
      <c r="AC22" s="52"/>
      <c r="AD22" s="52"/>
      <c r="AE22" s="52"/>
      <c r="AF22" s="52"/>
      <c r="AG22" s="199">
        <v>400</v>
      </c>
      <c r="AH22" s="199"/>
      <c r="AI22" s="199"/>
      <c r="AJ22" s="199"/>
      <c r="AK22" s="199"/>
      <c r="AL22" s="199"/>
    </row>
    <row r="23" spans="2:50" ht="31">
      <c r="B23" s="57" t="s">
        <v>132</v>
      </c>
      <c r="C23" s="23" t="s">
        <v>131</v>
      </c>
      <c r="D23" s="23" t="s">
        <v>20</v>
      </c>
      <c r="E23" s="23" t="s">
        <v>124</v>
      </c>
      <c r="F23" s="23" t="s">
        <v>133</v>
      </c>
      <c r="G23" s="23" t="s">
        <v>134</v>
      </c>
      <c r="H23" s="38" t="s">
        <v>135</v>
      </c>
      <c r="I23" s="23" t="s">
        <v>130</v>
      </c>
      <c r="J23" s="23" t="s">
        <v>89</v>
      </c>
      <c r="K23" s="23" t="s">
        <v>125</v>
      </c>
      <c r="L23" s="62" t="s">
        <v>101</v>
      </c>
      <c r="M23" s="62" t="s">
        <v>139</v>
      </c>
      <c r="N23" s="65" t="s">
        <v>140</v>
      </c>
      <c r="O23" s="52" t="s">
        <v>126</v>
      </c>
      <c r="P23" s="52"/>
      <c r="Q23" s="52"/>
      <c r="R23" s="52" t="s">
        <v>127</v>
      </c>
      <c r="S23" s="52"/>
      <c r="T23" s="52"/>
      <c r="U23" s="52"/>
      <c r="V23" s="52"/>
      <c r="W23" s="52"/>
      <c r="X23" s="52" t="s">
        <v>126</v>
      </c>
      <c r="Y23" s="52"/>
      <c r="Z23" s="52"/>
      <c r="AA23" s="52" t="s">
        <v>127</v>
      </c>
      <c r="AB23" s="52"/>
      <c r="AC23" s="52"/>
      <c r="AD23" s="52"/>
      <c r="AE23" s="52"/>
      <c r="AF23" s="52"/>
      <c r="AG23" s="52" t="s">
        <v>126</v>
      </c>
      <c r="AH23" s="52"/>
      <c r="AI23" s="52"/>
      <c r="AJ23" s="52"/>
      <c r="AK23" s="52"/>
      <c r="AL23" s="52" t="s">
        <v>127</v>
      </c>
      <c r="AS23" s="62" t="s">
        <v>126</v>
      </c>
      <c r="AT23" s="62" t="s">
        <v>127</v>
      </c>
      <c r="AU23" s="23" t="s">
        <v>126</v>
      </c>
      <c r="AV23" s="23" t="s">
        <v>127</v>
      </c>
      <c r="AW23" s="62" t="s">
        <v>126</v>
      </c>
      <c r="AX23" s="62" t="s">
        <v>127</v>
      </c>
    </row>
    <row r="24" spans="2:50" ht="15.5">
      <c r="B24" s="57">
        <v>563.4</v>
      </c>
      <c r="C24" s="23">
        <v>2.254</v>
      </c>
      <c r="D24" s="23">
        <v>250</v>
      </c>
      <c r="E24" s="23">
        <v>4.0000000000000001E-3</v>
      </c>
      <c r="F24" s="23">
        <v>83.09</v>
      </c>
      <c r="G24" s="23">
        <f>F24/H24</f>
        <v>16.618000000000002</v>
      </c>
      <c r="H24" s="38">
        <v>5</v>
      </c>
      <c r="I24" s="23">
        <v>0.28000000000000003</v>
      </c>
      <c r="J24" s="23">
        <v>193000</v>
      </c>
      <c r="K24" s="58">
        <v>3.7142867317865922</v>
      </c>
      <c r="L24" s="29">
        <f>5.711*(D24)^0.5</f>
        <v>90.298838586108076</v>
      </c>
      <c r="M24" s="29">
        <f>(2*3.142^2*J24/$O$4)^0.5</f>
        <v>138.03360648769561</v>
      </c>
      <c r="N24" s="29">
        <f>L24/M24</f>
        <v>0.65418010065655541</v>
      </c>
      <c r="O24" s="59">
        <v>2.6341399999999999</v>
      </c>
      <c r="P24" s="67"/>
      <c r="Q24" s="67"/>
      <c r="R24" s="48">
        <v>2.0852900000000001</v>
      </c>
      <c r="S24" s="68"/>
      <c r="T24" s="68"/>
      <c r="U24" s="68"/>
      <c r="V24" s="68"/>
      <c r="W24" s="68"/>
      <c r="X24" s="60">
        <v>3.8023899999999999</v>
      </c>
      <c r="Y24" s="60"/>
      <c r="Z24" s="60"/>
      <c r="AA24" s="48">
        <v>2.9490099999999999</v>
      </c>
      <c r="AB24" s="68"/>
      <c r="AC24" s="68"/>
      <c r="AD24" s="68"/>
      <c r="AE24" s="68"/>
      <c r="AF24" s="68"/>
      <c r="AG24" s="60">
        <v>4.8693200000000001</v>
      </c>
      <c r="AH24" s="60"/>
      <c r="AI24" s="60"/>
      <c r="AJ24" s="60"/>
      <c r="AK24" s="60"/>
      <c r="AL24" s="48">
        <v>3.7030799999999999</v>
      </c>
      <c r="AS24" s="63">
        <f>O24/$O$4</f>
        <v>1.31707E-2</v>
      </c>
      <c r="AT24" s="63">
        <f>R24/$O$4</f>
        <v>1.042645E-2</v>
      </c>
      <c r="AU24" s="57">
        <f>X24/$X$4</f>
        <v>1.2674633333333333E-2</v>
      </c>
      <c r="AV24" s="57">
        <f>AA24/$X$4</f>
        <v>9.8300333333333333E-3</v>
      </c>
      <c r="AW24" s="64">
        <f>AG24/$AG$4</f>
        <v>1.21733E-2</v>
      </c>
      <c r="AX24" s="64">
        <f>AL24/$AG$4</f>
        <v>9.2577000000000007E-3</v>
      </c>
    </row>
    <row r="25" spans="2:50" ht="15.5">
      <c r="B25" s="57">
        <v>563.4</v>
      </c>
      <c r="C25" s="23">
        <v>1.127</v>
      </c>
      <c r="D25" s="23">
        <v>500</v>
      </c>
      <c r="E25" s="23">
        <v>2E-3</v>
      </c>
      <c r="F25" s="23">
        <v>83.09</v>
      </c>
      <c r="G25" s="23">
        <f t="shared" ref="G25:G27" si="33">F25/H25</f>
        <v>16.618000000000002</v>
      </c>
      <c r="H25" s="38">
        <v>5</v>
      </c>
      <c r="I25" s="23">
        <v>0.28000000000000003</v>
      </c>
      <c r="J25" s="23">
        <v>193000</v>
      </c>
      <c r="K25" s="58">
        <v>0.92857168294664805</v>
      </c>
      <c r="L25" s="29">
        <f t="shared" ref="L25:L27" si="34">5.711*(D25)^0.5</f>
        <v>127.701842195013</v>
      </c>
      <c r="M25" s="29">
        <f t="shared" ref="M25:M27" si="35">(2*3.142^2*J25/$O$4)^0.5</f>
        <v>138.03360648769561</v>
      </c>
      <c r="N25" s="29">
        <f t="shared" ref="N25:N27" si="36">L25/M25</f>
        <v>0.92515037058309724</v>
      </c>
      <c r="O25" s="52">
        <v>1.1673100000000001</v>
      </c>
      <c r="P25" s="52"/>
      <c r="Q25" s="52"/>
      <c r="R25" s="49">
        <v>0.66700899999999996</v>
      </c>
      <c r="S25" s="49"/>
      <c r="T25" s="49"/>
      <c r="U25" s="49"/>
      <c r="V25" s="49"/>
      <c r="W25" s="49"/>
      <c r="X25" s="52">
        <v>1.6164099999999999</v>
      </c>
      <c r="Y25" s="52"/>
      <c r="Z25" s="52"/>
      <c r="AA25" s="49">
        <v>0.86439299999999997</v>
      </c>
      <c r="AB25" s="49"/>
      <c r="AC25" s="49"/>
      <c r="AD25" s="49"/>
      <c r="AE25" s="49"/>
      <c r="AF25" s="49"/>
      <c r="AG25" s="52">
        <v>1.9954499999999999</v>
      </c>
      <c r="AH25" s="52"/>
      <c r="AI25" s="52"/>
      <c r="AJ25" s="52"/>
      <c r="AK25" s="52"/>
      <c r="AL25" s="49">
        <v>1.01271</v>
      </c>
      <c r="AS25" s="63">
        <f>O25/$O$4</f>
        <v>5.8365500000000002E-3</v>
      </c>
      <c r="AT25" s="63">
        <f>R25/$O$4</f>
        <v>3.335045E-3</v>
      </c>
      <c r="AU25" s="57">
        <f>X25/$X$4</f>
        <v>5.3880333333333327E-3</v>
      </c>
      <c r="AV25" s="57">
        <f t="shared" ref="AV25:AV27" si="37">AA25/$X$4</f>
        <v>2.8813099999999998E-3</v>
      </c>
      <c r="AW25" s="64">
        <f>AG25/$AG$4</f>
        <v>4.988625E-3</v>
      </c>
      <c r="AX25" s="64">
        <f t="shared" ref="AX25:AX27" si="38">AL25/$AG$4</f>
        <v>2.531775E-3</v>
      </c>
    </row>
    <row r="26" spans="2:50" ht="15.5">
      <c r="B26" s="57">
        <v>563.4</v>
      </c>
      <c r="C26" s="23">
        <v>0.751</v>
      </c>
      <c r="D26" s="23">
        <v>700</v>
      </c>
      <c r="E26" s="23">
        <v>1.3333333333333333E-3</v>
      </c>
      <c r="F26" s="23">
        <v>83.09</v>
      </c>
      <c r="G26" s="23">
        <f t="shared" si="33"/>
        <v>16.618000000000002</v>
      </c>
      <c r="H26" s="38">
        <v>5</v>
      </c>
      <c r="I26" s="23">
        <v>0.28000000000000003</v>
      </c>
      <c r="J26" s="23">
        <v>193000</v>
      </c>
      <c r="K26" s="58">
        <v>0.41269852575406579</v>
      </c>
      <c r="L26" s="29">
        <f t="shared" si="34"/>
        <v>151.09885737489878</v>
      </c>
      <c r="M26" s="29">
        <f t="shared" si="35"/>
        <v>138.03360648769561</v>
      </c>
      <c r="N26" s="29">
        <f t="shared" si="36"/>
        <v>1.0946526807467558</v>
      </c>
      <c r="O26" s="52">
        <v>0.70160599999999995</v>
      </c>
      <c r="P26" s="52"/>
      <c r="Q26" s="52"/>
      <c r="R26" s="49">
        <v>0.31650899999999998</v>
      </c>
      <c r="S26" s="49"/>
      <c r="T26" s="49"/>
      <c r="U26" s="49"/>
      <c r="V26" s="49"/>
      <c r="W26" s="49"/>
      <c r="X26" s="52">
        <v>0.92216799999999999</v>
      </c>
      <c r="Y26" s="52"/>
      <c r="Z26" s="52"/>
      <c r="AA26" s="49">
        <v>0.38969799999999999</v>
      </c>
      <c r="AB26" s="49"/>
      <c r="AC26" s="49"/>
      <c r="AD26" s="49"/>
      <c r="AE26" s="49"/>
      <c r="AF26" s="49"/>
      <c r="AG26" s="52">
        <v>1.1749499999999999</v>
      </c>
      <c r="AH26" s="52"/>
      <c r="AI26" s="52"/>
      <c r="AJ26" s="52"/>
      <c r="AK26" s="52"/>
      <c r="AL26" s="49">
        <v>0.44338499999999997</v>
      </c>
      <c r="AS26" s="63">
        <f>O26/$O$4</f>
        <v>3.5080299999999997E-3</v>
      </c>
      <c r="AT26" s="63">
        <f>R26/$O$4</f>
        <v>1.5825449999999999E-3</v>
      </c>
      <c r="AU26" s="57">
        <f>X26/$X$4</f>
        <v>3.0738933333333334E-3</v>
      </c>
      <c r="AV26" s="57">
        <f t="shared" si="37"/>
        <v>1.2989933333333334E-3</v>
      </c>
      <c r="AW26" s="64">
        <f>AG26/$AG$4</f>
        <v>2.9373749999999999E-3</v>
      </c>
      <c r="AX26" s="64">
        <f t="shared" si="38"/>
        <v>1.1084624999999999E-3</v>
      </c>
    </row>
    <row r="27" spans="2:50" ht="15.5">
      <c r="B27" s="57">
        <v>563.4</v>
      </c>
      <c r="C27" s="23">
        <v>0.56299999999999994</v>
      </c>
      <c r="D27" s="23">
        <v>1000</v>
      </c>
      <c r="E27" s="23">
        <v>1E-3</v>
      </c>
      <c r="F27" s="23">
        <v>83.09</v>
      </c>
      <c r="G27" s="23">
        <f t="shared" si="33"/>
        <v>16.618000000000002</v>
      </c>
      <c r="H27" s="38">
        <v>5</v>
      </c>
      <c r="I27" s="23">
        <v>0.28000000000000003</v>
      </c>
      <c r="J27" s="23">
        <v>193000</v>
      </c>
      <c r="K27" s="58">
        <v>0.23214292073666201</v>
      </c>
      <c r="L27" s="29">
        <f t="shared" si="34"/>
        <v>180.59767717221615</v>
      </c>
      <c r="M27" s="29">
        <f t="shared" si="35"/>
        <v>138.03360648769561</v>
      </c>
      <c r="N27" s="29">
        <f t="shared" si="36"/>
        <v>1.3083602013131108</v>
      </c>
      <c r="O27" s="52">
        <v>0.49114799999999997</v>
      </c>
      <c r="P27" s="52"/>
      <c r="Q27" s="52"/>
      <c r="R27" s="52">
        <v>0.18307499999999999</v>
      </c>
      <c r="S27" s="52"/>
      <c r="T27" s="52"/>
      <c r="U27" s="52"/>
      <c r="V27" s="52"/>
      <c r="W27" s="52"/>
      <c r="X27" s="52">
        <v>0.65623600000000004</v>
      </c>
      <c r="Y27" s="52"/>
      <c r="Z27" s="52"/>
      <c r="AA27" s="49">
        <v>0.21503700000000001</v>
      </c>
      <c r="AB27" s="49"/>
      <c r="AC27" s="49"/>
      <c r="AD27" s="49"/>
      <c r="AE27" s="49"/>
      <c r="AF27" s="49"/>
      <c r="AG27" s="52">
        <v>0.775918</v>
      </c>
      <c r="AH27" s="52"/>
      <c r="AI27" s="52"/>
      <c r="AJ27" s="52"/>
      <c r="AK27" s="52"/>
      <c r="AL27" s="49">
        <v>0.24707899999999999</v>
      </c>
      <c r="AS27" s="62">
        <f>O27/$O$4</f>
        <v>2.4557399999999997E-3</v>
      </c>
      <c r="AT27" s="62">
        <f>R27/$O$4</f>
        <v>9.1537499999999996E-4</v>
      </c>
      <c r="AU27" s="57">
        <f>X27/$X$4</f>
        <v>2.1874533333333334E-3</v>
      </c>
      <c r="AV27" s="57">
        <f t="shared" si="37"/>
        <v>7.1679000000000003E-4</v>
      </c>
      <c r="AW27" s="64">
        <f>AG27/$AG$4</f>
        <v>1.939795E-3</v>
      </c>
      <c r="AX27" s="64">
        <f t="shared" si="38"/>
        <v>6.1769750000000001E-4</v>
      </c>
    </row>
  </sheetData>
  <mergeCells count="12">
    <mergeCell ref="X13:AA13"/>
    <mergeCell ref="AG13:AL13"/>
    <mergeCell ref="O22:R22"/>
    <mergeCell ref="X22:AA22"/>
    <mergeCell ref="AG22:AL22"/>
    <mergeCell ref="O13:T13"/>
    <mergeCell ref="AG4:AL4"/>
    <mergeCell ref="AM4:AN4"/>
    <mergeCell ref="AO4:AP4"/>
    <mergeCell ref="AQ4:AR4"/>
    <mergeCell ref="O4:T4"/>
    <mergeCell ref="X4:AC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A97C-3271-4C01-8376-EE38E1E9C1E4}">
  <dimension ref="B3:AC27"/>
  <sheetViews>
    <sheetView zoomScale="85" zoomScaleNormal="85" workbookViewId="0">
      <selection activeCell="Y6" sqref="Y6"/>
    </sheetView>
  </sheetViews>
  <sheetFormatPr defaultRowHeight="14"/>
  <cols>
    <col min="1" max="7" width="8.7265625" style="55"/>
    <col min="8" max="8" width="8.7265625" style="56"/>
    <col min="9" max="17" width="8.7265625" style="55"/>
    <col min="18" max="23" width="0" style="55" hidden="1" customWidth="1"/>
    <col min="24" max="29" width="9.81640625" style="55" customWidth="1"/>
    <col min="30" max="16384" width="8.7265625" style="55"/>
  </cols>
  <sheetData>
    <row r="3" spans="2:29">
      <c r="B3" s="54" t="s">
        <v>136</v>
      </c>
    </row>
    <row r="4" spans="2:29" ht="15.5">
      <c r="D4" s="37"/>
      <c r="E4" s="37"/>
      <c r="F4" s="37"/>
      <c r="G4" s="37"/>
      <c r="H4" s="53"/>
      <c r="I4" s="37"/>
      <c r="J4" s="37"/>
      <c r="K4" s="37"/>
      <c r="L4" s="199">
        <v>200</v>
      </c>
      <c r="M4" s="199"/>
      <c r="N4" s="199">
        <v>300</v>
      </c>
      <c r="O4" s="199"/>
      <c r="P4" s="199">
        <v>400</v>
      </c>
      <c r="Q4" s="199"/>
      <c r="R4" s="198">
        <v>200</v>
      </c>
      <c r="S4" s="198"/>
      <c r="T4" s="198">
        <v>300</v>
      </c>
      <c r="U4" s="198"/>
      <c r="V4" s="198">
        <v>400</v>
      </c>
      <c r="W4" s="198"/>
    </row>
    <row r="5" spans="2:29" ht="31">
      <c r="B5" s="57" t="s">
        <v>132</v>
      </c>
      <c r="C5" s="23" t="s">
        <v>131</v>
      </c>
      <c r="D5" s="23" t="s">
        <v>20</v>
      </c>
      <c r="E5" s="23" t="s">
        <v>124</v>
      </c>
      <c r="F5" s="23" t="s">
        <v>133</v>
      </c>
      <c r="G5" s="23" t="s">
        <v>134</v>
      </c>
      <c r="H5" s="38" t="s">
        <v>135</v>
      </c>
      <c r="I5" s="23" t="s">
        <v>130</v>
      </c>
      <c r="J5" s="23" t="s">
        <v>89</v>
      </c>
      <c r="K5" s="23" t="s">
        <v>125</v>
      </c>
      <c r="L5" s="52" t="s">
        <v>126</v>
      </c>
      <c r="M5" s="52" t="s">
        <v>127</v>
      </c>
      <c r="N5" s="52" t="s">
        <v>126</v>
      </c>
      <c r="O5" s="52" t="s">
        <v>127</v>
      </c>
      <c r="P5" s="52" t="s">
        <v>126</v>
      </c>
      <c r="Q5" s="52" t="s">
        <v>127</v>
      </c>
      <c r="R5" s="23" t="s">
        <v>128</v>
      </c>
      <c r="S5" s="23" t="s">
        <v>129</v>
      </c>
      <c r="T5" s="23" t="s">
        <v>128</v>
      </c>
      <c r="U5" s="23" t="s">
        <v>129</v>
      </c>
      <c r="V5" s="23" t="s">
        <v>128</v>
      </c>
      <c r="W5" s="23" t="s">
        <v>129</v>
      </c>
      <c r="X5" s="62" t="s">
        <v>126</v>
      </c>
      <c r="Y5" s="62" t="s">
        <v>127</v>
      </c>
      <c r="Z5" s="23" t="s">
        <v>126</v>
      </c>
      <c r="AA5" s="23" t="s">
        <v>127</v>
      </c>
      <c r="AB5" s="62" t="s">
        <v>126</v>
      </c>
      <c r="AC5" s="62" t="s">
        <v>127</v>
      </c>
    </row>
    <row r="6" spans="2:29" ht="15.5">
      <c r="B6" s="57">
        <v>563.4</v>
      </c>
      <c r="C6" s="23">
        <v>2.254</v>
      </c>
      <c r="D6" s="23">
        <v>250</v>
      </c>
      <c r="E6" s="23">
        <v>4.0000000000000001E-3</v>
      </c>
      <c r="F6" s="23">
        <v>83.09</v>
      </c>
      <c r="G6" s="23">
        <v>6.16</v>
      </c>
      <c r="H6" s="38">
        <f>F6/G6</f>
        <v>13.488636363636363</v>
      </c>
      <c r="I6" s="23">
        <v>0.28000000000000003</v>
      </c>
      <c r="J6" s="23">
        <v>193000</v>
      </c>
      <c r="K6" s="58">
        <v>3.7142867317865922</v>
      </c>
      <c r="L6" s="59">
        <v>1.1653800000000001</v>
      </c>
      <c r="M6" s="48">
        <v>1.2756799999999999</v>
      </c>
      <c r="N6" s="60">
        <v>1.4915099999999999</v>
      </c>
      <c r="O6" s="48">
        <v>1.5506599999999999</v>
      </c>
      <c r="P6" s="60">
        <v>1.7216400000000001</v>
      </c>
      <c r="Q6" s="48">
        <v>1.73617</v>
      </c>
      <c r="R6" s="61">
        <f t="shared" ref="R6:S9" si="0">L6/K6</f>
        <v>0.31375606789501842</v>
      </c>
      <c r="S6" s="2">
        <f t="shared" si="0"/>
        <v>1.094647239527021</v>
      </c>
      <c r="T6" s="61">
        <f>N6/K6</f>
        <v>0.40156027461094135</v>
      </c>
      <c r="U6" s="2">
        <f>O6/N6</f>
        <v>1.0396577964613043</v>
      </c>
      <c r="V6" s="61">
        <f>P6/K6</f>
        <v>0.46351833456106978</v>
      </c>
      <c r="W6" s="2">
        <f>Q6/P6</f>
        <v>1.0084396273320786</v>
      </c>
      <c r="X6" s="63">
        <f>L6/$L$4</f>
        <v>5.8269000000000003E-3</v>
      </c>
      <c r="Y6" s="63">
        <f>M6/$L$4</f>
        <v>6.3783999999999993E-3</v>
      </c>
      <c r="Z6" s="57">
        <f>N6/$N$4</f>
        <v>4.9716999999999999E-3</v>
      </c>
      <c r="AA6" s="57">
        <f>O6/$N$4</f>
        <v>5.1688666666666666E-3</v>
      </c>
      <c r="AB6" s="64">
        <f>P6/$P$4</f>
        <v>4.3040999999999999E-3</v>
      </c>
      <c r="AC6" s="64">
        <f>Q6/$P$4</f>
        <v>4.3404250000000002E-3</v>
      </c>
    </row>
    <row r="7" spans="2:29" ht="15.5">
      <c r="B7" s="57">
        <v>563.4</v>
      </c>
      <c r="C7" s="23">
        <v>1.127</v>
      </c>
      <c r="D7" s="23">
        <v>500</v>
      </c>
      <c r="E7" s="23">
        <v>2E-3</v>
      </c>
      <c r="F7" s="23">
        <v>83.09</v>
      </c>
      <c r="G7" s="23">
        <v>6.16</v>
      </c>
      <c r="H7" s="38">
        <f t="shared" ref="H7:H9" si="1">F7/G7</f>
        <v>13.488636363636363</v>
      </c>
      <c r="I7" s="23">
        <v>0.28000000000000003</v>
      </c>
      <c r="J7" s="23">
        <v>193000</v>
      </c>
      <c r="K7" s="58">
        <v>0.92857168294664805</v>
      </c>
      <c r="L7" s="52">
        <v>0.57754700000000003</v>
      </c>
      <c r="M7" s="49">
        <v>0.54386900000000005</v>
      </c>
      <c r="N7" s="52">
        <v>0.73131000000000002</v>
      </c>
      <c r="O7" s="49">
        <v>0.64916600000000002</v>
      </c>
      <c r="P7" s="52">
        <v>0.82579499999999995</v>
      </c>
      <c r="Q7" s="49">
        <v>0.689415</v>
      </c>
      <c r="R7" s="61">
        <f t="shared" si="0"/>
        <v>0.6219735219226834</v>
      </c>
      <c r="S7" s="2">
        <f t="shared" si="0"/>
        <v>0.94168786263282467</v>
      </c>
      <c r="T7" s="61">
        <f>N7/K7</f>
        <v>0.78756439963722014</v>
      </c>
      <c r="U7" s="2">
        <f>O7/N7</f>
        <v>0.88767554115217895</v>
      </c>
      <c r="V7" s="61">
        <f>P7/K7</f>
        <v>0.88931744868580787</v>
      </c>
      <c r="W7" s="2">
        <f>Q7/P7</f>
        <v>0.83485005358472753</v>
      </c>
      <c r="X7" s="63">
        <f t="shared" ref="X7:X9" si="2">L7/$L$4</f>
        <v>2.8877350000000002E-3</v>
      </c>
      <c r="Y7" s="63">
        <f>M7/$L$4</f>
        <v>2.7193450000000002E-3</v>
      </c>
      <c r="Z7" s="57">
        <f t="shared" ref="Z7:Z9" si="3">N7/$N$4</f>
        <v>2.4377000000000001E-3</v>
      </c>
      <c r="AA7" s="57">
        <f t="shared" ref="AA7:AA9" si="4">O7/$N$4</f>
        <v>2.1638866666666666E-3</v>
      </c>
      <c r="AB7" s="64">
        <f t="shared" ref="AB7:AB9" si="5">P7/$P$4</f>
        <v>2.0644875E-3</v>
      </c>
      <c r="AC7" s="64">
        <f t="shared" ref="AC7:AC9" si="6">Q7/$P$4</f>
        <v>1.7235375E-3</v>
      </c>
    </row>
    <row r="8" spans="2:29" ht="15.5">
      <c r="B8" s="57">
        <v>563.4</v>
      </c>
      <c r="C8" s="23">
        <v>0.751</v>
      </c>
      <c r="D8" s="23">
        <v>700</v>
      </c>
      <c r="E8" s="23">
        <v>1.3333333333333333E-3</v>
      </c>
      <c r="F8" s="23">
        <v>83.09</v>
      </c>
      <c r="G8" s="23">
        <v>6.16</v>
      </c>
      <c r="H8" s="38">
        <f t="shared" si="1"/>
        <v>13.488636363636363</v>
      </c>
      <c r="I8" s="23">
        <v>0.28000000000000003</v>
      </c>
      <c r="J8" s="23">
        <v>193000</v>
      </c>
      <c r="K8" s="58">
        <v>0.41269852575406579</v>
      </c>
      <c r="L8" s="52">
        <v>0.32458799999999999</v>
      </c>
      <c r="M8" s="49">
        <v>0.26696500000000001</v>
      </c>
      <c r="N8" s="52">
        <v>0.40313199999999999</v>
      </c>
      <c r="O8" s="49">
        <v>0.28375800000000001</v>
      </c>
      <c r="P8" s="52">
        <v>0.42875000000000002</v>
      </c>
      <c r="Q8" s="49">
        <v>0.28406199999999998</v>
      </c>
      <c r="R8" s="61">
        <f t="shared" si="0"/>
        <v>0.78650147685147687</v>
      </c>
      <c r="S8" s="2">
        <f t="shared" si="0"/>
        <v>0.82247341244901229</v>
      </c>
      <c r="T8" s="61">
        <f>N8/K8</f>
        <v>0.97681957856140567</v>
      </c>
      <c r="U8" s="2">
        <f>O8/N8</f>
        <v>0.7038835914787217</v>
      </c>
      <c r="V8" s="61">
        <f>P8/K8</f>
        <v>1.0388939461719802</v>
      </c>
      <c r="W8" s="2">
        <f>Q8/P8</f>
        <v>0.66253527696792991</v>
      </c>
      <c r="X8" s="63">
        <f t="shared" si="2"/>
        <v>1.62294E-3</v>
      </c>
      <c r="Y8" s="63">
        <f t="shared" ref="Y8:Y9" si="7">M8/$L$4</f>
        <v>1.334825E-3</v>
      </c>
      <c r="Z8" s="57">
        <f t="shared" si="3"/>
        <v>1.3437733333333333E-3</v>
      </c>
      <c r="AA8" s="57">
        <f t="shared" si="4"/>
        <v>9.4586000000000008E-4</v>
      </c>
      <c r="AB8" s="64">
        <f t="shared" si="5"/>
        <v>1.0718750000000001E-3</v>
      </c>
      <c r="AC8" s="64">
        <f t="shared" si="6"/>
        <v>7.1015499999999997E-4</v>
      </c>
    </row>
    <row r="9" spans="2:29" ht="15.5">
      <c r="B9" s="57">
        <v>563.4</v>
      </c>
      <c r="C9" s="23">
        <v>0.56299999999999994</v>
      </c>
      <c r="D9" s="23">
        <v>1000</v>
      </c>
      <c r="E9" s="23">
        <v>1E-3</v>
      </c>
      <c r="F9" s="23">
        <v>83.09</v>
      </c>
      <c r="G9" s="23">
        <v>6.16</v>
      </c>
      <c r="H9" s="38">
        <f t="shared" si="1"/>
        <v>13.488636363636363</v>
      </c>
      <c r="I9" s="23">
        <v>0.28000000000000003</v>
      </c>
      <c r="J9" s="23">
        <v>193000</v>
      </c>
      <c r="K9" s="58">
        <v>0.23214292073666201</v>
      </c>
      <c r="L9" s="52">
        <v>0.222472</v>
      </c>
      <c r="M9" s="49">
        <v>0.13487399999999999</v>
      </c>
      <c r="N9" s="52">
        <v>0.23750599999999999</v>
      </c>
      <c r="O9" s="49">
        <v>0.15673599999999999</v>
      </c>
      <c r="P9" s="52">
        <v>0.23750599999999999</v>
      </c>
      <c r="Q9" s="49">
        <v>0.158224</v>
      </c>
      <c r="R9" s="23">
        <f t="shared" si="0"/>
        <v>0.95834066054664446</v>
      </c>
      <c r="S9" s="50">
        <f t="shared" si="0"/>
        <v>0.60625157323168755</v>
      </c>
      <c r="T9" s="23">
        <f>N9/K9</f>
        <v>1.0231024889594706</v>
      </c>
      <c r="U9" s="50">
        <f>O9/N9</f>
        <v>0.65992438085774674</v>
      </c>
      <c r="V9" s="23">
        <f>P9/K9</f>
        <v>1.0231024889594706</v>
      </c>
      <c r="W9" s="50">
        <f>Q9/P9</f>
        <v>0.6661894857393077</v>
      </c>
      <c r="X9" s="62">
        <f t="shared" si="2"/>
        <v>1.11236E-3</v>
      </c>
      <c r="Y9" s="62">
        <f t="shared" si="7"/>
        <v>6.7436999999999998E-4</v>
      </c>
      <c r="Z9" s="57">
        <f t="shared" si="3"/>
        <v>7.9168666666666664E-4</v>
      </c>
      <c r="AA9" s="57">
        <f t="shared" si="4"/>
        <v>5.2245333333333325E-4</v>
      </c>
      <c r="AB9" s="64">
        <f t="shared" si="5"/>
        <v>5.93765E-4</v>
      </c>
      <c r="AC9" s="64">
        <f t="shared" si="6"/>
        <v>3.9555999999999999E-4</v>
      </c>
    </row>
    <row r="10" spans="2:29" ht="15.5">
      <c r="C10" s="37"/>
      <c r="D10" s="37"/>
      <c r="E10" s="37"/>
      <c r="F10" s="37"/>
      <c r="G10" s="37"/>
      <c r="H10" s="53"/>
      <c r="I10" s="37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</row>
    <row r="11" spans="2:29" ht="15.5">
      <c r="B11" s="54" t="s">
        <v>137</v>
      </c>
      <c r="C11" s="37"/>
      <c r="D11" s="37"/>
      <c r="E11" s="37"/>
      <c r="F11" s="37"/>
      <c r="G11" s="37"/>
      <c r="H11" s="53"/>
      <c r="I11" s="37"/>
      <c r="J11" s="37"/>
      <c r="K11" s="51"/>
      <c r="L11" s="37"/>
      <c r="M11" s="51"/>
      <c r="N11" s="37"/>
      <c r="O11" s="51"/>
      <c r="P11" s="37"/>
      <c r="Q11" s="51"/>
      <c r="R11" s="37"/>
      <c r="S11" s="51"/>
      <c r="T11" s="37"/>
      <c r="U11" s="51"/>
      <c r="V11" s="37"/>
      <c r="W11" s="51"/>
    </row>
    <row r="13" spans="2:29" ht="15.5">
      <c r="D13" s="37"/>
      <c r="E13" s="37"/>
      <c r="F13" s="37"/>
      <c r="G13" s="37"/>
      <c r="H13" s="53"/>
      <c r="I13" s="37"/>
      <c r="J13" s="37"/>
      <c r="K13" s="37"/>
      <c r="L13" s="199">
        <v>200</v>
      </c>
      <c r="M13" s="199"/>
      <c r="N13" s="199">
        <v>300</v>
      </c>
      <c r="O13" s="199"/>
      <c r="P13" s="199">
        <v>400</v>
      </c>
      <c r="Q13" s="199"/>
    </row>
    <row r="14" spans="2:29" ht="31">
      <c r="B14" s="57" t="s">
        <v>132</v>
      </c>
      <c r="C14" s="23" t="s">
        <v>131</v>
      </c>
      <c r="D14" s="23" t="s">
        <v>20</v>
      </c>
      <c r="E14" s="23" t="s">
        <v>124</v>
      </c>
      <c r="F14" s="23" t="s">
        <v>133</v>
      </c>
      <c r="G14" s="23" t="s">
        <v>134</v>
      </c>
      <c r="H14" s="38" t="s">
        <v>135</v>
      </c>
      <c r="I14" s="23" t="s">
        <v>130</v>
      </c>
      <c r="J14" s="23" t="s">
        <v>89</v>
      </c>
      <c r="K14" s="23" t="s">
        <v>125</v>
      </c>
      <c r="L14" s="52" t="s">
        <v>126</v>
      </c>
      <c r="M14" s="52" t="s">
        <v>127</v>
      </c>
      <c r="N14" s="52" t="s">
        <v>126</v>
      </c>
      <c r="O14" s="52" t="s">
        <v>127</v>
      </c>
      <c r="P14" s="52" t="s">
        <v>126</v>
      </c>
      <c r="Q14" s="52" t="s">
        <v>127</v>
      </c>
      <c r="X14" s="62" t="s">
        <v>126</v>
      </c>
      <c r="Y14" s="62" t="s">
        <v>127</v>
      </c>
      <c r="Z14" s="23" t="s">
        <v>126</v>
      </c>
      <c r="AA14" s="23" t="s">
        <v>127</v>
      </c>
      <c r="AB14" s="62" t="s">
        <v>126</v>
      </c>
      <c r="AC14" s="62" t="s">
        <v>127</v>
      </c>
    </row>
    <row r="15" spans="2:29" ht="15.5">
      <c r="B15" s="57">
        <v>563.4</v>
      </c>
      <c r="C15" s="23">
        <v>2.254</v>
      </c>
      <c r="D15" s="23">
        <v>250</v>
      </c>
      <c r="E15" s="23">
        <v>4.0000000000000001E-3</v>
      </c>
      <c r="F15" s="23">
        <v>83.09</v>
      </c>
      <c r="G15" s="23">
        <f>F15/H15</f>
        <v>83.09</v>
      </c>
      <c r="H15" s="38">
        <v>1</v>
      </c>
      <c r="I15" s="23">
        <v>0.28000000000000003</v>
      </c>
      <c r="J15" s="23">
        <v>193000</v>
      </c>
      <c r="K15" s="58">
        <v>3.7142867317865922</v>
      </c>
      <c r="L15" s="59">
        <v>6.6088399999999998</v>
      </c>
      <c r="M15" s="48">
        <v>6.3013000000000003</v>
      </c>
      <c r="N15" s="60">
        <v>9.7779399999999992</v>
      </c>
      <c r="O15" s="48">
        <v>9.0763599999999993</v>
      </c>
      <c r="P15" s="60">
        <v>12.8645</v>
      </c>
      <c r="Q15" s="48">
        <v>11.1995</v>
      </c>
      <c r="X15" s="63">
        <f>L15/$L$4</f>
        <v>3.3044199999999996E-2</v>
      </c>
      <c r="Y15" s="63">
        <f>M15/$L$4</f>
        <v>3.15065E-2</v>
      </c>
      <c r="Z15" s="57">
        <f>N15/$N$4</f>
        <v>3.259313333333333E-2</v>
      </c>
      <c r="AA15" s="57">
        <f>O15/$N$4</f>
        <v>3.025453333333333E-2</v>
      </c>
      <c r="AB15" s="64">
        <f>P15/$P$4</f>
        <v>3.2161250000000002E-2</v>
      </c>
      <c r="AC15" s="64">
        <f>Q15/$P$4</f>
        <v>2.7998750000000003E-2</v>
      </c>
    </row>
    <row r="16" spans="2:29" ht="15.5">
      <c r="B16" s="57">
        <v>563.4</v>
      </c>
      <c r="C16" s="23">
        <v>1.127</v>
      </c>
      <c r="D16" s="23">
        <v>500</v>
      </c>
      <c r="E16" s="23">
        <v>2E-3</v>
      </c>
      <c r="F16" s="23">
        <v>83.09</v>
      </c>
      <c r="G16" s="23">
        <f t="shared" ref="G16:G18" si="8">F16/H16</f>
        <v>83.09</v>
      </c>
      <c r="H16" s="38">
        <v>1</v>
      </c>
      <c r="I16" s="23">
        <v>0.28000000000000003</v>
      </c>
      <c r="J16" s="23">
        <v>193000</v>
      </c>
      <c r="K16" s="58">
        <v>0.92857168294664805</v>
      </c>
      <c r="L16" s="52">
        <v>3.06521</v>
      </c>
      <c r="M16" s="49">
        <v>2.6489400000000001</v>
      </c>
      <c r="N16" s="52">
        <v>4.4877099999999999</v>
      </c>
      <c r="O16" s="49">
        <v>3.6026699999999998</v>
      </c>
      <c r="P16" s="52">
        <v>5.8614899999999999</v>
      </c>
      <c r="Q16" s="49">
        <v>4.1987800000000002</v>
      </c>
      <c r="X16" s="63">
        <f t="shared" ref="X16:X18" si="9">L16/$L$4</f>
        <v>1.5326050000000001E-2</v>
      </c>
      <c r="Y16" s="63">
        <f>M16/$L$4</f>
        <v>1.32447E-2</v>
      </c>
      <c r="Z16" s="57">
        <f t="shared" ref="Z16:Z18" si="10">N16/$N$4</f>
        <v>1.4959033333333333E-2</v>
      </c>
      <c r="AA16" s="57">
        <f t="shared" ref="AA16:AA18" si="11">O16/$N$4</f>
        <v>1.2008899999999999E-2</v>
      </c>
      <c r="AB16" s="64">
        <f t="shared" ref="AB16:AB18" si="12">P16/$P$4</f>
        <v>1.4653724999999999E-2</v>
      </c>
      <c r="AC16" s="64">
        <f t="shared" ref="AC16:AC18" si="13">Q16/$P$4</f>
        <v>1.049695E-2</v>
      </c>
    </row>
    <row r="17" spans="2:29" ht="15.5">
      <c r="B17" s="57">
        <v>563.4</v>
      </c>
      <c r="C17" s="23">
        <v>0.751</v>
      </c>
      <c r="D17" s="23">
        <v>700</v>
      </c>
      <c r="E17" s="23">
        <v>1.3333333333333333E-3</v>
      </c>
      <c r="F17" s="23">
        <v>83.09</v>
      </c>
      <c r="G17" s="23">
        <f t="shared" si="8"/>
        <v>83.09</v>
      </c>
      <c r="H17" s="38">
        <v>1</v>
      </c>
      <c r="I17" s="23">
        <v>0.28000000000000003</v>
      </c>
      <c r="J17" s="23">
        <v>193000</v>
      </c>
      <c r="K17" s="58">
        <v>0.41269852575406579</v>
      </c>
      <c r="L17" s="52">
        <v>1.9499299999999999</v>
      </c>
      <c r="M17" s="49">
        <v>1.5104200000000001</v>
      </c>
      <c r="N17" s="52">
        <v>2.8373900000000001</v>
      </c>
      <c r="O17" s="49">
        <v>1.8321799999999999</v>
      </c>
      <c r="P17" s="52">
        <v>3.6520899999999998</v>
      </c>
      <c r="Q17" s="49">
        <v>2.1399900000000001</v>
      </c>
      <c r="X17" s="63">
        <f t="shared" si="9"/>
        <v>9.7496500000000003E-3</v>
      </c>
      <c r="Y17" s="63">
        <f t="shared" ref="Y17:Y18" si="14">M17/$L$4</f>
        <v>7.5521000000000008E-3</v>
      </c>
      <c r="Z17" s="57">
        <f t="shared" si="10"/>
        <v>9.4579666666666663E-3</v>
      </c>
      <c r="AA17" s="57">
        <f t="shared" si="11"/>
        <v>6.1072666666666664E-3</v>
      </c>
      <c r="AB17" s="64">
        <f t="shared" si="12"/>
        <v>9.1302249999999988E-3</v>
      </c>
      <c r="AC17" s="64">
        <f t="shared" si="13"/>
        <v>5.3499749999999999E-3</v>
      </c>
    </row>
    <row r="18" spans="2:29" ht="15.5">
      <c r="B18" s="57">
        <v>563.4</v>
      </c>
      <c r="C18" s="23">
        <v>0.56299999999999994</v>
      </c>
      <c r="D18" s="23">
        <v>1000</v>
      </c>
      <c r="E18" s="23">
        <v>1E-3</v>
      </c>
      <c r="F18" s="23">
        <v>83.09</v>
      </c>
      <c r="G18" s="23">
        <f t="shared" si="8"/>
        <v>83.09</v>
      </c>
      <c r="H18" s="38">
        <v>1</v>
      </c>
      <c r="I18" s="23">
        <v>0.28000000000000003</v>
      </c>
      <c r="J18" s="23">
        <v>193000</v>
      </c>
      <c r="K18" s="58">
        <v>0.23214292073666201</v>
      </c>
      <c r="L18" s="52">
        <v>1.4132100000000001</v>
      </c>
      <c r="M18" s="49">
        <v>0.97716400000000003</v>
      </c>
      <c r="N18" s="52">
        <v>2.0514199999999998</v>
      </c>
      <c r="O18" s="49">
        <v>1.12975</v>
      </c>
      <c r="P18" s="52">
        <v>2.64472</v>
      </c>
      <c r="Q18" s="49">
        <v>1.0465500000000001</v>
      </c>
      <c r="X18" s="62">
        <f t="shared" si="9"/>
        <v>7.0660500000000008E-3</v>
      </c>
      <c r="Y18" s="62">
        <f t="shared" si="14"/>
        <v>4.8858199999999999E-3</v>
      </c>
      <c r="Z18" s="57">
        <f t="shared" si="10"/>
        <v>6.8380666666666657E-3</v>
      </c>
      <c r="AA18" s="57">
        <f t="shared" si="11"/>
        <v>3.7658333333333333E-3</v>
      </c>
      <c r="AB18" s="64">
        <f t="shared" si="12"/>
        <v>6.6118000000000001E-3</v>
      </c>
      <c r="AC18" s="64">
        <f t="shared" si="13"/>
        <v>2.6163750000000002E-3</v>
      </c>
    </row>
    <row r="19" spans="2:29" ht="15.5">
      <c r="C19" s="37"/>
      <c r="D19" s="37"/>
      <c r="E19" s="37"/>
      <c r="F19" s="37"/>
      <c r="G19" s="37"/>
      <c r="H19" s="53"/>
      <c r="I19" s="37"/>
      <c r="J19" s="37"/>
      <c r="K19" s="51"/>
      <c r="L19" s="37"/>
      <c r="M19" s="51"/>
      <c r="N19" s="37"/>
      <c r="O19" s="51"/>
      <c r="P19" s="37"/>
      <c r="Q19" s="51"/>
    </row>
    <row r="20" spans="2:29" ht="15.5">
      <c r="B20" s="54" t="s">
        <v>138</v>
      </c>
      <c r="C20" s="37"/>
      <c r="D20" s="37"/>
      <c r="E20" s="37"/>
      <c r="F20" s="37"/>
      <c r="G20" s="37"/>
      <c r="H20" s="53"/>
      <c r="I20" s="37"/>
      <c r="J20" s="37"/>
      <c r="K20" s="51"/>
      <c r="L20" s="37"/>
      <c r="M20" s="51"/>
      <c r="N20" s="37"/>
      <c r="O20" s="51"/>
      <c r="P20" s="37"/>
      <c r="Q20" s="51"/>
    </row>
    <row r="22" spans="2:29" ht="15.5">
      <c r="D22" s="37"/>
      <c r="E22" s="37"/>
      <c r="F22" s="37"/>
      <c r="G22" s="37"/>
      <c r="H22" s="53"/>
      <c r="I22" s="37"/>
      <c r="J22" s="37"/>
      <c r="K22" s="37"/>
      <c r="L22" s="199">
        <v>200</v>
      </c>
      <c r="M22" s="199"/>
      <c r="N22" s="199">
        <v>300</v>
      </c>
      <c r="O22" s="199"/>
      <c r="P22" s="199">
        <v>400</v>
      </c>
      <c r="Q22" s="199"/>
    </row>
    <row r="23" spans="2:29" ht="31">
      <c r="B23" s="57" t="s">
        <v>132</v>
      </c>
      <c r="C23" s="23" t="s">
        <v>131</v>
      </c>
      <c r="D23" s="23" t="s">
        <v>20</v>
      </c>
      <c r="E23" s="23" t="s">
        <v>124</v>
      </c>
      <c r="F23" s="23" t="s">
        <v>133</v>
      </c>
      <c r="G23" s="23" t="s">
        <v>134</v>
      </c>
      <c r="H23" s="38" t="s">
        <v>135</v>
      </c>
      <c r="I23" s="23" t="s">
        <v>130</v>
      </c>
      <c r="J23" s="23" t="s">
        <v>89</v>
      </c>
      <c r="K23" s="23" t="s">
        <v>125</v>
      </c>
      <c r="L23" s="52" t="s">
        <v>126</v>
      </c>
      <c r="M23" s="52" t="s">
        <v>127</v>
      </c>
      <c r="N23" s="52" t="s">
        <v>126</v>
      </c>
      <c r="O23" s="52" t="s">
        <v>127</v>
      </c>
      <c r="P23" s="52" t="s">
        <v>126</v>
      </c>
      <c r="Q23" s="52" t="s">
        <v>127</v>
      </c>
      <c r="X23" s="62" t="s">
        <v>126</v>
      </c>
      <c r="Y23" s="62" t="s">
        <v>127</v>
      </c>
      <c r="Z23" s="23" t="s">
        <v>126</v>
      </c>
      <c r="AA23" s="23" t="s">
        <v>127</v>
      </c>
      <c r="AB23" s="62" t="s">
        <v>126</v>
      </c>
      <c r="AC23" s="62" t="s">
        <v>127</v>
      </c>
    </row>
    <row r="24" spans="2:29" ht="15.5">
      <c r="B24" s="57">
        <v>563.4</v>
      </c>
      <c r="C24" s="23">
        <v>2.254</v>
      </c>
      <c r="D24" s="23">
        <v>250</v>
      </c>
      <c r="E24" s="23">
        <v>4.0000000000000001E-3</v>
      </c>
      <c r="F24" s="23">
        <v>83.09</v>
      </c>
      <c r="G24" s="23">
        <f>F24/H24</f>
        <v>16.618000000000002</v>
      </c>
      <c r="H24" s="38">
        <v>5</v>
      </c>
      <c r="I24" s="23">
        <v>0.28000000000000003</v>
      </c>
      <c r="J24" s="23">
        <v>193000</v>
      </c>
      <c r="K24" s="58">
        <v>3.7142867317865922</v>
      </c>
      <c r="L24" s="59">
        <v>2.6341399999999999</v>
      </c>
      <c r="M24" s="48">
        <v>2.0852900000000001</v>
      </c>
      <c r="N24" s="60">
        <v>3.8023899999999999</v>
      </c>
      <c r="O24" s="48">
        <v>2.9490099999999999</v>
      </c>
      <c r="P24" s="60">
        <v>4.8693200000000001</v>
      </c>
      <c r="Q24" s="48">
        <v>3.7030799999999999</v>
      </c>
      <c r="X24" s="63">
        <f>L24/$L$4</f>
        <v>1.31707E-2</v>
      </c>
      <c r="Y24" s="63">
        <f>M24/$L$4</f>
        <v>1.042645E-2</v>
      </c>
      <c r="Z24" s="57">
        <f>N24/$N$4</f>
        <v>1.2674633333333333E-2</v>
      </c>
      <c r="AA24" s="57">
        <f>O24/$N$4</f>
        <v>9.8300333333333333E-3</v>
      </c>
      <c r="AB24" s="64">
        <f>P24/$P$4</f>
        <v>1.21733E-2</v>
      </c>
      <c r="AC24" s="64">
        <f>Q24/$P$4</f>
        <v>9.2577000000000007E-3</v>
      </c>
    </row>
    <row r="25" spans="2:29" ht="15.5">
      <c r="B25" s="57">
        <v>563.4</v>
      </c>
      <c r="C25" s="23">
        <v>1.127</v>
      </c>
      <c r="D25" s="23">
        <v>500</v>
      </c>
      <c r="E25" s="23">
        <v>2E-3</v>
      </c>
      <c r="F25" s="23">
        <v>83.09</v>
      </c>
      <c r="G25" s="23">
        <f t="shared" ref="G25:G27" si="15">F25/H25</f>
        <v>16.618000000000002</v>
      </c>
      <c r="H25" s="38">
        <v>5</v>
      </c>
      <c r="I25" s="23">
        <v>0.28000000000000003</v>
      </c>
      <c r="J25" s="23">
        <v>193000</v>
      </c>
      <c r="K25" s="58">
        <v>0.92857168294664805</v>
      </c>
      <c r="L25" s="52">
        <v>1.1673100000000001</v>
      </c>
      <c r="M25" s="49">
        <v>0.66700899999999996</v>
      </c>
      <c r="N25" s="52">
        <v>1.6164099999999999</v>
      </c>
      <c r="O25" s="49">
        <v>0.86439299999999997</v>
      </c>
      <c r="P25" s="52">
        <v>1.9954499999999999</v>
      </c>
      <c r="Q25" s="49">
        <v>1.01271</v>
      </c>
      <c r="X25" s="63">
        <f t="shared" ref="X25:X27" si="16">L25/$L$4</f>
        <v>5.8365500000000002E-3</v>
      </c>
      <c r="Y25" s="63">
        <f>M25/$L$4</f>
        <v>3.335045E-3</v>
      </c>
      <c r="Z25" s="57">
        <f t="shared" ref="Z25:Z27" si="17">N25/$N$4</f>
        <v>5.3880333333333327E-3</v>
      </c>
      <c r="AA25" s="57">
        <f t="shared" ref="AA25:AA27" si="18">O25/$N$4</f>
        <v>2.8813099999999998E-3</v>
      </c>
      <c r="AB25" s="64">
        <f t="shared" ref="AB25:AB27" si="19">P25/$P$4</f>
        <v>4.988625E-3</v>
      </c>
      <c r="AC25" s="64">
        <f t="shared" ref="AC25:AC27" si="20">Q25/$P$4</f>
        <v>2.531775E-3</v>
      </c>
    </row>
    <row r="26" spans="2:29" ht="15.5">
      <c r="B26" s="57">
        <v>563.4</v>
      </c>
      <c r="C26" s="23">
        <v>0.751</v>
      </c>
      <c r="D26" s="23">
        <v>700</v>
      </c>
      <c r="E26" s="23">
        <v>1.3333333333333333E-3</v>
      </c>
      <c r="F26" s="23">
        <v>83.09</v>
      </c>
      <c r="G26" s="23">
        <f t="shared" si="15"/>
        <v>16.618000000000002</v>
      </c>
      <c r="H26" s="38">
        <v>5</v>
      </c>
      <c r="I26" s="23">
        <v>0.28000000000000003</v>
      </c>
      <c r="J26" s="23">
        <v>193000</v>
      </c>
      <c r="K26" s="58">
        <v>0.41269852575406579</v>
      </c>
      <c r="L26" s="52">
        <v>0.70160599999999995</v>
      </c>
      <c r="M26" s="49">
        <v>0.31650899999999998</v>
      </c>
      <c r="N26" s="52">
        <v>0.92216799999999999</v>
      </c>
      <c r="O26" s="49">
        <v>0.38969799999999999</v>
      </c>
      <c r="P26" s="52">
        <v>1.1749499999999999</v>
      </c>
      <c r="Q26" s="49">
        <v>0.44338499999999997</v>
      </c>
      <c r="X26" s="63">
        <f t="shared" si="16"/>
        <v>3.5080299999999997E-3</v>
      </c>
      <c r="Y26" s="63">
        <f t="shared" ref="Y26:Y27" si="21">M26/$L$4</f>
        <v>1.5825449999999999E-3</v>
      </c>
      <c r="Z26" s="57">
        <f t="shared" si="17"/>
        <v>3.0738933333333334E-3</v>
      </c>
      <c r="AA26" s="57">
        <f t="shared" si="18"/>
        <v>1.2989933333333334E-3</v>
      </c>
      <c r="AB26" s="64">
        <f t="shared" si="19"/>
        <v>2.9373749999999999E-3</v>
      </c>
      <c r="AC26" s="64">
        <f t="shared" si="20"/>
        <v>1.1084624999999999E-3</v>
      </c>
    </row>
    <row r="27" spans="2:29" ht="15.5">
      <c r="B27" s="57">
        <v>563.4</v>
      </c>
      <c r="C27" s="23">
        <v>0.56299999999999994</v>
      </c>
      <c r="D27" s="23">
        <v>1000</v>
      </c>
      <c r="E27" s="23">
        <v>1E-3</v>
      </c>
      <c r="F27" s="23">
        <v>83.09</v>
      </c>
      <c r="G27" s="23">
        <f t="shared" si="15"/>
        <v>16.618000000000002</v>
      </c>
      <c r="H27" s="38">
        <v>5</v>
      </c>
      <c r="I27" s="23">
        <v>0.28000000000000003</v>
      </c>
      <c r="J27" s="23">
        <v>193000</v>
      </c>
      <c r="K27" s="58">
        <v>0.23214292073666201</v>
      </c>
      <c r="L27" s="52">
        <v>0.49114799999999997</v>
      </c>
      <c r="M27" s="52">
        <v>0.18307499999999999</v>
      </c>
      <c r="N27" s="52">
        <v>0.65623600000000004</v>
      </c>
      <c r="O27" s="49">
        <v>0.21503700000000001</v>
      </c>
      <c r="P27" s="52">
        <v>0.775918</v>
      </c>
      <c r="Q27" s="49">
        <v>0.24707899999999999</v>
      </c>
      <c r="X27" s="62">
        <f t="shared" si="16"/>
        <v>2.4557399999999997E-3</v>
      </c>
      <c r="Y27" s="62">
        <f t="shared" si="21"/>
        <v>9.1537499999999996E-4</v>
      </c>
      <c r="Z27" s="57">
        <f t="shared" si="17"/>
        <v>2.1874533333333334E-3</v>
      </c>
      <c r="AA27" s="57">
        <f t="shared" si="18"/>
        <v>7.1679000000000003E-4</v>
      </c>
      <c r="AB27" s="64">
        <f t="shared" si="19"/>
        <v>1.939795E-3</v>
      </c>
      <c r="AC27" s="64">
        <f t="shared" si="20"/>
        <v>6.1769750000000001E-4</v>
      </c>
    </row>
  </sheetData>
  <mergeCells count="12">
    <mergeCell ref="L13:M13"/>
    <mergeCell ref="N13:O13"/>
    <mergeCell ref="P13:Q13"/>
    <mergeCell ref="L22:M22"/>
    <mergeCell ref="N22:O22"/>
    <mergeCell ref="P22:Q22"/>
    <mergeCell ref="V4:W4"/>
    <mergeCell ref="L4:M4"/>
    <mergeCell ref="N4:O4"/>
    <mergeCell ref="P4:Q4"/>
    <mergeCell ref="R4:S4"/>
    <mergeCell ref="T4:U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4A24-E46C-4F62-9D78-88A2C4018E04}">
  <dimension ref="A3:G30"/>
  <sheetViews>
    <sheetView topLeftCell="A9" workbookViewId="0">
      <selection activeCell="D20" sqref="D20"/>
    </sheetView>
  </sheetViews>
  <sheetFormatPr defaultColWidth="9.08984375" defaultRowHeight="15.5"/>
  <cols>
    <col min="1" max="4" width="9.08984375" style="37"/>
    <col min="5" max="7" width="13.08984375" style="37" customWidth="1"/>
    <col min="8" max="16384" width="9.08984375" style="37"/>
  </cols>
  <sheetData>
    <row r="3" spans="1:7">
      <c r="E3" s="203" t="s">
        <v>205</v>
      </c>
      <c r="F3" s="203"/>
      <c r="G3" s="203"/>
    </row>
    <row r="4" spans="1:7">
      <c r="A4" s="143" t="s">
        <v>206</v>
      </c>
      <c r="B4" s="143" t="s">
        <v>150</v>
      </c>
      <c r="C4" s="143"/>
    </row>
    <row r="5" spans="1:7">
      <c r="A5" s="143"/>
      <c r="B5" s="203" t="s">
        <v>207</v>
      </c>
      <c r="C5" s="203"/>
      <c r="E5" s="84" t="s">
        <v>208</v>
      </c>
      <c r="F5" s="84" t="s">
        <v>209</v>
      </c>
      <c r="G5" s="84" t="s">
        <v>89</v>
      </c>
    </row>
    <row r="6" spans="1:7">
      <c r="A6" s="143"/>
      <c r="B6" s="143"/>
      <c r="C6" s="143"/>
      <c r="E6" s="23">
        <v>0</v>
      </c>
      <c r="F6" s="23">
        <v>303.5</v>
      </c>
      <c r="G6" s="144">
        <v>207000</v>
      </c>
    </row>
    <row r="7" spans="1:7">
      <c r="A7" s="143" t="s">
        <v>210</v>
      </c>
      <c r="B7" s="143" t="s">
        <v>149</v>
      </c>
      <c r="C7" s="143"/>
      <c r="E7" s="23">
        <v>50</v>
      </c>
      <c r="F7" s="23">
        <f>(1+(E7/(767*(LN(E7/1750)))))*$F$6</f>
        <v>297.93517883519962</v>
      </c>
      <c r="G7" s="144">
        <f>(1+(0.0001591*E7)-(0.00000345*E7^2)+(0.0000000118*E7^3)-(0.0000000000172*E7^4))*$G$6</f>
        <v>207144.38250000001</v>
      </c>
    </row>
    <row r="8" spans="1:7">
      <c r="A8" s="143"/>
      <c r="B8" s="203" t="s">
        <v>207</v>
      </c>
      <c r="C8" s="203"/>
      <c r="E8" s="23">
        <v>100</v>
      </c>
      <c r="F8" s="23">
        <f t="shared" ref="F8:F18" si="0">(1+(E8/(767*(LN(E8/1750)))))*$F$6</f>
        <v>289.67506110585543</v>
      </c>
      <c r="G8" s="144">
        <f t="shared" ref="G8:G18" si="1">(1+(0.0001591*E8)-(0.00000345*E8^2)+(0.0000000118*E8^3)-(0.0000000000172*E8^4))*$G$6</f>
        <v>205238.43000000002</v>
      </c>
    </row>
    <row r="9" spans="1:7">
      <c r="A9" s="143"/>
      <c r="B9" s="143"/>
      <c r="C9" s="143"/>
      <c r="E9" s="23">
        <v>150</v>
      </c>
      <c r="F9" s="23">
        <f t="shared" si="0"/>
        <v>279.34004389928248</v>
      </c>
      <c r="G9" s="144">
        <f t="shared" si="1"/>
        <v>202313.0025</v>
      </c>
    </row>
    <row r="10" spans="1:7">
      <c r="A10" s="143" t="s">
        <v>211</v>
      </c>
      <c r="B10" s="143" t="s">
        <v>150</v>
      </c>
      <c r="C10" s="143"/>
      <c r="E10" s="23">
        <v>200</v>
      </c>
      <c r="F10" s="23">
        <f t="shared" si="0"/>
        <v>267.01427143101574</v>
      </c>
      <c r="G10" s="144">
        <f t="shared" si="1"/>
        <v>198864.9</v>
      </c>
    </row>
    <row r="11" spans="1:7">
      <c r="A11" s="143"/>
      <c r="B11" s="203" t="s">
        <v>212</v>
      </c>
      <c r="C11" s="203"/>
      <c r="E11" s="23">
        <v>250</v>
      </c>
      <c r="F11" s="23">
        <f t="shared" si="0"/>
        <v>252.66292473623881</v>
      </c>
      <c r="G11" s="144">
        <f t="shared" si="1"/>
        <v>194856.86249999999</v>
      </c>
    </row>
    <row r="12" spans="1:7">
      <c r="A12" s="143"/>
      <c r="B12" s="143"/>
      <c r="C12" s="143"/>
      <c r="E12" s="23">
        <v>300</v>
      </c>
      <c r="F12" s="23">
        <f t="shared" si="0"/>
        <v>236.18880431312198</v>
      </c>
      <c r="G12" s="144">
        <f>(1+(0.0001591*E12)-(0.00000345*E12^2)+(0.0000000118*E12^3)-(0.0000000000172*E12^4))*$G$6</f>
        <v>189717.57</v>
      </c>
    </row>
    <row r="13" spans="1:7">
      <c r="A13" s="143" t="s">
        <v>213</v>
      </c>
      <c r="B13" s="143" t="s">
        <v>149</v>
      </c>
      <c r="C13" s="143"/>
      <c r="E13" s="23">
        <v>350</v>
      </c>
      <c r="F13" s="23">
        <f t="shared" si="0"/>
        <v>217.44875694446574</v>
      </c>
      <c r="G13" s="144">
        <f t="shared" si="1"/>
        <v>182341.64249999999</v>
      </c>
    </row>
    <row r="14" spans="1:7">
      <c r="A14" s="143"/>
      <c r="B14" s="203" t="s">
        <v>214</v>
      </c>
      <c r="C14" s="203"/>
      <c r="E14" s="23">
        <v>400</v>
      </c>
      <c r="F14" s="23">
        <f t="shared" si="0"/>
        <v>196.25810696541404</v>
      </c>
      <c r="G14" s="144">
        <f t="shared" si="1"/>
        <v>171089.63999999993</v>
      </c>
    </row>
    <row r="15" spans="1:7">
      <c r="E15" s="23">
        <v>450</v>
      </c>
      <c r="F15" s="23">
        <f t="shared" si="0"/>
        <v>172.38976787092378</v>
      </c>
      <c r="G15" s="144">
        <f t="shared" si="1"/>
        <v>153788.0625</v>
      </c>
    </row>
    <row r="16" spans="1:7">
      <c r="E16" s="23">
        <v>500</v>
      </c>
      <c r="F16" s="23">
        <f t="shared" si="0"/>
        <v>145.57007519889427</v>
      </c>
      <c r="G16" s="144">
        <f t="shared" si="1"/>
        <v>127729.34999999998</v>
      </c>
    </row>
    <row r="17" spans="5:7">
      <c r="E17" s="23">
        <v>550</v>
      </c>
      <c r="F17" s="23">
        <f t="shared" si="0"/>
        <v>115.4719096318283</v>
      </c>
      <c r="G17" s="144">
        <f t="shared" si="1"/>
        <v>89671.882500000022</v>
      </c>
    </row>
    <row r="18" spans="5:7">
      <c r="E18" s="23">
        <v>600</v>
      </c>
      <c r="F18" s="23">
        <f t="shared" si="0"/>
        <v>81.705036637796724</v>
      </c>
      <c r="G18" s="144">
        <f t="shared" si="1"/>
        <v>35839.980000000018</v>
      </c>
    </row>
    <row r="19" spans="5:7">
      <c r="E19" s="99">
        <v>650</v>
      </c>
      <c r="F19" s="99">
        <f>$F$6*((108*(1-(E19/1000)))/(E19-440))</f>
        <v>54.629999999999995</v>
      </c>
      <c r="G19" s="145">
        <f>(0.000866*(800-E19))*$G$6</f>
        <v>26889.300000000003</v>
      </c>
    </row>
    <row r="20" spans="5:7">
      <c r="E20" s="99">
        <v>700</v>
      </c>
      <c r="F20" s="99">
        <f t="shared" ref="F20:F26" si="2">$F$6*((108*(1-(E20/1000)))/(E20-440))</f>
        <v>37.820769230769237</v>
      </c>
      <c r="G20" s="145">
        <f t="shared" ref="G20:G22" si="3">(0.000866*(800-E20))*$G$6</f>
        <v>17926.2</v>
      </c>
    </row>
    <row r="21" spans="5:7">
      <c r="E21" s="99">
        <v>750</v>
      </c>
      <c r="F21" s="99">
        <f t="shared" si="2"/>
        <v>26.433870967741935</v>
      </c>
      <c r="G21" s="145">
        <f t="shared" si="3"/>
        <v>8963.1</v>
      </c>
    </row>
    <row r="22" spans="5:7">
      <c r="E22" s="99">
        <v>800</v>
      </c>
      <c r="F22" s="99">
        <f t="shared" si="2"/>
        <v>18.209999999999994</v>
      </c>
      <c r="G22" s="145">
        <f t="shared" si="3"/>
        <v>0</v>
      </c>
    </row>
    <row r="23" spans="5:7">
      <c r="E23" s="99">
        <v>850</v>
      </c>
      <c r="F23" s="99">
        <f t="shared" si="2"/>
        <v>11.991951219512197</v>
      </c>
      <c r="G23" s="145" t="s">
        <v>215</v>
      </c>
    </row>
    <row r="24" spans="5:7">
      <c r="E24" s="99">
        <v>900</v>
      </c>
      <c r="F24" s="99">
        <f t="shared" si="2"/>
        <v>7.1256521739130418</v>
      </c>
      <c r="G24" s="145" t="s">
        <v>215</v>
      </c>
    </row>
    <row r="25" spans="5:7">
      <c r="E25" s="99">
        <v>950</v>
      </c>
      <c r="F25" s="99">
        <f t="shared" si="2"/>
        <v>3.2135294117647089</v>
      </c>
      <c r="G25" s="145" t="s">
        <v>215</v>
      </c>
    </row>
    <row r="26" spans="5:7">
      <c r="E26" s="99">
        <v>1000</v>
      </c>
      <c r="F26" s="99">
        <f t="shared" si="2"/>
        <v>0</v>
      </c>
      <c r="G26" s="145" t="s">
        <v>215</v>
      </c>
    </row>
    <row r="28" spans="5:7">
      <c r="E28" s="84" t="s">
        <v>208</v>
      </c>
      <c r="F28" s="84" t="s">
        <v>209</v>
      </c>
    </row>
    <row r="29" spans="5:7">
      <c r="E29" s="23">
        <v>0</v>
      </c>
      <c r="F29" s="23">
        <v>215</v>
      </c>
    </row>
    <row r="30" spans="5:7">
      <c r="E30" s="23">
        <v>1000</v>
      </c>
      <c r="F30" s="23">
        <v>0</v>
      </c>
    </row>
  </sheetData>
  <mergeCells count="5">
    <mergeCell ref="E3:G3"/>
    <mergeCell ref="B5:C5"/>
    <mergeCell ref="B8:C8"/>
    <mergeCell ref="B11:C11"/>
    <mergeCell ref="B14:C1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7E8F-AA56-4624-9D6B-1525F485D300}">
  <dimension ref="C2:F15"/>
  <sheetViews>
    <sheetView workbookViewId="0">
      <selection activeCell="E3" sqref="E3:E14"/>
    </sheetView>
  </sheetViews>
  <sheetFormatPr defaultRowHeight="14.5"/>
  <cols>
    <col min="1" max="16384" width="8.7265625" style="17"/>
  </cols>
  <sheetData>
    <row r="2" spans="3:6">
      <c r="C2" s="146" t="s">
        <v>216</v>
      </c>
      <c r="D2" s="146" t="s">
        <v>217</v>
      </c>
      <c r="E2" s="146" t="s">
        <v>90</v>
      </c>
      <c r="F2" s="146" t="s">
        <v>89</v>
      </c>
    </row>
    <row r="3" spans="3:6">
      <c r="C3" s="146">
        <v>20</v>
      </c>
      <c r="D3" s="146">
        <v>1</v>
      </c>
      <c r="E3" s="146">
        <f>303.5*D3</f>
        <v>303.5</v>
      </c>
      <c r="F3" s="146">
        <f>207000*D3</f>
        <v>207000</v>
      </c>
    </row>
    <row r="4" spans="3:6">
      <c r="C4" s="146">
        <v>100</v>
      </c>
      <c r="D4" s="146">
        <v>1</v>
      </c>
      <c r="E4" s="146">
        <f t="shared" ref="E4:E15" si="0">303.5*D4</f>
        <v>303.5</v>
      </c>
      <c r="F4" s="146">
        <f t="shared" ref="F4:F15" si="1">207000*D4</f>
        <v>207000</v>
      </c>
    </row>
    <row r="5" spans="3:6">
      <c r="C5" s="146">
        <v>200</v>
      </c>
      <c r="D5" s="146">
        <v>0.89</v>
      </c>
      <c r="E5" s="146">
        <f t="shared" si="0"/>
        <v>270.11500000000001</v>
      </c>
      <c r="F5" s="146">
        <f t="shared" si="1"/>
        <v>184230</v>
      </c>
    </row>
    <row r="6" spans="3:6">
      <c r="C6" s="146">
        <v>300</v>
      </c>
      <c r="D6" s="146">
        <v>0.78</v>
      </c>
      <c r="E6" s="146">
        <f t="shared" si="0"/>
        <v>236.73000000000002</v>
      </c>
      <c r="F6" s="146">
        <f t="shared" si="1"/>
        <v>161460</v>
      </c>
    </row>
    <row r="7" spans="3:6">
      <c r="C7" s="146">
        <v>400</v>
      </c>
      <c r="D7" s="146">
        <v>0.65</v>
      </c>
      <c r="E7" s="146">
        <f t="shared" si="0"/>
        <v>197.27500000000001</v>
      </c>
      <c r="F7" s="146">
        <f t="shared" si="1"/>
        <v>134550</v>
      </c>
    </row>
    <row r="8" spans="3:6">
      <c r="C8" s="146">
        <v>500</v>
      </c>
      <c r="D8" s="146">
        <v>0.53</v>
      </c>
      <c r="E8" s="146">
        <f t="shared" si="0"/>
        <v>160.85500000000002</v>
      </c>
      <c r="F8" s="146">
        <f t="shared" si="1"/>
        <v>109710</v>
      </c>
    </row>
    <row r="9" spans="3:6">
      <c r="C9" s="146">
        <v>600</v>
      </c>
      <c r="D9" s="146">
        <v>0.3</v>
      </c>
      <c r="E9" s="146">
        <f t="shared" si="0"/>
        <v>91.05</v>
      </c>
      <c r="F9" s="146">
        <f t="shared" si="1"/>
        <v>62100</v>
      </c>
    </row>
    <row r="10" spans="3:6">
      <c r="C10" s="146">
        <v>700</v>
      </c>
      <c r="D10" s="146">
        <v>0.13</v>
      </c>
      <c r="E10" s="146">
        <f t="shared" si="0"/>
        <v>39.454999999999998</v>
      </c>
      <c r="F10" s="146">
        <f t="shared" si="1"/>
        <v>26910</v>
      </c>
    </row>
    <row r="11" spans="3:6">
      <c r="C11" s="146">
        <v>800</v>
      </c>
      <c r="D11" s="146">
        <v>7.0000000000000007E-2</v>
      </c>
      <c r="E11" s="146">
        <f t="shared" si="0"/>
        <v>21.245000000000001</v>
      </c>
      <c r="F11" s="146">
        <f t="shared" si="1"/>
        <v>14490.000000000002</v>
      </c>
    </row>
    <row r="12" spans="3:6">
      <c r="C12" s="146">
        <v>900</v>
      </c>
      <c r="D12" s="146">
        <v>0.05</v>
      </c>
      <c r="E12" s="146">
        <f t="shared" si="0"/>
        <v>15.175000000000001</v>
      </c>
      <c r="F12" s="146">
        <f t="shared" si="1"/>
        <v>10350</v>
      </c>
    </row>
    <row r="13" spans="3:6">
      <c r="C13" s="146">
        <v>1000</v>
      </c>
      <c r="D13" s="146">
        <v>0.03</v>
      </c>
      <c r="E13" s="146">
        <f t="shared" si="0"/>
        <v>9.1050000000000004</v>
      </c>
      <c r="F13" s="146">
        <f t="shared" si="1"/>
        <v>6210</v>
      </c>
    </row>
    <row r="14" spans="3:6">
      <c r="C14" s="146">
        <v>1100</v>
      </c>
      <c r="D14" s="146">
        <v>0.02</v>
      </c>
      <c r="E14" s="146">
        <f t="shared" si="0"/>
        <v>6.07</v>
      </c>
      <c r="F14" s="146">
        <f t="shared" si="1"/>
        <v>4140</v>
      </c>
    </row>
    <row r="15" spans="3:6">
      <c r="C15" s="146">
        <v>1200</v>
      </c>
      <c r="D15" s="146">
        <v>0</v>
      </c>
      <c r="E15" s="146">
        <f t="shared" si="0"/>
        <v>0</v>
      </c>
      <c r="F15" s="146">
        <f t="shared" si="1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505C-A1B7-44BD-8976-2D2CB4D1A462}">
  <dimension ref="C2:E13"/>
  <sheetViews>
    <sheetView workbookViewId="0">
      <selection activeCell="D3" sqref="D3:D12"/>
    </sheetView>
  </sheetViews>
  <sheetFormatPr defaultRowHeight="14.5"/>
  <cols>
    <col min="1" max="4" width="8.7265625" style="17"/>
    <col min="5" max="5" width="10.81640625" style="17" bestFit="1" customWidth="1"/>
    <col min="6" max="16384" width="8.7265625" style="17"/>
  </cols>
  <sheetData>
    <row r="2" spans="3:5">
      <c r="C2" s="146" t="s">
        <v>216</v>
      </c>
      <c r="D2" s="146" t="s">
        <v>150</v>
      </c>
      <c r="E2" s="146" t="s">
        <v>149</v>
      </c>
    </row>
    <row r="3" spans="3:5">
      <c r="C3" s="146">
        <v>20</v>
      </c>
      <c r="D3" s="146">
        <f>303.5</f>
        <v>303.5</v>
      </c>
      <c r="E3" s="146">
        <f>(1+(C3/(2000*(LN(C3/1000)))))*207000</f>
        <v>206470.86200742488</v>
      </c>
    </row>
    <row r="4" spans="3:5">
      <c r="C4" s="146">
        <v>100</v>
      </c>
      <c r="D4" s="146">
        <f t="shared" ref="D4:D5" si="0">303.5</f>
        <v>303.5</v>
      </c>
      <c r="E4" s="146">
        <f t="shared" ref="E4:E9" si="1">(1+(C4/(2000*(LN(C4/1000)))))*207000</f>
        <v>202505.05211230135</v>
      </c>
    </row>
    <row r="5" spans="3:5">
      <c r="C5" s="146">
        <v>214</v>
      </c>
      <c r="D5" s="146">
        <f t="shared" si="0"/>
        <v>303.5</v>
      </c>
      <c r="E5" s="146">
        <f t="shared" si="1"/>
        <v>192634.1303079229</v>
      </c>
    </row>
    <row r="6" spans="3:5">
      <c r="C6" s="146">
        <v>215</v>
      </c>
      <c r="D6" s="146">
        <f>((905-C6)/(690))*303.5</f>
        <v>303.5</v>
      </c>
      <c r="E6" s="146">
        <f t="shared" si="1"/>
        <v>192523.22538334018</v>
      </c>
    </row>
    <row r="7" spans="3:5">
      <c r="C7" s="146">
        <v>400</v>
      </c>
      <c r="D7" s="146">
        <f t="shared" ref="D7:D12" si="2">((905-C7)/(690))*303.5</f>
        <v>222.12681159420291</v>
      </c>
      <c r="E7" s="146">
        <f t="shared" si="1"/>
        <v>161817.83394739614</v>
      </c>
    </row>
    <row r="8" spans="3:5">
      <c r="C8" s="146">
        <v>500</v>
      </c>
      <c r="D8" s="146">
        <f t="shared" si="2"/>
        <v>178.14130434782609</v>
      </c>
      <c r="E8" s="146">
        <f t="shared" si="1"/>
        <v>132340.53163399611</v>
      </c>
    </row>
    <row r="9" spans="3:5">
      <c r="C9" s="146">
        <v>600</v>
      </c>
      <c r="D9" s="146">
        <f t="shared" si="2"/>
        <v>134.15579710144928</v>
      </c>
      <c r="E9" s="146">
        <f t="shared" si="1"/>
        <v>85432.096764887392</v>
      </c>
    </row>
    <row r="10" spans="3:5">
      <c r="C10" s="146">
        <v>700</v>
      </c>
      <c r="D10" s="146">
        <f t="shared" si="2"/>
        <v>90.170289855072454</v>
      </c>
      <c r="E10" s="146">
        <f>((690-0.69*C10)/(C10-53.3))*207000</f>
        <v>66257.924849234594</v>
      </c>
    </row>
    <row r="11" spans="3:5">
      <c r="C11" s="146">
        <v>800</v>
      </c>
      <c r="D11" s="146">
        <f t="shared" si="2"/>
        <v>46.184782608695656</v>
      </c>
      <c r="E11" s="146">
        <f t="shared" ref="E11:E13" si="3">((690-0.69*C11)/(C11-53.3))*207000</f>
        <v>38256.327842507031</v>
      </c>
    </row>
    <row r="12" spans="3:5">
      <c r="C12" s="146">
        <v>905</v>
      </c>
      <c r="D12" s="146">
        <f t="shared" si="2"/>
        <v>0</v>
      </c>
      <c r="E12" s="146">
        <f t="shared" si="3"/>
        <v>15931.489961253979</v>
      </c>
    </row>
    <row r="13" spans="3:5">
      <c r="C13" s="146">
        <v>1000</v>
      </c>
      <c r="D13" s="146" t="s">
        <v>215</v>
      </c>
      <c r="E13" s="146">
        <f t="shared" si="3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7B7D-F9D3-443D-B048-DF64F945AE24}">
  <dimension ref="B2:O12"/>
  <sheetViews>
    <sheetView workbookViewId="0">
      <selection activeCell="G12" sqref="G12"/>
    </sheetView>
  </sheetViews>
  <sheetFormatPr defaultRowHeight="14.5"/>
  <cols>
    <col min="1" max="16384" width="8.7265625" style="17"/>
  </cols>
  <sheetData>
    <row r="2" spans="2:15">
      <c r="B2" s="17" t="s">
        <v>218</v>
      </c>
      <c r="G2" s="17" t="s">
        <v>221</v>
      </c>
      <c r="L2" s="17" t="s">
        <v>222</v>
      </c>
    </row>
    <row r="4" spans="2:15">
      <c r="B4" s="146" t="s">
        <v>216</v>
      </c>
      <c r="C4" s="146" t="s">
        <v>104</v>
      </c>
      <c r="D4" s="146" t="s">
        <v>219</v>
      </c>
      <c r="E4" s="146" t="s">
        <v>220</v>
      </c>
      <c r="G4" s="146" t="s">
        <v>216</v>
      </c>
      <c r="H4" s="146" t="s">
        <v>104</v>
      </c>
      <c r="I4" s="146" t="s">
        <v>219</v>
      </c>
      <c r="J4" s="146" t="s">
        <v>220</v>
      </c>
      <c r="L4" s="146" t="s">
        <v>216</v>
      </c>
      <c r="M4" s="146" t="s">
        <v>104</v>
      </c>
      <c r="N4" s="146" t="s">
        <v>219</v>
      </c>
      <c r="O4" s="146" t="s">
        <v>220</v>
      </c>
    </row>
    <row r="5" spans="2:15">
      <c r="B5" s="146">
        <v>0</v>
      </c>
      <c r="C5" s="146">
        <v>1.202</v>
      </c>
      <c r="D5" s="146">
        <f>B5/$B$10</f>
        <v>0</v>
      </c>
      <c r="E5" s="146">
        <f>C5/$C$5</f>
        <v>1</v>
      </c>
      <c r="G5" s="146">
        <v>0</v>
      </c>
      <c r="H5" s="146">
        <v>1.202</v>
      </c>
      <c r="I5" s="146">
        <f>G5/$G$12</f>
        <v>0</v>
      </c>
      <c r="J5" s="146">
        <f>H5/$H$5</f>
        <v>1</v>
      </c>
      <c r="L5" s="146">
        <v>0</v>
      </c>
      <c r="M5" s="146">
        <v>1.202</v>
      </c>
      <c r="N5" s="146">
        <f>L5/$L$12</f>
        <v>0</v>
      </c>
      <c r="O5" s="146">
        <f>M5/$M$5</f>
        <v>1</v>
      </c>
    </row>
    <row r="6" spans="2:15">
      <c r="B6" s="146">
        <v>100</v>
      </c>
      <c r="C6" s="146">
        <v>1.7261200000000001</v>
      </c>
      <c r="D6" s="146">
        <f>B6/$B$10</f>
        <v>0.13333333333333333</v>
      </c>
      <c r="E6" s="146">
        <f t="shared" ref="E6:E10" si="0">C6/$C$5</f>
        <v>1.4360399334442597</v>
      </c>
      <c r="G6" s="146">
        <v>100</v>
      </c>
      <c r="H6" s="146">
        <v>1.81192</v>
      </c>
      <c r="I6" s="146">
        <f t="shared" ref="I6:I12" si="1">G6/$G$12</f>
        <v>9.0909090909090912E-2</v>
      </c>
      <c r="J6" s="146">
        <f t="shared" ref="J6:J12" si="2">H6/$H$5</f>
        <v>1.5074209650582362</v>
      </c>
      <c r="L6" s="146">
        <v>100</v>
      </c>
      <c r="M6" s="146">
        <v>1.79956</v>
      </c>
      <c r="N6" s="146">
        <f t="shared" ref="N6:N12" si="3">L6/$L$12</f>
        <v>0.1111111111111111</v>
      </c>
      <c r="O6" s="146">
        <f t="shared" ref="O6:O12" si="4">M6/$M$5</f>
        <v>1.4971381031613977</v>
      </c>
    </row>
    <row r="7" spans="2:15">
      <c r="B7" s="146">
        <v>300</v>
      </c>
      <c r="C7" s="146">
        <v>1.34243</v>
      </c>
      <c r="D7" s="146">
        <f t="shared" ref="D7:D9" si="5">B7/$B$10</f>
        <v>0.4</v>
      </c>
      <c r="E7" s="146">
        <f t="shared" si="0"/>
        <v>1.1168302828618968</v>
      </c>
      <c r="G7" s="146">
        <v>300</v>
      </c>
      <c r="H7" s="146">
        <v>1.26498</v>
      </c>
      <c r="I7" s="146">
        <f t="shared" si="1"/>
        <v>0.27272727272727271</v>
      </c>
      <c r="J7" s="146">
        <f t="shared" si="2"/>
        <v>1.052396006655574</v>
      </c>
      <c r="L7" s="146">
        <v>300</v>
      </c>
      <c r="M7" s="146">
        <v>1.4726300000000001</v>
      </c>
      <c r="N7" s="146">
        <f t="shared" si="3"/>
        <v>0.33333333333333331</v>
      </c>
      <c r="O7" s="146">
        <f t="shared" si="4"/>
        <v>1.2251497504159734</v>
      </c>
    </row>
    <row r="8" spans="2:15">
      <c r="B8" s="146">
        <v>500</v>
      </c>
      <c r="C8" s="146">
        <v>0.79620299999999999</v>
      </c>
      <c r="D8" s="146">
        <f t="shared" si="5"/>
        <v>0.66666666666666663</v>
      </c>
      <c r="E8" s="146">
        <f t="shared" si="0"/>
        <v>0.66239850249584031</v>
      </c>
      <c r="G8" s="146">
        <v>500</v>
      </c>
      <c r="H8" s="146">
        <v>0.83458600000000005</v>
      </c>
      <c r="I8" s="146">
        <f t="shared" si="1"/>
        <v>0.45454545454545453</v>
      </c>
      <c r="J8" s="146">
        <f t="shared" si="2"/>
        <v>0.69433111480865228</v>
      </c>
      <c r="L8" s="146">
        <v>500</v>
      </c>
      <c r="M8" s="146">
        <v>0.91123799999999999</v>
      </c>
      <c r="N8" s="146">
        <f t="shared" si="3"/>
        <v>0.55555555555555558</v>
      </c>
      <c r="O8" s="146">
        <f t="shared" si="4"/>
        <v>0.75810149750415978</v>
      </c>
    </row>
    <row r="9" spans="2:15">
      <c r="B9" s="146">
        <v>700</v>
      </c>
      <c r="C9" s="146">
        <v>0.165882</v>
      </c>
      <c r="D9" s="146">
        <f t="shared" si="5"/>
        <v>0.93333333333333335</v>
      </c>
      <c r="E9" s="146">
        <f t="shared" si="0"/>
        <v>0.13800499168053246</v>
      </c>
      <c r="G9" s="146">
        <v>700</v>
      </c>
      <c r="H9" s="146">
        <v>0.19574900000000001</v>
      </c>
      <c r="I9" s="146">
        <f t="shared" si="1"/>
        <v>0.63636363636363635</v>
      </c>
      <c r="J9" s="146">
        <f t="shared" si="2"/>
        <v>0.16285274542429284</v>
      </c>
      <c r="L9" s="146">
        <v>700</v>
      </c>
      <c r="M9" s="146">
        <v>0.454598</v>
      </c>
      <c r="N9" s="146">
        <f t="shared" si="3"/>
        <v>0.77777777777777779</v>
      </c>
      <c r="O9" s="146">
        <f t="shared" si="4"/>
        <v>0.37820133111480869</v>
      </c>
    </row>
    <row r="10" spans="2:15">
      <c r="B10" s="146">
        <v>750</v>
      </c>
      <c r="C10" s="146">
        <v>0.103935</v>
      </c>
      <c r="D10" s="146">
        <f>B10/$B$10</f>
        <v>1</v>
      </c>
      <c r="E10" s="146">
        <f t="shared" si="0"/>
        <v>8.6468386023294513E-2</v>
      </c>
      <c r="G10" s="146">
        <v>750</v>
      </c>
      <c r="H10" s="146">
        <v>0.145478</v>
      </c>
      <c r="I10" s="146">
        <f t="shared" si="1"/>
        <v>0.68181818181818177</v>
      </c>
      <c r="J10" s="146">
        <f t="shared" si="2"/>
        <v>0.12102995008319467</v>
      </c>
      <c r="L10" s="146">
        <v>750</v>
      </c>
      <c r="M10" s="146">
        <v>0.34406300000000001</v>
      </c>
      <c r="N10" s="146">
        <f t="shared" si="3"/>
        <v>0.83333333333333337</v>
      </c>
      <c r="O10" s="146">
        <f t="shared" si="4"/>
        <v>0.28624209650582366</v>
      </c>
    </row>
    <row r="11" spans="2:15">
      <c r="G11" s="146">
        <v>950</v>
      </c>
      <c r="H11" s="146">
        <v>5.74951E-2</v>
      </c>
      <c r="I11" s="146">
        <f t="shared" si="1"/>
        <v>0.86363636363636365</v>
      </c>
      <c r="J11" s="146">
        <f>H11/$H$5</f>
        <v>4.7832861896838608E-2</v>
      </c>
      <c r="L11" s="146">
        <v>800</v>
      </c>
      <c r="M11" s="146">
        <v>0.23341300000000001</v>
      </c>
      <c r="N11" s="146">
        <f>L11/$L$12</f>
        <v>0.88888888888888884</v>
      </c>
      <c r="O11" s="146">
        <f>M11/$M$5</f>
        <v>0.19418718801996673</v>
      </c>
    </row>
    <row r="12" spans="2:15">
      <c r="G12" s="146">
        <v>1100</v>
      </c>
      <c r="H12" s="146">
        <v>2.8265200000000001E-2</v>
      </c>
      <c r="I12" s="146">
        <f t="shared" si="1"/>
        <v>1</v>
      </c>
      <c r="J12" s="146">
        <f t="shared" si="2"/>
        <v>2.3515141430948419E-2</v>
      </c>
      <c r="L12" s="146">
        <v>900</v>
      </c>
      <c r="M12" s="146">
        <v>1.5912800000000001E-2</v>
      </c>
      <c r="N12" s="146">
        <f t="shared" si="3"/>
        <v>1</v>
      </c>
      <c r="O12" s="146">
        <f t="shared" si="4"/>
        <v>1.3238602329450917E-2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B167-4ED4-4AA5-8657-1DBA04582C53}">
  <dimension ref="B4:V11"/>
  <sheetViews>
    <sheetView zoomScale="85" zoomScaleNormal="85" workbookViewId="0">
      <selection activeCell="P21" sqref="P21"/>
    </sheetView>
  </sheetViews>
  <sheetFormatPr defaultRowHeight="14.5"/>
  <cols>
    <col min="3" max="3" width="0" hidden="1" customWidth="1"/>
    <col min="9" max="12" width="9.453125" customWidth="1"/>
  </cols>
  <sheetData>
    <row r="4" spans="2:22" ht="17.5">
      <c r="B4" s="157" t="s">
        <v>14</v>
      </c>
      <c r="C4" s="157" t="s">
        <v>20</v>
      </c>
      <c r="D4" s="147" t="s">
        <v>76</v>
      </c>
      <c r="E4" s="147" t="s">
        <v>77</v>
      </c>
      <c r="F4" s="147" t="s">
        <v>78</v>
      </c>
      <c r="G4" s="147" t="s">
        <v>114</v>
      </c>
      <c r="H4" s="147" t="s">
        <v>115</v>
      </c>
      <c r="I4" s="157" t="s">
        <v>120</v>
      </c>
      <c r="J4" s="157" t="s">
        <v>117</v>
      </c>
      <c r="K4" s="157" t="s">
        <v>118</v>
      </c>
      <c r="L4" s="157" t="s">
        <v>119</v>
      </c>
      <c r="N4" s="17"/>
    </row>
    <row r="5" spans="2:22" ht="15.5">
      <c r="B5" s="157"/>
      <c r="C5" s="157"/>
      <c r="D5" s="147" t="s">
        <v>79</v>
      </c>
      <c r="E5" s="147" t="s">
        <v>79</v>
      </c>
      <c r="F5" s="147" t="s">
        <v>79</v>
      </c>
      <c r="G5" s="147" t="s">
        <v>79</v>
      </c>
      <c r="H5" s="147" t="s">
        <v>79</v>
      </c>
      <c r="I5" s="157"/>
      <c r="J5" s="157"/>
      <c r="K5" s="157"/>
      <c r="L5" s="157"/>
      <c r="N5" s="17"/>
      <c r="V5" t="s">
        <v>80</v>
      </c>
    </row>
    <row r="6" spans="2:22" ht="15.5">
      <c r="B6" s="147" t="s">
        <v>81</v>
      </c>
      <c r="C6" s="147">
        <v>1816.5</v>
      </c>
      <c r="D6" s="148">
        <v>4.5999999999999999E-2</v>
      </c>
      <c r="E6" s="148">
        <v>4.3999999999999997E-2</v>
      </c>
      <c r="F6" s="148">
        <v>2.3E-2</v>
      </c>
      <c r="G6" s="148">
        <v>8.6810279105199711E-3</v>
      </c>
      <c r="H6" s="148">
        <v>1.6026998221443583E-2</v>
      </c>
      <c r="I6" s="138">
        <f>F6/D6</f>
        <v>0.5</v>
      </c>
      <c r="J6" s="138">
        <f>G6/D6</f>
        <v>0.18871799805478198</v>
      </c>
      <c r="K6" s="138">
        <f>H6/D6</f>
        <v>0.34841300481399096</v>
      </c>
      <c r="L6" s="138">
        <f>E6/D6</f>
        <v>0.9565217391304347</v>
      </c>
      <c r="M6" s="20"/>
      <c r="N6" s="21">
        <f>(D6-F6)/(D6)*100</f>
        <v>50</v>
      </c>
      <c r="P6">
        <f>AVERAGE(N6:N11)</f>
        <v>45.992551045638088</v>
      </c>
      <c r="R6" s="20">
        <f>(D6-E6)/(D6)*100</f>
        <v>4.3478260869565259</v>
      </c>
      <c r="T6">
        <f>AVERAGE(R6:R11)</f>
        <v>-2.0121485642967394</v>
      </c>
      <c r="V6">
        <f>ABS(R6)</f>
        <v>4.3478260869565259</v>
      </c>
    </row>
    <row r="7" spans="2:22" ht="15.5">
      <c r="B7" s="147" t="s">
        <v>82</v>
      </c>
      <c r="C7" s="147">
        <v>1574.2</v>
      </c>
      <c r="D7" s="148">
        <v>5.1999999999999998E-2</v>
      </c>
      <c r="E7" s="148">
        <v>5.7000000000000002E-2</v>
      </c>
      <c r="F7" s="148">
        <v>0.03</v>
      </c>
      <c r="G7" s="148">
        <v>1.2364751331059168E-2</v>
      </c>
      <c r="H7" s="148">
        <v>2.1340005248977174E-2</v>
      </c>
      <c r="I7" s="138">
        <f t="shared" ref="I7:I11" si="0">F7/D7</f>
        <v>0.57692307692307698</v>
      </c>
      <c r="J7" s="138">
        <f t="shared" ref="J7:J11" si="1">G7/D7</f>
        <v>0.23778367944344556</v>
      </c>
      <c r="K7" s="138">
        <f t="shared" ref="K7:K11" si="2">H7/D7</f>
        <v>0.41038471632648416</v>
      </c>
      <c r="L7" s="138">
        <f t="shared" ref="L7:L11" si="3">E7/D7</f>
        <v>1.0961538461538463</v>
      </c>
      <c r="M7" s="20"/>
      <c r="N7" s="21">
        <f t="shared" ref="N7:N11" si="4">(D7-F7)/(D7)*100</f>
        <v>42.307692307692307</v>
      </c>
      <c r="R7" s="20">
        <f t="shared" ref="R7:R11" si="5">(D7-E7)/(D7)*100</f>
        <v>-9.6153846153846239</v>
      </c>
      <c r="V7">
        <f t="shared" ref="V7:V11" si="6">ABS(R7)</f>
        <v>9.6153846153846239</v>
      </c>
    </row>
    <row r="8" spans="2:22" ht="15.5">
      <c r="B8" s="147" t="s">
        <v>83</v>
      </c>
      <c r="C8" s="147">
        <v>853.01</v>
      </c>
      <c r="D8" s="148">
        <v>0.21099999999999999</v>
      </c>
      <c r="E8" s="148">
        <v>0.20899999999999999</v>
      </c>
      <c r="F8" s="148">
        <v>0.10199999999999999</v>
      </c>
      <c r="G8" s="148">
        <v>5.5674082891160735E-2</v>
      </c>
      <c r="H8" s="148">
        <v>7.2680021094151698E-2</v>
      </c>
      <c r="I8" s="138">
        <f t="shared" si="0"/>
        <v>0.48341232227488151</v>
      </c>
      <c r="J8" s="138">
        <f t="shared" si="1"/>
        <v>0.26385821275431631</v>
      </c>
      <c r="K8" s="138">
        <f t="shared" si="2"/>
        <v>0.34445507627560046</v>
      </c>
      <c r="L8" s="138">
        <f t="shared" si="3"/>
        <v>0.99052132701421802</v>
      </c>
      <c r="M8" s="20"/>
      <c r="N8" s="21">
        <f t="shared" si="4"/>
        <v>51.658767772511851</v>
      </c>
      <c r="R8" s="20">
        <f t="shared" si="5"/>
        <v>0.94786729857819996</v>
      </c>
      <c r="V8">
        <f t="shared" si="6"/>
        <v>0.94786729857819996</v>
      </c>
    </row>
    <row r="9" spans="2:22" ht="15.5">
      <c r="B9" s="147" t="s">
        <v>84</v>
      </c>
      <c r="C9" s="147">
        <v>662.9</v>
      </c>
      <c r="D9" s="148">
        <v>0.33</v>
      </c>
      <c r="E9" s="148">
        <v>0.33800000000000002</v>
      </c>
      <c r="F9" s="148">
        <v>0.16700000000000001</v>
      </c>
      <c r="G9" s="148">
        <v>0.102699397217761</v>
      </c>
      <c r="H9" s="148">
        <v>0.12034552144737448</v>
      </c>
      <c r="I9" s="138">
        <f t="shared" si="0"/>
        <v>0.5060606060606061</v>
      </c>
      <c r="J9" s="138">
        <f t="shared" si="1"/>
        <v>0.31121029459927574</v>
      </c>
      <c r="K9" s="138">
        <f t="shared" si="2"/>
        <v>0.36468339832537722</v>
      </c>
      <c r="L9" s="138">
        <f t="shared" si="3"/>
        <v>1.0242424242424242</v>
      </c>
      <c r="M9" s="20"/>
      <c r="N9" s="21">
        <f t="shared" si="4"/>
        <v>49.393939393939398</v>
      </c>
      <c r="R9" s="20">
        <f t="shared" si="5"/>
        <v>-2.4242424242424265</v>
      </c>
      <c r="V9">
        <f t="shared" si="6"/>
        <v>2.4242424242424265</v>
      </c>
    </row>
    <row r="10" spans="2:22" ht="15.5">
      <c r="B10" s="147" t="s">
        <v>85</v>
      </c>
      <c r="C10" s="147">
        <v>431.42</v>
      </c>
      <c r="D10" s="148">
        <v>0.65</v>
      </c>
      <c r="E10" s="148">
        <v>0.66800000000000004</v>
      </c>
      <c r="F10" s="148">
        <v>0.38600000000000001</v>
      </c>
      <c r="G10" s="148">
        <v>0.28624837638776451</v>
      </c>
      <c r="H10" s="148">
        <v>0.28413290328843349</v>
      </c>
      <c r="I10" s="138">
        <f t="shared" si="0"/>
        <v>0.5938461538461538</v>
      </c>
      <c r="J10" s="138">
        <f t="shared" si="1"/>
        <v>0.44038211751963768</v>
      </c>
      <c r="K10" s="138">
        <f t="shared" si="2"/>
        <v>0.43712754352066691</v>
      </c>
      <c r="L10" s="138">
        <f t="shared" si="3"/>
        <v>1.0276923076923077</v>
      </c>
      <c r="M10" s="20"/>
      <c r="N10" s="21">
        <f t="shared" si="4"/>
        <v>40.615384615384613</v>
      </c>
      <c r="R10" s="20">
        <f t="shared" si="5"/>
        <v>-2.7692307692307718</v>
      </c>
      <c r="V10">
        <f t="shared" si="6"/>
        <v>2.7692307692307718</v>
      </c>
    </row>
    <row r="11" spans="2:22" ht="15.5">
      <c r="B11" s="147" t="s">
        <v>86</v>
      </c>
      <c r="C11" s="147">
        <v>320.11</v>
      </c>
      <c r="D11" s="148">
        <v>1.1719999999999999</v>
      </c>
      <c r="E11" s="148">
        <v>1.202</v>
      </c>
      <c r="F11" s="148">
        <v>0.68</v>
      </c>
      <c r="G11" s="148">
        <v>0.56965496782458214</v>
      </c>
      <c r="H11" s="148">
        <v>0.50287109473892866</v>
      </c>
      <c r="I11" s="138">
        <f t="shared" si="0"/>
        <v>0.58020477815699667</v>
      </c>
      <c r="J11" s="138">
        <f t="shared" si="1"/>
        <v>0.48605372681278342</v>
      </c>
      <c r="K11" s="138">
        <f t="shared" si="2"/>
        <v>0.42907089994789138</v>
      </c>
      <c r="L11" s="138">
        <f t="shared" si="3"/>
        <v>1.0255972696245734</v>
      </c>
      <c r="M11" s="20"/>
      <c r="N11" s="21">
        <f t="shared" si="4"/>
        <v>41.979522184300336</v>
      </c>
      <c r="R11" s="20">
        <f t="shared" si="5"/>
        <v>-2.5597269624573404</v>
      </c>
      <c r="V11">
        <f t="shared" si="6"/>
        <v>2.5597269624573404</v>
      </c>
    </row>
  </sheetData>
  <mergeCells count="6">
    <mergeCell ref="B4:B5"/>
    <mergeCell ref="C4:C5"/>
    <mergeCell ref="I4:I5"/>
    <mergeCell ref="L4:L5"/>
    <mergeCell ref="J4:J5"/>
    <mergeCell ref="K4:K5"/>
  </mergeCells>
  <phoneticPr fontId="1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848E-4666-4501-8062-71321CDDCDC9}">
  <dimension ref="B1:U34"/>
  <sheetViews>
    <sheetView workbookViewId="0">
      <selection activeCell="T4" sqref="T4:T34"/>
    </sheetView>
  </sheetViews>
  <sheetFormatPr defaultRowHeight="14.5"/>
  <cols>
    <col min="1" max="16384" width="8.7265625" style="17"/>
  </cols>
  <sheetData>
    <row r="1" spans="2:21">
      <c r="E1" s="17" t="s">
        <v>218</v>
      </c>
      <c r="H1" s="17" t="s">
        <v>221</v>
      </c>
      <c r="K1" s="17" t="s">
        <v>222</v>
      </c>
      <c r="N1" s="17" t="s">
        <v>218</v>
      </c>
      <c r="Q1" s="17" t="s">
        <v>221</v>
      </c>
      <c r="T1" s="17" t="s">
        <v>222</v>
      </c>
    </row>
    <row r="2" spans="2:21">
      <c r="B2" s="17" t="s">
        <v>86</v>
      </c>
      <c r="E2" s="17" t="s">
        <v>86</v>
      </c>
      <c r="F2" s="17">
        <v>500</v>
      </c>
      <c r="H2" s="17" t="s">
        <v>86</v>
      </c>
      <c r="I2" s="17">
        <v>500</v>
      </c>
      <c r="K2" s="17" t="s">
        <v>86</v>
      </c>
      <c r="L2" s="17">
        <v>500</v>
      </c>
      <c r="N2" s="17" t="s">
        <v>86</v>
      </c>
      <c r="O2" s="17">
        <v>100</v>
      </c>
      <c r="Q2" s="17" t="s">
        <v>86</v>
      </c>
      <c r="R2" s="17">
        <v>500</v>
      </c>
      <c r="T2" s="17" t="s">
        <v>86</v>
      </c>
      <c r="U2" s="17">
        <v>500</v>
      </c>
    </row>
    <row r="3" spans="2:21">
      <c r="B3" s="17" t="s">
        <v>224</v>
      </c>
      <c r="C3" s="17" t="s">
        <v>223</v>
      </c>
      <c r="E3" s="17" t="s">
        <v>224</v>
      </c>
      <c r="F3" s="17" t="s">
        <v>223</v>
      </c>
      <c r="H3" s="17" t="s">
        <v>224</v>
      </c>
      <c r="I3" s="17" t="s">
        <v>223</v>
      </c>
      <c r="K3" s="17" t="s">
        <v>224</v>
      </c>
      <c r="L3" s="17" t="s">
        <v>223</v>
      </c>
      <c r="N3" s="17" t="s">
        <v>224</v>
      </c>
      <c r="O3" s="17" t="s">
        <v>223</v>
      </c>
      <c r="Q3" s="17" t="s">
        <v>224</v>
      </c>
      <c r="R3" s="17" t="s">
        <v>223</v>
      </c>
      <c r="T3" s="17" t="s">
        <v>224</v>
      </c>
      <c r="U3" s="17" t="s">
        <v>223</v>
      </c>
    </row>
    <row r="4" spans="2:21">
      <c r="B4" s="17">
        <v>0</v>
      </c>
      <c r="C4" s="17">
        <v>0</v>
      </c>
      <c r="E4" s="17">
        <v>3.05267</v>
      </c>
      <c r="F4" s="17">
        <v>0</v>
      </c>
      <c r="H4" s="17">
        <v>3.0745900000000002</v>
      </c>
      <c r="I4" s="17">
        <v>0</v>
      </c>
      <c r="K4" s="17">
        <v>3.0679599999999998</v>
      </c>
      <c r="L4" s="17">
        <v>0</v>
      </c>
      <c r="N4" s="17">
        <v>0.86704300000000001</v>
      </c>
      <c r="O4" s="17">
        <v>0</v>
      </c>
      <c r="Q4" s="17">
        <v>0.86922600000000005</v>
      </c>
      <c r="R4" s="17">
        <v>0</v>
      </c>
      <c r="T4" s="17">
        <v>0.86977199999999999</v>
      </c>
      <c r="U4" s="17">
        <v>0</v>
      </c>
    </row>
    <row r="5" spans="2:21">
      <c r="B5" s="17">
        <v>2.6806300000000002E-2</v>
      </c>
      <c r="C5" s="17">
        <v>4.96266E-2</v>
      </c>
      <c r="E5" s="17">
        <v>3.0288900000000001</v>
      </c>
      <c r="F5" s="17">
        <v>4.4388700000000003E-2</v>
      </c>
      <c r="H5" s="17">
        <v>3.0474399999999999</v>
      </c>
      <c r="I5" s="17">
        <v>4.6005200000000003E-2</v>
      </c>
      <c r="K5" s="17">
        <v>3.0453100000000002</v>
      </c>
      <c r="L5" s="17">
        <v>4.5749400000000003E-2</v>
      </c>
      <c r="N5" s="17">
        <v>0.84745099999999995</v>
      </c>
      <c r="O5" s="17">
        <v>4.97463E-2</v>
      </c>
      <c r="Q5" s="17">
        <v>0.84987000000000001</v>
      </c>
      <c r="R5" s="17">
        <v>4.9775199999999999E-2</v>
      </c>
      <c r="T5" s="17">
        <v>0.84999899999999995</v>
      </c>
      <c r="U5" s="17">
        <v>4.9770700000000001E-2</v>
      </c>
    </row>
    <row r="6" spans="2:21">
      <c r="B6" s="17">
        <v>5.3662300000000003E-2</v>
      </c>
      <c r="C6" s="17">
        <v>9.8508700000000005E-2</v>
      </c>
      <c r="E6" s="17">
        <v>3.00501</v>
      </c>
      <c r="F6" s="17">
        <v>8.7674699999999994E-2</v>
      </c>
      <c r="H6" s="17">
        <v>3.0201799999999999</v>
      </c>
      <c r="I6" s="17">
        <v>9.1009099999999996E-2</v>
      </c>
      <c r="K6" s="17">
        <v>3.02258</v>
      </c>
      <c r="L6" s="17">
        <v>9.0597300000000006E-2</v>
      </c>
      <c r="N6" s="17">
        <v>0.82785699999999995</v>
      </c>
      <c r="O6" s="17">
        <v>9.9074099999999998E-2</v>
      </c>
      <c r="Q6" s="17">
        <v>0.83050800000000002</v>
      </c>
      <c r="R6" s="17">
        <v>9.9112099999999995E-2</v>
      </c>
      <c r="T6" s="17">
        <v>0.83021999999999996</v>
      </c>
      <c r="U6" s="17">
        <v>9.9093700000000007E-2</v>
      </c>
    </row>
    <row r="7" spans="2:21">
      <c r="B7" s="17">
        <v>9.4045900000000002E-2</v>
      </c>
      <c r="C7" s="17">
        <v>0.170433</v>
      </c>
      <c r="E7" s="17">
        <v>2.9690099999999999</v>
      </c>
      <c r="F7" s="17">
        <v>0.15032100000000001</v>
      </c>
      <c r="H7" s="17">
        <v>2.97906</v>
      </c>
      <c r="I7" s="17">
        <v>0.156445</v>
      </c>
      <c r="K7" s="17">
        <v>2.9883299999999999</v>
      </c>
      <c r="L7" s="17">
        <v>0.15602199999999999</v>
      </c>
      <c r="N7" s="17">
        <v>0.79845200000000005</v>
      </c>
      <c r="O7" s="17">
        <v>0.17222499999999999</v>
      </c>
      <c r="Q7" s="17">
        <v>0.80145299999999997</v>
      </c>
      <c r="R7" s="17">
        <v>0.172288</v>
      </c>
      <c r="T7" s="17">
        <v>0.800539</v>
      </c>
      <c r="U7" s="17">
        <v>0.172231</v>
      </c>
    </row>
    <row r="8" spans="2:21">
      <c r="B8" s="17">
        <v>0.15486800000000001</v>
      </c>
      <c r="C8" s="17">
        <v>0.27516499999999999</v>
      </c>
      <c r="E8" s="17">
        <v>2.9145300000000001</v>
      </c>
      <c r="F8" s="17">
        <v>0.23897699999999999</v>
      </c>
      <c r="H8" s="17">
        <v>2.9168599999999998</v>
      </c>
      <c r="I8" s="17">
        <v>0.249725</v>
      </c>
      <c r="K8" s="17">
        <v>2.9365299999999999</v>
      </c>
      <c r="L8" s="17">
        <v>0.24917300000000001</v>
      </c>
      <c r="N8" s="17">
        <v>0.75431099999999995</v>
      </c>
      <c r="O8" s="17">
        <v>0.280059</v>
      </c>
      <c r="Q8" s="17">
        <v>0.75783900000000004</v>
      </c>
      <c r="R8" s="17">
        <v>0.28018599999999999</v>
      </c>
      <c r="T8" s="17">
        <v>0.75598600000000005</v>
      </c>
      <c r="U8" s="17">
        <v>0.280032</v>
      </c>
    </row>
    <row r="9" spans="2:21">
      <c r="B9" s="17">
        <v>0.24673800000000001</v>
      </c>
      <c r="C9" s="17">
        <v>0.42511900000000002</v>
      </c>
      <c r="E9" s="17">
        <v>2.8314499999999998</v>
      </c>
      <c r="F9" s="17">
        <v>0.35861799999999999</v>
      </c>
      <c r="H9" s="17">
        <v>2.8220800000000001</v>
      </c>
      <c r="I9" s="17">
        <v>0.37680599999999997</v>
      </c>
      <c r="K9" s="17">
        <v>2.8578700000000001</v>
      </c>
      <c r="L9" s="17">
        <v>0.377693</v>
      </c>
      <c r="N9" s="17">
        <v>0.68800799999999995</v>
      </c>
      <c r="O9" s="17">
        <v>0.43754799999999999</v>
      </c>
      <c r="Q9" s="17">
        <v>0.69233900000000004</v>
      </c>
      <c r="R9" s="17">
        <v>0.43783</v>
      </c>
      <c r="T9" s="17">
        <v>0.68907600000000002</v>
      </c>
      <c r="U9" s="17">
        <v>0.437442</v>
      </c>
    </row>
    <row r="10" spans="2:21">
      <c r="B10" s="17">
        <v>0.38633800000000001</v>
      </c>
      <c r="C10" s="17">
        <v>0.63377899999999998</v>
      </c>
      <c r="E10" s="17">
        <v>2.7038000000000002</v>
      </c>
      <c r="F10" s="17">
        <v>0.509992</v>
      </c>
      <c r="H10" s="17">
        <v>2.6762100000000002</v>
      </c>
      <c r="I10" s="17">
        <v>0.53801399999999999</v>
      </c>
      <c r="K10" s="17">
        <v>2.7374100000000001</v>
      </c>
      <c r="L10" s="17">
        <v>0.54627099999999995</v>
      </c>
      <c r="N10" s="17">
        <v>0.58830199999999999</v>
      </c>
      <c r="O10" s="17">
        <v>0.66415999999999997</v>
      </c>
      <c r="Q10" s="17">
        <v>0.593862</v>
      </c>
      <c r="R10" s="17">
        <v>0.66481299999999999</v>
      </c>
      <c r="T10" s="17">
        <v>0.58847700000000003</v>
      </c>
      <c r="U10" s="17">
        <v>0.66387600000000002</v>
      </c>
    </row>
    <row r="11" spans="2:21">
      <c r="B11" s="17">
        <v>0.60144600000000004</v>
      </c>
      <c r="C11" s="17">
        <v>0.90902700000000003</v>
      </c>
      <c r="E11" s="17">
        <v>2.5055299999999998</v>
      </c>
      <c r="F11" s="17">
        <v>0.67577200000000004</v>
      </c>
      <c r="H11" s="17">
        <v>2.44767</v>
      </c>
      <c r="I11" s="17">
        <v>0.713592</v>
      </c>
      <c r="K11" s="17">
        <v>2.5500099999999999</v>
      </c>
      <c r="L11" s="17">
        <v>0.74095</v>
      </c>
      <c r="N11" s="17">
        <v>0.43786700000000001</v>
      </c>
      <c r="O11" s="17">
        <v>0.98203499999999999</v>
      </c>
      <c r="Q11" s="17">
        <v>0.445413</v>
      </c>
      <c r="R11" s="17">
        <v>0.98378600000000005</v>
      </c>
      <c r="T11" s="17">
        <v>0.43681500000000001</v>
      </c>
      <c r="U11" s="17">
        <v>0.98156900000000002</v>
      </c>
    </row>
    <row r="12" spans="2:21">
      <c r="B12" s="17">
        <v>0.98661600000000005</v>
      </c>
      <c r="C12" s="17">
        <v>1.18544</v>
      </c>
      <c r="E12" s="17">
        <v>2.18988</v>
      </c>
      <c r="F12" s="17">
        <v>0.795705</v>
      </c>
      <c r="H12" s="17">
        <v>2.07985</v>
      </c>
      <c r="I12" s="17">
        <v>0.83458600000000005</v>
      </c>
      <c r="K12" s="17">
        <v>2.2553000000000001</v>
      </c>
      <c r="L12" s="17">
        <v>0.91123799999999999</v>
      </c>
      <c r="N12" s="17">
        <v>0.208597</v>
      </c>
      <c r="O12" s="17">
        <v>1.40751</v>
      </c>
      <c r="Q12" s="17">
        <v>0.21976200000000001</v>
      </c>
      <c r="R12" s="17">
        <v>1.41266</v>
      </c>
      <c r="T12" s="17">
        <v>0.20615600000000001</v>
      </c>
      <c r="U12" s="17">
        <v>1.40741</v>
      </c>
    </row>
    <row r="13" spans="2:21">
      <c r="B13" s="17">
        <v>1.7804199999999999</v>
      </c>
      <c r="C13" s="17">
        <v>1.0112300000000001</v>
      </c>
      <c r="E13" s="17">
        <v>1.9801800000000001</v>
      </c>
      <c r="F13" s="17">
        <v>0.79620299999999999</v>
      </c>
      <c r="H13" s="17">
        <v>1.83388</v>
      </c>
      <c r="I13" s="17">
        <v>0.82902299999999995</v>
      </c>
      <c r="K13" s="17">
        <v>1.7113100000000001</v>
      </c>
      <c r="L13" s="17">
        <v>0.90673400000000004</v>
      </c>
      <c r="N13" s="17">
        <v>7.6091099999999995E-2</v>
      </c>
      <c r="O13" s="17">
        <v>1.6179600000000001</v>
      </c>
      <c r="Q13" s="17">
        <v>8.9570800000000006E-2</v>
      </c>
      <c r="R13" s="17">
        <v>1.6253500000000001</v>
      </c>
      <c r="T13" s="17">
        <v>7.3228799999999997E-2</v>
      </c>
      <c r="U13" s="17">
        <v>1.6186199999999999</v>
      </c>
    </row>
    <row r="14" spans="2:21">
      <c r="B14" s="17">
        <v>2.87798</v>
      </c>
      <c r="C14" s="17">
        <v>0.77817199999999997</v>
      </c>
      <c r="E14" s="17">
        <v>1.6535599999999999</v>
      </c>
      <c r="F14" s="17">
        <v>0.74839299999999997</v>
      </c>
      <c r="H14" s="17">
        <v>1.4576499999999999</v>
      </c>
      <c r="I14" s="17">
        <v>0.77101200000000003</v>
      </c>
      <c r="K14" s="17">
        <v>1.15483</v>
      </c>
      <c r="L14" s="17">
        <v>0.79687200000000002</v>
      </c>
      <c r="N14" s="17">
        <v>-5.4703599999999998E-4</v>
      </c>
      <c r="O14" s="17">
        <v>1.7261200000000001</v>
      </c>
      <c r="Q14" s="17">
        <v>1.45805E-2</v>
      </c>
      <c r="R14" s="17">
        <v>1.7351700000000001</v>
      </c>
      <c r="T14" s="17">
        <v>-3.32307E-3</v>
      </c>
      <c r="U14" s="17">
        <v>1.7276400000000001</v>
      </c>
    </row>
    <row r="15" spans="2:21">
      <c r="B15" s="17">
        <v>4.2573100000000004</v>
      </c>
      <c r="C15" s="17">
        <v>0.60801300000000003</v>
      </c>
      <c r="E15" s="17">
        <v>1.16343</v>
      </c>
      <c r="F15" s="17">
        <v>0.659049</v>
      </c>
      <c r="H15" s="17">
        <v>0.89940500000000001</v>
      </c>
      <c r="I15" s="17">
        <v>0.673705</v>
      </c>
      <c r="K15" s="17">
        <v>0.61364099999999999</v>
      </c>
      <c r="L15" s="17">
        <v>0.69766399999999995</v>
      </c>
      <c r="N15" s="17">
        <v>-9.8319500000000004E-2</v>
      </c>
      <c r="O15" s="17">
        <v>1.72387</v>
      </c>
      <c r="Q15" s="17">
        <v>-2.8494499999999999E-2</v>
      </c>
      <c r="R15" s="17">
        <v>1.79349</v>
      </c>
      <c r="T15" s="17">
        <v>-4.7465500000000001E-2</v>
      </c>
      <c r="U15" s="17">
        <v>1.78521</v>
      </c>
    </row>
    <row r="16" spans="2:21">
      <c r="B16" s="17">
        <v>6.0690200000000001</v>
      </c>
      <c r="C16" s="17">
        <v>0.51045399999999996</v>
      </c>
      <c r="E16" s="17">
        <v>0.45066299999999998</v>
      </c>
      <c r="F16" s="17">
        <v>0.551875</v>
      </c>
      <c r="H16" s="17">
        <v>0.36372399999999999</v>
      </c>
      <c r="I16" s="17">
        <v>0.59458</v>
      </c>
      <c r="K16" s="17">
        <v>-0.14598800000000001</v>
      </c>
      <c r="L16" s="17">
        <v>0.59840499999999996</v>
      </c>
      <c r="N16" s="17">
        <v>-0.207174</v>
      </c>
      <c r="O16" s="17">
        <v>1.66933</v>
      </c>
      <c r="Q16" s="17">
        <v>-6.3638799999999995E-2</v>
      </c>
      <c r="R16" s="17">
        <v>1.81192</v>
      </c>
      <c r="T16" s="17">
        <v>-8.5881799999999994E-2</v>
      </c>
      <c r="U16" s="17">
        <v>1.79956</v>
      </c>
    </row>
    <row r="17" spans="2:21">
      <c r="B17" s="17">
        <v>6.4804300000000001</v>
      </c>
      <c r="C17" s="17">
        <v>0.50197000000000003</v>
      </c>
      <c r="E17" s="17">
        <v>7.1501599999999998E-2</v>
      </c>
      <c r="F17" s="17">
        <v>0.51065799999999995</v>
      </c>
      <c r="H17" s="17">
        <v>-0.142681</v>
      </c>
      <c r="I17" s="17">
        <v>0.53920100000000004</v>
      </c>
      <c r="K17" s="17">
        <v>-0.54769100000000004</v>
      </c>
      <c r="L17" s="17">
        <v>0.56414299999999995</v>
      </c>
      <c r="N17" s="17">
        <v>-0.37013099999999999</v>
      </c>
      <c r="O17" s="17">
        <v>1.57725</v>
      </c>
      <c r="Q17" s="17">
        <v>-0.12515999999999999</v>
      </c>
      <c r="R17" s="17">
        <v>1.7874099999999999</v>
      </c>
      <c r="T17" s="17">
        <v>-0.14873800000000001</v>
      </c>
      <c r="U17" s="17">
        <v>1.7715799999999999</v>
      </c>
    </row>
    <row r="18" spans="2:21">
      <c r="B18" s="17">
        <v>6.8756300000000001</v>
      </c>
      <c r="C18" s="17">
        <v>0.49662400000000001</v>
      </c>
      <c r="E18" s="17">
        <v>-0.47087499999999999</v>
      </c>
      <c r="F18" s="17">
        <v>0.46987800000000002</v>
      </c>
      <c r="H18" s="17">
        <v>-0.41416700000000001</v>
      </c>
      <c r="I18" s="17">
        <v>0.51690599999999998</v>
      </c>
      <c r="K18" s="17">
        <v>-0.94762900000000005</v>
      </c>
      <c r="L18" s="17">
        <v>0.538107</v>
      </c>
      <c r="N18" s="17">
        <v>-0.61221000000000003</v>
      </c>
      <c r="O18" s="17">
        <v>1.43015</v>
      </c>
      <c r="Q18" s="17">
        <v>-0.21601500000000001</v>
      </c>
      <c r="R18" s="17">
        <v>1.7408999999999999</v>
      </c>
      <c r="T18" s="17">
        <v>-0.24152000000000001</v>
      </c>
      <c r="U18" s="17">
        <v>1.7233099999999999</v>
      </c>
    </row>
    <row r="19" spans="2:21">
      <c r="B19" s="17">
        <v>7.4429699999999999</v>
      </c>
      <c r="C19" s="17">
        <v>0.49279000000000001</v>
      </c>
      <c r="E19" s="17">
        <v>-1.2663500000000001</v>
      </c>
      <c r="F19" s="17">
        <v>0.431757</v>
      </c>
      <c r="H19" s="17">
        <v>-0.81573799999999996</v>
      </c>
      <c r="I19" s="17">
        <v>0.49022199999999999</v>
      </c>
      <c r="K19" s="17">
        <v>-1.34226</v>
      </c>
      <c r="L19" s="17">
        <v>0.51962600000000003</v>
      </c>
      <c r="N19" s="17">
        <v>-0.96715600000000002</v>
      </c>
      <c r="O19" s="17">
        <v>1.2554099999999999</v>
      </c>
      <c r="Q19" s="17">
        <v>-0.35153699999999999</v>
      </c>
      <c r="R19" s="17">
        <v>1.6607700000000001</v>
      </c>
      <c r="T19" s="17">
        <v>-0.37965599999999999</v>
      </c>
      <c r="U19" s="17">
        <v>1.6400600000000001</v>
      </c>
    </row>
    <row r="20" spans="2:21">
      <c r="B20" s="17">
        <v>8.2493499999999997</v>
      </c>
      <c r="C20" s="17">
        <v>0.490205</v>
      </c>
      <c r="E20" s="17">
        <v>-2.3830300000000002</v>
      </c>
      <c r="F20" s="17">
        <v>0.41199000000000002</v>
      </c>
      <c r="H20" s="17">
        <v>-1.4127400000000001</v>
      </c>
      <c r="I20" s="17">
        <v>0.46266400000000002</v>
      </c>
      <c r="K20" s="17">
        <v>-1.91649</v>
      </c>
      <c r="L20" s="17">
        <v>0.50407999999999997</v>
      </c>
      <c r="N20" s="17">
        <v>-1.48214</v>
      </c>
      <c r="O20" s="17">
        <v>1.0696600000000001</v>
      </c>
      <c r="Q20" s="17">
        <v>-0.55436300000000005</v>
      </c>
      <c r="R20" s="17">
        <v>1.5351900000000001</v>
      </c>
      <c r="T20" s="17">
        <v>-0.58701599999999998</v>
      </c>
      <c r="U20" s="17">
        <v>1.51488</v>
      </c>
    </row>
    <row r="21" spans="2:21">
      <c r="B21" s="17">
        <v>9.0184999999999995</v>
      </c>
      <c r="C21" s="17">
        <v>0.48766599999999999</v>
      </c>
      <c r="E21" s="17">
        <v>-2.6474099999999998</v>
      </c>
      <c r="F21" s="17">
        <v>0.411578</v>
      </c>
      <c r="H21" s="17">
        <v>-2.26573</v>
      </c>
      <c r="I21" s="17">
        <v>0.44455600000000001</v>
      </c>
      <c r="K21" s="17">
        <v>-2.7248800000000002</v>
      </c>
      <c r="L21" s="17">
        <v>0.492788</v>
      </c>
      <c r="N21" s="17">
        <v>-2.1887500000000002</v>
      </c>
      <c r="O21" s="17">
        <v>0.89538099999999998</v>
      </c>
      <c r="Q21" s="17">
        <v>-0.85353199999999996</v>
      </c>
      <c r="R21" s="17">
        <v>1.3648899999999999</v>
      </c>
      <c r="T21" s="17">
        <v>-0.89220699999999997</v>
      </c>
      <c r="U21" s="17">
        <v>1.34385</v>
      </c>
    </row>
    <row r="22" spans="2:21">
      <c r="B22" s="17">
        <v>9.7533899999999996</v>
      </c>
      <c r="C22" s="17">
        <v>0.48527700000000001</v>
      </c>
      <c r="E22" s="17">
        <v>-2.9051499999999999</v>
      </c>
      <c r="F22" s="17">
        <v>0.41268700000000003</v>
      </c>
      <c r="H22" s="17">
        <v>-2.3094600000000001</v>
      </c>
      <c r="I22" s="17">
        <v>0.44382700000000003</v>
      </c>
      <c r="K22" s="17">
        <v>-3.84056</v>
      </c>
      <c r="L22" s="17">
        <v>0.49042400000000003</v>
      </c>
      <c r="N22" s="17">
        <v>-3.1528299999999998</v>
      </c>
      <c r="O22" s="17">
        <v>0.75829800000000003</v>
      </c>
      <c r="Q22" s="17">
        <v>-1.29044</v>
      </c>
      <c r="R22" s="17">
        <v>1.1799900000000001</v>
      </c>
      <c r="T22" s="17">
        <v>-1.3376699999999999</v>
      </c>
      <c r="U22" s="17">
        <v>1.1600200000000001</v>
      </c>
    </row>
    <row r="23" spans="2:21">
      <c r="B23" s="17">
        <v>9.9295299999999997</v>
      </c>
      <c r="C23" s="17">
        <v>0.48658200000000001</v>
      </c>
      <c r="E23" s="17">
        <v>-3.2815400000000001</v>
      </c>
      <c r="F23" s="17">
        <v>0.41405900000000001</v>
      </c>
      <c r="H23" s="17">
        <v>-2.3745699999999998</v>
      </c>
      <c r="I23" s="17">
        <v>0.44285200000000002</v>
      </c>
      <c r="K23" s="17">
        <v>-5.36625</v>
      </c>
      <c r="L23" s="17">
        <v>0.48770999999999998</v>
      </c>
      <c r="N23" s="17">
        <v>-4.0635000000000003</v>
      </c>
      <c r="O23" s="17">
        <v>0.68230500000000005</v>
      </c>
      <c r="Q23" s="17">
        <v>-1.9039999999999999</v>
      </c>
      <c r="R23" s="17">
        <v>0.99723499999999998</v>
      </c>
      <c r="T23" s="17">
        <v>-1.96153</v>
      </c>
      <c r="U23" s="17">
        <v>0.98040499999999997</v>
      </c>
    </row>
    <row r="24" spans="2:21">
      <c r="B24" s="17">
        <v>10.194000000000001</v>
      </c>
      <c r="C24" s="17">
        <v>0.486761</v>
      </c>
      <c r="E24" s="17">
        <v>-3.8224900000000002</v>
      </c>
      <c r="F24" s="17">
        <v>0.414522</v>
      </c>
      <c r="H24" s="17">
        <v>-2.4713500000000002</v>
      </c>
      <c r="I24" s="17">
        <v>0.441635</v>
      </c>
      <c r="K24" s="17">
        <v>-6.8002799999999999</v>
      </c>
      <c r="L24" s="17">
        <v>0.47667399999999999</v>
      </c>
      <c r="N24" s="17">
        <v>-4.90442</v>
      </c>
      <c r="O24" s="17">
        <v>0.63786600000000004</v>
      </c>
      <c r="Q24" s="17">
        <v>-2.7332999999999998</v>
      </c>
      <c r="R24" s="17">
        <v>0.83960199999999996</v>
      </c>
      <c r="T24" s="17">
        <v>-2.8033299999999999</v>
      </c>
      <c r="U24" s="17">
        <v>0.82572400000000001</v>
      </c>
    </row>
    <row r="25" spans="2:21">
      <c r="B25" s="17">
        <v>10.452</v>
      </c>
      <c r="C25" s="17">
        <v>0.48779800000000001</v>
      </c>
      <c r="E25" s="17">
        <v>-4.5957100000000004</v>
      </c>
      <c r="F25" s="17">
        <v>0.41582400000000003</v>
      </c>
      <c r="H25" s="17">
        <v>-2.6151800000000001</v>
      </c>
      <c r="I25" s="17">
        <v>0.44004799999999999</v>
      </c>
      <c r="K25" s="17">
        <v>-8.1723499999999998</v>
      </c>
      <c r="L25" s="17">
        <v>0.46727400000000002</v>
      </c>
      <c r="N25" s="17">
        <v>-6.0516199999999998</v>
      </c>
      <c r="O25" s="17">
        <v>0.59386700000000003</v>
      </c>
      <c r="Q25" s="17">
        <v>-3.8936899999999999</v>
      </c>
      <c r="R25" s="17">
        <v>0.71588499999999999</v>
      </c>
      <c r="T25" s="17">
        <v>-3.2570000000000001</v>
      </c>
      <c r="U25" s="17">
        <v>0.77285999999999999</v>
      </c>
    </row>
    <row r="26" spans="2:21">
      <c r="B26" s="17">
        <v>10.703900000000001</v>
      </c>
      <c r="C26" s="17">
        <v>0.49520599999999998</v>
      </c>
      <c r="E26" s="17">
        <v>-5.7044600000000001</v>
      </c>
      <c r="F26" s="17">
        <v>0.41115299999999999</v>
      </c>
      <c r="H26" s="17">
        <v>-2.8275199999999998</v>
      </c>
      <c r="I26" s="17">
        <v>0.43892500000000001</v>
      </c>
      <c r="K26" s="17">
        <v>-9.4953099999999999</v>
      </c>
      <c r="L26" s="17">
        <v>0.456291</v>
      </c>
      <c r="N26" s="17">
        <v>-7.6047900000000004</v>
      </c>
      <c r="O26" s="17">
        <v>0.54978400000000005</v>
      </c>
      <c r="Q26" s="17">
        <v>-4.9513999999999996</v>
      </c>
      <c r="R26" s="17">
        <v>0.65362699999999996</v>
      </c>
      <c r="T26" s="17">
        <v>-3.9140999999999999</v>
      </c>
      <c r="U26" s="17">
        <v>0.71349200000000002</v>
      </c>
    </row>
    <row r="27" spans="2:21">
      <c r="B27" s="17">
        <v>11.081899999999999</v>
      </c>
      <c r="C27" s="17">
        <v>0.51341099999999995</v>
      </c>
      <c r="E27" s="17">
        <v>-7.2924800000000003</v>
      </c>
      <c r="F27" s="17">
        <v>0.39851900000000001</v>
      </c>
      <c r="H27" s="17">
        <v>-3.1389900000000002</v>
      </c>
      <c r="I27" s="17">
        <v>0.43817699999999998</v>
      </c>
      <c r="K27" s="17">
        <v>-10.7746</v>
      </c>
      <c r="L27" s="17">
        <v>0.44195299999999998</v>
      </c>
      <c r="N27" s="17">
        <v>-9.0401299999999996</v>
      </c>
      <c r="O27" s="17">
        <v>0.52103900000000003</v>
      </c>
      <c r="Q27" s="17">
        <v>-5.9155100000000003</v>
      </c>
      <c r="R27" s="17">
        <v>0.61613399999999996</v>
      </c>
      <c r="T27" s="17">
        <v>-4.8314399999999997</v>
      </c>
      <c r="U27" s="17">
        <v>0.65796299999999996</v>
      </c>
    </row>
    <row r="28" spans="2:21">
      <c r="B28" s="17">
        <v>11.457700000000001</v>
      </c>
      <c r="C28" s="17">
        <v>0.53354599999999996</v>
      </c>
      <c r="E28" s="17">
        <v>-8.8091200000000001</v>
      </c>
      <c r="F28" s="17">
        <v>0.38729599999999997</v>
      </c>
      <c r="H28" s="17">
        <v>-3.59138</v>
      </c>
      <c r="I28" s="17">
        <v>0.43824999999999997</v>
      </c>
      <c r="K28" s="17">
        <v>-12.017300000000001</v>
      </c>
      <c r="L28" s="17">
        <v>0.41675099999999998</v>
      </c>
      <c r="N28" s="17">
        <v>-10.387600000000001</v>
      </c>
      <c r="O28" s="17">
        <v>0.50823799999999997</v>
      </c>
      <c r="Q28" s="17">
        <v>-7.2350700000000003</v>
      </c>
      <c r="R28" s="17">
        <v>0.57765999999999995</v>
      </c>
      <c r="T28" s="17">
        <v>-6.0748499999999996</v>
      </c>
      <c r="U28" s="17">
        <v>0.60641699999999998</v>
      </c>
    </row>
    <row r="29" spans="2:21">
      <c r="B29" s="17">
        <v>11.8207</v>
      </c>
      <c r="C29" s="17">
        <v>0.57259499999999997</v>
      </c>
      <c r="E29" s="17">
        <v>-10.2666</v>
      </c>
      <c r="F29" s="17">
        <v>0.37290600000000002</v>
      </c>
      <c r="H29" s="17">
        <v>-4.2391500000000004</v>
      </c>
      <c r="I29" s="17">
        <v>0.43697200000000003</v>
      </c>
      <c r="K29" s="17">
        <v>-12.320499999999999</v>
      </c>
      <c r="L29" s="17">
        <v>0.41148499999999999</v>
      </c>
      <c r="N29" s="17">
        <v>-10.711600000000001</v>
      </c>
      <c r="O29" s="17">
        <v>0.51085000000000003</v>
      </c>
      <c r="Q29" s="17">
        <v>-8.4591100000000008</v>
      </c>
      <c r="R29" s="17">
        <v>0.55312799999999995</v>
      </c>
      <c r="T29" s="17">
        <v>-7.7449700000000004</v>
      </c>
      <c r="U29" s="17">
        <v>0.55836300000000005</v>
      </c>
    </row>
    <row r="30" spans="2:21">
      <c r="B30" s="17">
        <v>12.3413</v>
      </c>
      <c r="C30" s="17">
        <v>0.68418699999999999</v>
      </c>
      <c r="E30" s="17">
        <v>-11.676</v>
      </c>
      <c r="F30" s="17">
        <v>0.34929300000000002</v>
      </c>
      <c r="H30" s="17">
        <v>-5.1611200000000004</v>
      </c>
      <c r="I30" s="17">
        <v>0.43695000000000001</v>
      </c>
      <c r="K30" s="17">
        <v>-12.6206</v>
      </c>
      <c r="L30" s="17">
        <v>0.40744399999999997</v>
      </c>
      <c r="N30" s="17">
        <v>-11.0305</v>
      </c>
      <c r="O30" s="17">
        <v>0.51311799999999996</v>
      </c>
      <c r="Q30" s="17">
        <v>-9.6167899999999999</v>
      </c>
      <c r="R30" s="17">
        <v>0.53794699999999995</v>
      </c>
      <c r="T30" s="17">
        <v>-9.2774699999999992</v>
      </c>
      <c r="U30" s="17">
        <v>0.53218100000000002</v>
      </c>
    </row>
    <row r="31" spans="2:21">
      <c r="B31" s="17">
        <v>13.0831</v>
      </c>
      <c r="C31" s="17">
        <v>1.01712</v>
      </c>
      <c r="E31" s="17">
        <v>-13.027100000000001</v>
      </c>
      <c r="F31" s="17">
        <v>0.33083299999999999</v>
      </c>
      <c r="H31" s="17">
        <v>-6.0442499999999999</v>
      </c>
      <c r="I31" s="17">
        <v>0.43470399999999998</v>
      </c>
      <c r="K31" s="17">
        <v>-13.0646</v>
      </c>
      <c r="L31" s="17">
        <v>0.404609</v>
      </c>
      <c r="N31" s="17">
        <v>-11.3446</v>
      </c>
      <c r="O31" s="17">
        <v>0.51365099999999997</v>
      </c>
      <c r="Q31" s="17">
        <v>-10.718400000000001</v>
      </c>
      <c r="R31" s="17">
        <v>0.53006600000000004</v>
      </c>
      <c r="T31" s="17">
        <v>-9.6446500000000004</v>
      </c>
      <c r="U31" s="17">
        <v>0.53208800000000001</v>
      </c>
    </row>
    <row r="32" spans="2:21">
      <c r="B32" s="17">
        <v>13.2736</v>
      </c>
      <c r="C32" s="17">
        <v>1.10822</v>
      </c>
      <c r="E32" s="17">
        <v>-13.356</v>
      </c>
      <c r="F32" s="17">
        <v>0.33366200000000001</v>
      </c>
      <c r="H32" s="17">
        <v>-6.9041899999999998</v>
      </c>
      <c r="I32" s="17">
        <v>0.42863800000000002</v>
      </c>
      <c r="K32" s="17">
        <v>-13.504200000000001</v>
      </c>
      <c r="L32" s="17">
        <v>0.40695799999999999</v>
      </c>
      <c r="N32" s="17">
        <v>-11.803800000000001</v>
      </c>
      <c r="O32" s="17">
        <v>0.52590099999999995</v>
      </c>
      <c r="Q32" s="17">
        <v>-11.314399999999999</v>
      </c>
      <c r="R32" s="17">
        <v>0.52984200000000004</v>
      </c>
      <c r="T32" s="17">
        <v>-10.0059</v>
      </c>
      <c r="U32" s="17">
        <v>0.53263700000000003</v>
      </c>
    </row>
    <row r="33" spans="2:21">
      <c r="B33" s="17">
        <v>13.4612</v>
      </c>
      <c r="C33" s="17">
        <v>1.2120899999999999</v>
      </c>
      <c r="E33" s="17">
        <v>-13.6861</v>
      </c>
      <c r="F33" s="17">
        <v>0.33613900000000002</v>
      </c>
      <c r="H33" s="17">
        <v>-8.1531099999999999</v>
      </c>
      <c r="I33" s="17">
        <v>0.41954200000000003</v>
      </c>
      <c r="K33" s="17">
        <v>-13.942500000000001</v>
      </c>
      <c r="L33" s="17">
        <v>0.41026800000000002</v>
      </c>
      <c r="N33" s="17">
        <v>-12.485200000000001</v>
      </c>
      <c r="O33" s="17">
        <v>0.56393400000000005</v>
      </c>
      <c r="Q33" s="17">
        <v>-12.171099999999999</v>
      </c>
      <c r="R33" s="17">
        <v>0.55937000000000003</v>
      </c>
      <c r="T33" s="17">
        <v>-10.5373</v>
      </c>
      <c r="U33" s="17">
        <v>0.53156800000000004</v>
      </c>
    </row>
    <row r="34" spans="2:21">
      <c r="B34" s="17">
        <v>13.7393</v>
      </c>
      <c r="C34" s="17">
        <v>1.39588</v>
      </c>
      <c r="E34" s="17">
        <v>-14.1745</v>
      </c>
      <c r="F34" s="17">
        <v>0.34230500000000003</v>
      </c>
      <c r="H34" s="17">
        <v>-9.3612699999999993</v>
      </c>
      <c r="I34" s="17">
        <v>0.41010000000000002</v>
      </c>
      <c r="K34" s="17">
        <v>-14.587199999999999</v>
      </c>
      <c r="L34" s="17">
        <v>0.42710100000000001</v>
      </c>
      <c r="N34" s="17">
        <v>-13.444599999999999</v>
      </c>
      <c r="O34" s="17">
        <v>0.74170599999999998</v>
      </c>
      <c r="Q34" s="17">
        <v>-12.216100000000001</v>
      </c>
      <c r="R34" s="17">
        <v>0.56312600000000002</v>
      </c>
      <c r="T34" s="17">
        <v>-11.3101</v>
      </c>
      <c r="U34" s="17">
        <v>0.52983499999999994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9FE6-3666-41B6-8041-0B3D14EC6EFD}">
  <dimension ref="A1:C9"/>
  <sheetViews>
    <sheetView workbookViewId="0">
      <selection activeCell="C4" sqref="C4:C9"/>
    </sheetView>
  </sheetViews>
  <sheetFormatPr defaultRowHeight="14.5"/>
  <sheetData>
    <row r="1" spans="1:3">
      <c r="A1" t="s">
        <v>121</v>
      </c>
    </row>
    <row r="2" spans="1:3">
      <c r="C2" t="s">
        <v>122</v>
      </c>
    </row>
    <row r="3" spans="1:3">
      <c r="B3" t="s">
        <v>101</v>
      </c>
      <c r="C3" t="s">
        <v>123</v>
      </c>
    </row>
    <row r="4" spans="1:3">
      <c r="B4">
        <v>2.1040000000000001</v>
      </c>
      <c r="C4">
        <v>0.29931398928404862</v>
      </c>
    </row>
    <row r="5" spans="1:3">
      <c r="B5">
        <v>1.9590000000000001</v>
      </c>
      <c r="C5">
        <v>0.29908761082050511</v>
      </c>
    </row>
    <row r="6" spans="1:3">
      <c r="B6">
        <v>1.4419999999999999</v>
      </c>
      <c r="C6">
        <v>0.29692623530976608</v>
      </c>
    </row>
    <row r="7" spans="1:3">
      <c r="B7">
        <v>1.2709999999999999</v>
      </c>
      <c r="C7">
        <v>0.29496093930159384</v>
      </c>
    </row>
    <row r="8" spans="1:3">
      <c r="B8">
        <v>1.026</v>
      </c>
      <c r="C8">
        <v>0.28849380543214753</v>
      </c>
    </row>
    <row r="9" spans="1:3">
      <c r="B9">
        <v>0.88300000000000001</v>
      </c>
      <c r="C9">
        <v>0.28002276497696649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0EF3-BDCD-4638-AB3C-B8D95B6FF3FB}">
  <dimension ref="B2:L34"/>
  <sheetViews>
    <sheetView workbookViewId="0">
      <selection activeCell="B4" sqref="B4:K34"/>
    </sheetView>
  </sheetViews>
  <sheetFormatPr defaultRowHeight="14.5"/>
  <cols>
    <col min="1" max="16384" width="8.7265625" style="17"/>
  </cols>
  <sheetData>
    <row r="2" spans="2:12">
      <c r="B2" s="158" t="s">
        <v>106</v>
      </c>
      <c r="C2" s="158"/>
      <c r="F2" s="158" t="s">
        <v>107</v>
      </c>
      <c r="G2" s="158"/>
      <c r="J2" s="158" t="s">
        <v>108</v>
      </c>
      <c r="K2" s="158"/>
    </row>
    <row r="3" spans="2:12">
      <c r="B3" s="17" t="s">
        <v>102</v>
      </c>
      <c r="C3" s="17" t="s">
        <v>103</v>
      </c>
      <c r="F3" s="17" t="s">
        <v>102</v>
      </c>
      <c r="G3" s="17" t="s">
        <v>103</v>
      </c>
      <c r="J3" s="17" t="s">
        <v>102</v>
      </c>
      <c r="K3" s="17" t="s">
        <v>103</v>
      </c>
    </row>
    <row r="4" spans="2:12">
      <c r="B4" s="17">
        <v>0</v>
      </c>
      <c r="C4" s="17">
        <v>0</v>
      </c>
      <c r="F4" s="17">
        <v>0</v>
      </c>
      <c r="G4" s="17">
        <v>0</v>
      </c>
      <c r="J4" s="17">
        <v>0</v>
      </c>
      <c r="K4" s="17">
        <v>0</v>
      </c>
    </row>
    <row r="5" spans="2:12">
      <c r="B5" s="17">
        <v>2.6806300000000002E-2</v>
      </c>
      <c r="C5" s="17">
        <v>4.96266E-2</v>
      </c>
      <c r="F5" s="17">
        <v>2.64958E-2</v>
      </c>
      <c r="G5" s="17">
        <v>4.2091000000000003E-2</v>
      </c>
      <c r="I5" s="17">
        <v>1</v>
      </c>
      <c r="J5" s="17">
        <v>2.64958E-2</v>
      </c>
      <c r="K5" s="17">
        <v>4.2091000000000003E-2</v>
      </c>
    </row>
    <row r="6" spans="2:12">
      <c r="B6" s="17">
        <v>5.3662300000000003E-2</v>
      </c>
      <c r="C6" s="17">
        <v>9.8508700000000005E-2</v>
      </c>
      <c r="F6" s="17">
        <v>5.3373400000000001E-2</v>
      </c>
      <c r="G6" s="17">
        <v>6.9241999999999998E-2</v>
      </c>
      <c r="I6" s="17">
        <v>2</v>
      </c>
      <c r="J6" s="17">
        <v>5.3373400000000001E-2</v>
      </c>
      <c r="K6" s="17">
        <v>6.9241999999999998E-2</v>
      </c>
    </row>
    <row r="7" spans="2:12">
      <c r="B7" s="17">
        <v>9.4045900000000002E-2</v>
      </c>
      <c r="C7" s="17">
        <v>0.170433</v>
      </c>
      <c r="F7" s="17">
        <v>9.3956100000000001E-2</v>
      </c>
      <c r="G7" s="17">
        <v>0.1087</v>
      </c>
      <c r="I7" s="17">
        <v>3</v>
      </c>
      <c r="J7" s="17">
        <v>9.3956100000000001E-2</v>
      </c>
      <c r="K7" s="17">
        <v>0.1087</v>
      </c>
    </row>
    <row r="8" spans="2:12">
      <c r="B8" s="17">
        <v>0.15486800000000001</v>
      </c>
      <c r="C8" s="17">
        <v>0.27516499999999999</v>
      </c>
      <c r="F8" s="17">
        <v>0.155168</v>
      </c>
      <c r="G8" s="17">
        <v>0.165992</v>
      </c>
      <c r="I8" s="17">
        <v>4</v>
      </c>
      <c r="J8" s="17">
        <v>0.155168</v>
      </c>
      <c r="K8" s="17">
        <v>0.165992</v>
      </c>
    </row>
    <row r="9" spans="2:12">
      <c r="B9" s="17">
        <v>0.24673800000000001</v>
      </c>
      <c r="C9" s="17">
        <v>0.42511900000000002</v>
      </c>
      <c r="F9" s="17">
        <v>0.24773400000000001</v>
      </c>
      <c r="G9" s="17">
        <v>0.24782999999999999</v>
      </c>
      <c r="I9" s="17">
        <v>5</v>
      </c>
      <c r="J9" s="17">
        <v>0.24773500000000001</v>
      </c>
      <c r="K9" s="17">
        <v>0.24782999999999999</v>
      </c>
    </row>
    <row r="10" spans="2:12">
      <c r="B10" s="21">
        <v>0.38633800000000001</v>
      </c>
      <c r="C10" s="21">
        <v>0.63377899999999998</v>
      </c>
      <c r="D10" s="21" t="s">
        <v>105</v>
      </c>
      <c r="F10" s="17">
        <v>0.388432</v>
      </c>
      <c r="G10" s="17">
        <v>0.36211399999999999</v>
      </c>
      <c r="I10" s="17">
        <v>6</v>
      </c>
      <c r="J10" s="17">
        <v>0.38843100000000003</v>
      </c>
      <c r="K10" s="17">
        <v>0.36213699999999999</v>
      </c>
    </row>
    <row r="11" spans="2:12">
      <c r="B11" s="17">
        <v>0.60144600000000004</v>
      </c>
      <c r="C11" s="17">
        <v>0.90902700000000003</v>
      </c>
      <c r="F11" s="17">
        <v>0.60537700000000005</v>
      </c>
      <c r="G11" s="17">
        <v>0.51429100000000005</v>
      </c>
      <c r="I11" s="17">
        <v>7</v>
      </c>
      <c r="J11" s="17">
        <v>0.60538199999999998</v>
      </c>
      <c r="K11" s="17">
        <v>0.51440300000000005</v>
      </c>
    </row>
    <row r="12" spans="2:12">
      <c r="B12" s="21">
        <v>0.98661600000000005</v>
      </c>
      <c r="C12" s="21">
        <v>1.18544</v>
      </c>
      <c r="D12" s="21" t="s">
        <v>104</v>
      </c>
      <c r="F12" s="17">
        <v>0.951766</v>
      </c>
      <c r="G12" s="17">
        <v>0.69210199999999999</v>
      </c>
      <c r="I12" s="17">
        <v>8</v>
      </c>
      <c r="J12" s="17">
        <v>0.951762</v>
      </c>
      <c r="K12" s="17">
        <v>0.69236600000000004</v>
      </c>
    </row>
    <row r="13" spans="2:12">
      <c r="B13" s="17">
        <v>1.7804199999999999</v>
      </c>
      <c r="C13" s="17">
        <v>1.0112300000000001</v>
      </c>
      <c r="F13" s="17">
        <v>1.62862</v>
      </c>
      <c r="G13" s="17">
        <v>0.77437500000000004</v>
      </c>
      <c r="I13" s="17">
        <v>9</v>
      </c>
      <c r="J13" s="17">
        <v>1.62669</v>
      </c>
      <c r="K13" s="17">
        <v>0.77538399999999996</v>
      </c>
    </row>
    <row r="14" spans="2:12">
      <c r="B14" s="17">
        <v>2.87798</v>
      </c>
      <c r="C14" s="17">
        <v>0.77817199999999997</v>
      </c>
      <c r="F14" s="21">
        <v>2.6856800000000001</v>
      </c>
      <c r="G14" s="21">
        <v>0.65071299999999999</v>
      </c>
      <c r="H14" s="21" t="s">
        <v>105</v>
      </c>
      <c r="I14" s="17">
        <v>10</v>
      </c>
      <c r="J14" s="21">
        <v>2.6832799999999999</v>
      </c>
      <c r="K14" s="21">
        <v>0.65209899999999998</v>
      </c>
      <c r="L14" s="21" t="s">
        <v>105</v>
      </c>
    </row>
    <row r="15" spans="2:12">
      <c r="B15" s="17">
        <v>4.2573100000000004</v>
      </c>
      <c r="C15" s="17">
        <v>0.60801300000000003</v>
      </c>
      <c r="F15" s="17">
        <v>4.1033499999999998</v>
      </c>
      <c r="G15" s="17">
        <v>0.51677700000000004</v>
      </c>
      <c r="I15" s="17">
        <v>11</v>
      </c>
      <c r="J15" s="17">
        <v>4.1009799999999998</v>
      </c>
      <c r="K15" s="17">
        <v>0.51786200000000004</v>
      </c>
    </row>
    <row r="16" spans="2:12">
      <c r="B16" s="17">
        <v>6.0690200000000001</v>
      </c>
      <c r="C16" s="17">
        <v>0.51045399999999996</v>
      </c>
      <c r="F16" s="17">
        <v>5.9393700000000003</v>
      </c>
      <c r="G16" s="17">
        <v>0.42818099999999998</v>
      </c>
      <c r="I16" s="17">
        <v>12</v>
      </c>
      <c r="J16" s="17">
        <v>5.9370599999999998</v>
      </c>
      <c r="K16" s="17">
        <v>0.42896600000000001</v>
      </c>
    </row>
    <row r="17" spans="2:12">
      <c r="B17" s="17">
        <v>6.4804300000000001</v>
      </c>
      <c r="C17" s="17">
        <v>0.50197000000000003</v>
      </c>
      <c r="F17" s="17">
        <v>6.8539899999999996</v>
      </c>
      <c r="G17" s="17">
        <v>0.41214200000000001</v>
      </c>
      <c r="I17" s="17">
        <v>13</v>
      </c>
      <c r="J17" s="17">
        <v>6.8516899999999996</v>
      </c>
      <c r="K17" s="17">
        <v>0.41281800000000002</v>
      </c>
    </row>
    <row r="18" spans="2:12">
      <c r="B18" s="17">
        <v>6.8756300000000001</v>
      </c>
      <c r="C18" s="17">
        <v>0.49662400000000001</v>
      </c>
      <c r="F18" s="17">
        <v>8.1016999999999992</v>
      </c>
      <c r="G18" s="17">
        <v>0.41108699999999998</v>
      </c>
      <c r="I18" s="17">
        <v>14</v>
      </c>
      <c r="J18" s="17">
        <v>8.0995699999999999</v>
      </c>
      <c r="K18" s="17">
        <v>0.411775</v>
      </c>
    </row>
    <row r="19" spans="2:12">
      <c r="B19" s="17">
        <v>7.4429699999999999</v>
      </c>
      <c r="C19" s="17">
        <v>0.49279000000000001</v>
      </c>
      <c r="F19" s="17">
        <v>9.7911599999999996</v>
      </c>
      <c r="G19" s="17">
        <v>0.45188099999999998</v>
      </c>
      <c r="I19" s="17">
        <v>15</v>
      </c>
      <c r="J19" s="17">
        <v>9.7892100000000006</v>
      </c>
      <c r="K19" s="17">
        <v>0.45330599999999999</v>
      </c>
    </row>
    <row r="20" spans="2:12">
      <c r="B20" s="17">
        <v>8.2493499999999997</v>
      </c>
      <c r="C20" s="17">
        <v>0.490205</v>
      </c>
      <c r="F20" s="17">
        <v>11.3249</v>
      </c>
      <c r="G20" s="17">
        <v>0.57779999999999998</v>
      </c>
      <c r="I20" s="17">
        <v>16</v>
      </c>
      <c r="J20" s="17">
        <v>11.3225</v>
      </c>
      <c r="K20" s="17">
        <v>0.58396199999999998</v>
      </c>
    </row>
    <row r="21" spans="2:12">
      <c r="B21" s="17">
        <v>9.0184999999999995</v>
      </c>
      <c r="C21" s="17">
        <v>0.48766599999999999</v>
      </c>
      <c r="F21" s="17">
        <v>11.6806</v>
      </c>
      <c r="G21" s="17">
        <v>0.65122500000000005</v>
      </c>
      <c r="I21" s="17">
        <v>17</v>
      </c>
      <c r="J21" s="17">
        <v>11.6784</v>
      </c>
      <c r="K21" s="17">
        <v>0.65960799999999997</v>
      </c>
    </row>
    <row r="22" spans="2:12">
      <c r="B22" s="17">
        <v>9.7533899999999996</v>
      </c>
      <c r="C22" s="17">
        <v>0.48527700000000001</v>
      </c>
      <c r="F22" s="17">
        <v>12.0245</v>
      </c>
      <c r="G22" s="17">
        <v>0.75917599999999996</v>
      </c>
      <c r="I22" s="17">
        <v>18</v>
      </c>
      <c r="J22" s="17">
        <v>12.0227</v>
      </c>
      <c r="K22" s="17">
        <v>0.77034999999999998</v>
      </c>
    </row>
    <row r="23" spans="2:12">
      <c r="B23" s="17">
        <v>9.9295299999999997</v>
      </c>
      <c r="C23" s="17">
        <v>0.48658200000000001</v>
      </c>
      <c r="F23" s="17">
        <v>12.523400000000001</v>
      </c>
      <c r="G23" s="17">
        <v>1.00467</v>
      </c>
      <c r="I23" s="17">
        <v>19</v>
      </c>
      <c r="J23" s="17">
        <v>12.5227</v>
      </c>
      <c r="K23" s="17">
        <v>1.0202599999999999</v>
      </c>
    </row>
    <row r="24" spans="2:12">
      <c r="B24" s="17">
        <v>10.194000000000001</v>
      </c>
      <c r="C24" s="17">
        <v>0.486761</v>
      </c>
      <c r="F24" s="21">
        <v>12.8147</v>
      </c>
      <c r="G24" s="21">
        <v>1.1616599999999999</v>
      </c>
      <c r="H24" s="21" t="s">
        <v>104</v>
      </c>
      <c r="I24" s="17">
        <v>20</v>
      </c>
      <c r="J24" s="21">
        <v>12.814399999999999</v>
      </c>
      <c r="K24" s="21">
        <v>1.1816899999999999</v>
      </c>
      <c r="L24" s="21" t="s">
        <v>104</v>
      </c>
    </row>
    <row r="25" spans="2:12">
      <c r="B25" s="17">
        <v>10.452</v>
      </c>
      <c r="C25" s="17">
        <v>0.48779800000000001</v>
      </c>
      <c r="F25" s="17">
        <v>13.2477</v>
      </c>
      <c r="G25" s="17">
        <v>1.4281999999999999</v>
      </c>
      <c r="J25" s="17">
        <v>13.2485</v>
      </c>
      <c r="K25" s="17">
        <v>1.4572700000000001</v>
      </c>
    </row>
    <row r="26" spans="2:12">
      <c r="B26" s="17">
        <v>10.703900000000001</v>
      </c>
      <c r="C26" s="17">
        <v>0.49520599999999998</v>
      </c>
      <c r="F26" s="17">
        <v>13.898899999999999</v>
      </c>
      <c r="G26" s="17">
        <v>1.9723900000000001</v>
      </c>
      <c r="J26" s="17">
        <v>13.902799999999999</v>
      </c>
      <c r="K26" s="17">
        <v>2.0190100000000002</v>
      </c>
    </row>
    <row r="27" spans="2:12">
      <c r="B27" s="17">
        <v>11.081899999999999</v>
      </c>
      <c r="C27" s="17">
        <v>0.51341099999999995</v>
      </c>
      <c r="F27" s="17">
        <v>14.0684</v>
      </c>
      <c r="G27" s="17">
        <v>2.1395</v>
      </c>
      <c r="J27" s="17">
        <v>14.073399999999999</v>
      </c>
      <c r="K27" s="17">
        <v>2.19238</v>
      </c>
    </row>
    <row r="28" spans="2:12">
      <c r="B28" s="17">
        <v>11.457700000000001</v>
      </c>
      <c r="C28" s="17">
        <v>0.53354599999999996</v>
      </c>
      <c r="F28" s="17">
        <v>14.241199999999999</v>
      </c>
      <c r="G28" s="17">
        <v>2.31792</v>
      </c>
      <c r="J28" s="17">
        <v>14.247199999999999</v>
      </c>
      <c r="K28" s="17">
        <v>2.3760300000000001</v>
      </c>
    </row>
    <row r="29" spans="2:12">
      <c r="B29" s="17">
        <v>11.8207</v>
      </c>
      <c r="C29" s="17">
        <v>0.57259499999999997</v>
      </c>
      <c r="F29" s="17">
        <v>14.500999999999999</v>
      </c>
      <c r="G29" s="17">
        <v>2.5990500000000001</v>
      </c>
      <c r="J29" s="17">
        <v>14.5077</v>
      </c>
      <c r="K29" s="17">
        <v>2.6616900000000001</v>
      </c>
    </row>
    <row r="30" spans="2:12">
      <c r="B30" s="17">
        <v>12.3413</v>
      </c>
      <c r="C30" s="17">
        <v>0.68418699999999999</v>
      </c>
      <c r="F30" s="17">
        <v>14.9222</v>
      </c>
      <c r="G30" s="17">
        <v>2.9132899999999999</v>
      </c>
      <c r="J30" s="17">
        <v>14.9361</v>
      </c>
      <c r="K30" s="17">
        <v>2.9739599999999999</v>
      </c>
    </row>
    <row r="31" spans="2:12">
      <c r="B31" s="17">
        <v>13.0831</v>
      </c>
      <c r="C31" s="17">
        <v>1.01712</v>
      </c>
      <c r="F31" s="17">
        <v>15.3818</v>
      </c>
      <c r="G31" s="17">
        <v>3.1820599999999999</v>
      </c>
      <c r="J31" s="17">
        <v>15.400399999999999</v>
      </c>
      <c r="K31" s="17">
        <v>3.2485900000000001</v>
      </c>
    </row>
    <row r="32" spans="2:12">
      <c r="B32" s="17">
        <v>13.2736</v>
      </c>
      <c r="C32" s="17">
        <v>1.10822</v>
      </c>
      <c r="F32" s="17">
        <v>15.861000000000001</v>
      </c>
      <c r="G32" s="17">
        <v>3.4321700000000002</v>
      </c>
      <c r="J32" s="17">
        <v>15.881</v>
      </c>
      <c r="K32" s="17">
        <v>3.5064199999999999</v>
      </c>
    </row>
    <row r="33" spans="2:11">
      <c r="B33" s="17">
        <v>13.4612</v>
      </c>
      <c r="C33" s="17">
        <v>1.2120899999999999</v>
      </c>
      <c r="F33" s="17">
        <v>16.350300000000001</v>
      </c>
      <c r="G33" s="17">
        <v>3.66879</v>
      </c>
      <c r="J33" s="17">
        <v>16.619299999999999</v>
      </c>
      <c r="K33" s="17">
        <v>3.8733399999999998</v>
      </c>
    </row>
    <row r="34" spans="2:11">
      <c r="B34" s="17">
        <v>13.7393</v>
      </c>
      <c r="C34" s="17">
        <v>1.39588</v>
      </c>
      <c r="F34" s="17">
        <v>17.094200000000001</v>
      </c>
      <c r="G34" s="17">
        <v>4.0073999999999996</v>
      </c>
      <c r="J34" s="17">
        <v>17.741199999999999</v>
      </c>
      <c r="K34" s="17">
        <v>4.4003699999999997</v>
      </c>
    </row>
  </sheetData>
  <mergeCells count="3">
    <mergeCell ref="B2:C2"/>
    <mergeCell ref="F2:G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A82A-55B4-4AC0-81A2-8D12A2789578}">
  <dimension ref="B2:I32"/>
  <sheetViews>
    <sheetView workbookViewId="0">
      <selection activeCell="M12" sqref="M12"/>
    </sheetView>
  </sheetViews>
  <sheetFormatPr defaultRowHeight="14.5"/>
  <cols>
    <col min="1" max="16384" width="8.7265625" style="17"/>
  </cols>
  <sheetData>
    <row r="2" spans="2:9">
      <c r="B2" s="17" t="s">
        <v>109</v>
      </c>
      <c r="E2" s="17" t="s">
        <v>112</v>
      </c>
      <c r="H2" s="17" t="s">
        <v>113</v>
      </c>
    </row>
    <row r="3" spans="2:9">
      <c r="B3" s="17" t="s">
        <v>110</v>
      </c>
      <c r="C3" s="17" t="s">
        <v>111</v>
      </c>
      <c r="E3" s="17" t="s">
        <v>110</v>
      </c>
      <c r="F3" s="17" t="s">
        <v>111</v>
      </c>
      <c r="H3" s="17" t="s">
        <v>110</v>
      </c>
      <c r="I3" s="17" t="s">
        <v>111</v>
      </c>
    </row>
    <row r="4" spans="2:9">
      <c r="B4" s="17">
        <v>0</v>
      </c>
      <c r="C4" s="17">
        <v>289.62400000000002</v>
      </c>
      <c r="E4" s="17">
        <v>0</v>
      </c>
      <c r="F4" s="17">
        <v>303.5</v>
      </c>
      <c r="H4" s="17">
        <v>0</v>
      </c>
      <c r="I4" s="17">
        <v>207.52</v>
      </c>
    </row>
    <row r="5" spans="2:9">
      <c r="B5" s="17">
        <v>3.5716900000000003E-2</v>
      </c>
      <c r="C5" s="17">
        <v>276.036</v>
      </c>
      <c r="E5" s="17">
        <v>3.5718199999999999E-2</v>
      </c>
      <c r="F5" s="17">
        <v>303.5</v>
      </c>
      <c r="H5" s="17">
        <v>3.5723600000000001E-2</v>
      </c>
      <c r="I5" s="17">
        <v>215.12100000000001</v>
      </c>
    </row>
    <row r="6" spans="2:9">
      <c r="B6" s="17">
        <v>7.1433200000000002E-2</v>
      </c>
      <c r="C6" s="17">
        <v>249.56800000000001</v>
      </c>
      <c r="E6" s="17">
        <v>7.1436100000000002E-2</v>
      </c>
      <c r="F6" s="17">
        <v>303.5</v>
      </c>
      <c r="H6" s="17">
        <v>7.1447099999999999E-2</v>
      </c>
      <c r="I6" s="17">
        <v>231.28299999999999</v>
      </c>
    </row>
    <row r="7" spans="2:9">
      <c r="B7" s="17">
        <v>0.10714899999999999</v>
      </c>
      <c r="C7" s="17">
        <v>224.607</v>
      </c>
      <c r="E7" s="17">
        <v>0.107154</v>
      </c>
      <c r="F7" s="17">
        <v>295.76</v>
      </c>
      <c r="H7" s="17">
        <v>0.10717</v>
      </c>
      <c r="I7" s="17">
        <v>241.51400000000001</v>
      </c>
    </row>
    <row r="8" spans="2:9">
      <c r="B8" s="17">
        <v>0.14286499999999999</v>
      </c>
      <c r="C8" s="17">
        <v>201.32499999999999</v>
      </c>
      <c r="E8" s="17">
        <v>0.142871</v>
      </c>
      <c r="F8" s="17">
        <v>276.53500000000003</v>
      </c>
      <c r="H8" s="17">
        <v>0.14289299999999999</v>
      </c>
      <c r="I8" s="17">
        <v>241.83199999999999</v>
      </c>
    </row>
    <row r="9" spans="2:9">
      <c r="B9" s="17">
        <v>0.17857999999999999</v>
      </c>
      <c r="C9" s="17">
        <v>179.86799999999999</v>
      </c>
      <c r="E9" s="17">
        <v>0.178588</v>
      </c>
      <c r="F9" s="17">
        <v>254.38800000000001</v>
      </c>
      <c r="H9" s="17">
        <v>0.178615</v>
      </c>
      <c r="I9" s="17">
        <v>240.542</v>
      </c>
    </row>
    <row r="10" spans="2:9">
      <c r="B10" s="17">
        <v>0.21429500000000001</v>
      </c>
      <c r="C10" s="17">
        <v>160.37</v>
      </c>
      <c r="E10" s="17">
        <v>0.214305</v>
      </c>
      <c r="F10" s="17">
        <v>233.971</v>
      </c>
      <c r="H10" s="17">
        <v>0.214337</v>
      </c>
      <c r="I10" s="17">
        <v>241.999</v>
      </c>
    </row>
    <row r="11" spans="2:9">
      <c r="B11" s="17">
        <v>0.25000899999999998</v>
      </c>
      <c r="C11" s="17">
        <v>142.96199999999999</v>
      </c>
      <c r="E11" s="17">
        <v>0.25002099999999999</v>
      </c>
      <c r="F11" s="17">
        <v>215.44800000000001</v>
      </c>
      <c r="H11" s="17">
        <v>0.25005699999999997</v>
      </c>
      <c r="I11" s="17">
        <v>245.982</v>
      </c>
    </row>
    <row r="12" spans="2:9">
      <c r="B12" s="17">
        <v>0.28572399999999998</v>
      </c>
      <c r="C12" s="17">
        <v>127.779</v>
      </c>
      <c r="E12" s="17">
        <v>0.28573599999999999</v>
      </c>
      <c r="F12" s="17">
        <v>198.96</v>
      </c>
      <c r="H12" s="17">
        <v>0.28577799999999998</v>
      </c>
      <c r="I12" s="17">
        <v>252.15299999999999</v>
      </c>
    </row>
    <row r="13" spans="2:9">
      <c r="B13" s="17">
        <v>0.321438</v>
      </c>
      <c r="C13" s="17">
        <v>114.955</v>
      </c>
      <c r="E13" s="17">
        <v>0.32145200000000002</v>
      </c>
      <c r="F13" s="17">
        <v>184.631</v>
      </c>
      <c r="H13" s="17">
        <v>0.32149699999999998</v>
      </c>
      <c r="I13" s="17">
        <v>260.05</v>
      </c>
    </row>
    <row r="14" spans="2:9">
      <c r="B14" s="17">
        <v>0.357153</v>
      </c>
      <c r="C14" s="17">
        <v>104.617</v>
      </c>
      <c r="E14" s="17">
        <v>0.35716700000000001</v>
      </c>
      <c r="F14" s="17">
        <v>172.548</v>
      </c>
      <c r="H14" s="17">
        <v>0.35721700000000001</v>
      </c>
      <c r="I14" s="17">
        <v>269.08800000000002</v>
      </c>
    </row>
    <row r="15" spans="2:9">
      <c r="B15" s="17">
        <v>0.39286700000000002</v>
      </c>
      <c r="C15" s="17">
        <v>96.844700000000003</v>
      </c>
      <c r="E15" s="17">
        <v>0.39288200000000001</v>
      </c>
      <c r="F15" s="17">
        <v>162.751</v>
      </c>
      <c r="H15" s="17">
        <v>0.39293499999999998</v>
      </c>
      <c r="I15" s="17">
        <v>278.56099999999998</v>
      </c>
    </row>
    <row r="16" spans="2:9">
      <c r="B16" s="17">
        <v>0.42858099999999999</v>
      </c>
      <c r="C16" s="17">
        <v>91.634500000000003</v>
      </c>
      <c r="E16" s="17">
        <v>0.42859599999999998</v>
      </c>
      <c r="F16" s="17">
        <v>155.215</v>
      </c>
      <c r="H16" s="17">
        <v>0.42865399999999998</v>
      </c>
      <c r="I16" s="17">
        <v>287.66699999999997</v>
      </c>
    </row>
    <row r="17" spans="2:9">
      <c r="B17" s="17">
        <v>0.46429500000000001</v>
      </c>
      <c r="C17" s="17">
        <v>88.854699999999994</v>
      </c>
      <c r="E17" s="17">
        <v>0.46431099999999997</v>
      </c>
      <c r="F17" s="17">
        <v>149.833</v>
      </c>
      <c r="H17" s="17">
        <v>0.46437200000000001</v>
      </c>
      <c r="I17" s="17">
        <v>295.52499999999998</v>
      </c>
    </row>
    <row r="18" spans="2:9">
      <c r="B18" s="17">
        <v>0.50000900000000004</v>
      </c>
      <c r="C18" s="17">
        <v>88.239099999999993</v>
      </c>
      <c r="E18" s="17">
        <v>0.50002500000000005</v>
      </c>
      <c r="F18" s="17">
        <v>146.40899999999999</v>
      </c>
      <c r="H18" s="17">
        <v>0.50008900000000001</v>
      </c>
      <c r="I18" s="17">
        <v>301.22399999999999</v>
      </c>
    </row>
    <row r="19" spans="2:9">
      <c r="B19" s="17">
        <v>0.53572299999999995</v>
      </c>
      <c r="C19" s="17">
        <v>89.417000000000002</v>
      </c>
      <c r="E19" s="17">
        <v>0.53573899999999997</v>
      </c>
      <c r="F19" s="17">
        <v>144.66800000000001</v>
      </c>
      <c r="H19" s="17">
        <v>0.53580700000000003</v>
      </c>
      <c r="I19" s="17">
        <v>303.45999999999998</v>
      </c>
    </row>
    <row r="20" spans="2:9">
      <c r="B20" s="17">
        <v>0.57143600000000006</v>
      </c>
      <c r="C20" s="17">
        <v>91.971999999999994</v>
      </c>
      <c r="E20" s="17">
        <v>0.57145400000000002</v>
      </c>
      <c r="F20" s="17">
        <v>144.26499999999999</v>
      </c>
      <c r="H20" s="17">
        <v>0.57152599999999998</v>
      </c>
      <c r="I20" s="17">
        <v>302.27800000000002</v>
      </c>
    </row>
    <row r="21" spans="2:9">
      <c r="B21" s="17">
        <v>0.60714999999999997</v>
      </c>
      <c r="C21" s="17">
        <v>95.499399999999994</v>
      </c>
      <c r="E21" s="17">
        <v>0.60716700000000001</v>
      </c>
      <c r="F21" s="17">
        <v>143.91399999999999</v>
      </c>
      <c r="H21" s="17">
        <v>0.60724400000000001</v>
      </c>
      <c r="I21" s="17">
        <v>295.62400000000002</v>
      </c>
    </row>
    <row r="22" spans="2:9">
      <c r="B22" s="17">
        <v>0.64286399999999999</v>
      </c>
      <c r="C22" s="17">
        <v>99.641300000000001</v>
      </c>
      <c r="E22" s="17">
        <v>0.64288100000000004</v>
      </c>
      <c r="F22" s="17">
        <v>143.35499999999999</v>
      </c>
      <c r="H22" s="17">
        <v>0.64296299999999995</v>
      </c>
      <c r="I22" s="17">
        <v>281.65300000000002</v>
      </c>
    </row>
    <row r="23" spans="2:9">
      <c r="B23" s="17">
        <v>0.67857800000000001</v>
      </c>
      <c r="C23" s="17">
        <v>104.098</v>
      </c>
      <c r="E23" s="17">
        <v>0.67859499999999995</v>
      </c>
      <c r="F23" s="17">
        <v>143.286</v>
      </c>
      <c r="H23" s="17">
        <v>0.67868300000000004</v>
      </c>
      <c r="I23" s="17">
        <v>259.57299999999998</v>
      </c>
    </row>
    <row r="24" spans="2:9">
      <c r="B24" s="17">
        <v>0.71429100000000001</v>
      </c>
      <c r="C24" s="17">
        <v>108.624</v>
      </c>
      <c r="E24" s="17">
        <v>0.71430800000000005</v>
      </c>
      <c r="F24" s="17">
        <v>143.41900000000001</v>
      </c>
      <c r="H24" s="17">
        <v>0.71440300000000001</v>
      </c>
      <c r="I24" s="17">
        <v>228.80500000000001</v>
      </c>
    </row>
    <row r="25" spans="2:9">
      <c r="B25" s="17">
        <v>0.75000500000000003</v>
      </c>
      <c r="C25" s="17">
        <v>113.02</v>
      </c>
      <c r="E25" s="17">
        <v>0.75002199999999997</v>
      </c>
      <c r="F25" s="17">
        <v>142.95099999999999</v>
      </c>
      <c r="H25" s="17">
        <v>0.75012299999999998</v>
      </c>
      <c r="I25" s="17">
        <v>192.35900000000001</v>
      </c>
    </row>
    <row r="26" spans="2:9">
      <c r="B26" s="17">
        <v>0.78571899999999995</v>
      </c>
      <c r="C26" s="17">
        <v>117.122</v>
      </c>
      <c r="E26" s="17">
        <v>0.78573499999999996</v>
      </c>
      <c r="F26" s="17">
        <v>140.661</v>
      </c>
      <c r="H26" s="17">
        <v>0.78583999999999998</v>
      </c>
      <c r="I26" s="17">
        <v>155.91</v>
      </c>
    </row>
    <row r="27" spans="2:9">
      <c r="B27" s="17">
        <v>0.82143200000000005</v>
      </c>
      <c r="C27" s="17">
        <v>120.797</v>
      </c>
      <c r="E27" s="17">
        <v>0.82144700000000004</v>
      </c>
      <c r="F27" s="17">
        <v>137.18199999999999</v>
      </c>
      <c r="H27" s="17">
        <v>0.82155299999999998</v>
      </c>
      <c r="I27" s="17">
        <v>133.476</v>
      </c>
    </row>
    <row r="28" spans="2:9">
      <c r="B28" s="17">
        <v>0.85714599999999996</v>
      </c>
      <c r="C28" s="17">
        <v>123.932</v>
      </c>
      <c r="E28" s="17">
        <v>0.857159</v>
      </c>
      <c r="F28" s="17">
        <v>133.80699999999999</v>
      </c>
      <c r="H28" s="17">
        <v>0.85726000000000002</v>
      </c>
      <c r="I28" s="17">
        <v>142.58799999999999</v>
      </c>
    </row>
    <row r="29" spans="2:9">
      <c r="B29" s="17">
        <v>0.89285899999999996</v>
      </c>
      <c r="C29" s="17">
        <v>126.435</v>
      </c>
      <c r="E29" s="17">
        <v>0.89287000000000005</v>
      </c>
      <c r="F29" s="17">
        <v>130.72999999999999</v>
      </c>
      <c r="H29" s="17">
        <v>0.89295899999999995</v>
      </c>
      <c r="I29" s="17">
        <v>183.29300000000001</v>
      </c>
    </row>
    <row r="30" spans="2:9">
      <c r="B30" s="17">
        <v>0.92857299999999998</v>
      </c>
      <c r="C30" s="17">
        <v>128.22499999999999</v>
      </c>
      <c r="E30" s="17">
        <v>0.92857999999999996</v>
      </c>
      <c r="F30" s="17">
        <v>128.11099999999999</v>
      </c>
      <c r="H30" s="17">
        <v>0.92864800000000003</v>
      </c>
      <c r="I30" s="17">
        <v>236.69300000000001</v>
      </c>
    </row>
    <row r="31" spans="2:9">
      <c r="B31" s="17">
        <v>0.96428599999999998</v>
      </c>
      <c r="C31" s="17">
        <v>129.20699999999999</v>
      </c>
      <c r="E31" s="17">
        <v>0.96428999999999998</v>
      </c>
      <c r="F31" s="17">
        <v>125.902</v>
      </c>
      <c r="H31" s="17">
        <v>0.96432700000000005</v>
      </c>
      <c r="I31" s="17">
        <v>283.60300000000001</v>
      </c>
    </row>
    <row r="32" spans="2:9">
      <c r="B32" s="17">
        <v>1</v>
      </c>
      <c r="C32" s="17">
        <v>129.483</v>
      </c>
      <c r="E32" s="17">
        <v>1</v>
      </c>
      <c r="F32" s="17">
        <v>124.876</v>
      </c>
      <c r="H32" s="17">
        <v>1</v>
      </c>
      <c r="I32" s="17">
        <v>303.5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6D1C-8E59-45B7-A416-4F7DA0D87A64}">
  <dimension ref="A1:Z1000"/>
  <sheetViews>
    <sheetView topLeftCell="A10" workbookViewId="0">
      <selection activeCell="R10" sqref="R10"/>
    </sheetView>
  </sheetViews>
  <sheetFormatPr defaultColWidth="14.453125" defaultRowHeight="15" customHeight="1"/>
  <cols>
    <col min="1" max="1" width="8.81640625" customWidth="1"/>
    <col min="2" max="2" width="4.54296875" customWidth="1"/>
    <col min="3" max="3" width="6.26953125" customWidth="1"/>
    <col min="4" max="7" width="8.81640625" customWidth="1"/>
    <col min="8" max="8" width="10.26953125" customWidth="1"/>
    <col min="9" max="9" width="9.7265625" customWidth="1"/>
    <col min="10" max="11" width="10.26953125" customWidth="1"/>
    <col min="12" max="14" width="9.08984375" customWidth="1"/>
    <col min="15" max="15" width="8.81640625" customWidth="1"/>
    <col min="16" max="16" width="11.54296875" customWidth="1"/>
    <col min="17" max="26" width="8.81640625" customWidth="1"/>
  </cols>
  <sheetData>
    <row r="1" spans="1:26" ht="15.5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77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 spans="1:26" ht="15.5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77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spans="1:26" ht="15.5">
      <c r="A3" s="126"/>
      <c r="B3" s="126" t="s">
        <v>177</v>
      </c>
      <c r="C3" s="126"/>
      <c r="D3" s="126"/>
      <c r="E3" s="126"/>
      <c r="F3" s="126"/>
      <c r="G3" s="126"/>
      <c r="H3" s="126"/>
      <c r="I3" s="126"/>
      <c r="J3" s="126"/>
      <c r="K3" s="126"/>
      <c r="L3" s="77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spans="1:26" ht="15.5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77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ht="31">
      <c r="A5" s="126"/>
      <c r="B5" s="79" t="s">
        <v>13</v>
      </c>
      <c r="C5" s="79" t="s">
        <v>14</v>
      </c>
      <c r="D5" s="79" t="s">
        <v>15</v>
      </c>
      <c r="E5" s="79" t="s">
        <v>17</v>
      </c>
      <c r="F5" s="79" t="s">
        <v>20</v>
      </c>
      <c r="G5" s="127" t="s">
        <v>89</v>
      </c>
      <c r="H5" s="79" t="s">
        <v>90</v>
      </c>
      <c r="I5" s="81" t="s">
        <v>23</v>
      </c>
      <c r="J5" s="81" t="s">
        <v>178</v>
      </c>
      <c r="K5" s="81" t="s">
        <v>179</v>
      </c>
      <c r="L5" s="128" t="s">
        <v>180</v>
      </c>
      <c r="M5" s="81" t="s">
        <v>181</v>
      </c>
      <c r="N5" s="81" t="s">
        <v>182</v>
      </c>
      <c r="O5" s="81" t="s">
        <v>183</v>
      </c>
      <c r="P5" s="82" t="s">
        <v>151</v>
      </c>
      <c r="Q5" s="79" t="s">
        <v>152</v>
      </c>
      <c r="R5" s="126"/>
      <c r="S5" s="126"/>
      <c r="T5" s="126"/>
      <c r="U5" s="126"/>
      <c r="V5" s="126"/>
      <c r="W5" s="126"/>
      <c r="X5" s="126"/>
      <c r="Y5" s="126"/>
      <c r="Z5" s="126"/>
    </row>
    <row r="6" spans="1:26" ht="15.5">
      <c r="A6" s="126"/>
      <c r="B6" s="90">
        <v>1</v>
      </c>
      <c r="C6" s="90" t="s">
        <v>86</v>
      </c>
      <c r="D6" s="90">
        <v>563.4</v>
      </c>
      <c r="E6" s="90">
        <v>1.76</v>
      </c>
      <c r="F6" s="90">
        <f>D6/E6</f>
        <v>320.11363636363637</v>
      </c>
      <c r="G6" s="91">
        <v>207000</v>
      </c>
      <c r="H6" s="90">
        <v>303.5</v>
      </c>
      <c r="I6" s="90">
        <v>0.28000000000000003</v>
      </c>
      <c r="J6" s="92">
        <v>1.1719999999999999</v>
      </c>
      <c r="K6" s="92">
        <v>1.2023999999999999</v>
      </c>
      <c r="L6" s="114">
        <v>2.4297418331569416</v>
      </c>
      <c r="M6" s="129"/>
      <c r="N6" s="129"/>
      <c r="O6" s="92">
        <f>J6/K6</f>
        <v>0.97471723220226214</v>
      </c>
      <c r="P6" s="106" t="s">
        <v>166</v>
      </c>
      <c r="Q6" s="90">
        <v>2005</v>
      </c>
      <c r="R6" s="126"/>
      <c r="S6" s="126"/>
      <c r="T6" s="126"/>
      <c r="U6" s="126"/>
      <c r="V6" s="126"/>
      <c r="W6" s="126"/>
      <c r="X6" s="126"/>
      <c r="Y6" s="126"/>
      <c r="Z6" s="126"/>
    </row>
    <row r="7" spans="1:26" ht="15.5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77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ht="15.5">
      <c r="A8" s="126"/>
      <c r="B8" s="126" t="s">
        <v>184</v>
      </c>
      <c r="C8" s="126"/>
      <c r="D8" s="126"/>
      <c r="E8" s="126"/>
      <c r="F8" s="126"/>
      <c r="G8" s="126"/>
      <c r="H8" s="126"/>
      <c r="I8" s="126"/>
      <c r="J8" s="126"/>
      <c r="K8" s="126"/>
      <c r="L8" s="77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ht="15.5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77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ht="31">
      <c r="A10" s="126"/>
      <c r="B10" s="78" t="s">
        <v>13</v>
      </c>
      <c r="C10" s="78" t="s">
        <v>14</v>
      </c>
      <c r="D10" s="78" t="s">
        <v>15</v>
      </c>
      <c r="E10" s="78" t="s">
        <v>17</v>
      </c>
      <c r="F10" s="78" t="s">
        <v>20</v>
      </c>
      <c r="G10" s="78" t="s">
        <v>26</v>
      </c>
      <c r="H10" s="78" t="s">
        <v>27</v>
      </c>
      <c r="I10" s="80" t="s">
        <v>89</v>
      </c>
      <c r="J10" s="78" t="s">
        <v>90</v>
      </c>
      <c r="K10" s="128" t="s">
        <v>23</v>
      </c>
      <c r="L10" s="130" t="s">
        <v>185</v>
      </c>
      <c r="M10" s="130" t="s">
        <v>186</v>
      </c>
      <c r="N10" s="131" t="s">
        <v>187</v>
      </c>
      <c r="O10" s="131" t="s">
        <v>188</v>
      </c>
      <c r="P10" s="131" t="s">
        <v>189</v>
      </c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ht="15.5">
      <c r="A11" s="126"/>
      <c r="B11" s="90">
        <v>1</v>
      </c>
      <c r="C11" s="90" t="s">
        <v>86</v>
      </c>
      <c r="D11" s="90">
        <v>563.4</v>
      </c>
      <c r="E11" s="90">
        <v>1.76</v>
      </c>
      <c r="F11" s="90">
        <f t="shared" ref="F11:F18" si="0">D11/E11</f>
        <v>320.11363636363637</v>
      </c>
      <c r="G11" s="90">
        <f t="shared" ref="G11:G18" si="1">H11*E11</f>
        <v>0</v>
      </c>
      <c r="H11" s="90">
        <v>0</v>
      </c>
      <c r="I11" s="91">
        <v>207000</v>
      </c>
      <c r="J11" s="90">
        <v>303.5</v>
      </c>
      <c r="K11" s="90">
        <v>0.28000000000000003</v>
      </c>
      <c r="L11" s="132">
        <v>1.202</v>
      </c>
      <c r="M11" s="132">
        <v>1.202</v>
      </c>
      <c r="N11" s="132">
        <v>1.202</v>
      </c>
      <c r="O11" s="132">
        <v>1.202</v>
      </c>
      <c r="P11" s="132">
        <v>1.202</v>
      </c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ht="15.5">
      <c r="A12" s="126"/>
      <c r="B12" s="90">
        <v>2</v>
      </c>
      <c r="C12" s="90" t="s">
        <v>86</v>
      </c>
      <c r="D12" s="90">
        <v>563.4</v>
      </c>
      <c r="E12" s="90">
        <v>1.76</v>
      </c>
      <c r="F12" s="90">
        <f t="shared" si="0"/>
        <v>320.11363636363637</v>
      </c>
      <c r="G12" s="90">
        <f t="shared" si="1"/>
        <v>1.056</v>
      </c>
      <c r="H12" s="90">
        <v>0.6</v>
      </c>
      <c r="I12" s="91">
        <v>207000</v>
      </c>
      <c r="J12" s="90">
        <v>303.5</v>
      </c>
      <c r="K12" s="90">
        <v>0.28000000000000003</v>
      </c>
      <c r="L12" s="132">
        <v>1.25346</v>
      </c>
      <c r="M12" s="133"/>
      <c r="N12" s="133">
        <v>1.1857200000000001</v>
      </c>
      <c r="O12" s="133">
        <v>0.71583799999999997</v>
      </c>
      <c r="P12" s="133">
        <v>0.71584899999999996</v>
      </c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ht="15.5">
      <c r="A13" s="126"/>
      <c r="B13" s="90">
        <v>3</v>
      </c>
      <c r="C13" s="90" t="s">
        <v>86</v>
      </c>
      <c r="D13" s="90">
        <v>563.4</v>
      </c>
      <c r="E13" s="90">
        <v>1.76</v>
      </c>
      <c r="F13" s="90">
        <f t="shared" si="0"/>
        <v>320.11363636363637</v>
      </c>
      <c r="G13" s="90">
        <f t="shared" si="1"/>
        <v>1.4080000000000001</v>
      </c>
      <c r="H13" s="90">
        <v>0.8</v>
      </c>
      <c r="I13" s="91">
        <v>207000</v>
      </c>
      <c r="J13" s="90">
        <v>303.5</v>
      </c>
      <c r="K13" s="90">
        <v>0.28000000000000003</v>
      </c>
      <c r="L13" s="132">
        <v>1.25152</v>
      </c>
      <c r="M13" s="133"/>
      <c r="N13" s="133">
        <v>1.1444000000000001</v>
      </c>
      <c r="O13" s="133">
        <v>0.71388200000000002</v>
      </c>
      <c r="P13" s="133">
        <v>0.71279899999999996</v>
      </c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ht="15.5">
      <c r="A14" s="126"/>
      <c r="B14" s="90">
        <v>4</v>
      </c>
      <c r="C14" s="90" t="s">
        <v>86</v>
      </c>
      <c r="D14" s="90">
        <v>563.4</v>
      </c>
      <c r="E14" s="90">
        <v>1.76</v>
      </c>
      <c r="F14" s="90">
        <f t="shared" si="0"/>
        <v>320.11363636363637</v>
      </c>
      <c r="G14" s="90">
        <f t="shared" si="1"/>
        <v>1.76</v>
      </c>
      <c r="H14" s="90">
        <v>1</v>
      </c>
      <c r="I14" s="91">
        <v>207000</v>
      </c>
      <c r="J14" s="90">
        <v>303.5</v>
      </c>
      <c r="K14" s="90">
        <v>0.28000000000000003</v>
      </c>
      <c r="L14" s="132">
        <v>1.23569</v>
      </c>
      <c r="M14" s="133"/>
      <c r="N14" s="133">
        <v>1.1081000000000001</v>
      </c>
      <c r="O14" s="133">
        <v>0.72381200000000001</v>
      </c>
      <c r="P14" s="133">
        <v>0.72380100000000003</v>
      </c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ht="15.5">
      <c r="A15" s="126"/>
      <c r="B15" s="90">
        <v>5</v>
      </c>
      <c r="C15" s="90" t="s">
        <v>86</v>
      </c>
      <c r="D15" s="90">
        <v>563.4</v>
      </c>
      <c r="E15" s="90">
        <v>1.76</v>
      </c>
      <c r="F15" s="90">
        <f t="shared" si="0"/>
        <v>320.11363636363637</v>
      </c>
      <c r="G15" s="90">
        <f t="shared" si="1"/>
        <v>2.8160000000000003</v>
      </c>
      <c r="H15" s="90">
        <v>1.6</v>
      </c>
      <c r="I15" s="91">
        <v>207000</v>
      </c>
      <c r="J15" s="90">
        <v>303.5</v>
      </c>
      <c r="K15" s="90">
        <v>0.28000000000000003</v>
      </c>
      <c r="L15" s="133">
        <v>1.19841</v>
      </c>
      <c r="M15" s="133"/>
      <c r="N15" s="133">
        <v>1.01434</v>
      </c>
      <c r="O15" s="133">
        <v>0.76185899999999995</v>
      </c>
      <c r="P15" s="133">
        <v>0.76184700000000005</v>
      </c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ht="15.5">
      <c r="A16" s="126"/>
      <c r="B16" s="90">
        <v>6</v>
      </c>
      <c r="C16" s="90" t="s">
        <v>86</v>
      </c>
      <c r="D16" s="90">
        <v>563.4</v>
      </c>
      <c r="E16" s="90">
        <v>1.76</v>
      </c>
      <c r="F16" s="90">
        <f t="shared" si="0"/>
        <v>320.11363636363637</v>
      </c>
      <c r="G16" s="90">
        <f t="shared" si="1"/>
        <v>3.1680000000000001</v>
      </c>
      <c r="H16" s="90">
        <v>1.8</v>
      </c>
      <c r="I16" s="91">
        <v>207000</v>
      </c>
      <c r="J16" s="90">
        <v>303.5</v>
      </c>
      <c r="K16" s="90">
        <v>0.28000000000000003</v>
      </c>
      <c r="L16" s="133">
        <v>1.1819500000000001</v>
      </c>
      <c r="M16" s="133"/>
      <c r="N16" s="133">
        <v>0.98607699999999998</v>
      </c>
      <c r="O16" s="133">
        <v>0.77242100000000002</v>
      </c>
      <c r="P16" s="133">
        <v>0.77240900000000001</v>
      </c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6" ht="15.5">
      <c r="A17" s="126"/>
      <c r="B17" s="90">
        <v>7</v>
      </c>
      <c r="C17" s="90" t="s">
        <v>86</v>
      </c>
      <c r="D17" s="90">
        <v>563.4</v>
      </c>
      <c r="E17" s="90">
        <v>1.76</v>
      </c>
      <c r="F17" s="90">
        <f t="shared" si="0"/>
        <v>320.11363636363637</v>
      </c>
      <c r="G17" s="90">
        <f t="shared" si="1"/>
        <v>3.52</v>
      </c>
      <c r="H17" s="90">
        <v>2</v>
      </c>
      <c r="I17" s="91">
        <v>207000</v>
      </c>
      <c r="J17" s="90">
        <v>303.5</v>
      </c>
      <c r="K17" s="90">
        <v>0.28000000000000003</v>
      </c>
      <c r="L17" s="133">
        <v>1.1632400000000001</v>
      </c>
      <c r="M17" s="133"/>
      <c r="N17" s="133">
        <v>0.95877599999999996</v>
      </c>
      <c r="O17" s="133">
        <v>0.78236499999999998</v>
      </c>
      <c r="P17" s="133">
        <v>0.78235200000000005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6" ht="15.5">
      <c r="A18" s="126"/>
      <c r="B18" s="90">
        <v>8</v>
      </c>
      <c r="C18" s="90" t="s">
        <v>190</v>
      </c>
      <c r="D18" s="90">
        <v>563.4</v>
      </c>
      <c r="E18" s="90">
        <v>1.76</v>
      </c>
      <c r="F18" s="90">
        <f t="shared" si="0"/>
        <v>320.11363636363637</v>
      </c>
      <c r="G18" s="90">
        <f t="shared" si="1"/>
        <v>4.4000000000000004</v>
      </c>
      <c r="H18" s="90">
        <v>2.5</v>
      </c>
      <c r="I18" s="91">
        <v>207000</v>
      </c>
      <c r="J18" s="90">
        <v>303.5</v>
      </c>
      <c r="K18" s="90">
        <v>0.28000000000000003</v>
      </c>
      <c r="L18" s="134">
        <v>1.1032599999999999</v>
      </c>
      <c r="M18" s="133"/>
      <c r="N18" s="133">
        <v>0.89349400000000001</v>
      </c>
      <c r="O18" s="133">
        <v>0.80318900000000004</v>
      </c>
      <c r="P18" s="133">
        <v>0.80317799999999995</v>
      </c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6" ht="15.5">
      <c r="A19" s="126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77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6" ht="15.5">
      <c r="A20" s="126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77" t="s">
        <v>122</v>
      </c>
      <c r="M20" s="77" t="s">
        <v>122</v>
      </c>
      <c r="N20" s="77" t="s">
        <v>122</v>
      </c>
      <c r="O20" s="77" t="s">
        <v>122</v>
      </c>
      <c r="P20" s="77" t="s">
        <v>122</v>
      </c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6" ht="15.75" customHeight="1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35">
        <f t="shared" ref="L21:P28" si="2">L11/$L$6</f>
        <v>0.49470276372459382</v>
      </c>
      <c r="M21" s="135">
        <f t="shared" si="2"/>
        <v>0.49470276372459382</v>
      </c>
      <c r="N21" s="135">
        <f t="shared" si="2"/>
        <v>0.49470276372459382</v>
      </c>
      <c r="O21" s="135">
        <f t="shared" si="2"/>
        <v>0.49470276372459382</v>
      </c>
      <c r="P21" s="135">
        <f t="shared" si="2"/>
        <v>0.49470276372459382</v>
      </c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6" ht="15.75" customHeight="1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35">
        <f t="shared" si="2"/>
        <v>0.51588196856757851</v>
      </c>
      <c r="M22" s="135">
        <f t="shared" si="2"/>
        <v>0</v>
      </c>
      <c r="N22" s="135">
        <f t="shared" si="2"/>
        <v>0.48800246339727577</v>
      </c>
      <c r="O22" s="135">
        <f t="shared" si="2"/>
        <v>0.29461483941687672</v>
      </c>
      <c r="P22" s="135">
        <f t="shared" si="2"/>
        <v>0.29461936664682759</v>
      </c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6" ht="15.75" customHeight="1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35">
        <f t="shared" si="2"/>
        <v>0.51508352983078509</v>
      </c>
      <c r="M23" s="135">
        <f t="shared" si="2"/>
        <v>0</v>
      </c>
      <c r="N23" s="135">
        <f t="shared" si="2"/>
        <v>0.47099654143629388</v>
      </c>
      <c r="O23" s="135">
        <f t="shared" si="2"/>
        <v>0.29380981561833652</v>
      </c>
      <c r="P23" s="135">
        <f t="shared" si="2"/>
        <v>0.29336408925135338</v>
      </c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6" ht="15.75" customHeight="1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35">
        <f t="shared" si="2"/>
        <v>0.50856843436509425</v>
      </c>
      <c r="M24" s="135">
        <f t="shared" si="2"/>
        <v>0</v>
      </c>
      <c r="N24" s="135">
        <f t="shared" si="2"/>
        <v>0.4560566825983548</v>
      </c>
      <c r="O24" s="135">
        <f t="shared" si="2"/>
        <v>0.29789666956491323</v>
      </c>
      <c r="P24" s="135">
        <f t="shared" si="2"/>
        <v>0.29789214233496236</v>
      </c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6" ht="15.75" customHeight="1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35">
        <f t="shared" si="2"/>
        <v>0.49322524049516681</v>
      </c>
      <c r="M25" s="135">
        <f t="shared" si="2"/>
        <v>0</v>
      </c>
      <c r="N25" s="135">
        <f t="shared" si="2"/>
        <v>0.41746822076239976</v>
      </c>
      <c r="O25" s="135">
        <f t="shared" si="2"/>
        <v>0.31355553483232557</v>
      </c>
      <c r="P25" s="135">
        <f t="shared" si="2"/>
        <v>0.31355059603601554</v>
      </c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6" ht="15.75" customHeight="1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35">
        <f t="shared" si="2"/>
        <v>0.48645085822319778</v>
      </c>
      <c r="M26" s="135">
        <f t="shared" si="2"/>
        <v>0</v>
      </c>
      <c r="N26" s="135">
        <f t="shared" si="2"/>
        <v>0.40583612075312503</v>
      </c>
      <c r="O26" s="135">
        <f t="shared" si="2"/>
        <v>0.31790249871789894</v>
      </c>
      <c r="P26" s="135">
        <f t="shared" si="2"/>
        <v>0.31789755992158886</v>
      </c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6" ht="15.75" customHeight="1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35">
        <f t="shared" si="2"/>
        <v>0.47875045164309199</v>
      </c>
      <c r="M27" s="135">
        <f t="shared" si="2"/>
        <v>0</v>
      </c>
      <c r="N27" s="135">
        <f t="shared" si="2"/>
        <v>0.39459994758137368</v>
      </c>
      <c r="O27" s="135">
        <f t="shared" si="2"/>
        <v>0.32199511459350405</v>
      </c>
      <c r="P27" s="135">
        <f t="shared" si="2"/>
        <v>0.32198976423083481</v>
      </c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6" ht="15.75" customHeight="1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35">
        <f t="shared" si="2"/>
        <v>0.45406470141996286</v>
      </c>
      <c r="M28" s="135">
        <f t="shared" si="2"/>
        <v>0</v>
      </c>
      <c r="N28" s="135">
        <f t="shared" si="2"/>
        <v>0.36773207252191537</v>
      </c>
      <c r="O28" s="135">
        <f t="shared" si="2"/>
        <v>0.33056557245689921</v>
      </c>
      <c r="P28" s="135">
        <f t="shared" si="2"/>
        <v>0.33056104522694824</v>
      </c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6" ht="15.75" customHeight="1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77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:26" ht="15.75" customHeight="1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77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:26" ht="15.75" customHeight="1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77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:26" ht="15.75" customHeight="1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77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:26" ht="15.75" customHeight="1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77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:26" ht="15.75" customHeight="1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77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:26" ht="15.75" customHeight="1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77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:26" ht="15.75" customHeight="1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77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:26" ht="15.75" customHeight="1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77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 ht="15.75" customHeight="1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77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 ht="15.75" customHeight="1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77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 ht="15.75" customHeight="1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77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 ht="15.75" customHeight="1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77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</row>
    <row r="42" spans="1:26" ht="15.75" customHeight="1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77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 spans="1:26" ht="15.75" customHeight="1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77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</row>
    <row r="44" spans="1:26" ht="15.75" customHeight="1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77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</row>
    <row r="45" spans="1:26" ht="15.75" customHeight="1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77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</row>
    <row r="46" spans="1:26" ht="15.75" customHeight="1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77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spans="1:26" ht="15.75" customHeight="1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77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spans="1:26" ht="15.75" customHeight="1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77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spans="1:26" ht="15.75" customHeight="1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77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ht="15.75" customHeight="1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77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6" ht="15.75" customHeight="1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77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6" ht="15.75" customHeight="1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77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6" ht="15.75" customHeight="1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77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6" ht="15.75" customHeight="1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77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6" ht="15.75" customHeight="1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77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6" ht="15.75" customHeight="1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77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6" ht="15.75" customHeight="1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77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6" ht="15.75" customHeight="1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77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6" ht="15.75" customHeight="1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77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 spans="1:26" ht="15.75" customHeight="1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77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 spans="1:26" ht="15.75" customHeight="1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77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 spans="1:26" ht="15.75" customHeight="1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77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spans="1:26" ht="15.75" customHeight="1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77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 spans="1:26" ht="15.75" customHeight="1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77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 spans="1:26" ht="15.75" customHeight="1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77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 spans="1:26" ht="15.75" customHeight="1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77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 spans="1:26" ht="15.75" customHeight="1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77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 spans="1:26" ht="15.75" customHeight="1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77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 spans="1:26" ht="15.75" customHeight="1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77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 spans="1:26" ht="15.75" customHeight="1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77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 spans="1:26" ht="15.75" customHeight="1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77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 spans="1:26" ht="15.75" customHeight="1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77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 spans="1:26" ht="15.75" customHeight="1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77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 spans="1:26" ht="15.75" customHeight="1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77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 spans="1:26" ht="15.75" customHeight="1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77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 spans="1:26" ht="15.75" customHeight="1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77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 spans="1:26" ht="15.75" customHeight="1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77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 spans="1:26" ht="15.75" customHeight="1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77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spans="1:26" ht="15.75" customHeight="1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77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 spans="1:26" ht="15.75" customHeight="1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77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 spans="1:26" ht="15.75" customHeight="1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77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 spans="1:26" ht="15.75" customHeight="1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77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 spans="1:26" ht="15.75" customHeight="1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77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 spans="1:26" ht="15.75" customHeight="1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77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 spans="1:26" ht="15.75" customHeight="1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77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 spans="1:26" ht="15.75" customHeight="1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77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 spans="1:26" ht="15.75" customHeight="1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77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 spans="1:26" ht="15.75" customHeight="1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77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 spans="1:26" ht="15.75" customHeight="1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77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</row>
    <row r="90" spans="1:26" ht="15.75" customHeight="1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77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</row>
    <row r="91" spans="1:26" ht="15.75" customHeight="1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77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 spans="1:26" ht="15.75" customHeight="1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77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spans="1:26" ht="15.75" customHeight="1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77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</row>
    <row r="94" spans="1:26" ht="15.75" customHeight="1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77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</row>
    <row r="95" spans="1:26" ht="15.75" customHeight="1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77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 spans="1:26" ht="15.75" customHeight="1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77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 spans="1:26" ht="15.75" customHeight="1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77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 spans="1:26" ht="15.75" customHeight="1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77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</row>
    <row r="99" spans="1:26" ht="15.75" customHeight="1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77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 spans="1:26" ht="15.75" customHeight="1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77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</row>
    <row r="101" spans="1:26" ht="15.75" customHeight="1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77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</row>
    <row r="102" spans="1:26" ht="15.75" customHeight="1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77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</row>
    <row r="103" spans="1:26" ht="15.75" customHeight="1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77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</row>
    <row r="104" spans="1:26" ht="15.75" customHeight="1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77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</row>
    <row r="105" spans="1:26" ht="15.75" customHeight="1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77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</row>
    <row r="106" spans="1:26" ht="15.75" customHeight="1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77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</row>
    <row r="107" spans="1:26" ht="15.75" customHeight="1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77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</row>
    <row r="108" spans="1:26" ht="15.75" customHeight="1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77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</row>
    <row r="109" spans="1:26" ht="15.75" customHeight="1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77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</row>
    <row r="110" spans="1:26" ht="15.75" customHeight="1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77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</row>
    <row r="111" spans="1:26" ht="15.75" customHeight="1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77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</row>
    <row r="112" spans="1:26" ht="15.75" customHeight="1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77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</row>
    <row r="113" spans="1:26" ht="15.75" customHeight="1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77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</row>
    <row r="114" spans="1:26" ht="15.75" customHeight="1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77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</row>
    <row r="115" spans="1:26" ht="15.75" customHeight="1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77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</row>
    <row r="116" spans="1:26" ht="15.75" customHeight="1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77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</row>
    <row r="117" spans="1:26" ht="15.75" customHeight="1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77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</row>
    <row r="118" spans="1:26" ht="15.75" customHeight="1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77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</row>
    <row r="119" spans="1:26" ht="15.75" customHeight="1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77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</row>
    <row r="120" spans="1:26" ht="15.75" customHeight="1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77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</row>
    <row r="121" spans="1:26" ht="15.75" customHeight="1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77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</row>
    <row r="122" spans="1:26" ht="15.75" customHeight="1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77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</row>
    <row r="123" spans="1:26" ht="15.75" customHeight="1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77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</row>
    <row r="124" spans="1:26" ht="15.75" customHeight="1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77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</row>
    <row r="125" spans="1:26" ht="15.75" customHeight="1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77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</row>
    <row r="126" spans="1:26" ht="15.75" customHeight="1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77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</row>
    <row r="127" spans="1:26" ht="15.75" customHeight="1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77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</row>
    <row r="128" spans="1:26" ht="15.75" customHeight="1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77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</row>
    <row r="129" spans="1:26" ht="15.75" customHeight="1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77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</row>
    <row r="130" spans="1:26" ht="15.75" customHeight="1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77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</row>
    <row r="131" spans="1:26" ht="15.75" customHeight="1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77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</row>
    <row r="132" spans="1:26" ht="15.75" customHeight="1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77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</row>
    <row r="133" spans="1:26" ht="15.75" customHeight="1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77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</row>
    <row r="134" spans="1:26" ht="15.75" customHeight="1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77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</row>
    <row r="135" spans="1:26" ht="15.75" customHeight="1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77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</row>
    <row r="136" spans="1:26" ht="15.75" customHeight="1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77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</row>
    <row r="137" spans="1:26" ht="15.75" customHeight="1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77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</row>
    <row r="138" spans="1:26" ht="15.75" customHeight="1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77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</row>
    <row r="139" spans="1:26" ht="15.75" customHeight="1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77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</row>
    <row r="140" spans="1:26" ht="15.75" customHeight="1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77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</row>
    <row r="141" spans="1:26" ht="15.75" customHeight="1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77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</row>
    <row r="142" spans="1:26" ht="15.75" customHeight="1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77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</row>
    <row r="143" spans="1:26" ht="15.75" customHeight="1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77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</row>
    <row r="144" spans="1:26" ht="15.75" customHeight="1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77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</row>
    <row r="145" spans="1:26" ht="15.75" customHeight="1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77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</row>
    <row r="146" spans="1:26" ht="15.75" customHeight="1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77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</row>
    <row r="147" spans="1:26" ht="15.75" customHeight="1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77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</row>
    <row r="148" spans="1:26" ht="15.75" customHeight="1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77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</row>
    <row r="149" spans="1:26" ht="15.75" customHeight="1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77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</row>
    <row r="150" spans="1:26" ht="15.75" customHeight="1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77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</row>
    <row r="151" spans="1:26" ht="15.75" customHeight="1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77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</row>
    <row r="152" spans="1:26" ht="15.75" customHeight="1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77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</row>
    <row r="153" spans="1:26" ht="15.75" customHeight="1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77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</row>
    <row r="154" spans="1:26" ht="15.75" customHeight="1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77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</row>
    <row r="155" spans="1:26" ht="15.75" customHeight="1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77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</row>
    <row r="156" spans="1:26" ht="15.75" customHeight="1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77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</row>
    <row r="157" spans="1:26" ht="15.75" customHeight="1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77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</row>
    <row r="158" spans="1:26" ht="15.75" customHeight="1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77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</row>
    <row r="159" spans="1:26" ht="15.75" customHeight="1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77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</row>
    <row r="160" spans="1:26" ht="15.75" customHeight="1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77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</row>
    <row r="161" spans="1:26" ht="15.75" customHeight="1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77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</row>
    <row r="162" spans="1:26" ht="15.75" customHeight="1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77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</row>
    <row r="163" spans="1:26" ht="15.75" customHeight="1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77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</row>
    <row r="164" spans="1:26" ht="15.75" customHeight="1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77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</row>
    <row r="165" spans="1:26" ht="15.75" customHeight="1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77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</row>
    <row r="166" spans="1:26" ht="15.75" customHeight="1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77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</row>
    <row r="167" spans="1:26" ht="15.75" customHeight="1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77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</row>
    <row r="168" spans="1:26" ht="15.75" customHeight="1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77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</row>
    <row r="169" spans="1:26" ht="15.75" customHeight="1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77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</row>
    <row r="170" spans="1:26" ht="15.75" customHeight="1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77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</row>
    <row r="171" spans="1:26" ht="15.75" customHeight="1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77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</row>
    <row r="172" spans="1:26" ht="15.75" customHeight="1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77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</row>
    <row r="173" spans="1:26" ht="15.75" customHeight="1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77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</row>
    <row r="174" spans="1:26" ht="15.75" customHeight="1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77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</row>
    <row r="175" spans="1:26" ht="15.75" customHeight="1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77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</row>
    <row r="176" spans="1:26" ht="15.75" customHeight="1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77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</row>
    <row r="177" spans="1:26" ht="15.75" customHeight="1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77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</row>
    <row r="178" spans="1:26" ht="15.75" customHeight="1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77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</row>
    <row r="179" spans="1:26" ht="15.75" customHeight="1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77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</row>
    <row r="180" spans="1:26" ht="15.75" customHeight="1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77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</row>
    <row r="181" spans="1:26" ht="15.75" customHeight="1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77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</row>
    <row r="182" spans="1:26" ht="15.75" customHeight="1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77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</row>
    <row r="183" spans="1:26" ht="15.75" customHeight="1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77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</row>
    <row r="184" spans="1:26" ht="15.75" customHeight="1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77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</row>
    <row r="185" spans="1:26" ht="15.75" customHeight="1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77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</row>
    <row r="186" spans="1:26" ht="15.75" customHeight="1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77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</row>
    <row r="187" spans="1:26" ht="15.75" customHeight="1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77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</row>
    <row r="188" spans="1:26" ht="15.75" customHeight="1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77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</row>
    <row r="189" spans="1:26" ht="15.75" customHeight="1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77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</row>
    <row r="190" spans="1:26" ht="15.75" customHeight="1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77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</row>
    <row r="191" spans="1:26" ht="15.75" customHeight="1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77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</row>
    <row r="192" spans="1:26" ht="15.75" customHeight="1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77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</row>
    <row r="193" spans="1:26" ht="15.75" customHeight="1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77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</row>
    <row r="194" spans="1:26" ht="15.75" customHeight="1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77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</row>
    <row r="195" spans="1:26" ht="15.75" customHeight="1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77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</row>
    <row r="196" spans="1:26" ht="15.75" customHeight="1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77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</row>
    <row r="197" spans="1:26" ht="15.75" customHeight="1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77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</row>
    <row r="198" spans="1:26" ht="15.75" customHeight="1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77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</row>
    <row r="199" spans="1:26" ht="15.75" customHeight="1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77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</row>
    <row r="200" spans="1:26" ht="15.75" customHeight="1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77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</row>
    <row r="201" spans="1:26" ht="15.75" customHeight="1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77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</row>
    <row r="202" spans="1:26" ht="15.75" customHeight="1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77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</row>
    <row r="203" spans="1:26" ht="15.75" customHeight="1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77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</row>
    <row r="204" spans="1:26" ht="15.75" customHeight="1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77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</row>
    <row r="205" spans="1:26" ht="15.75" customHeight="1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77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</row>
    <row r="206" spans="1:26" ht="15.75" customHeight="1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77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</row>
    <row r="207" spans="1:26" ht="15.75" customHeight="1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77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</row>
    <row r="208" spans="1:26" ht="15.75" customHeight="1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77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</row>
    <row r="209" spans="1:26" ht="15.75" customHeight="1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77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</row>
    <row r="210" spans="1:26" ht="15.75" customHeight="1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77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</row>
    <row r="211" spans="1:26" ht="15.75" customHeight="1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77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</row>
    <row r="212" spans="1:26" ht="15.75" customHeight="1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77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</row>
    <row r="213" spans="1:26" ht="15.75" customHeight="1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77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</row>
    <row r="214" spans="1:26" ht="15.75" customHeight="1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77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</row>
    <row r="215" spans="1:26" ht="15.75" customHeight="1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77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</row>
    <row r="216" spans="1:26" ht="15.75" customHeight="1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77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</row>
    <row r="217" spans="1:26" ht="15.75" customHeight="1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77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</row>
    <row r="218" spans="1:26" ht="15.75" customHeight="1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77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</row>
    <row r="219" spans="1:26" ht="15.75" customHeight="1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77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</row>
    <row r="220" spans="1:26" ht="15.75" customHeight="1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77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</row>
    <row r="221" spans="1:26" ht="15.75" customHeight="1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77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</row>
    <row r="222" spans="1:26" ht="15.75" customHeight="1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77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</row>
    <row r="223" spans="1:26" ht="15.75" customHeight="1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77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</row>
    <row r="224" spans="1:26" ht="15.75" customHeight="1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77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</row>
    <row r="225" spans="1:26" ht="15.75" customHeight="1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77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</row>
    <row r="226" spans="1:26" ht="15.75" customHeight="1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77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</row>
    <row r="227" spans="1:26" ht="15.75" customHeight="1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77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</row>
    <row r="228" spans="1:26" ht="15.75" customHeight="1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77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</row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1333-3132-40EC-A904-3DCA8FBDB3C6}">
  <dimension ref="B2:I32"/>
  <sheetViews>
    <sheetView topLeftCell="A15" workbookViewId="0">
      <selection activeCell="K22" sqref="K22"/>
    </sheetView>
  </sheetViews>
  <sheetFormatPr defaultRowHeight="14.5"/>
  <cols>
    <col min="1" max="16384" width="8.7265625" style="17"/>
  </cols>
  <sheetData>
    <row r="2" spans="2:9">
      <c r="B2" s="17" t="s">
        <v>109</v>
      </c>
      <c r="E2" s="17" t="s">
        <v>112</v>
      </c>
      <c r="H2" s="17" t="s">
        <v>113</v>
      </c>
    </row>
    <row r="3" spans="2:9">
      <c r="B3" s="17" t="s">
        <v>110</v>
      </c>
      <c r="C3" s="17" t="s">
        <v>111</v>
      </c>
      <c r="E3" s="17" t="s">
        <v>110</v>
      </c>
      <c r="F3" s="17" t="s">
        <v>111</v>
      </c>
      <c r="H3" s="17" t="s">
        <v>110</v>
      </c>
      <c r="I3" s="17" t="s">
        <v>111</v>
      </c>
    </row>
    <row r="4" spans="2:9">
      <c r="B4" s="17">
        <v>0</v>
      </c>
      <c r="C4" s="17">
        <v>0</v>
      </c>
      <c r="E4" s="17">
        <v>0</v>
      </c>
      <c r="F4" s="17">
        <v>0</v>
      </c>
      <c r="H4" s="17">
        <v>0</v>
      </c>
      <c r="I4" s="17">
        <v>0</v>
      </c>
    </row>
    <row r="5" spans="2:9">
      <c r="B5" s="17">
        <v>3.5716900000000003E-2</v>
      </c>
      <c r="C5" s="17">
        <v>5.0478199999999997E-3</v>
      </c>
      <c r="E5" s="17">
        <v>3.5718199999999999E-2</v>
      </c>
      <c r="F5" s="17">
        <v>6.59283E-3</v>
      </c>
      <c r="H5" s="17">
        <v>3.5723600000000001E-2</v>
      </c>
      <c r="I5" s="17">
        <v>4.5325699999999997E-3</v>
      </c>
    </row>
    <row r="6" spans="2:9">
      <c r="B6" s="17">
        <v>7.1433200000000002E-2</v>
      </c>
      <c r="C6" s="17">
        <v>1.8331799999999999E-2</v>
      </c>
      <c r="E6" s="17">
        <v>7.1436100000000002E-2</v>
      </c>
      <c r="F6" s="17">
        <v>2.3824700000000001E-2</v>
      </c>
      <c r="H6" s="17">
        <v>7.1447099999999999E-2</v>
      </c>
      <c r="I6" s="17">
        <v>1.58709E-2</v>
      </c>
    </row>
    <row r="7" spans="2:9">
      <c r="B7" s="17">
        <v>0.10714899999999999</v>
      </c>
      <c r="C7" s="17">
        <v>3.8590399999999997E-2</v>
      </c>
      <c r="E7" s="17">
        <v>0.107154</v>
      </c>
      <c r="F7" s="17">
        <v>5.00904E-2</v>
      </c>
      <c r="H7" s="17">
        <v>0.10717</v>
      </c>
      <c r="I7" s="17">
        <v>3.3293200000000002E-2</v>
      </c>
    </row>
    <row r="8" spans="2:9">
      <c r="B8" s="17">
        <v>0.14286499999999999</v>
      </c>
      <c r="C8" s="17">
        <v>6.4445000000000002E-2</v>
      </c>
      <c r="E8" s="17">
        <v>0.142871</v>
      </c>
      <c r="F8" s="17">
        <v>8.3666500000000005E-2</v>
      </c>
      <c r="H8" s="17">
        <v>0.14289299999999999</v>
      </c>
      <c r="I8" s="17">
        <v>5.5966000000000002E-2</v>
      </c>
    </row>
    <row r="9" spans="2:9">
      <c r="B9" s="17">
        <v>0.17857999999999999</v>
      </c>
      <c r="C9" s="17">
        <v>9.4621200000000003E-2</v>
      </c>
      <c r="E9" s="17">
        <v>0.178588</v>
      </c>
      <c r="F9" s="17">
        <v>0.123128</v>
      </c>
      <c r="H9" s="17">
        <v>0.178615</v>
      </c>
      <c r="I9" s="17">
        <v>8.3407200000000001E-2</v>
      </c>
    </row>
    <row r="10" spans="2:9">
      <c r="B10" s="17">
        <v>0.21429500000000001</v>
      </c>
      <c r="C10" s="17">
        <v>0.12795899999999999</v>
      </c>
      <c r="E10" s="17">
        <v>0.214305</v>
      </c>
      <c r="F10" s="17">
        <v>0.16722500000000001</v>
      </c>
      <c r="H10" s="17">
        <v>0.214337</v>
      </c>
      <c r="I10" s="17">
        <v>0.115358</v>
      </c>
    </row>
    <row r="11" spans="2:9">
      <c r="B11" s="17">
        <v>0.25000899999999998</v>
      </c>
      <c r="C11" s="17">
        <v>0.163415</v>
      </c>
      <c r="E11" s="17">
        <v>0.25002099999999999</v>
      </c>
      <c r="F11" s="17">
        <v>0.21481800000000001</v>
      </c>
      <c r="H11" s="17">
        <v>0.25005699999999997</v>
      </c>
      <c r="I11" s="17">
        <v>0.15171100000000001</v>
      </c>
    </row>
    <row r="12" spans="2:9">
      <c r="B12" s="17">
        <v>0.28572399999999998</v>
      </c>
      <c r="C12" s="17">
        <v>0.200068</v>
      </c>
      <c r="E12" s="17">
        <v>0.28573599999999999</v>
      </c>
      <c r="F12" s="17">
        <v>0.26488200000000001</v>
      </c>
      <c r="H12" s="17">
        <v>0.28577799999999998</v>
      </c>
      <c r="I12" s="17">
        <v>0.192494</v>
      </c>
    </row>
    <row r="13" spans="2:9">
      <c r="B13" s="17">
        <v>0.321438</v>
      </c>
      <c r="C13" s="17">
        <v>0.23711099999999999</v>
      </c>
      <c r="E13" s="17">
        <v>0.32145200000000002</v>
      </c>
      <c r="F13" s="17">
        <v>0.31650600000000001</v>
      </c>
      <c r="H13" s="17">
        <v>0.32149699999999998</v>
      </c>
      <c r="I13" s="17">
        <v>0.23785800000000001</v>
      </c>
    </row>
    <row r="14" spans="2:9">
      <c r="B14" s="17">
        <v>0.357153</v>
      </c>
      <c r="C14" s="17">
        <v>0.27385500000000002</v>
      </c>
      <c r="E14" s="17">
        <v>0.35716700000000001</v>
      </c>
      <c r="F14" s="17">
        <v>0.36889499999999997</v>
      </c>
      <c r="H14" s="17">
        <v>0.35721700000000001</v>
      </c>
      <c r="I14" s="17">
        <v>0.28805399999999998</v>
      </c>
    </row>
    <row r="15" spans="2:9">
      <c r="B15" s="17">
        <v>0.39286700000000002</v>
      </c>
      <c r="C15" s="17">
        <v>0.30971900000000002</v>
      </c>
      <c r="E15" s="17">
        <v>0.39288200000000001</v>
      </c>
      <c r="F15" s="17">
        <v>0.42136200000000001</v>
      </c>
      <c r="H15" s="17">
        <v>0.39293499999999998</v>
      </c>
      <c r="I15" s="17">
        <v>0.34340599999999999</v>
      </c>
    </row>
    <row r="16" spans="2:9">
      <c r="B16" s="17">
        <v>0.42858099999999999</v>
      </c>
      <c r="C16" s="17">
        <v>0.34422999999999998</v>
      </c>
      <c r="E16" s="17">
        <v>0.42859599999999998</v>
      </c>
      <c r="F16" s="17">
        <v>0.473329</v>
      </c>
      <c r="H16" s="17">
        <v>0.42865399999999998</v>
      </c>
      <c r="I16" s="17">
        <v>0.40427800000000003</v>
      </c>
    </row>
    <row r="17" spans="2:9">
      <c r="B17" s="17">
        <v>0.46429500000000001</v>
      </c>
      <c r="C17" s="17">
        <v>0.37701000000000001</v>
      </c>
      <c r="E17" s="17">
        <v>0.46431099999999997</v>
      </c>
      <c r="F17" s="17">
        <v>0.524312</v>
      </c>
      <c r="H17" s="17">
        <v>0.46437200000000001</v>
      </c>
      <c r="I17" s="17">
        <v>0.47104099999999999</v>
      </c>
    </row>
    <row r="18" spans="2:9">
      <c r="B18" s="17">
        <v>0.50000900000000004</v>
      </c>
      <c r="C18" s="17">
        <v>0.40777400000000003</v>
      </c>
      <c r="E18" s="17">
        <v>0.50002500000000005</v>
      </c>
      <c r="F18" s="17">
        <v>0.57392299999999996</v>
      </c>
      <c r="H18" s="17">
        <v>0.50008900000000001</v>
      </c>
      <c r="I18" s="17">
        <v>0.54403400000000002</v>
      </c>
    </row>
    <row r="19" spans="2:9">
      <c r="B19" s="17">
        <v>0.53572299999999995</v>
      </c>
      <c r="C19" s="17">
        <v>0.43631500000000001</v>
      </c>
      <c r="E19" s="17">
        <v>0.53573899999999997</v>
      </c>
      <c r="F19" s="17">
        <v>0.62185299999999999</v>
      </c>
      <c r="H19" s="17">
        <v>0.53580700000000003</v>
      </c>
      <c r="I19" s="17">
        <v>0.62352799999999997</v>
      </c>
    </row>
    <row r="20" spans="2:9">
      <c r="B20" s="17">
        <v>0.57143600000000006</v>
      </c>
      <c r="C20" s="17">
        <v>0.46250200000000002</v>
      </c>
      <c r="E20" s="17">
        <v>0.57145400000000002</v>
      </c>
      <c r="F20" s="17">
        <v>0.66786699999999999</v>
      </c>
      <c r="H20" s="17">
        <v>0.57152599999999998</v>
      </c>
      <c r="I20" s="17">
        <v>0.70969700000000002</v>
      </c>
    </row>
    <row r="21" spans="2:9">
      <c r="B21" s="17">
        <v>0.60714999999999997</v>
      </c>
      <c r="C21" s="17">
        <v>0.48626399999999997</v>
      </c>
      <c r="E21" s="17">
        <v>0.60716700000000001</v>
      </c>
      <c r="F21" s="17">
        <v>0.71179300000000001</v>
      </c>
      <c r="H21" s="17">
        <v>0.60724400000000001</v>
      </c>
      <c r="I21" s="17">
        <v>0.80258099999999999</v>
      </c>
    </row>
    <row r="22" spans="2:9">
      <c r="B22" s="17">
        <v>0.64286399999999999</v>
      </c>
      <c r="C22" s="17">
        <v>0.50758499999999995</v>
      </c>
      <c r="E22" s="17">
        <v>0.64288100000000004</v>
      </c>
      <c r="F22" s="17">
        <v>0.75343300000000002</v>
      </c>
      <c r="H22" s="17">
        <v>0.64296299999999995</v>
      </c>
      <c r="I22" s="17">
        <v>0.90195700000000001</v>
      </c>
    </row>
    <row r="23" spans="2:9">
      <c r="B23" s="17">
        <v>0.67857800000000001</v>
      </c>
      <c r="C23" s="17">
        <v>0.52649000000000001</v>
      </c>
      <c r="E23" s="17">
        <v>0.67859499999999995</v>
      </c>
      <c r="F23" s="17">
        <v>0.79255699999999996</v>
      </c>
      <c r="H23" s="17">
        <v>0.67868300000000004</v>
      </c>
      <c r="I23" s="17">
        <v>1.00729</v>
      </c>
    </row>
    <row r="24" spans="2:9">
      <c r="B24" s="17">
        <v>0.71429100000000001</v>
      </c>
      <c r="C24" s="17">
        <v>0.54303900000000005</v>
      </c>
      <c r="E24" s="17">
        <v>0.71430800000000005</v>
      </c>
      <c r="F24" s="17">
        <v>0.82897600000000005</v>
      </c>
      <c r="H24" s="17">
        <v>0.71440300000000001</v>
      </c>
      <c r="I24" s="17">
        <v>1.11748</v>
      </c>
    </row>
    <row r="25" spans="2:9">
      <c r="B25" s="17">
        <v>0.75000500000000003</v>
      </c>
      <c r="C25" s="17">
        <v>0.55731399999999998</v>
      </c>
      <c r="E25" s="17">
        <v>0.75002199999999997</v>
      </c>
      <c r="F25" s="17">
        <v>0.86253400000000002</v>
      </c>
      <c r="H25" s="17">
        <v>0.75012299999999998</v>
      </c>
      <c r="I25" s="17">
        <v>1.2306999999999999</v>
      </c>
    </row>
    <row r="26" spans="2:9">
      <c r="B26" s="17">
        <v>0.78571899999999995</v>
      </c>
      <c r="C26" s="17">
        <v>0.569411</v>
      </c>
      <c r="E26" s="17">
        <v>0.78573499999999996</v>
      </c>
      <c r="F26" s="17">
        <v>0.89303600000000005</v>
      </c>
      <c r="H26" s="17">
        <v>0.78583999999999998</v>
      </c>
      <c r="I26" s="17">
        <v>1.3444100000000001</v>
      </c>
    </row>
    <row r="27" spans="2:9">
      <c r="B27" s="17">
        <v>0.82143200000000005</v>
      </c>
      <c r="C27" s="17">
        <v>0.57943199999999995</v>
      </c>
      <c r="E27" s="17">
        <v>0.82144700000000004</v>
      </c>
      <c r="F27" s="17">
        <v>0.92008400000000001</v>
      </c>
      <c r="H27" s="17">
        <v>0.82155299999999998</v>
      </c>
      <c r="I27" s="17">
        <v>1.45502</v>
      </c>
    </row>
    <row r="28" spans="2:9">
      <c r="B28" s="17">
        <v>0.85714599999999996</v>
      </c>
      <c r="C28" s="17">
        <v>0.58747700000000003</v>
      </c>
      <c r="E28" s="17">
        <v>0.857159</v>
      </c>
      <c r="F28" s="17">
        <v>0.94314500000000001</v>
      </c>
      <c r="H28" s="17">
        <v>0.85726000000000002</v>
      </c>
      <c r="I28" s="17">
        <v>1.55799</v>
      </c>
    </row>
    <row r="29" spans="2:9">
      <c r="B29" s="17">
        <v>0.89285899999999996</v>
      </c>
      <c r="C29" s="17">
        <v>0.59363600000000005</v>
      </c>
      <c r="E29" s="17">
        <v>0.89287000000000005</v>
      </c>
      <c r="F29" s="17">
        <v>0.96172500000000005</v>
      </c>
      <c r="H29" s="17">
        <v>0.89295899999999995</v>
      </c>
      <c r="I29" s="17">
        <v>1.6478600000000001</v>
      </c>
    </row>
    <row r="30" spans="2:9">
      <c r="B30" s="17">
        <v>0.92857299999999998</v>
      </c>
      <c r="C30" s="17">
        <v>0.59798399999999996</v>
      </c>
      <c r="E30" s="17">
        <v>0.92857999999999996</v>
      </c>
      <c r="F30" s="17">
        <v>0.97538499999999995</v>
      </c>
      <c r="H30" s="17">
        <v>0.92864800000000003</v>
      </c>
      <c r="I30" s="17">
        <v>1.7186399999999999</v>
      </c>
    </row>
    <row r="31" spans="2:9">
      <c r="B31" s="17">
        <v>0.96428599999999998</v>
      </c>
      <c r="C31" s="17">
        <v>0.60057799999999995</v>
      </c>
      <c r="E31" s="17">
        <v>0.96428999999999998</v>
      </c>
      <c r="F31" s="17">
        <v>0.98377300000000001</v>
      </c>
      <c r="H31" s="17">
        <v>0.96432700000000005</v>
      </c>
      <c r="I31" s="17">
        <v>1.7644500000000001</v>
      </c>
    </row>
    <row r="32" spans="2:9">
      <c r="B32" s="17">
        <v>1</v>
      </c>
      <c r="C32" s="17">
        <v>0.60144600000000004</v>
      </c>
      <c r="E32" s="17">
        <v>1</v>
      </c>
      <c r="F32" s="17">
        <v>0.98661600000000005</v>
      </c>
      <c r="H32" s="17">
        <v>1</v>
      </c>
      <c r="I32" s="17">
        <v>1.7804199999999999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D7D79-90F4-4BD0-9485-ACE7D0C75BA0}">
  <dimension ref="B3:W9"/>
  <sheetViews>
    <sheetView workbookViewId="0">
      <selection activeCell="G5" sqref="G5:G9"/>
    </sheetView>
  </sheetViews>
  <sheetFormatPr defaultRowHeight="14.5"/>
  <cols>
    <col min="19" max="19" width="18.453125" bestFit="1" customWidth="1"/>
  </cols>
  <sheetData>
    <row r="3" spans="2:23" ht="15.5">
      <c r="N3" s="159" t="s">
        <v>94</v>
      </c>
      <c r="O3" s="160"/>
      <c r="P3" s="160"/>
      <c r="Q3" s="161"/>
    </row>
    <row r="4" spans="2:23" ht="42">
      <c r="B4" s="25" t="s">
        <v>87</v>
      </c>
      <c r="C4" s="25" t="s">
        <v>15</v>
      </c>
      <c r="D4" s="25" t="s">
        <v>17</v>
      </c>
      <c r="E4" s="25" t="s">
        <v>18</v>
      </c>
      <c r="F4" s="25" t="s">
        <v>88</v>
      </c>
      <c r="G4" s="25" t="s">
        <v>20</v>
      </c>
      <c r="H4" s="26" t="s">
        <v>89</v>
      </c>
      <c r="I4" s="25" t="s">
        <v>90</v>
      </c>
      <c r="J4" s="27" t="s">
        <v>23</v>
      </c>
      <c r="K4" s="30" t="s">
        <v>91</v>
      </c>
      <c r="L4" s="30" t="s">
        <v>92</v>
      </c>
      <c r="M4" s="30" t="s">
        <v>93</v>
      </c>
      <c r="N4" s="28">
        <v>1</v>
      </c>
      <c r="O4" s="28">
        <v>2</v>
      </c>
      <c r="P4" s="28">
        <v>3</v>
      </c>
      <c r="Q4" s="28">
        <v>4</v>
      </c>
      <c r="S4" s="39" t="s">
        <v>95</v>
      </c>
      <c r="T4" s="36"/>
      <c r="U4" s="36"/>
      <c r="V4" s="36"/>
      <c r="W4" s="37"/>
    </row>
    <row r="5" spans="2:23" ht="15.5">
      <c r="B5" s="22">
        <v>1</v>
      </c>
      <c r="C5" s="22">
        <v>500</v>
      </c>
      <c r="D5" s="23">
        <v>5</v>
      </c>
      <c r="E5" s="23">
        <v>6</v>
      </c>
      <c r="F5" s="23">
        <v>83</v>
      </c>
      <c r="G5" s="22">
        <f>C5/D5</f>
        <v>100</v>
      </c>
      <c r="H5" s="24">
        <v>207000</v>
      </c>
      <c r="I5" s="22">
        <v>303.5</v>
      </c>
      <c r="J5" s="22">
        <v>0.28000000000000003</v>
      </c>
      <c r="K5" s="31">
        <f>(2/(3*(1-J5^2))^0.5)*(H5*D5^2)/(C5^2)</f>
        <v>24.898230358802611</v>
      </c>
      <c r="L5" s="31">
        <f>0.3652*(H5*D5^2)/(C5^2)</f>
        <v>7.5596400000000008</v>
      </c>
      <c r="M5" s="31">
        <f>0.359*H5*(D5/C5)^2</f>
        <v>7.4313000000000002</v>
      </c>
      <c r="N5" s="29">
        <v>53.6</v>
      </c>
      <c r="O5" s="29">
        <v>26.463000000000001</v>
      </c>
      <c r="P5" s="29">
        <v>54.244999999999997</v>
      </c>
      <c r="Q5" s="29">
        <v>21.015000000000001</v>
      </c>
      <c r="S5" s="36"/>
      <c r="T5" s="36"/>
      <c r="U5" s="36"/>
      <c r="V5" s="36"/>
      <c r="W5" s="37"/>
    </row>
    <row r="6" spans="2:23" ht="15.5">
      <c r="B6" s="22">
        <v>2</v>
      </c>
      <c r="C6" s="22">
        <v>500</v>
      </c>
      <c r="D6" s="22">
        <v>2</v>
      </c>
      <c r="E6" s="23">
        <v>6</v>
      </c>
      <c r="F6" s="23">
        <v>83</v>
      </c>
      <c r="G6" s="22">
        <f>C6/D6</f>
        <v>250</v>
      </c>
      <c r="H6" s="24">
        <v>207000</v>
      </c>
      <c r="I6" s="22">
        <v>303.5</v>
      </c>
      <c r="J6" s="22">
        <v>0.28000000000000003</v>
      </c>
      <c r="K6" s="31">
        <f>(2/(3*(1-J6^2))^0.5)*(H6*D6^2)/(C6^2)</f>
        <v>3.9837168574084174</v>
      </c>
      <c r="L6" s="31">
        <f>0.3652*(H6*D6^2)/(C6^2)</f>
        <v>1.2095424000000001</v>
      </c>
      <c r="M6" s="31">
        <f>0.359*H6*(D6/C6)^2</f>
        <v>1.1890079999999998</v>
      </c>
      <c r="N6" s="29">
        <v>3.7322000000000002</v>
      </c>
      <c r="O6" s="29">
        <v>3.0587</v>
      </c>
      <c r="P6" s="29">
        <v>3.1128999999999998</v>
      </c>
      <c r="Q6" s="29">
        <v>2.1899000000000002</v>
      </c>
      <c r="S6" s="38" t="s">
        <v>96</v>
      </c>
      <c r="T6" s="23">
        <v>1768</v>
      </c>
      <c r="U6" s="23">
        <v>4873</v>
      </c>
      <c r="V6" s="38">
        <v>6897</v>
      </c>
      <c r="W6" s="23">
        <v>10962</v>
      </c>
    </row>
    <row r="7" spans="2:23" ht="15.5">
      <c r="B7" s="23">
        <v>3</v>
      </c>
      <c r="C7" s="22">
        <v>500</v>
      </c>
      <c r="D7" s="22">
        <v>1.25</v>
      </c>
      <c r="E7" s="23">
        <v>6</v>
      </c>
      <c r="F7" s="23">
        <v>83</v>
      </c>
      <c r="G7" s="22">
        <f>C7/D7</f>
        <v>400</v>
      </c>
      <c r="H7" s="24">
        <v>207000</v>
      </c>
      <c r="I7" s="22">
        <v>303.5</v>
      </c>
      <c r="J7" s="22">
        <v>0.28000000000000003</v>
      </c>
      <c r="K7" s="31">
        <f>(2/(3*(1-J7^2))^0.5)*(H7*D7^2)/(C7^2)</f>
        <v>1.5561393974251632</v>
      </c>
      <c r="L7" s="31">
        <f>0.3652*(H7*D7^2)/(C7^2)</f>
        <v>0.47247750000000005</v>
      </c>
      <c r="M7" s="31">
        <f>0.359*H7*(D7/C7)^2</f>
        <v>0.46445625000000001</v>
      </c>
      <c r="N7" s="29">
        <v>1.1556999999999999</v>
      </c>
      <c r="O7" s="29">
        <v>1.0931</v>
      </c>
      <c r="P7" s="29">
        <v>0.92906</v>
      </c>
      <c r="Q7" s="29">
        <v>0.79073000000000004</v>
      </c>
      <c r="S7" s="23" t="s">
        <v>94</v>
      </c>
      <c r="T7" s="23">
        <v>0.70026999999999995</v>
      </c>
      <c r="U7" s="23">
        <v>0.69845999999999997</v>
      </c>
      <c r="V7" s="38">
        <v>0.69816999999999996</v>
      </c>
      <c r="W7" s="23">
        <v>0.69789000000000001</v>
      </c>
    </row>
    <row r="8" spans="2:23" ht="15.5">
      <c r="B8" s="22">
        <v>4</v>
      </c>
      <c r="C8" s="22">
        <v>500</v>
      </c>
      <c r="D8" s="22">
        <v>1</v>
      </c>
      <c r="E8" s="23">
        <v>6</v>
      </c>
      <c r="F8" s="23">
        <v>83</v>
      </c>
      <c r="G8" s="22">
        <f>C8/D8</f>
        <v>500</v>
      </c>
      <c r="H8" s="24">
        <v>207000</v>
      </c>
      <c r="I8" s="22">
        <v>303.5</v>
      </c>
      <c r="J8" s="22">
        <v>0.28000000000000003</v>
      </c>
      <c r="K8" s="31">
        <f>(2/(3*(1-J8^2))^0.5)*(H8*D8^2)/(C8^2)</f>
        <v>0.99592921435210435</v>
      </c>
      <c r="L8" s="31">
        <f>0.3652*(H8*D8^2)/(C8^2)</f>
        <v>0.30238560000000003</v>
      </c>
      <c r="M8" s="31">
        <f>0.359*H8*(D8/C8)^2</f>
        <v>0.29725199999999996</v>
      </c>
      <c r="N8" s="29">
        <v>0.69845999999999997</v>
      </c>
      <c r="O8" s="29">
        <v>0.6986</v>
      </c>
      <c r="P8" s="29">
        <v>0.55483000000000005</v>
      </c>
      <c r="Q8" s="29">
        <v>0.48891000000000001</v>
      </c>
    </row>
    <row r="9" spans="2:23" ht="15.5">
      <c r="B9" s="22">
        <v>5</v>
      </c>
      <c r="C9" s="22">
        <v>500</v>
      </c>
      <c r="D9" s="22">
        <v>0.5</v>
      </c>
      <c r="E9" s="23">
        <v>6</v>
      </c>
      <c r="F9" s="23">
        <v>83</v>
      </c>
      <c r="G9" s="22">
        <f>C9/D9</f>
        <v>1000</v>
      </c>
      <c r="H9" s="24">
        <v>207000</v>
      </c>
      <c r="I9" s="22">
        <v>303.5</v>
      </c>
      <c r="J9" s="22">
        <v>0.28000000000000003</v>
      </c>
      <c r="K9" s="31">
        <f>(2/(3*(1-J9^2))^0.5)*(H9*D9^2)/(C9^2)</f>
        <v>0.24898230358802609</v>
      </c>
      <c r="L9" s="31">
        <f>0.3652*(H9*D9^2)/(C9^2)</f>
        <v>7.5596400000000008E-2</v>
      </c>
      <c r="M9" s="31">
        <f>0.359*H9*(D9/C9)^2</f>
        <v>7.431299999999999E-2</v>
      </c>
      <c r="N9" s="29">
        <v>0.1479</v>
      </c>
      <c r="O9" s="29">
        <v>0.14746000000000001</v>
      </c>
      <c r="P9" s="29">
        <v>0.11792</v>
      </c>
      <c r="Q9" s="29">
        <v>0.11072</v>
      </c>
    </row>
  </sheetData>
  <mergeCells count="1">
    <mergeCell ref="N3:Q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4537-B89C-456C-AFC8-A679918A92FA}">
  <dimension ref="B3:AD51"/>
  <sheetViews>
    <sheetView zoomScale="55" zoomScaleNormal="55" workbookViewId="0">
      <selection activeCell="AF12" sqref="AF12"/>
    </sheetView>
  </sheetViews>
  <sheetFormatPr defaultRowHeight="14.5"/>
  <cols>
    <col min="30" max="30" width="25.26953125" customWidth="1"/>
  </cols>
  <sheetData>
    <row r="3" spans="2:30" ht="46.5">
      <c r="B3" s="33" t="s">
        <v>13</v>
      </c>
      <c r="C3" s="33" t="s">
        <v>14</v>
      </c>
      <c r="D3" s="33" t="s">
        <v>15</v>
      </c>
      <c r="E3" s="33" t="s">
        <v>16</v>
      </c>
      <c r="F3" s="33" t="s">
        <v>17</v>
      </c>
      <c r="G3" s="33" t="s">
        <v>18</v>
      </c>
      <c r="H3" s="33" t="s">
        <v>19</v>
      </c>
      <c r="I3" s="33" t="s">
        <v>20</v>
      </c>
      <c r="J3" s="3" t="s">
        <v>21</v>
      </c>
      <c r="K3" s="4" t="s">
        <v>22</v>
      </c>
      <c r="L3" s="3" t="s">
        <v>23</v>
      </c>
      <c r="M3" s="3" t="s">
        <v>24</v>
      </c>
      <c r="N3" s="3" t="s">
        <v>25</v>
      </c>
      <c r="O3" s="3" t="s">
        <v>26</v>
      </c>
      <c r="P3" s="3" t="s">
        <v>27</v>
      </c>
      <c r="Q3" s="3" t="s">
        <v>28</v>
      </c>
      <c r="R3" s="3" t="s">
        <v>29</v>
      </c>
      <c r="S3" s="3" t="s">
        <v>30</v>
      </c>
      <c r="T3" s="5" t="s">
        <v>31</v>
      </c>
      <c r="U3" s="5" t="s">
        <v>75</v>
      </c>
      <c r="V3" s="5" t="s">
        <v>32</v>
      </c>
      <c r="W3" s="5" t="s">
        <v>33</v>
      </c>
      <c r="X3" s="5" t="s">
        <v>34</v>
      </c>
      <c r="Y3" s="62" t="s">
        <v>101</v>
      </c>
      <c r="Z3" s="62" t="s">
        <v>139</v>
      </c>
      <c r="AA3" s="70" t="s">
        <v>140</v>
      </c>
      <c r="AB3" s="38" t="s">
        <v>141</v>
      </c>
      <c r="AC3" s="38" t="s">
        <v>145</v>
      </c>
      <c r="AD3" s="75" t="s">
        <v>35</v>
      </c>
    </row>
    <row r="4" spans="2:30" ht="15.5">
      <c r="B4" s="9">
        <v>1</v>
      </c>
      <c r="C4" s="9" t="s">
        <v>36</v>
      </c>
      <c r="D4" s="9">
        <v>58.84</v>
      </c>
      <c r="E4" s="9">
        <v>58.84</v>
      </c>
      <c r="F4" s="32">
        <f>D4/$I$4</f>
        <v>0.23536000000000001</v>
      </c>
      <c r="G4" s="8">
        <v>58.84</v>
      </c>
      <c r="H4" s="8">
        <f>G4/E4</f>
        <v>1</v>
      </c>
      <c r="I4" s="8">
        <v>250</v>
      </c>
      <c r="J4" s="6">
        <v>200</v>
      </c>
      <c r="K4" s="6">
        <v>193000</v>
      </c>
      <c r="L4" s="6">
        <v>0.28000000000000003</v>
      </c>
      <c r="M4" s="6">
        <f t="shared" ref="M4:M51" si="0">4*(SQRT(D4*F4))</f>
        <v>14.885473401944596</v>
      </c>
      <c r="N4" s="6">
        <v>1.6E-2</v>
      </c>
      <c r="O4" s="1">
        <f t="shared" ref="O4:O51" si="1">N4*M4</f>
        <v>0.23816757443111355</v>
      </c>
      <c r="P4" s="1">
        <f t="shared" ref="P4:P51" si="2">O4/F4</f>
        <v>1.0119288512538815</v>
      </c>
      <c r="Q4" s="1">
        <f t="shared" ref="Q4:Q51" si="3">((2*K4)/(SQRT(3*(1-L4^2))))*(F4/D4)^2</f>
        <v>3.7142867317865922</v>
      </c>
      <c r="R4" s="1">
        <f t="shared" ref="R4:R51" si="4">(2*J4)*(F4/D4)</f>
        <v>1.6</v>
      </c>
      <c r="S4" s="1">
        <f t="shared" ref="S4:S51" si="5">1/((1/(0.3*Q4)^2+1/(R4)^2)^0.5)</f>
        <v>0.91439017469420802</v>
      </c>
      <c r="T4" s="1">
        <v>1.42502</v>
      </c>
      <c r="U4" s="2"/>
      <c r="V4" s="2">
        <f t="shared" ref="V4:V51" si="6">S4/R4</f>
        <v>0.57149385918387996</v>
      </c>
      <c r="W4" s="2">
        <f t="shared" ref="W4:W51" si="7">T4/R4</f>
        <v>0.89063749999999997</v>
      </c>
      <c r="X4" s="2">
        <f t="shared" ref="X4:X51" si="8">Q4/R4</f>
        <v>2.3214292073666201</v>
      </c>
      <c r="Y4" s="58">
        <f>5.711*(D4/F4)^0.5</f>
        <v>90.298838586108076</v>
      </c>
      <c r="Z4" s="58">
        <f>(2*3.142^2*K4/(J4))^0.5</f>
        <v>138.03360648769561</v>
      </c>
      <c r="AA4" s="115">
        <f>Y4/Z4</f>
        <v>0.65418010065655541</v>
      </c>
      <c r="AB4" s="58">
        <f>(T4*D4)/(2*F4)</f>
        <v>178.1275</v>
      </c>
      <c r="AC4" s="58">
        <f>AB4/J4</f>
        <v>0.89063749999999997</v>
      </c>
      <c r="AD4" s="162" t="s">
        <v>37</v>
      </c>
    </row>
    <row r="5" spans="2:30" ht="15.5">
      <c r="B5" s="6">
        <v>2</v>
      </c>
      <c r="C5" s="6" t="s">
        <v>38</v>
      </c>
      <c r="D5" s="6">
        <v>58.84</v>
      </c>
      <c r="E5" s="6">
        <v>58.84</v>
      </c>
      <c r="F5" s="1">
        <f>D5/$I$4</f>
        <v>0.23536000000000001</v>
      </c>
      <c r="G5" s="7">
        <v>58.84</v>
      </c>
      <c r="H5" s="7">
        <f t="shared" ref="H5:H15" si="9">G5/E5</f>
        <v>1</v>
      </c>
      <c r="I5" s="7">
        <v>250</v>
      </c>
      <c r="J5" s="6">
        <v>300</v>
      </c>
      <c r="K5" s="6">
        <v>193000</v>
      </c>
      <c r="L5" s="6">
        <v>0.28000000000000003</v>
      </c>
      <c r="M5" s="6">
        <f t="shared" si="0"/>
        <v>14.885473401944596</v>
      </c>
      <c r="N5" s="6">
        <v>1.6E-2</v>
      </c>
      <c r="O5" s="1">
        <f t="shared" si="1"/>
        <v>0.23816757443111355</v>
      </c>
      <c r="P5" s="1">
        <f t="shared" si="2"/>
        <v>1.0119288512538815</v>
      </c>
      <c r="Q5" s="1">
        <f t="shared" si="3"/>
        <v>3.7142867317865922</v>
      </c>
      <c r="R5" s="1">
        <f t="shared" si="4"/>
        <v>2.4</v>
      </c>
      <c r="S5" s="1">
        <f t="shared" si="5"/>
        <v>1.0106673632580871</v>
      </c>
      <c r="T5" s="1">
        <v>1.78009</v>
      </c>
      <c r="U5" s="2"/>
      <c r="V5" s="2">
        <f t="shared" si="6"/>
        <v>0.42111140135753633</v>
      </c>
      <c r="W5" s="2">
        <f t="shared" si="7"/>
        <v>0.74170416666666672</v>
      </c>
      <c r="X5" s="2">
        <f t="shared" si="8"/>
        <v>1.5476194715777467</v>
      </c>
      <c r="Y5" s="58">
        <f t="shared" ref="Y5:Y16" si="10">5.711*(D5/F5)^0.5</f>
        <v>90.298838586108076</v>
      </c>
      <c r="Z5" s="58">
        <f t="shared" ref="Z5:Z16" si="11">(2*3.142^2*K5/(J5))^0.5</f>
        <v>112.70396775032664</v>
      </c>
      <c r="AA5" s="115">
        <f t="shared" ref="AA5:AA16" si="12">Y5/Z5</f>
        <v>0.80120372324554978</v>
      </c>
      <c r="AB5" s="58">
        <f t="shared" ref="AB5:AB16" si="13">(T5*D5)/(2*F5)</f>
        <v>222.51124999999999</v>
      </c>
      <c r="AC5" s="58">
        <f t="shared" ref="AC5:AC16" si="14">AB5/J5</f>
        <v>0.74170416666666661</v>
      </c>
      <c r="AD5" s="163"/>
    </row>
    <row r="6" spans="2:30" ht="15.5">
      <c r="B6" s="6">
        <v>3</v>
      </c>
      <c r="C6" s="6" t="s">
        <v>39</v>
      </c>
      <c r="D6" s="6">
        <v>58.84</v>
      </c>
      <c r="E6" s="6">
        <v>58.84</v>
      </c>
      <c r="F6" s="1">
        <f>D6/$I$4</f>
        <v>0.23536000000000001</v>
      </c>
      <c r="G6" s="7">
        <v>58.84</v>
      </c>
      <c r="H6" s="7">
        <f t="shared" si="9"/>
        <v>1</v>
      </c>
      <c r="I6" s="7">
        <v>250</v>
      </c>
      <c r="J6" s="6">
        <v>400</v>
      </c>
      <c r="K6" s="6">
        <v>193000</v>
      </c>
      <c r="L6" s="6">
        <v>0.28000000000000003</v>
      </c>
      <c r="M6" s="6">
        <f t="shared" si="0"/>
        <v>14.885473401944596</v>
      </c>
      <c r="N6" s="6">
        <v>1.6E-2</v>
      </c>
      <c r="O6" s="1">
        <f t="shared" si="1"/>
        <v>0.23816757443111355</v>
      </c>
      <c r="P6" s="1">
        <f t="shared" si="2"/>
        <v>1.0119288512538815</v>
      </c>
      <c r="Q6" s="1">
        <f t="shared" si="3"/>
        <v>3.7142867317865922</v>
      </c>
      <c r="R6" s="1">
        <f t="shared" si="4"/>
        <v>3.2</v>
      </c>
      <c r="S6" s="1">
        <f t="shared" si="5"/>
        <v>1.0523127276737392</v>
      </c>
      <c r="T6" s="1">
        <v>2.0222699999999998</v>
      </c>
      <c r="U6" s="2"/>
      <c r="V6" s="2">
        <f t="shared" si="6"/>
        <v>0.32884772739804347</v>
      </c>
      <c r="W6" s="2">
        <f t="shared" si="7"/>
        <v>0.63195937499999988</v>
      </c>
      <c r="X6" s="2">
        <f t="shared" si="8"/>
        <v>1.16071460368331</v>
      </c>
      <c r="Y6" s="58">
        <f t="shared" si="10"/>
        <v>90.298838586108076</v>
      </c>
      <c r="Z6" s="58">
        <f t="shared" si="11"/>
        <v>97.604499179084982</v>
      </c>
      <c r="AA6" s="115">
        <f t="shared" si="12"/>
        <v>0.92515037058309724</v>
      </c>
      <c r="AB6" s="58">
        <f t="shared" si="13"/>
        <v>252.78374999999997</v>
      </c>
      <c r="AC6" s="58">
        <f t="shared" si="14"/>
        <v>0.63195937499999988</v>
      </c>
      <c r="AD6" s="163"/>
    </row>
    <row r="7" spans="2:30" ht="15.5">
      <c r="B7" s="6">
        <v>4</v>
      </c>
      <c r="C7" s="6" t="s">
        <v>40</v>
      </c>
      <c r="D7" s="6">
        <v>58.84</v>
      </c>
      <c r="E7" s="6">
        <v>58.84</v>
      </c>
      <c r="F7" s="1">
        <f>D7/$I$7</f>
        <v>0.11768000000000001</v>
      </c>
      <c r="G7" s="7">
        <v>58.84</v>
      </c>
      <c r="H7" s="7">
        <f t="shared" si="9"/>
        <v>1</v>
      </c>
      <c r="I7" s="7">
        <v>500</v>
      </c>
      <c r="J7" s="6">
        <v>200</v>
      </c>
      <c r="K7" s="6">
        <v>193000</v>
      </c>
      <c r="L7" s="6">
        <v>0.28000000000000003</v>
      </c>
      <c r="M7" s="6">
        <f t="shared" si="0"/>
        <v>10.525619183687011</v>
      </c>
      <c r="N7" s="6">
        <v>1.6E-2</v>
      </c>
      <c r="O7" s="1">
        <f t="shared" si="1"/>
        <v>0.16840990693899219</v>
      </c>
      <c r="P7" s="1">
        <f t="shared" si="2"/>
        <v>1.4310835055998656</v>
      </c>
      <c r="Q7" s="1">
        <f t="shared" si="3"/>
        <v>0.92857168294664805</v>
      </c>
      <c r="R7" s="1">
        <f t="shared" si="4"/>
        <v>0.8</v>
      </c>
      <c r="S7" s="1">
        <f t="shared" si="5"/>
        <v>0.26307818191843479</v>
      </c>
      <c r="T7" s="1">
        <v>0.46826800000000002</v>
      </c>
      <c r="U7" s="2"/>
      <c r="V7" s="2">
        <f t="shared" si="6"/>
        <v>0.32884772739804347</v>
      </c>
      <c r="W7" s="2">
        <f t="shared" si="7"/>
        <v>0.58533499999999994</v>
      </c>
      <c r="X7" s="2">
        <f t="shared" si="8"/>
        <v>1.16071460368331</v>
      </c>
      <c r="Y7" s="58">
        <f t="shared" si="10"/>
        <v>127.701842195013</v>
      </c>
      <c r="Z7" s="58">
        <f t="shared" si="11"/>
        <v>138.03360648769561</v>
      </c>
      <c r="AA7" s="115">
        <f t="shared" si="12"/>
        <v>0.92515037058309724</v>
      </c>
      <c r="AB7" s="58">
        <f t="shared" si="13"/>
        <v>117.06700000000001</v>
      </c>
      <c r="AC7" s="58">
        <f t="shared" si="14"/>
        <v>0.58533500000000005</v>
      </c>
      <c r="AD7" s="163"/>
    </row>
    <row r="8" spans="2:30" ht="15.5">
      <c r="B8" s="6">
        <v>5</v>
      </c>
      <c r="C8" s="6" t="s">
        <v>41</v>
      </c>
      <c r="D8" s="6">
        <v>58.84</v>
      </c>
      <c r="E8" s="6">
        <v>58.84</v>
      </c>
      <c r="F8" s="1">
        <f>D8/$I$7</f>
        <v>0.11768000000000001</v>
      </c>
      <c r="G8" s="7">
        <v>58.84</v>
      </c>
      <c r="H8" s="7">
        <f t="shared" si="9"/>
        <v>1</v>
      </c>
      <c r="I8" s="7">
        <v>500</v>
      </c>
      <c r="J8" s="6">
        <v>300</v>
      </c>
      <c r="K8" s="6">
        <v>193000</v>
      </c>
      <c r="L8" s="6">
        <v>0.28000000000000003</v>
      </c>
      <c r="M8" s="6">
        <f t="shared" si="0"/>
        <v>10.525619183687011</v>
      </c>
      <c r="N8" s="6">
        <v>1.6E-2</v>
      </c>
      <c r="O8" s="1">
        <f t="shared" si="1"/>
        <v>0.16840990693899219</v>
      </c>
      <c r="P8" s="1">
        <f t="shared" si="2"/>
        <v>1.4310835055998656</v>
      </c>
      <c r="Q8" s="1">
        <f t="shared" si="3"/>
        <v>0.92857168294664805</v>
      </c>
      <c r="R8" s="1">
        <f t="shared" si="4"/>
        <v>1.2</v>
      </c>
      <c r="S8" s="1">
        <f t="shared" si="5"/>
        <v>0.27135571917393703</v>
      </c>
      <c r="T8" s="1">
        <v>0.51105599999999995</v>
      </c>
      <c r="U8" s="2"/>
      <c r="V8" s="2">
        <f t="shared" si="6"/>
        <v>0.22612976597828086</v>
      </c>
      <c r="W8" s="2">
        <f t="shared" si="7"/>
        <v>0.42587999999999998</v>
      </c>
      <c r="X8" s="2">
        <f t="shared" si="8"/>
        <v>0.77380973578887335</v>
      </c>
      <c r="Y8" s="58">
        <f t="shared" si="10"/>
        <v>127.701842195013</v>
      </c>
      <c r="Z8" s="58">
        <f t="shared" si="11"/>
        <v>112.70396775032664</v>
      </c>
      <c r="AA8" s="115">
        <f t="shared" si="12"/>
        <v>1.1330731716376763</v>
      </c>
      <c r="AB8" s="58">
        <f t="shared" si="13"/>
        <v>127.764</v>
      </c>
      <c r="AC8" s="58">
        <f t="shared" si="14"/>
        <v>0.42587999999999998</v>
      </c>
      <c r="AD8" s="163"/>
    </row>
    <row r="9" spans="2:30" ht="15.5">
      <c r="B9" s="6">
        <v>6</v>
      </c>
      <c r="C9" s="6" t="s">
        <v>42</v>
      </c>
      <c r="D9" s="6">
        <v>58.84</v>
      </c>
      <c r="E9" s="6">
        <v>58.84</v>
      </c>
      <c r="F9" s="1">
        <f>D9/$I$7</f>
        <v>0.11768000000000001</v>
      </c>
      <c r="G9" s="7">
        <v>58.84</v>
      </c>
      <c r="H9" s="7">
        <f t="shared" si="9"/>
        <v>1</v>
      </c>
      <c r="I9" s="7">
        <v>500</v>
      </c>
      <c r="J9" s="6">
        <v>400</v>
      </c>
      <c r="K9" s="6">
        <v>193000</v>
      </c>
      <c r="L9" s="6">
        <v>0.28000000000000003</v>
      </c>
      <c r="M9" s="6">
        <f t="shared" si="0"/>
        <v>10.525619183687011</v>
      </c>
      <c r="N9" s="6">
        <v>1.6E-2</v>
      </c>
      <c r="O9" s="1">
        <f t="shared" si="1"/>
        <v>0.16840990693899219</v>
      </c>
      <c r="P9" s="1">
        <f t="shared" si="2"/>
        <v>1.4310835055998656</v>
      </c>
      <c r="Q9" s="1">
        <f t="shared" si="3"/>
        <v>0.92857168294664805</v>
      </c>
      <c r="R9" s="1">
        <f t="shared" si="4"/>
        <v>1.6</v>
      </c>
      <c r="S9" s="1">
        <f t="shared" si="5"/>
        <v>0.27444292185494462</v>
      </c>
      <c r="T9" s="1">
        <v>0.51142100000000001</v>
      </c>
      <c r="U9" s="2"/>
      <c r="V9" s="2">
        <f t="shared" si="6"/>
        <v>0.17152682615934037</v>
      </c>
      <c r="W9" s="2">
        <f t="shared" si="7"/>
        <v>0.319638125</v>
      </c>
      <c r="X9" s="2">
        <f t="shared" si="8"/>
        <v>0.58035730184165502</v>
      </c>
      <c r="Y9" s="58">
        <f t="shared" si="10"/>
        <v>127.701842195013</v>
      </c>
      <c r="Z9" s="58">
        <f t="shared" si="11"/>
        <v>97.604499179084982</v>
      </c>
      <c r="AA9" s="115">
        <f t="shared" si="12"/>
        <v>1.308360201313111</v>
      </c>
      <c r="AB9" s="58">
        <f t="shared" si="13"/>
        <v>127.85525</v>
      </c>
      <c r="AC9" s="58">
        <f t="shared" si="14"/>
        <v>0.319638125</v>
      </c>
      <c r="AD9" s="163"/>
    </row>
    <row r="10" spans="2:30" ht="15.5">
      <c r="B10" s="6">
        <v>7</v>
      </c>
      <c r="C10" s="6" t="s">
        <v>43</v>
      </c>
      <c r="D10" s="6">
        <v>58.84</v>
      </c>
      <c r="E10" s="6">
        <v>58.84</v>
      </c>
      <c r="F10" s="1">
        <f>D10/$I$10</f>
        <v>7.8453333333333333E-2</v>
      </c>
      <c r="G10" s="7">
        <v>58.84</v>
      </c>
      <c r="H10" s="7">
        <f t="shared" si="9"/>
        <v>1</v>
      </c>
      <c r="I10" s="7">
        <v>750</v>
      </c>
      <c r="J10" s="6">
        <v>200</v>
      </c>
      <c r="K10" s="6">
        <v>193000</v>
      </c>
      <c r="L10" s="6">
        <v>0.28000000000000003</v>
      </c>
      <c r="M10" s="6">
        <f t="shared" si="0"/>
        <v>8.5941320756277264</v>
      </c>
      <c r="N10" s="6">
        <v>1.6E-2</v>
      </c>
      <c r="O10" s="1">
        <f t="shared" si="1"/>
        <v>0.13750611321004363</v>
      </c>
      <c r="P10" s="1">
        <f t="shared" si="2"/>
        <v>1.7527121840165316</v>
      </c>
      <c r="Q10" s="1">
        <f t="shared" si="3"/>
        <v>0.41269852575406579</v>
      </c>
      <c r="R10" s="1">
        <f t="shared" si="4"/>
        <v>0.53333333333333333</v>
      </c>
      <c r="S10" s="1">
        <f t="shared" si="5"/>
        <v>0.12060254185508314</v>
      </c>
      <c r="T10" s="1">
        <v>0.30576399999999998</v>
      </c>
      <c r="U10" s="2"/>
      <c r="V10" s="2">
        <f t="shared" si="6"/>
        <v>0.22612976597828088</v>
      </c>
      <c r="W10" s="2">
        <f t="shared" si="7"/>
        <v>0.57330749999999997</v>
      </c>
      <c r="X10" s="2">
        <f t="shared" si="8"/>
        <v>0.77380973578887335</v>
      </c>
      <c r="Y10" s="58">
        <f t="shared" si="10"/>
        <v>156.40217629560019</v>
      </c>
      <c r="Z10" s="58">
        <f t="shared" si="11"/>
        <v>138.03360648769561</v>
      </c>
      <c r="AA10" s="115">
        <f t="shared" si="12"/>
        <v>1.1330731716376763</v>
      </c>
      <c r="AB10" s="58">
        <f t="shared" si="13"/>
        <v>114.6615</v>
      </c>
      <c r="AC10" s="58">
        <f t="shared" si="14"/>
        <v>0.57330749999999997</v>
      </c>
      <c r="AD10" s="163"/>
    </row>
    <row r="11" spans="2:30" ht="15.5">
      <c r="B11" s="6">
        <v>8</v>
      </c>
      <c r="C11" s="6" t="s">
        <v>44</v>
      </c>
      <c r="D11" s="6">
        <v>58.84</v>
      </c>
      <c r="E11" s="6">
        <v>58.84</v>
      </c>
      <c r="F11" s="1">
        <f>D11/$I$10</f>
        <v>7.8453333333333333E-2</v>
      </c>
      <c r="G11" s="7">
        <v>58.84</v>
      </c>
      <c r="H11" s="7">
        <f t="shared" si="9"/>
        <v>1</v>
      </c>
      <c r="I11" s="7">
        <v>750</v>
      </c>
      <c r="J11" s="6">
        <v>300</v>
      </c>
      <c r="K11" s="6">
        <v>193000</v>
      </c>
      <c r="L11" s="6">
        <v>0.28000000000000003</v>
      </c>
      <c r="M11" s="6">
        <f t="shared" si="0"/>
        <v>8.5941320756277264</v>
      </c>
      <c r="N11" s="6">
        <v>1.6E-2</v>
      </c>
      <c r="O11" s="1">
        <f t="shared" si="1"/>
        <v>0.13750611321004363</v>
      </c>
      <c r="P11" s="1">
        <f t="shared" si="2"/>
        <v>1.7527121840165316</v>
      </c>
      <c r="Q11" s="1">
        <f t="shared" si="3"/>
        <v>0.41269852575406579</v>
      </c>
      <c r="R11" s="1">
        <f t="shared" si="4"/>
        <v>0.79999999999999993</v>
      </c>
      <c r="S11" s="1">
        <f t="shared" si="5"/>
        <v>0.12235297391013417</v>
      </c>
      <c r="T11" s="1">
        <v>0.32451799999999997</v>
      </c>
      <c r="U11" s="2"/>
      <c r="V11" s="2">
        <f t="shared" si="6"/>
        <v>0.15294121738766772</v>
      </c>
      <c r="W11" s="2">
        <f t="shared" si="7"/>
        <v>0.40564749999999999</v>
      </c>
      <c r="X11" s="2">
        <f t="shared" si="8"/>
        <v>0.51587315719258231</v>
      </c>
      <c r="Y11" s="58">
        <f t="shared" si="10"/>
        <v>156.40217629560019</v>
      </c>
      <c r="Z11" s="58">
        <f t="shared" si="11"/>
        <v>112.70396775032664</v>
      </c>
      <c r="AA11" s="115">
        <f t="shared" si="12"/>
        <v>1.3877255558746457</v>
      </c>
      <c r="AB11" s="58">
        <f t="shared" si="13"/>
        <v>121.69425</v>
      </c>
      <c r="AC11" s="58">
        <f t="shared" si="14"/>
        <v>0.40564749999999999</v>
      </c>
      <c r="AD11" s="163"/>
    </row>
    <row r="12" spans="2:30" ht="15.5">
      <c r="B12" s="6">
        <v>9</v>
      </c>
      <c r="C12" s="6" t="s">
        <v>45</v>
      </c>
      <c r="D12" s="6">
        <v>58.84</v>
      </c>
      <c r="E12" s="6">
        <v>58.84</v>
      </c>
      <c r="F12" s="1">
        <f>D12/$I$10</f>
        <v>7.8453333333333333E-2</v>
      </c>
      <c r="G12" s="7">
        <v>58.84</v>
      </c>
      <c r="H12" s="7">
        <f t="shared" si="9"/>
        <v>1</v>
      </c>
      <c r="I12" s="7">
        <v>750</v>
      </c>
      <c r="J12" s="6">
        <v>400</v>
      </c>
      <c r="K12" s="6">
        <v>193000</v>
      </c>
      <c r="L12" s="6">
        <v>0.28000000000000003</v>
      </c>
      <c r="M12" s="6">
        <f t="shared" si="0"/>
        <v>8.5941320756277264</v>
      </c>
      <c r="N12" s="6">
        <v>1.6E-2</v>
      </c>
      <c r="O12" s="1">
        <f t="shared" si="1"/>
        <v>0.13750611321004363</v>
      </c>
      <c r="P12" s="1">
        <f t="shared" si="2"/>
        <v>1.7527121840165316</v>
      </c>
      <c r="Q12" s="1">
        <f t="shared" si="3"/>
        <v>0.41269852575406579</v>
      </c>
      <c r="R12" s="1">
        <f t="shared" si="4"/>
        <v>1.0666666666666667</v>
      </c>
      <c r="S12" s="1">
        <f t="shared" si="5"/>
        <v>0.12298387416243488</v>
      </c>
      <c r="T12" s="1">
        <v>0.33161200000000002</v>
      </c>
      <c r="U12" s="2"/>
      <c r="V12" s="2">
        <f t="shared" si="6"/>
        <v>0.11529738202728269</v>
      </c>
      <c r="W12" s="2">
        <f t="shared" si="7"/>
        <v>0.31088625000000003</v>
      </c>
      <c r="X12" s="2">
        <f t="shared" si="8"/>
        <v>0.38690486789443668</v>
      </c>
      <c r="Y12" s="58">
        <f t="shared" si="10"/>
        <v>156.40217629560019</v>
      </c>
      <c r="Z12" s="58">
        <f t="shared" si="11"/>
        <v>97.604499179084982</v>
      </c>
      <c r="AA12" s="115">
        <f t="shared" si="12"/>
        <v>1.6024074464910996</v>
      </c>
      <c r="AB12" s="58">
        <f t="shared" si="13"/>
        <v>124.35450000000002</v>
      </c>
      <c r="AC12" s="58">
        <f t="shared" si="14"/>
        <v>0.31088625000000003</v>
      </c>
      <c r="AD12" s="163"/>
    </row>
    <row r="13" spans="2:30" ht="15.5">
      <c r="B13" s="6">
        <v>10</v>
      </c>
      <c r="C13" s="6" t="s">
        <v>46</v>
      </c>
      <c r="D13" s="6">
        <v>58.84</v>
      </c>
      <c r="E13" s="6">
        <v>58.84</v>
      </c>
      <c r="F13" s="1">
        <f>D13/$I$13</f>
        <v>5.8840000000000003E-2</v>
      </c>
      <c r="G13" s="7">
        <v>58.84</v>
      </c>
      <c r="H13" s="7">
        <f t="shared" si="9"/>
        <v>1</v>
      </c>
      <c r="I13" s="7">
        <v>1000</v>
      </c>
      <c r="J13" s="6">
        <v>200</v>
      </c>
      <c r="K13" s="6">
        <v>193000</v>
      </c>
      <c r="L13" s="6">
        <v>0.28000000000000003</v>
      </c>
      <c r="M13" s="6">
        <f t="shared" si="0"/>
        <v>7.442736700972298</v>
      </c>
      <c r="N13" s="6">
        <v>1.6E-2</v>
      </c>
      <c r="O13" s="1">
        <f t="shared" si="1"/>
        <v>0.11908378721555678</v>
      </c>
      <c r="P13" s="1">
        <f t="shared" si="2"/>
        <v>2.0238577025077631</v>
      </c>
      <c r="Q13" s="1">
        <f t="shared" si="3"/>
        <v>0.23214292073666201</v>
      </c>
      <c r="R13" s="1">
        <f t="shared" si="4"/>
        <v>0.4</v>
      </c>
      <c r="S13" s="1">
        <f t="shared" si="5"/>
        <v>6.8610730463736155E-2</v>
      </c>
      <c r="T13" s="1">
        <v>9.9400000000000002E-2</v>
      </c>
      <c r="U13" s="2"/>
      <c r="V13" s="2">
        <f t="shared" si="6"/>
        <v>0.17152682615934037</v>
      </c>
      <c r="W13" s="2">
        <f t="shared" si="7"/>
        <v>0.2485</v>
      </c>
      <c r="X13" s="2">
        <f t="shared" si="8"/>
        <v>0.58035730184165502</v>
      </c>
      <c r="Y13" s="58">
        <f t="shared" si="10"/>
        <v>180.59767717221615</v>
      </c>
      <c r="Z13" s="58">
        <f t="shared" si="11"/>
        <v>138.03360648769561</v>
      </c>
      <c r="AA13" s="115">
        <f t="shared" si="12"/>
        <v>1.3083602013131108</v>
      </c>
      <c r="AB13" s="58">
        <f t="shared" si="13"/>
        <v>49.7</v>
      </c>
      <c r="AC13" s="58">
        <f t="shared" si="14"/>
        <v>0.24850000000000003</v>
      </c>
      <c r="AD13" s="163"/>
    </row>
    <row r="14" spans="2:30" ht="15.5">
      <c r="B14" s="6">
        <v>11</v>
      </c>
      <c r="C14" s="6" t="s">
        <v>47</v>
      </c>
      <c r="D14" s="7">
        <v>58.84</v>
      </c>
      <c r="E14" s="7">
        <v>58.84</v>
      </c>
      <c r="F14" s="1">
        <f>D14/$I$13</f>
        <v>5.8840000000000003E-2</v>
      </c>
      <c r="G14" s="7">
        <v>58.84</v>
      </c>
      <c r="H14" s="7">
        <f t="shared" si="9"/>
        <v>1</v>
      </c>
      <c r="I14" s="7">
        <v>1000</v>
      </c>
      <c r="J14" s="6">
        <v>300</v>
      </c>
      <c r="K14" s="7">
        <v>193000</v>
      </c>
      <c r="L14" s="7">
        <v>0.28000000000000003</v>
      </c>
      <c r="M14" s="6">
        <f t="shared" si="0"/>
        <v>7.442736700972298</v>
      </c>
      <c r="N14" s="6">
        <v>1.6E-2</v>
      </c>
      <c r="O14" s="1">
        <f t="shared" si="1"/>
        <v>0.11908378721555678</v>
      </c>
      <c r="P14" s="1">
        <f t="shared" si="2"/>
        <v>2.0238577025077631</v>
      </c>
      <c r="Q14" s="1">
        <f t="shared" si="3"/>
        <v>0.23214292073666201</v>
      </c>
      <c r="R14" s="1">
        <f t="shared" si="4"/>
        <v>0.6</v>
      </c>
      <c r="S14" s="1">
        <f t="shared" si="5"/>
        <v>6.917842921636963E-2</v>
      </c>
      <c r="T14" s="2">
        <v>9.9474000000000007E-2</v>
      </c>
      <c r="U14" s="2"/>
      <c r="V14" s="2">
        <f t="shared" si="6"/>
        <v>0.11529738202728272</v>
      </c>
      <c r="W14" s="2">
        <f t="shared" si="7"/>
        <v>0.16579000000000002</v>
      </c>
      <c r="X14" s="2">
        <f t="shared" si="8"/>
        <v>0.38690486789443668</v>
      </c>
      <c r="Y14" s="58">
        <f t="shared" si="10"/>
        <v>180.59767717221615</v>
      </c>
      <c r="Z14" s="58">
        <f t="shared" si="11"/>
        <v>112.70396775032664</v>
      </c>
      <c r="AA14" s="115">
        <f t="shared" si="12"/>
        <v>1.6024074464910996</v>
      </c>
      <c r="AB14" s="58">
        <f t="shared" si="13"/>
        <v>49.737000000000002</v>
      </c>
      <c r="AC14" s="58">
        <f t="shared" si="14"/>
        <v>0.16578999999999999</v>
      </c>
      <c r="AD14" s="163"/>
    </row>
    <row r="15" spans="2:30" ht="15.5">
      <c r="B15" s="6">
        <v>12</v>
      </c>
      <c r="C15" s="6" t="s">
        <v>48</v>
      </c>
      <c r="D15" s="6">
        <v>58.84</v>
      </c>
      <c r="E15" s="6">
        <v>58.84</v>
      </c>
      <c r="F15" s="1">
        <f>D15/$I$13</f>
        <v>5.8840000000000003E-2</v>
      </c>
      <c r="G15" s="7">
        <v>58.84</v>
      </c>
      <c r="H15" s="7">
        <f t="shared" si="9"/>
        <v>1</v>
      </c>
      <c r="I15" s="7">
        <v>1000</v>
      </c>
      <c r="J15" s="6">
        <v>400</v>
      </c>
      <c r="K15" s="6">
        <v>193000</v>
      </c>
      <c r="L15" s="6">
        <v>0.28000000000000003</v>
      </c>
      <c r="M15" s="6">
        <f t="shared" si="0"/>
        <v>7.442736700972298</v>
      </c>
      <c r="N15" s="6">
        <v>1.6E-2</v>
      </c>
      <c r="O15" s="1">
        <f t="shared" si="1"/>
        <v>0.11908378721555678</v>
      </c>
      <c r="P15" s="1">
        <f t="shared" si="2"/>
        <v>2.0238577025077631</v>
      </c>
      <c r="Q15" s="1">
        <f t="shared" si="3"/>
        <v>0.23214292073666201</v>
      </c>
      <c r="R15" s="1">
        <f t="shared" si="4"/>
        <v>0.8</v>
      </c>
      <c r="S15" s="1">
        <f t="shared" si="5"/>
        <v>6.9380478390277611E-2</v>
      </c>
      <c r="T15" s="1">
        <v>9.7593899999999997E-2</v>
      </c>
      <c r="U15" s="2"/>
      <c r="V15" s="2">
        <f t="shared" si="6"/>
        <v>8.6725597987847014E-2</v>
      </c>
      <c r="W15" s="2">
        <f t="shared" si="7"/>
        <v>0.12199237499999999</v>
      </c>
      <c r="X15" s="2">
        <f t="shared" si="8"/>
        <v>0.29017865092082751</v>
      </c>
      <c r="Y15" s="58">
        <f t="shared" si="10"/>
        <v>180.59767717221615</v>
      </c>
      <c r="Z15" s="58">
        <f t="shared" si="11"/>
        <v>97.604499179084982</v>
      </c>
      <c r="AA15" s="115">
        <f t="shared" si="12"/>
        <v>1.8503007411661945</v>
      </c>
      <c r="AB15" s="58">
        <f t="shared" si="13"/>
        <v>48.796949999999995</v>
      </c>
      <c r="AC15" s="58">
        <f t="shared" si="14"/>
        <v>0.12199237499999999</v>
      </c>
      <c r="AD15" s="164"/>
    </row>
    <row r="16" spans="2:30" ht="15.5">
      <c r="B16" s="10">
        <v>13</v>
      </c>
      <c r="C16" s="10" t="s">
        <v>49</v>
      </c>
      <c r="D16" s="10">
        <v>58.84</v>
      </c>
      <c r="E16" s="10">
        <v>58.84</v>
      </c>
      <c r="F16" s="11">
        <f>D16/$I$4</f>
        <v>0.23536000000000001</v>
      </c>
      <c r="G16" s="12">
        <f>H16*E16</f>
        <v>44.13</v>
      </c>
      <c r="H16" s="12">
        <v>0.75</v>
      </c>
      <c r="I16" s="12">
        <v>250</v>
      </c>
      <c r="J16" s="10">
        <v>200</v>
      </c>
      <c r="K16" s="10">
        <v>193000</v>
      </c>
      <c r="L16" s="10">
        <v>0.28000000000000003</v>
      </c>
      <c r="M16" s="10">
        <f t="shared" si="0"/>
        <v>14.885473401944596</v>
      </c>
      <c r="N16" s="10">
        <v>1.6E-2</v>
      </c>
      <c r="O16" s="11">
        <f t="shared" si="1"/>
        <v>0.23816757443111355</v>
      </c>
      <c r="P16" s="11">
        <f t="shared" si="2"/>
        <v>1.0119288512538815</v>
      </c>
      <c r="Q16" s="13">
        <f t="shared" si="3"/>
        <v>3.7142867317865922</v>
      </c>
      <c r="R16" s="13">
        <f t="shared" si="4"/>
        <v>1.6</v>
      </c>
      <c r="S16" s="13">
        <f t="shared" si="5"/>
        <v>0.91439017469420802</v>
      </c>
      <c r="T16" s="11">
        <v>0.61532399999999998</v>
      </c>
      <c r="U16" s="15"/>
      <c r="V16" s="14">
        <f t="shared" si="6"/>
        <v>0.57149385918387996</v>
      </c>
      <c r="W16" s="14">
        <f t="shared" si="7"/>
        <v>0.38457749999999996</v>
      </c>
      <c r="X16" s="14">
        <f t="shared" si="8"/>
        <v>2.3214292073666201</v>
      </c>
      <c r="Y16" s="74">
        <f t="shared" si="10"/>
        <v>90.298838586108076</v>
      </c>
      <c r="Z16" s="74">
        <f t="shared" si="11"/>
        <v>138.03360648769561</v>
      </c>
      <c r="AA16" s="116">
        <f t="shared" si="12"/>
        <v>0.65418010065655541</v>
      </c>
      <c r="AB16" s="74">
        <f t="shared" si="13"/>
        <v>76.915499999999994</v>
      </c>
      <c r="AC16" s="74">
        <f t="shared" si="14"/>
        <v>0.38457749999999996</v>
      </c>
      <c r="AD16" s="165" t="s">
        <v>50</v>
      </c>
    </row>
    <row r="17" spans="2:30" ht="15.5">
      <c r="B17" s="10">
        <v>14</v>
      </c>
      <c r="C17" s="10" t="s">
        <v>51</v>
      </c>
      <c r="D17" s="10">
        <v>58.84</v>
      </c>
      <c r="E17" s="10">
        <v>58.84</v>
      </c>
      <c r="F17" s="11">
        <f>D17/$I$4</f>
        <v>0.23536000000000001</v>
      </c>
      <c r="G17" s="12">
        <f t="shared" ref="G17:G27" si="15">H17*E17</f>
        <v>44.13</v>
      </c>
      <c r="H17" s="12">
        <v>0.75</v>
      </c>
      <c r="I17" s="12">
        <v>250</v>
      </c>
      <c r="J17" s="10">
        <v>300</v>
      </c>
      <c r="K17" s="10">
        <v>193000</v>
      </c>
      <c r="L17" s="10">
        <v>0.28000000000000003</v>
      </c>
      <c r="M17" s="10">
        <f t="shared" si="0"/>
        <v>14.885473401944596</v>
      </c>
      <c r="N17" s="10">
        <v>1.6E-2</v>
      </c>
      <c r="O17" s="11">
        <f t="shared" si="1"/>
        <v>0.23816757443111355</v>
      </c>
      <c r="P17" s="11">
        <f t="shared" si="2"/>
        <v>1.0119288512538815</v>
      </c>
      <c r="Q17" s="13">
        <f t="shared" si="3"/>
        <v>3.7142867317865922</v>
      </c>
      <c r="R17" s="13">
        <f t="shared" si="4"/>
        <v>2.4</v>
      </c>
      <c r="S17" s="13">
        <f t="shared" si="5"/>
        <v>1.0106673632580871</v>
      </c>
      <c r="T17" s="11">
        <v>0.74831700000000001</v>
      </c>
      <c r="U17" s="15"/>
      <c r="V17" s="14">
        <f t="shared" si="6"/>
        <v>0.42111140135753633</v>
      </c>
      <c r="W17" s="14">
        <f t="shared" si="7"/>
        <v>0.31179875000000001</v>
      </c>
      <c r="X17" s="14">
        <f t="shared" si="8"/>
        <v>1.5476194715777467</v>
      </c>
      <c r="Y17" s="74">
        <f t="shared" ref="Y17:Y39" si="16">5.711*(D17/F17)^0.5</f>
        <v>90.298838586108076</v>
      </c>
      <c r="Z17" s="74">
        <f t="shared" ref="Z17:Z39" si="17">(2*3.142^2*K17/(J17))^0.5</f>
        <v>112.70396775032664</v>
      </c>
      <c r="AA17" s="116">
        <f t="shared" ref="AA17:AA39" si="18">Y17/Z17</f>
        <v>0.80120372324554978</v>
      </c>
      <c r="AB17" s="74">
        <f t="shared" ref="AB17:AB39" si="19">(T17*D17)/(2*F17)</f>
        <v>93.539625000000001</v>
      </c>
      <c r="AC17" s="74">
        <f t="shared" ref="AC17:AC39" si="20">AB17/J17</f>
        <v>0.31179875000000001</v>
      </c>
      <c r="AD17" s="166"/>
    </row>
    <row r="18" spans="2:30" ht="15.5">
      <c r="B18" s="10">
        <v>15</v>
      </c>
      <c r="C18" s="10" t="s">
        <v>52</v>
      </c>
      <c r="D18" s="10">
        <v>58.84</v>
      </c>
      <c r="E18" s="10">
        <v>58.84</v>
      </c>
      <c r="F18" s="11">
        <f>D18/$I$4</f>
        <v>0.23536000000000001</v>
      </c>
      <c r="G18" s="12">
        <f t="shared" si="15"/>
        <v>44.13</v>
      </c>
      <c r="H18" s="12">
        <v>0.75</v>
      </c>
      <c r="I18" s="12">
        <v>250</v>
      </c>
      <c r="J18" s="10">
        <v>400</v>
      </c>
      <c r="K18" s="10">
        <v>193000</v>
      </c>
      <c r="L18" s="10">
        <v>0.28000000000000003</v>
      </c>
      <c r="M18" s="10">
        <f t="shared" si="0"/>
        <v>14.885473401944596</v>
      </c>
      <c r="N18" s="10">
        <v>1.6E-2</v>
      </c>
      <c r="O18" s="11">
        <f t="shared" si="1"/>
        <v>0.23816757443111355</v>
      </c>
      <c r="P18" s="11">
        <f t="shared" si="2"/>
        <v>1.0119288512538815</v>
      </c>
      <c r="Q18" s="13">
        <f t="shared" si="3"/>
        <v>3.7142867317865922</v>
      </c>
      <c r="R18" s="13">
        <f t="shared" si="4"/>
        <v>3.2</v>
      </c>
      <c r="S18" s="13">
        <f t="shared" si="5"/>
        <v>1.0523127276737392</v>
      </c>
      <c r="T18" s="11">
        <v>0.81898400000000005</v>
      </c>
      <c r="U18" s="15"/>
      <c r="V18" s="14">
        <f t="shared" si="6"/>
        <v>0.32884772739804347</v>
      </c>
      <c r="W18" s="14">
        <f t="shared" si="7"/>
        <v>0.25593250000000001</v>
      </c>
      <c r="X18" s="14">
        <f t="shared" si="8"/>
        <v>1.16071460368331</v>
      </c>
      <c r="Y18" s="74">
        <f t="shared" si="16"/>
        <v>90.298838586108076</v>
      </c>
      <c r="Z18" s="74">
        <f t="shared" si="17"/>
        <v>97.604499179084982</v>
      </c>
      <c r="AA18" s="116">
        <f t="shared" si="18"/>
        <v>0.92515037058309724</v>
      </c>
      <c r="AB18" s="74">
        <f t="shared" si="19"/>
        <v>102.373</v>
      </c>
      <c r="AC18" s="74">
        <f t="shared" si="20"/>
        <v>0.25593250000000001</v>
      </c>
      <c r="AD18" s="166"/>
    </row>
    <row r="19" spans="2:30" ht="15.5">
      <c r="B19" s="10">
        <v>16</v>
      </c>
      <c r="C19" s="10" t="s">
        <v>53</v>
      </c>
      <c r="D19" s="10">
        <v>58.84</v>
      </c>
      <c r="E19" s="10">
        <v>58.84</v>
      </c>
      <c r="F19" s="11">
        <f>D19/$I$7</f>
        <v>0.11768000000000001</v>
      </c>
      <c r="G19" s="12">
        <f t="shared" si="15"/>
        <v>44.13</v>
      </c>
      <c r="H19" s="12">
        <v>0.75</v>
      </c>
      <c r="I19" s="12">
        <v>500</v>
      </c>
      <c r="J19" s="10">
        <v>200</v>
      </c>
      <c r="K19" s="10">
        <v>193000</v>
      </c>
      <c r="L19" s="10">
        <v>0.28000000000000003</v>
      </c>
      <c r="M19" s="10">
        <f t="shared" si="0"/>
        <v>10.525619183687011</v>
      </c>
      <c r="N19" s="10">
        <v>1.6E-2</v>
      </c>
      <c r="O19" s="11">
        <f t="shared" si="1"/>
        <v>0.16840990693899219</v>
      </c>
      <c r="P19" s="11">
        <f t="shared" si="2"/>
        <v>1.4310835055998656</v>
      </c>
      <c r="Q19" s="13">
        <f t="shared" si="3"/>
        <v>0.92857168294664805</v>
      </c>
      <c r="R19" s="13">
        <f t="shared" si="4"/>
        <v>0.8</v>
      </c>
      <c r="S19" s="13">
        <f t="shared" si="5"/>
        <v>0.26307818191843479</v>
      </c>
      <c r="T19" s="11">
        <v>0.14548800000000001</v>
      </c>
      <c r="U19" s="15"/>
      <c r="V19" s="14">
        <f t="shared" si="6"/>
        <v>0.32884772739804347</v>
      </c>
      <c r="W19" s="14">
        <f t="shared" si="7"/>
        <v>0.18185999999999999</v>
      </c>
      <c r="X19" s="14">
        <f t="shared" si="8"/>
        <v>1.16071460368331</v>
      </c>
      <c r="Y19" s="74">
        <f t="shared" si="16"/>
        <v>127.701842195013</v>
      </c>
      <c r="Z19" s="74">
        <f t="shared" si="17"/>
        <v>138.03360648769561</v>
      </c>
      <c r="AA19" s="116">
        <f t="shared" si="18"/>
        <v>0.92515037058309724</v>
      </c>
      <c r="AB19" s="74">
        <f t="shared" si="19"/>
        <v>36.372</v>
      </c>
      <c r="AC19" s="74">
        <f t="shared" si="20"/>
        <v>0.18185999999999999</v>
      </c>
      <c r="AD19" s="166"/>
    </row>
    <row r="20" spans="2:30" ht="15.5">
      <c r="B20" s="10">
        <v>17</v>
      </c>
      <c r="C20" s="10" t="s">
        <v>54</v>
      </c>
      <c r="D20" s="10">
        <v>58.84</v>
      </c>
      <c r="E20" s="10">
        <v>58.84</v>
      </c>
      <c r="F20" s="11">
        <f>D20/$I$7</f>
        <v>0.11768000000000001</v>
      </c>
      <c r="G20" s="12">
        <f t="shared" si="15"/>
        <v>44.13</v>
      </c>
      <c r="H20" s="12">
        <v>0.75</v>
      </c>
      <c r="I20" s="12">
        <v>500</v>
      </c>
      <c r="J20" s="10">
        <v>300</v>
      </c>
      <c r="K20" s="10">
        <v>193000</v>
      </c>
      <c r="L20" s="10">
        <v>0.28000000000000003</v>
      </c>
      <c r="M20" s="10">
        <f t="shared" si="0"/>
        <v>10.525619183687011</v>
      </c>
      <c r="N20" s="10">
        <v>1.6E-2</v>
      </c>
      <c r="O20" s="11">
        <f t="shared" si="1"/>
        <v>0.16840990693899219</v>
      </c>
      <c r="P20" s="11">
        <f t="shared" si="2"/>
        <v>1.4310835055998656</v>
      </c>
      <c r="Q20" s="13">
        <f t="shared" si="3"/>
        <v>0.92857168294664805</v>
      </c>
      <c r="R20" s="13">
        <f t="shared" si="4"/>
        <v>1.2</v>
      </c>
      <c r="S20" s="13">
        <f t="shared" si="5"/>
        <v>0.27135571917393703</v>
      </c>
      <c r="T20" s="11">
        <v>0.15399599999999999</v>
      </c>
      <c r="U20" s="15"/>
      <c r="V20" s="14">
        <f t="shared" si="6"/>
        <v>0.22612976597828086</v>
      </c>
      <c r="W20" s="14">
        <f t="shared" si="7"/>
        <v>0.12833</v>
      </c>
      <c r="X20" s="14">
        <f t="shared" si="8"/>
        <v>0.77380973578887335</v>
      </c>
      <c r="Y20" s="74">
        <f t="shared" si="16"/>
        <v>127.701842195013</v>
      </c>
      <c r="Z20" s="74">
        <f t="shared" si="17"/>
        <v>112.70396775032664</v>
      </c>
      <c r="AA20" s="116">
        <f t="shared" si="18"/>
        <v>1.1330731716376763</v>
      </c>
      <c r="AB20" s="74">
        <f t="shared" si="19"/>
        <v>38.499000000000002</v>
      </c>
      <c r="AC20" s="74">
        <f t="shared" si="20"/>
        <v>0.12833</v>
      </c>
      <c r="AD20" s="166"/>
    </row>
    <row r="21" spans="2:30" ht="15.5">
      <c r="B21" s="10">
        <v>18</v>
      </c>
      <c r="C21" s="10" t="s">
        <v>55</v>
      </c>
      <c r="D21" s="10">
        <v>58.84</v>
      </c>
      <c r="E21" s="10">
        <v>58.84</v>
      </c>
      <c r="F21" s="11">
        <f>D21/$I$7</f>
        <v>0.11768000000000001</v>
      </c>
      <c r="G21" s="12">
        <f t="shared" si="15"/>
        <v>44.13</v>
      </c>
      <c r="H21" s="12">
        <v>0.75</v>
      </c>
      <c r="I21" s="12">
        <v>500</v>
      </c>
      <c r="J21" s="10">
        <v>400</v>
      </c>
      <c r="K21" s="10">
        <v>193000</v>
      </c>
      <c r="L21" s="10">
        <v>0.28000000000000003</v>
      </c>
      <c r="M21" s="10">
        <f t="shared" si="0"/>
        <v>10.525619183687011</v>
      </c>
      <c r="N21" s="10">
        <v>1.6E-2</v>
      </c>
      <c r="O21" s="11">
        <f t="shared" si="1"/>
        <v>0.16840990693899219</v>
      </c>
      <c r="P21" s="11">
        <f t="shared" si="2"/>
        <v>1.4310835055998656</v>
      </c>
      <c r="Q21" s="13">
        <f t="shared" si="3"/>
        <v>0.92857168294664805</v>
      </c>
      <c r="R21" s="13">
        <f t="shared" si="4"/>
        <v>1.6</v>
      </c>
      <c r="S21" s="13">
        <f t="shared" si="5"/>
        <v>0.27444292185494462</v>
      </c>
      <c r="T21" s="11">
        <v>0.155753</v>
      </c>
      <c r="U21" s="15"/>
      <c r="V21" s="14">
        <f t="shared" si="6"/>
        <v>0.17152682615934037</v>
      </c>
      <c r="W21" s="14">
        <f t="shared" si="7"/>
        <v>9.7345624999999991E-2</v>
      </c>
      <c r="X21" s="14">
        <f t="shared" si="8"/>
        <v>0.58035730184165502</v>
      </c>
      <c r="Y21" s="74">
        <f t="shared" si="16"/>
        <v>127.701842195013</v>
      </c>
      <c r="Z21" s="74">
        <f t="shared" si="17"/>
        <v>97.604499179084982</v>
      </c>
      <c r="AA21" s="116">
        <f t="shared" si="18"/>
        <v>1.308360201313111</v>
      </c>
      <c r="AB21" s="74">
        <f t="shared" si="19"/>
        <v>38.938250000000004</v>
      </c>
      <c r="AC21" s="74">
        <f t="shared" si="20"/>
        <v>9.7345625000000005E-2</v>
      </c>
      <c r="AD21" s="166"/>
    </row>
    <row r="22" spans="2:30" ht="15.5">
      <c r="B22" s="10">
        <v>19</v>
      </c>
      <c r="C22" s="10" t="s">
        <v>56</v>
      </c>
      <c r="D22" s="10">
        <v>58.84</v>
      </c>
      <c r="E22" s="10">
        <v>58.84</v>
      </c>
      <c r="F22" s="11">
        <f>D22/$I$10</f>
        <v>7.8453333333333333E-2</v>
      </c>
      <c r="G22" s="12">
        <f t="shared" si="15"/>
        <v>44.13</v>
      </c>
      <c r="H22" s="12">
        <v>0.75</v>
      </c>
      <c r="I22" s="12">
        <v>750</v>
      </c>
      <c r="J22" s="10">
        <v>200</v>
      </c>
      <c r="K22" s="10">
        <v>193000</v>
      </c>
      <c r="L22" s="10">
        <v>0.28000000000000003</v>
      </c>
      <c r="M22" s="10">
        <f t="shared" si="0"/>
        <v>8.5941320756277264</v>
      </c>
      <c r="N22" s="10">
        <v>1.6E-2</v>
      </c>
      <c r="O22" s="11">
        <f t="shared" si="1"/>
        <v>0.13750611321004363</v>
      </c>
      <c r="P22" s="11">
        <f t="shared" si="2"/>
        <v>1.7527121840165316</v>
      </c>
      <c r="Q22" s="13">
        <f t="shared" si="3"/>
        <v>0.41269852575406579</v>
      </c>
      <c r="R22" s="13">
        <f t="shared" si="4"/>
        <v>0.53333333333333333</v>
      </c>
      <c r="S22" s="13">
        <f t="shared" si="5"/>
        <v>0.12060254185508314</v>
      </c>
      <c r="T22" s="11">
        <v>5.5331499999999999E-2</v>
      </c>
      <c r="U22" s="15"/>
      <c r="V22" s="14">
        <f t="shared" si="6"/>
        <v>0.22612976597828088</v>
      </c>
      <c r="W22" s="14">
        <f t="shared" si="7"/>
        <v>0.1037465625</v>
      </c>
      <c r="X22" s="14">
        <f t="shared" si="8"/>
        <v>0.77380973578887335</v>
      </c>
      <c r="Y22" s="74">
        <f t="shared" si="16"/>
        <v>156.40217629560019</v>
      </c>
      <c r="Z22" s="74">
        <f t="shared" si="17"/>
        <v>138.03360648769561</v>
      </c>
      <c r="AA22" s="116">
        <f t="shared" si="18"/>
        <v>1.1330731716376763</v>
      </c>
      <c r="AB22" s="74">
        <f t="shared" si="19"/>
        <v>20.749312500000002</v>
      </c>
      <c r="AC22" s="74">
        <f t="shared" si="20"/>
        <v>0.10374656250000001</v>
      </c>
      <c r="AD22" s="166"/>
    </row>
    <row r="23" spans="2:30" ht="15.5">
      <c r="B23" s="10">
        <v>20</v>
      </c>
      <c r="C23" s="10" t="s">
        <v>57</v>
      </c>
      <c r="D23" s="10">
        <v>58.84</v>
      </c>
      <c r="E23" s="10">
        <v>58.84</v>
      </c>
      <c r="F23" s="11">
        <f>D23/$I$10</f>
        <v>7.8453333333333333E-2</v>
      </c>
      <c r="G23" s="12">
        <f t="shared" si="15"/>
        <v>44.13</v>
      </c>
      <c r="H23" s="12">
        <v>0.75</v>
      </c>
      <c r="I23" s="12">
        <v>750</v>
      </c>
      <c r="J23" s="10">
        <v>300</v>
      </c>
      <c r="K23" s="10">
        <v>193000</v>
      </c>
      <c r="L23" s="10">
        <v>0.28000000000000003</v>
      </c>
      <c r="M23" s="10">
        <f t="shared" si="0"/>
        <v>8.5941320756277264</v>
      </c>
      <c r="N23" s="10">
        <v>1.6E-2</v>
      </c>
      <c r="O23" s="11">
        <f t="shared" si="1"/>
        <v>0.13750611321004363</v>
      </c>
      <c r="P23" s="11">
        <f t="shared" si="2"/>
        <v>1.7527121840165316</v>
      </c>
      <c r="Q23" s="13">
        <f t="shared" si="3"/>
        <v>0.41269852575406579</v>
      </c>
      <c r="R23" s="13">
        <f t="shared" si="4"/>
        <v>0.79999999999999993</v>
      </c>
      <c r="S23" s="13">
        <f t="shared" si="5"/>
        <v>0.12235297391013417</v>
      </c>
      <c r="T23" s="11">
        <v>5.62871E-2</v>
      </c>
      <c r="U23" s="15"/>
      <c r="V23" s="14">
        <f t="shared" si="6"/>
        <v>0.15294121738766772</v>
      </c>
      <c r="W23" s="14">
        <f t="shared" si="7"/>
        <v>7.0358875000000001E-2</v>
      </c>
      <c r="X23" s="14">
        <f t="shared" si="8"/>
        <v>0.51587315719258231</v>
      </c>
      <c r="Y23" s="74">
        <f t="shared" si="16"/>
        <v>156.40217629560019</v>
      </c>
      <c r="Z23" s="74">
        <f t="shared" si="17"/>
        <v>112.70396775032664</v>
      </c>
      <c r="AA23" s="116">
        <f t="shared" si="18"/>
        <v>1.3877255558746457</v>
      </c>
      <c r="AB23" s="74">
        <f t="shared" si="19"/>
        <v>21.107662500000004</v>
      </c>
      <c r="AC23" s="74">
        <f t="shared" si="20"/>
        <v>7.0358875000000015E-2</v>
      </c>
      <c r="AD23" s="166"/>
    </row>
    <row r="24" spans="2:30" ht="15.5">
      <c r="B24" s="10">
        <v>21</v>
      </c>
      <c r="C24" s="10" t="s">
        <v>58</v>
      </c>
      <c r="D24" s="10">
        <v>58.84</v>
      </c>
      <c r="E24" s="10">
        <v>58.84</v>
      </c>
      <c r="F24" s="11">
        <f>D24/$I$10</f>
        <v>7.8453333333333333E-2</v>
      </c>
      <c r="G24" s="12">
        <f t="shared" si="15"/>
        <v>44.13</v>
      </c>
      <c r="H24" s="12">
        <v>0.75</v>
      </c>
      <c r="I24" s="12">
        <v>750</v>
      </c>
      <c r="J24" s="10">
        <v>400</v>
      </c>
      <c r="K24" s="10">
        <v>193000</v>
      </c>
      <c r="L24" s="10">
        <v>0.28000000000000003</v>
      </c>
      <c r="M24" s="10">
        <f t="shared" si="0"/>
        <v>8.5941320756277264</v>
      </c>
      <c r="N24" s="10">
        <v>1.6E-2</v>
      </c>
      <c r="O24" s="11">
        <f t="shared" si="1"/>
        <v>0.13750611321004363</v>
      </c>
      <c r="P24" s="11">
        <f t="shared" si="2"/>
        <v>1.7527121840165316</v>
      </c>
      <c r="Q24" s="13">
        <f t="shared" si="3"/>
        <v>0.41269852575406579</v>
      </c>
      <c r="R24" s="13">
        <f t="shared" si="4"/>
        <v>1.0666666666666667</v>
      </c>
      <c r="S24" s="13">
        <f t="shared" si="5"/>
        <v>0.12298387416243488</v>
      </c>
      <c r="T24" s="11">
        <v>5.62871E-2</v>
      </c>
      <c r="U24" s="15"/>
      <c r="V24" s="14">
        <f t="shared" si="6"/>
        <v>0.11529738202728269</v>
      </c>
      <c r="W24" s="14">
        <f t="shared" si="7"/>
        <v>5.2769156249999997E-2</v>
      </c>
      <c r="X24" s="14">
        <f t="shared" si="8"/>
        <v>0.38690486789443668</v>
      </c>
      <c r="Y24" s="74">
        <f t="shared" si="16"/>
        <v>156.40217629560019</v>
      </c>
      <c r="Z24" s="74">
        <f t="shared" si="17"/>
        <v>97.604499179084982</v>
      </c>
      <c r="AA24" s="116">
        <f t="shared" si="18"/>
        <v>1.6024074464910996</v>
      </c>
      <c r="AB24" s="74">
        <f t="shared" si="19"/>
        <v>21.107662500000004</v>
      </c>
      <c r="AC24" s="74">
        <f t="shared" si="20"/>
        <v>5.2769156250000011E-2</v>
      </c>
      <c r="AD24" s="166"/>
    </row>
    <row r="25" spans="2:30" ht="15.5">
      <c r="B25" s="10">
        <v>22</v>
      </c>
      <c r="C25" s="10" t="s">
        <v>59</v>
      </c>
      <c r="D25" s="10">
        <v>58.84</v>
      </c>
      <c r="E25" s="10">
        <v>58.84</v>
      </c>
      <c r="F25" s="11">
        <f>D25/$I$13</f>
        <v>5.8840000000000003E-2</v>
      </c>
      <c r="G25" s="12">
        <f t="shared" si="15"/>
        <v>44.13</v>
      </c>
      <c r="H25" s="12">
        <v>0.75</v>
      </c>
      <c r="I25" s="12">
        <v>1000</v>
      </c>
      <c r="J25" s="10">
        <v>200</v>
      </c>
      <c r="K25" s="10">
        <v>193000</v>
      </c>
      <c r="L25" s="10">
        <v>0.28000000000000003</v>
      </c>
      <c r="M25" s="10">
        <f t="shared" si="0"/>
        <v>7.442736700972298</v>
      </c>
      <c r="N25" s="10">
        <v>1.6E-2</v>
      </c>
      <c r="O25" s="11">
        <f t="shared" si="1"/>
        <v>0.11908378721555678</v>
      </c>
      <c r="P25" s="11">
        <f t="shared" si="2"/>
        <v>2.0238577025077631</v>
      </c>
      <c r="Q25" s="13">
        <f t="shared" si="3"/>
        <v>0.23214292073666201</v>
      </c>
      <c r="R25" s="13">
        <f t="shared" si="4"/>
        <v>0.4</v>
      </c>
      <c r="S25" s="13">
        <f t="shared" si="5"/>
        <v>6.8610730463736155E-2</v>
      </c>
      <c r="T25" s="11">
        <v>2.9068500000000001E-2</v>
      </c>
      <c r="U25" s="15"/>
      <c r="V25" s="14">
        <f t="shared" si="6"/>
        <v>0.17152682615934037</v>
      </c>
      <c r="W25" s="14">
        <f t="shared" si="7"/>
        <v>7.2671249999999993E-2</v>
      </c>
      <c r="X25" s="14">
        <f t="shared" si="8"/>
        <v>0.58035730184165502</v>
      </c>
      <c r="Y25" s="74">
        <f t="shared" si="16"/>
        <v>180.59767717221615</v>
      </c>
      <c r="Z25" s="74">
        <f t="shared" si="17"/>
        <v>138.03360648769561</v>
      </c>
      <c r="AA25" s="116">
        <f t="shared" si="18"/>
        <v>1.3083602013131108</v>
      </c>
      <c r="AB25" s="74">
        <f t="shared" si="19"/>
        <v>14.53425</v>
      </c>
      <c r="AC25" s="74">
        <f t="shared" si="20"/>
        <v>7.2671250000000007E-2</v>
      </c>
      <c r="AD25" s="166"/>
    </row>
    <row r="26" spans="2:30" ht="15.5">
      <c r="B26" s="10">
        <v>23</v>
      </c>
      <c r="C26" s="10" t="s">
        <v>60</v>
      </c>
      <c r="D26" s="12">
        <v>58.84</v>
      </c>
      <c r="E26" s="12">
        <v>58.84</v>
      </c>
      <c r="F26" s="11">
        <f>D26/$I$13</f>
        <v>5.8840000000000003E-2</v>
      </c>
      <c r="G26" s="12">
        <f t="shared" si="15"/>
        <v>44.13</v>
      </c>
      <c r="H26" s="12">
        <v>0.75</v>
      </c>
      <c r="I26" s="12">
        <v>1000</v>
      </c>
      <c r="J26" s="10">
        <v>300</v>
      </c>
      <c r="K26" s="12">
        <v>193000</v>
      </c>
      <c r="L26" s="12">
        <v>0.28000000000000003</v>
      </c>
      <c r="M26" s="10">
        <f t="shared" si="0"/>
        <v>7.442736700972298</v>
      </c>
      <c r="N26" s="10">
        <v>1.6E-2</v>
      </c>
      <c r="O26" s="11">
        <f t="shared" si="1"/>
        <v>0.11908378721555678</v>
      </c>
      <c r="P26" s="11">
        <f t="shared" si="2"/>
        <v>2.0238577025077631</v>
      </c>
      <c r="Q26" s="13">
        <f t="shared" si="3"/>
        <v>0.23214292073666201</v>
      </c>
      <c r="R26" s="13">
        <f t="shared" si="4"/>
        <v>0.6</v>
      </c>
      <c r="S26" s="13">
        <f t="shared" si="5"/>
        <v>6.917842921636963E-2</v>
      </c>
      <c r="T26" s="15">
        <v>2.9080999999999999E-2</v>
      </c>
      <c r="U26" s="15"/>
      <c r="V26" s="14">
        <f t="shared" si="6"/>
        <v>0.11529738202728272</v>
      </c>
      <c r="W26" s="14">
        <f t="shared" si="7"/>
        <v>4.8468333333333335E-2</v>
      </c>
      <c r="X26" s="14">
        <f t="shared" si="8"/>
        <v>0.38690486789443668</v>
      </c>
      <c r="Y26" s="74">
        <f t="shared" si="16"/>
        <v>180.59767717221615</v>
      </c>
      <c r="Z26" s="74">
        <f t="shared" si="17"/>
        <v>112.70396775032664</v>
      </c>
      <c r="AA26" s="116">
        <f t="shared" si="18"/>
        <v>1.6024074464910996</v>
      </c>
      <c r="AB26" s="74">
        <f t="shared" si="19"/>
        <v>14.5405</v>
      </c>
      <c r="AC26" s="74">
        <f t="shared" si="20"/>
        <v>4.8468333333333335E-2</v>
      </c>
      <c r="AD26" s="166"/>
    </row>
    <row r="27" spans="2:30" ht="15.5">
      <c r="B27" s="10">
        <v>24</v>
      </c>
      <c r="C27" s="10" t="s">
        <v>61</v>
      </c>
      <c r="D27" s="10">
        <v>58.84</v>
      </c>
      <c r="E27" s="10">
        <v>58.84</v>
      </c>
      <c r="F27" s="11">
        <f>D27/$I$13</f>
        <v>5.8840000000000003E-2</v>
      </c>
      <c r="G27" s="12">
        <f t="shared" si="15"/>
        <v>44.13</v>
      </c>
      <c r="H27" s="12">
        <v>0.75</v>
      </c>
      <c r="I27" s="12">
        <v>1000</v>
      </c>
      <c r="J27" s="10">
        <v>400</v>
      </c>
      <c r="K27" s="10">
        <v>193000</v>
      </c>
      <c r="L27" s="10">
        <v>0.28000000000000003</v>
      </c>
      <c r="M27" s="10">
        <f t="shared" si="0"/>
        <v>7.442736700972298</v>
      </c>
      <c r="N27" s="10">
        <v>1.6E-2</v>
      </c>
      <c r="O27" s="11">
        <f t="shared" si="1"/>
        <v>0.11908378721555678</v>
      </c>
      <c r="P27" s="11">
        <f t="shared" si="2"/>
        <v>2.0238577025077631</v>
      </c>
      <c r="Q27" s="13">
        <f t="shared" si="3"/>
        <v>0.23214292073666201</v>
      </c>
      <c r="R27" s="13">
        <f t="shared" si="4"/>
        <v>0.8</v>
      </c>
      <c r="S27" s="13">
        <f t="shared" si="5"/>
        <v>6.9380478390277611E-2</v>
      </c>
      <c r="T27" s="11">
        <v>2.9080999999999999E-2</v>
      </c>
      <c r="U27" s="15"/>
      <c r="V27" s="14">
        <f t="shared" si="6"/>
        <v>8.6725597987847014E-2</v>
      </c>
      <c r="W27" s="14">
        <f t="shared" si="7"/>
        <v>3.6351249999999995E-2</v>
      </c>
      <c r="X27" s="14">
        <f t="shared" si="8"/>
        <v>0.29017865092082751</v>
      </c>
      <c r="Y27" s="74">
        <f t="shared" si="16"/>
        <v>180.59767717221615</v>
      </c>
      <c r="Z27" s="74">
        <f t="shared" si="17"/>
        <v>97.604499179084982</v>
      </c>
      <c r="AA27" s="116">
        <f t="shared" si="18"/>
        <v>1.8503007411661945</v>
      </c>
      <c r="AB27" s="74">
        <f t="shared" si="19"/>
        <v>14.5405</v>
      </c>
      <c r="AC27" s="74">
        <f t="shared" si="20"/>
        <v>3.6351250000000002E-2</v>
      </c>
      <c r="AD27" s="167"/>
    </row>
    <row r="28" spans="2:30" ht="15.5">
      <c r="B28" s="6">
        <v>25</v>
      </c>
      <c r="C28" s="6" t="s">
        <v>62</v>
      </c>
      <c r="D28" s="6">
        <v>90.51</v>
      </c>
      <c r="E28" s="6">
        <v>73</v>
      </c>
      <c r="F28" s="1">
        <f>D28/$I$4</f>
        <v>0.36204000000000003</v>
      </c>
      <c r="G28" s="7">
        <v>37</v>
      </c>
      <c r="H28" s="7">
        <v>0.5</v>
      </c>
      <c r="I28" s="7">
        <v>250</v>
      </c>
      <c r="J28" s="6">
        <v>200</v>
      </c>
      <c r="K28" s="6">
        <v>193000</v>
      </c>
      <c r="L28" s="6">
        <v>0.28000000000000003</v>
      </c>
      <c r="M28" s="6">
        <f t="shared" si="0"/>
        <v>22.897420081747203</v>
      </c>
      <c r="N28" s="6">
        <v>1.6E-2</v>
      </c>
      <c r="O28" s="1">
        <f t="shared" si="1"/>
        <v>0.36635872130795527</v>
      </c>
      <c r="P28" s="1">
        <f t="shared" si="2"/>
        <v>1.0119288512538815</v>
      </c>
      <c r="Q28" s="1">
        <f t="shared" si="3"/>
        <v>3.7142867317865922</v>
      </c>
      <c r="R28" s="1">
        <f t="shared" si="4"/>
        <v>1.6</v>
      </c>
      <c r="S28" s="1">
        <f t="shared" si="5"/>
        <v>0.91439017469420802</v>
      </c>
      <c r="T28" s="1">
        <v>1.4555100000000001</v>
      </c>
      <c r="U28" s="2"/>
      <c r="V28" s="2">
        <f t="shared" si="6"/>
        <v>0.57149385918387996</v>
      </c>
      <c r="W28" s="2">
        <f t="shared" si="7"/>
        <v>0.90969374999999997</v>
      </c>
      <c r="X28" s="2">
        <f t="shared" si="8"/>
        <v>2.3214292073666201</v>
      </c>
      <c r="Y28" s="58">
        <f t="shared" si="16"/>
        <v>90.298838586108076</v>
      </c>
      <c r="Z28" s="58">
        <f t="shared" si="17"/>
        <v>138.03360648769561</v>
      </c>
      <c r="AA28" s="115">
        <f t="shared" si="18"/>
        <v>0.65418010065655541</v>
      </c>
      <c r="AB28" s="58">
        <f t="shared" si="19"/>
        <v>181.93875</v>
      </c>
      <c r="AC28" s="58">
        <f t="shared" si="20"/>
        <v>0.90969374999999997</v>
      </c>
      <c r="AD28" s="162" t="s">
        <v>63</v>
      </c>
    </row>
    <row r="29" spans="2:30" ht="15.5">
      <c r="B29" s="6">
        <v>26</v>
      </c>
      <c r="C29" s="6" t="s">
        <v>64</v>
      </c>
      <c r="D29" s="6">
        <v>90.51</v>
      </c>
      <c r="E29" s="6">
        <v>73</v>
      </c>
      <c r="F29" s="1">
        <f>D29/$I$4</f>
        <v>0.36204000000000003</v>
      </c>
      <c r="G29" s="7">
        <v>37</v>
      </c>
      <c r="H29" s="7">
        <v>0.5</v>
      </c>
      <c r="I29" s="7">
        <v>250</v>
      </c>
      <c r="J29" s="6">
        <v>300</v>
      </c>
      <c r="K29" s="6">
        <v>193000</v>
      </c>
      <c r="L29" s="6">
        <v>0.28000000000000003</v>
      </c>
      <c r="M29" s="6">
        <f t="shared" si="0"/>
        <v>22.897420081747203</v>
      </c>
      <c r="N29" s="6">
        <v>1.6E-2</v>
      </c>
      <c r="O29" s="1">
        <f t="shared" si="1"/>
        <v>0.36635872130795527</v>
      </c>
      <c r="P29" s="1">
        <f t="shared" si="2"/>
        <v>1.0119288512538815</v>
      </c>
      <c r="Q29" s="1">
        <f t="shared" si="3"/>
        <v>3.7142867317865922</v>
      </c>
      <c r="R29" s="1">
        <f t="shared" si="4"/>
        <v>2.4</v>
      </c>
      <c r="S29" s="1">
        <f t="shared" si="5"/>
        <v>1.0106673632580871</v>
      </c>
      <c r="T29" s="1">
        <v>1.96699</v>
      </c>
      <c r="U29" s="2"/>
      <c r="V29" s="2">
        <f t="shared" si="6"/>
        <v>0.42111140135753633</v>
      </c>
      <c r="W29" s="2">
        <f t="shared" si="7"/>
        <v>0.81957916666666675</v>
      </c>
      <c r="X29" s="2">
        <f t="shared" si="8"/>
        <v>1.5476194715777467</v>
      </c>
      <c r="Y29" s="58">
        <f t="shared" si="16"/>
        <v>90.298838586108076</v>
      </c>
      <c r="Z29" s="58">
        <f t="shared" si="17"/>
        <v>112.70396775032664</v>
      </c>
      <c r="AA29" s="115">
        <f t="shared" si="18"/>
        <v>0.80120372324554978</v>
      </c>
      <c r="AB29" s="58">
        <f t="shared" si="19"/>
        <v>245.87374999999997</v>
      </c>
      <c r="AC29" s="58">
        <f t="shared" si="20"/>
        <v>0.81957916666666653</v>
      </c>
      <c r="AD29" s="163"/>
    </row>
    <row r="30" spans="2:30" ht="15.5">
      <c r="B30" s="6">
        <v>27</v>
      </c>
      <c r="C30" s="6" t="s">
        <v>65</v>
      </c>
      <c r="D30" s="6">
        <v>90.51</v>
      </c>
      <c r="E30" s="6">
        <v>73</v>
      </c>
      <c r="F30" s="1">
        <f>D30/$I$4</f>
        <v>0.36204000000000003</v>
      </c>
      <c r="G30" s="7">
        <v>37</v>
      </c>
      <c r="H30" s="7">
        <v>0.5</v>
      </c>
      <c r="I30" s="7">
        <v>250</v>
      </c>
      <c r="J30" s="6">
        <v>400</v>
      </c>
      <c r="K30" s="6">
        <v>193000</v>
      </c>
      <c r="L30" s="6">
        <v>0.28000000000000003</v>
      </c>
      <c r="M30" s="6">
        <f t="shared" si="0"/>
        <v>22.897420081747203</v>
      </c>
      <c r="N30" s="6">
        <v>1.6E-2</v>
      </c>
      <c r="O30" s="1">
        <f t="shared" si="1"/>
        <v>0.36635872130795527</v>
      </c>
      <c r="P30" s="1">
        <f t="shared" si="2"/>
        <v>1.0119288512538815</v>
      </c>
      <c r="Q30" s="1">
        <f t="shared" si="3"/>
        <v>3.7142867317865922</v>
      </c>
      <c r="R30" s="1">
        <f t="shared" si="4"/>
        <v>3.2</v>
      </c>
      <c r="S30" s="1">
        <f t="shared" si="5"/>
        <v>1.0523127276737392</v>
      </c>
      <c r="T30" s="1">
        <v>2.4875099999999999</v>
      </c>
      <c r="U30" s="2"/>
      <c r="V30" s="2">
        <f t="shared" si="6"/>
        <v>0.32884772739804347</v>
      </c>
      <c r="W30" s="2">
        <f t="shared" si="7"/>
        <v>0.77734687499999988</v>
      </c>
      <c r="X30" s="2">
        <f t="shared" si="8"/>
        <v>1.16071460368331</v>
      </c>
      <c r="Y30" s="58">
        <f t="shared" si="16"/>
        <v>90.298838586108076</v>
      </c>
      <c r="Z30" s="58">
        <f t="shared" si="17"/>
        <v>97.604499179084982</v>
      </c>
      <c r="AA30" s="115">
        <f t="shared" si="18"/>
        <v>0.92515037058309724</v>
      </c>
      <c r="AB30" s="58">
        <f t="shared" si="19"/>
        <v>310.93874999999997</v>
      </c>
      <c r="AC30" s="58">
        <f t="shared" si="20"/>
        <v>0.77734687499999988</v>
      </c>
      <c r="AD30" s="163"/>
    </row>
    <row r="31" spans="2:30" ht="15.5">
      <c r="B31" s="6">
        <v>28</v>
      </c>
      <c r="C31" s="6" t="s">
        <v>66</v>
      </c>
      <c r="D31" s="6">
        <v>90.51</v>
      </c>
      <c r="E31" s="6">
        <v>73</v>
      </c>
      <c r="F31" s="1">
        <f>D31/$I$7</f>
        <v>0.18102000000000001</v>
      </c>
      <c r="G31" s="7">
        <v>37</v>
      </c>
      <c r="H31" s="7">
        <v>0.5</v>
      </c>
      <c r="I31" s="7">
        <v>500</v>
      </c>
      <c r="J31" s="6">
        <v>200</v>
      </c>
      <c r="K31" s="6">
        <v>193000</v>
      </c>
      <c r="L31" s="6">
        <v>0.28000000000000003</v>
      </c>
      <c r="M31" s="6">
        <f t="shared" si="0"/>
        <v>16.190921011480476</v>
      </c>
      <c r="N31" s="6">
        <v>1.6E-2</v>
      </c>
      <c r="O31" s="1">
        <f t="shared" si="1"/>
        <v>0.25905473618368763</v>
      </c>
      <c r="P31" s="1">
        <f t="shared" si="2"/>
        <v>1.4310835055998652</v>
      </c>
      <c r="Q31" s="1">
        <f t="shared" si="3"/>
        <v>0.92857168294664805</v>
      </c>
      <c r="R31" s="1">
        <f t="shared" si="4"/>
        <v>0.8</v>
      </c>
      <c r="S31" s="1">
        <f t="shared" si="5"/>
        <v>0.26307818191843479</v>
      </c>
      <c r="T31" s="1">
        <v>0.55433399999999999</v>
      </c>
      <c r="U31" s="2"/>
      <c r="V31" s="2">
        <f t="shared" si="6"/>
        <v>0.32884772739804347</v>
      </c>
      <c r="W31" s="2">
        <f t="shared" si="7"/>
        <v>0.69291749999999996</v>
      </c>
      <c r="X31" s="2">
        <f t="shared" si="8"/>
        <v>1.16071460368331</v>
      </c>
      <c r="Y31" s="58">
        <f t="shared" si="16"/>
        <v>127.701842195013</v>
      </c>
      <c r="Z31" s="58">
        <f t="shared" si="17"/>
        <v>138.03360648769561</v>
      </c>
      <c r="AA31" s="115">
        <f t="shared" si="18"/>
        <v>0.92515037058309724</v>
      </c>
      <c r="AB31" s="58">
        <f t="shared" si="19"/>
        <v>138.58349999999999</v>
      </c>
      <c r="AC31" s="58">
        <f t="shared" si="20"/>
        <v>0.69291749999999996</v>
      </c>
      <c r="AD31" s="163"/>
    </row>
    <row r="32" spans="2:30" ht="15.5">
      <c r="B32" s="6">
        <v>29</v>
      </c>
      <c r="C32" s="6" t="s">
        <v>67</v>
      </c>
      <c r="D32" s="6">
        <v>90.51</v>
      </c>
      <c r="E32" s="6">
        <v>73</v>
      </c>
      <c r="F32" s="1">
        <f>D32/$I$7</f>
        <v>0.18102000000000001</v>
      </c>
      <c r="G32" s="7">
        <v>37</v>
      </c>
      <c r="H32" s="7">
        <v>0.5</v>
      </c>
      <c r="I32" s="7">
        <v>500</v>
      </c>
      <c r="J32" s="6">
        <v>300</v>
      </c>
      <c r="K32" s="6">
        <v>193000</v>
      </c>
      <c r="L32" s="6">
        <v>0.28000000000000003</v>
      </c>
      <c r="M32" s="6">
        <f t="shared" si="0"/>
        <v>16.190921011480476</v>
      </c>
      <c r="N32" s="6">
        <v>1.6E-2</v>
      </c>
      <c r="O32" s="1">
        <f t="shared" si="1"/>
        <v>0.25905473618368763</v>
      </c>
      <c r="P32" s="1">
        <f t="shared" si="2"/>
        <v>1.4310835055998652</v>
      </c>
      <c r="Q32" s="1">
        <f t="shared" si="3"/>
        <v>0.92857168294664805</v>
      </c>
      <c r="R32" s="1">
        <f t="shared" si="4"/>
        <v>1.2</v>
      </c>
      <c r="S32" s="1">
        <f t="shared" si="5"/>
        <v>0.27135571917393703</v>
      </c>
      <c r="T32" s="1">
        <v>0.78435200000000005</v>
      </c>
      <c r="U32" s="2"/>
      <c r="V32" s="2">
        <f t="shared" si="6"/>
        <v>0.22612976597828086</v>
      </c>
      <c r="W32" s="2">
        <f t="shared" si="7"/>
        <v>0.65362666666666669</v>
      </c>
      <c r="X32" s="2">
        <f t="shared" si="8"/>
        <v>0.77380973578887335</v>
      </c>
      <c r="Y32" s="58">
        <f t="shared" si="16"/>
        <v>127.701842195013</v>
      </c>
      <c r="Z32" s="58">
        <f t="shared" si="17"/>
        <v>112.70396775032664</v>
      </c>
      <c r="AA32" s="115">
        <f t="shared" si="18"/>
        <v>1.1330731716376763</v>
      </c>
      <c r="AB32" s="58">
        <f t="shared" si="19"/>
        <v>196.08800000000002</v>
      </c>
      <c r="AC32" s="58">
        <f t="shared" si="20"/>
        <v>0.65362666666666669</v>
      </c>
      <c r="AD32" s="163"/>
    </row>
    <row r="33" spans="2:30" ht="15.5">
      <c r="B33" s="6">
        <v>30</v>
      </c>
      <c r="C33" s="6" t="s">
        <v>68</v>
      </c>
      <c r="D33" s="6">
        <v>90.51</v>
      </c>
      <c r="E33" s="6">
        <v>73</v>
      </c>
      <c r="F33" s="1">
        <f>D33/$I$7</f>
        <v>0.18102000000000001</v>
      </c>
      <c r="G33" s="7">
        <v>37</v>
      </c>
      <c r="H33" s="7">
        <v>0.5</v>
      </c>
      <c r="I33" s="7">
        <v>500</v>
      </c>
      <c r="J33" s="6">
        <v>400</v>
      </c>
      <c r="K33" s="6">
        <v>193000</v>
      </c>
      <c r="L33" s="6">
        <v>0.28000000000000003</v>
      </c>
      <c r="M33" s="6">
        <f t="shared" si="0"/>
        <v>16.190921011480476</v>
      </c>
      <c r="N33" s="6">
        <v>1.6E-2</v>
      </c>
      <c r="O33" s="1">
        <f t="shared" si="1"/>
        <v>0.25905473618368763</v>
      </c>
      <c r="P33" s="1">
        <f t="shared" si="2"/>
        <v>1.4310835055998652</v>
      </c>
      <c r="Q33" s="1">
        <f t="shared" si="3"/>
        <v>0.92857168294664805</v>
      </c>
      <c r="R33" s="1">
        <f t="shared" si="4"/>
        <v>1.6</v>
      </c>
      <c r="S33" s="1">
        <f t="shared" si="5"/>
        <v>0.27444292185494462</v>
      </c>
      <c r="T33" s="1">
        <v>0.78436399999999995</v>
      </c>
      <c r="U33" s="2"/>
      <c r="V33" s="2">
        <f t="shared" si="6"/>
        <v>0.17152682615934037</v>
      </c>
      <c r="W33" s="2">
        <f t="shared" si="7"/>
        <v>0.49022749999999993</v>
      </c>
      <c r="X33" s="2">
        <f t="shared" si="8"/>
        <v>0.58035730184165502</v>
      </c>
      <c r="Y33" s="58">
        <f t="shared" si="16"/>
        <v>127.701842195013</v>
      </c>
      <c r="Z33" s="58">
        <f t="shared" si="17"/>
        <v>97.604499179084982</v>
      </c>
      <c r="AA33" s="115">
        <f t="shared" si="18"/>
        <v>1.308360201313111</v>
      </c>
      <c r="AB33" s="58">
        <f t="shared" si="19"/>
        <v>196.09099999999998</v>
      </c>
      <c r="AC33" s="58">
        <f t="shared" si="20"/>
        <v>0.49022749999999993</v>
      </c>
      <c r="AD33" s="163"/>
    </row>
    <row r="34" spans="2:30" ht="15.5">
      <c r="B34" s="6">
        <v>31</v>
      </c>
      <c r="C34" s="6" t="s">
        <v>69</v>
      </c>
      <c r="D34" s="6">
        <v>90.51</v>
      </c>
      <c r="E34" s="6">
        <v>73</v>
      </c>
      <c r="F34" s="1">
        <f>D34/$I$10</f>
        <v>0.12068000000000001</v>
      </c>
      <c r="G34" s="7">
        <v>37</v>
      </c>
      <c r="H34" s="7">
        <v>0.5</v>
      </c>
      <c r="I34" s="7">
        <v>750</v>
      </c>
      <c r="J34" s="6">
        <v>200</v>
      </c>
      <c r="K34" s="6">
        <v>193000</v>
      </c>
      <c r="L34" s="6">
        <v>0.28000000000000003</v>
      </c>
      <c r="M34" s="6">
        <f t="shared" si="0"/>
        <v>13.219831647944691</v>
      </c>
      <c r="N34" s="6">
        <v>1.6E-2</v>
      </c>
      <c r="O34" s="1">
        <f t="shared" si="1"/>
        <v>0.21151730636711505</v>
      </c>
      <c r="P34" s="1">
        <f t="shared" si="2"/>
        <v>1.7527121840165316</v>
      </c>
      <c r="Q34" s="1">
        <f t="shared" si="3"/>
        <v>0.41269852575406579</v>
      </c>
      <c r="R34" s="1">
        <f t="shared" si="4"/>
        <v>0.53333333333333333</v>
      </c>
      <c r="S34" s="1">
        <f t="shared" si="5"/>
        <v>0.12060254185508314</v>
      </c>
      <c r="T34" s="1">
        <v>0.32707900000000001</v>
      </c>
      <c r="U34" s="2"/>
      <c r="V34" s="2">
        <f t="shared" si="6"/>
        <v>0.22612976597828088</v>
      </c>
      <c r="W34" s="2">
        <f t="shared" si="7"/>
        <v>0.61327312499999997</v>
      </c>
      <c r="X34" s="2">
        <f t="shared" si="8"/>
        <v>0.77380973578887335</v>
      </c>
      <c r="Y34" s="58">
        <f t="shared" si="16"/>
        <v>156.40217629560019</v>
      </c>
      <c r="Z34" s="58">
        <f t="shared" si="17"/>
        <v>138.03360648769561</v>
      </c>
      <c r="AA34" s="115">
        <f t="shared" si="18"/>
        <v>1.1330731716376763</v>
      </c>
      <c r="AB34" s="58">
        <f t="shared" si="19"/>
        <v>122.654625</v>
      </c>
      <c r="AC34" s="58">
        <f t="shared" si="20"/>
        <v>0.61327312499999997</v>
      </c>
      <c r="AD34" s="163"/>
    </row>
    <row r="35" spans="2:30" ht="15.5">
      <c r="B35" s="6">
        <v>32</v>
      </c>
      <c r="C35" s="6" t="s">
        <v>70</v>
      </c>
      <c r="D35" s="6">
        <v>90.51</v>
      </c>
      <c r="E35" s="6">
        <v>73</v>
      </c>
      <c r="F35" s="1">
        <f>D35/$I$10</f>
        <v>0.12068000000000001</v>
      </c>
      <c r="G35" s="7">
        <v>37</v>
      </c>
      <c r="H35" s="7">
        <v>0.5</v>
      </c>
      <c r="I35" s="7">
        <v>750</v>
      </c>
      <c r="J35" s="6">
        <v>300</v>
      </c>
      <c r="K35" s="6">
        <v>193000</v>
      </c>
      <c r="L35" s="6">
        <v>0.28000000000000003</v>
      </c>
      <c r="M35" s="6">
        <f t="shared" si="0"/>
        <v>13.219831647944691</v>
      </c>
      <c r="N35" s="6">
        <v>1.6E-2</v>
      </c>
      <c r="O35" s="1">
        <f t="shared" si="1"/>
        <v>0.21151730636711505</v>
      </c>
      <c r="P35" s="1">
        <f t="shared" si="2"/>
        <v>1.7527121840165316</v>
      </c>
      <c r="Q35" s="1">
        <f t="shared" si="3"/>
        <v>0.41269852575406579</v>
      </c>
      <c r="R35" s="1">
        <f t="shared" si="4"/>
        <v>0.79999999999999993</v>
      </c>
      <c r="S35" s="1">
        <f t="shared" si="5"/>
        <v>0.12235297391013417</v>
      </c>
      <c r="T35" s="1">
        <v>0.35414800000000002</v>
      </c>
      <c r="U35" s="2"/>
      <c r="V35" s="2">
        <f t="shared" si="6"/>
        <v>0.15294121738766772</v>
      </c>
      <c r="W35" s="2">
        <f t="shared" si="7"/>
        <v>0.44268500000000005</v>
      </c>
      <c r="X35" s="2">
        <f t="shared" si="8"/>
        <v>0.51587315719258231</v>
      </c>
      <c r="Y35" s="58">
        <f t="shared" si="16"/>
        <v>156.40217629560019</v>
      </c>
      <c r="Z35" s="58">
        <f t="shared" si="17"/>
        <v>112.70396775032664</v>
      </c>
      <c r="AA35" s="115">
        <f t="shared" si="18"/>
        <v>1.3877255558746457</v>
      </c>
      <c r="AB35" s="58">
        <f t="shared" si="19"/>
        <v>132.80550000000002</v>
      </c>
      <c r="AC35" s="58">
        <f t="shared" si="20"/>
        <v>0.44268500000000005</v>
      </c>
      <c r="AD35" s="163"/>
    </row>
    <row r="36" spans="2:30" ht="15.5">
      <c r="B36" s="6">
        <v>33</v>
      </c>
      <c r="C36" s="6" t="s">
        <v>71</v>
      </c>
      <c r="D36" s="6">
        <v>90.51</v>
      </c>
      <c r="E36" s="6">
        <v>73</v>
      </c>
      <c r="F36" s="1">
        <f>D36/$I$10</f>
        <v>0.12068000000000001</v>
      </c>
      <c r="G36" s="7">
        <v>37</v>
      </c>
      <c r="H36" s="7">
        <v>0.5</v>
      </c>
      <c r="I36" s="7">
        <v>750</v>
      </c>
      <c r="J36" s="6">
        <v>400</v>
      </c>
      <c r="K36" s="6">
        <v>193000</v>
      </c>
      <c r="L36" s="6">
        <v>0.28000000000000003</v>
      </c>
      <c r="M36" s="6">
        <f t="shared" si="0"/>
        <v>13.219831647944691</v>
      </c>
      <c r="N36" s="6">
        <v>1.6E-2</v>
      </c>
      <c r="O36" s="1">
        <f t="shared" si="1"/>
        <v>0.21151730636711505</v>
      </c>
      <c r="P36" s="1">
        <f t="shared" si="2"/>
        <v>1.7527121840165316</v>
      </c>
      <c r="Q36" s="1">
        <f t="shared" si="3"/>
        <v>0.41269852575406579</v>
      </c>
      <c r="R36" s="1">
        <f t="shared" si="4"/>
        <v>1.0666666666666667</v>
      </c>
      <c r="S36" s="1">
        <f t="shared" si="5"/>
        <v>0.12298387416243488</v>
      </c>
      <c r="T36" s="1">
        <v>0.34808800000000001</v>
      </c>
      <c r="U36" s="2"/>
      <c r="V36" s="2">
        <f t="shared" si="6"/>
        <v>0.11529738202728269</v>
      </c>
      <c r="W36" s="2">
        <f t="shared" si="7"/>
        <v>0.32633250000000003</v>
      </c>
      <c r="X36" s="2">
        <f t="shared" si="8"/>
        <v>0.38690486789443668</v>
      </c>
      <c r="Y36" s="58">
        <f t="shared" si="16"/>
        <v>156.40217629560019</v>
      </c>
      <c r="Z36" s="58">
        <f t="shared" si="17"/>
        <v>97.604499179084982</v>
      </c>
      <c r="AA36" s="115">
        <f t="shared" si="18"/>
        <v>1.6024074464910996</v>
      </c>
      <c r="AB36" s="58">
        <f t="shared" si="19"/>
        <v>130.53299999999999</v>
      </c>
      <c r="AC36" s="58">
        <f t="shared" si="20"/>
        <v>0.32633249999999997</v>
      </c>
      <c r="AD36" s="163"/>
    </row>
    <row r="37" spans="2:30" ht="15.5">
      <c r="B37" s="6">
        <v>34</v>
      </c>
      <c r="C37" s="6" t="s">
        <v>72</v>
      </c>
      <c r="D37" s="6">
        <v>90.51</v>
      </c>
      <c r="E37" s="6">
        <v>73</v>
      </c>
      <c r="F37" s="1">
        <f>D37/$I$13</f>
        <v>9.0510000000000007E-2</v>
      </c>
      <c r="G37" s="7">
        <v>37</v>
      </c>
      <c r="H37" s="7">
        <v>0.5</v>
      </c>
      <c r="I37" s="7">
        <v>1000</v>
      </c>
      <c r="J37" s="6">
        <v>200</v>
      </c>
      <c r="K37" s="6">
        <v>193000</v>
      </c>
      <c r="L37" s="6">
        <v>0.28000000000000003</v>
      </c>
      <c r="M37" s="6">
        <f t="shared" si="0"/>
        <v>11.448710040873602</v>
      </c>
      <c r="N37" s="6">
        <v>1.6E-2</v>
      </c>
      <c r="O37" s="1">
        <f t="shared" si="1"/>
        <v>0.18317936065397764</v>
      </c>
      <c r="P37" s="1">
        <f t="shared" si="2"/>
        <v>2.0238577025077631</v>
      </c>
      <c r="Q37" s="1">
        <f t="shared" si="3"/>
        <v>0.23214292073666201</v>
      </c>
      <c r="R37" s="1">
        <f t="shared" si="4"/>
        <v>0.4</v>
      </c>
      <c r="S37" s="1">
        <f t="shared" si="5"/>
        <v>6.8610730463736155E-2</v>
      </c>
      <c r="T37" s="1">
        <v>0.18335199999999999</v>
      </c>
      <c r="U37" s="2"/>
      <c r="V37" s="2">
        <f t="shared" si="6"/>
        <v>0.17152682615934037</v>
      </c>
      <c r="W37" s="2">
        <f t="shared" si="7"/>
        <v>0.45837999999999995</v>
      </c>
      <c r="X37" s="2">
        <f t="shared" si="8"/>
        <v>0.58035730184165502</v>
      </c>
      <c r="Y37" s="58">
        <f t="shared" si="16"/>
        <v>180.59767717221615</v>
      </c>
      <c r="Z37" s="58">
        <f t="shared" si="17"/>
        <v>138.03360648769561</v>
      </c>
      <c r="AA37" s="115">
        <f t="shared" si="18"/>
        <v>1.3083602013131108</v>
      </c>
      <c r="AB37" s="58">
        <f t="shared" si="19"/>
        <v>91.675999999999988</v>
      </c>
      <c r="AC37" s="58">
        <f t="shared" si="20"/>
        <v>0.45837999999999995</v>
      </c>
      <c r="AD37" s="163"/>
    </row>
    <row r="38" spans="2:30" ht="15.5">
      <c r="B38" s="6">
        <v>35</v>
      </c>
      <c r="C38" s="6" t="s">
        <v>73</v>
      </c>
      <c r="D38" s="6">
        <v>90.51</v>
      </c>
      <c r="E38" s="6">
        <v>73</v>
      </c>
      <c r="F38" s="1">
        <f>D38/$I$13</f>
        <v>9.0510000000000007E-2</v>
      </c>
      <c r="G38" s="7">
        <v>37</v>
      </c>
      <c r="H38" s="7">
        <v>0.5</v>
      </c>
      <c r="I38" s="7">
        <v>1000</v>
      </c>
      <c r="J38" s="6">
        <v>300</v>
      </c>
      <c r="K38" s="7">
        <v>193000</v>
      </c>
      <c r="L38" s="7">
        <v>0.28000000000000003</v>
      </c>
      <c r="M38" s="6">
        <f t="shared" si="0"/>
        <v>11.448710040873602</v>
      </c>
      <c r="N38" s="6">
        <v>1.6E-2</v>
      </c>
      <c r="O38" s="1">
        <f t="shared" si="1"/>
        <v>0.18317936065397764</v>
      </c>
      <c r="P38" s="1">
        <f t="shared" si="2"/>
        <v>2.0238577025077631</v>
      </c>
      <c r="Q38" s="1">
        <f t="shared" si="3"/>
        <v>0.23214292073666201</v>
      </c>
      <c r="R38" s="1">
        <f t="shared" si="4"/>
        <v>0.6</v>
      </c>
      <c r="S38" s="1">
        <f t="shared" si="5"/>
        <v>6.917842921636963E-2</v>
      </c>
      <c r="T38" s="2">
        <v>0.19342799999999999</v>
      </c>
      <c r="U38" s="2"/>
      <c r="V38" s="2">
        <f t="shared" si="6"/>
        <v>0.11529738202728272</v>
      </c>
      <c r="W38" s="2">
        <f t="shared" si="7"/>
        <v>0.32238</v>
      </c>
      <c r="X38" s="2">
        <f t="shared" si="8"/>
        <v>0.38690486789443668</v>
      </c>
      <c r="Y38" s="58">
        <f t="shared" si="16"/>
        <v>180.59767717221615</v>
      </c>
      <c r="Z38" s="58">
        <f t="shared" si="17"/>
        <v>112.70396775032664</v>
      </c>
      <c r="AA38" s="115">
        <f t="shared" si="18"/>
        <v>1.6024074464910996</v>
      </c>
      <c r="AB38" s="58">
        <f t="shared" si="19"/>
        <v>96.713999999999984</v>
      </c>
      <c r="AC38" s="58">
        <f t="shared" si="20"/>
        <v>0.32237999999999994</v>
      </c>
      <c r="AD38" s="163"/>
    </row>
    <row r="39" spans="2:30" ht="15.5">
      <c r="B39" s="6">
        <v>36</v>
      </c>
      <c r="C39" s="6" t="s">
        <v>74</v>
      </c>
      <c r="D39" s="6">
        <v>90.51</v>
      </c>
      <c r="E39" s="6">
        <v>73</v>
      </c>
      <c r="F39" s="1">
        <f>D39/$I$13</f>
        <v>9.0510000000000007E-2</v>
      </c>
      <c r="G39" s="7">
        <v>37</v>
      </c>
      <c r="H39" s="7">
        <v>0.5</v>
      </c>
      <c r="I39" s="7">
        <v>1000</v>
      </c>
      <c r="J39" s="6">
        <v>400</v>
      </c>
      <c r="K39" s="6">
        <v>193000</v>
      </c>
      <c r="L39" s="6">
        <v>0.28000000000000003</v>
      </c>
      <c r="M39" s="6">
        <f t="shared" si="0"/>
        <v>11.448710040873602</v>
      </c>
      <c r="N39" s="6">
        <v>1.6E-2</v>
      </c>
      <c r="O39" s="1">
        <f t="shared" si="1"/>
        <v>0.18317936065397764</v>
      </c>
      <c r="P39" s="1">
        <f t="shared" si="2"/>
        <v>2.0238577025077631</v>
      </c>
      <c r="Q39" s="1">
        <f t="shared" si="3"/>
        <v>0.23214292073666201</v>
      </c>
      <c r="R39" s="1">
        <f t="shared" si="4"/>
        <v>0.8</v>
      </c>
      <c r="S39" s="1">
        <f t="shared" si="5"/>
        <v>6.9380478390277611E-2</v>
      </c>
      <c r="T39" s="1">
        <v>0.191246</v>
      </c>
      <c r="U39" s="2"/>
      <c r="V39" s="2">
        <f t="shared" si="6"/>
        <v>8.6725597987847014E-2</v>
      </c>
      <c r="W39" s="2">
        <f t="shared" si="7"/>
        <v>0.23905749999999998</v>
      </c>
      <c r="X39" s="2">
        <f t="shared" si="8"/>
        <v>0.29017865092082751</v>
      </c>
      <c r="Y39" s="58">
        <f t="shared" si="16"/>
        <v>180.59767717221615</v>
      </c>
      <c r="Z39" s="58">
        <f t="shared" si="17"/>
        <v>97.604499179084982</v>
      </c>
      <c r="AA39" s="115">
        <f t="shared" si="18"/>
        <v>1.8503007411661945</v>
      </c>
      <c r="AB39" s="58">
        <f t="shared" si="19"/>
        <v>95.623000000000005</v>
      </c>
      <c r="AC39" s="58">
        <f t="shared" si="20"/>
        <v>0.23905750000000001</v>
      </c>
      <c r="AD39" s="164"/>
    </row>
    <row r="40" spans="2:30" ht="15.5">
      <c r="B40" s="10">
        <v>37</v>
      </c>
      <c r="C40" s="10" t="s">
        <v>0</v>
      </c>
      <c r="D40" s="10">
        <v>563.4</v>
      </c>
      <c r="E40" s="10">
        <v>83.09</v>
      </c>
      <c r="F40" s="11">
        <f>D40/$I$4</f>
        <v>2.2536</v>
      </c>
      <c r="G40" s="12">
        <v>6.2</v>
      </c>
      <c r="H40" s="12">
        <f>G40/E40</f>
        <v>7.4617884221928027E-2</v>
      </c>
      <c r="I40" s="12">
        <v>250</v>
      </c>
      <c r="J40" s="10">
        <v>200</v>
      </c>
      <c r="K40" s="10">
        <v>193000</v>
      </c>
      <c r="L40" s="10">
        <v>0.28000000000000003</v>
      </c>
      <c r="M40" s="10">
        <f>4*(SQRT(D40*F40))</f>
        <v>142.5301786991092</v>
      </c>
      <c r="N40" s="10">
        <v>1.6E-2</v>
      </c>
      <c r="O40" s="11">
        <f>N40*M40</f>
        <v>2.2804828591857471</v>
      </c>
      <c r="P40" s="11">
        <f t="shared" si="2"/>
        <v>1.0119288512538813</v>
      </c>
      <c r="Q40" s="13">
        <f t="shared" si="3"/>
        <v>3.7142867317865922</v>
      </c>
      <c r="R40" s="13">
        <f t="shared" si="4"/>
        <v>1.6</v>
      </c>
      <c r="S40" s="13">
        <f t="shared" si="5"/>
        <v>0.91439017469420802</v>
      </c>
      <c r="T40" s="11">
        <v>1.2756799999999999</v>
      </c>
      <c r="U40" s="15"/>
      <c r="V40" s="14">
        <f t="shared" si="6"/>
        <v>0.57149385918387996</v>
      </c>
      <c r="W40" s="14">
        <f t="shared" si="7"/>
        <v>0.7972999999999999</v>
      </c>
      <c r="X40" s="72">
        <f t="shared" si="8"/>
        <v>2.3214292073666201</v>
      </c>
      <c r="Y40" s="74">
        <f>5.711*(D40/F40)^0.5</f>
        <v>90.298838586108076</v>
      </c>
      <c r="Z40" s="74">
        <f>(2*3.142^2*K40/(J40))^0.5</f>
        <v>138.03360648769561</v>
      </c>
      <c r="AA40" s="116">
        <f>Y40/Z40</f>
        <v>0.65418010065655541</v>
      </c>
      <c r="AB40" s="74">
        <f>(T40*D40)/(2*F40)</f>
        <v>159.45999999999998</v>
      </c>
      <c r="AC40" s="74">
        <f>AB40/J40</f>
        <v>0.7972999999999999</v>
      </c>
      <c r="AD40" s="168" t="s">
        <v>1</v>
      </c>
    </row>
    <row r="41" spans="2:30" ht="15.5">
      <c r="B41" s="10">
        <v>38</v>
      </c>
      <c r="C41" s="10" t="s">
        <v>2</v>
      </c>
      <c r="D41" s="10">
        <v>563.4</v>
      </c>
      <c r="E41" s="10">
        <v>83.09</v>
      </c>
      <c r="F41" s="11">
        <f>D41/$I$4</f>
        <v>2.2536</v>
      </c>
      <c r="G41" s="12">
        <v>6.2</v>
      </c>
      <c r="H41" s="12">
        <f t="shared" ref="H41:H51" si="21">G41/E41</f>
        <v>7.4617884221928027E-2</v>
      </c>
      <c r="I41" s="12">
        <v>250</v>
      </c>
      <c r="J41" s="10">
        <v>300</v>
      </c>
      <c r="K41" s="10">
        <v>193000</v>
      </c>
      <c r="L41" s="10">
        <v>0.28000000000000003</v>
      </c>
      <c r="M41" s="10">
        <f t="shared" si="0"/>
        <v>142.5301786991092</v>
      </c>
      <c r="N41" s="10">
        <v>1.6E-2</v>
      </c>
      <c r="O41" s="11">
        <f t="shared" si="1"/>
        <v>2.2804828591857471</v>
      </c>
      <c r="P41" s="11">
        <f t="shared" si="2"/>
        <v>1.0119288512538813</v>
      </c>
      <c r="Q41" s="13">
        <f t="shared" si="3"/>
        <v>3.7142867317865922</v>
      </c>
      <c r="R41" s="13">
        <f t="shared" si="4"/>
        <v>2.4</v>
      </c>
      <c r="S41" s="13">
        <f t="shared" si="5"/>
        <v>1.0106673632580871</v>
      </c>
      <c r="T41" s="11">
        <v>1.57355</v>
      </c>
      <c r="U41" s="15"/>
      <c r="V41" s="14">
        <f t="shared" si="6"/>
        <v>0.42111140135753633</v>
      </c>
      <c r="W41" s="14">
        <f t="shared" si="7"/>
        <v>0.65564583333333337</v>
      </c>
      <c r="X41" s="72">
        <f t="shared" si="8"/>
        <v>1.5476194715777467</v>
      </c>
      <c r="Y41" s="74">
        <f t="shared" ref="Y41:Y51" si="22">5.711*(D41/F41)^0.5</f>
        <v>90.298838586108076</v>
      </c>
      <c r="Z41" s="74">
        <f t="shared" ref="Z41:Z51" si="23">(2*3.142^2*K41/(J41))^0.5</f>
        <v>112.70396775032664</v>
      </c>
      <c r="AA41" s="116">
        <f t="shared" ref="AA41:AA51" si="24">Y41/Z41</f>
        <v>0.80120372324554978</v>
      </c>
      <c r="AB41" s="74">
        <f t="shared" ref="AB41:AB51" si="25">(T41*D41)/(2*F41)</f>
        <v>196.69374999999999</v>
      </c>
      <c r="AC41" s="74">
        <f t="shared" ref="AC41:AC51" si="26">AB41/J41</f>
        <v>0.65564583333333326</v>
      </c>
      <c r="AD41" s="169"/>
    </row>
    <row r="42" spans="2:30" ht="15.5">
      <c r="B42" s="10">
        <v>39</v>
      </c>
      <c r="C42" s="10" t="s">
        <v>3</v>
      </c>
      <c r="D42" s="10">
        <v>563.4</v>
      </c>
      <c r="E42" s="10">
        <v>83.09</v>
      </c>
      <c r="F42" s="11">
        <f>D42/$I$4</f>
        <v>2.2536</v>
      </c>
      <c r="G42" s="12">
        <v>6.2</v>
      </c>
      <c r="H42" s="12">
        <f t="shared" si="21"/>
        <v>7.4617884221928027E-2</v>
      </c>
      <c r="I42" s="12">
        <v>250</v>
      </c>
      <c r="J42" s="10">
        <v>400</v>
      </c>
      <c r="K42" s="10">
        <v>193000</v>
      </c>
      <c r="L42" s="10">
        <v>0.28000000000000003</v>
      </c>
      <c r="M42" s="10">
        <f t="shared" si="0"/>
        <v>142.5301786991092</v>
      </c>
      <c r="N42" s="10">
        <v>1.6E-2</v>
      </c>
      <c r="O42" s="11">
        <f t="shared" si="1"/>
        <v>2.2804828591857471</v>
      </c>
      <c r="P42" s="11">
        <f t="shared" si="2"/>
        <v>1.0119288512538813</v>
      </c>
      <c r="Q42" s="13">
        <f t="shared" si="3"/>
        <v>3.7142867317865922</v>
      </c>
      <c r="R42" s="13">
        <f t="shared" si="4"/>
        <v>3.2</v>
      </c>
      <c r="S42" s="13">
        <f t="shared" si="5"/>
        <v>1.0523127276737392</v>
      </c>
      <c r="T42" s="11">
        <v>1.73617</v>
      </c>
      <c r="U42" s="15"/>
      <c r="V42" s="14">
        <f t="shared" si="6"/>
        <v>0.32884772739804347</v>
      </c>
      <c r="W42" s="14">
        <f t="shared" si="7"/>
        <v>0.54255312499999997</v>
      </c>
      <c r="X42" s="72">
        <f t="shared" si="8"/>
        <v>1.16071460368331</v>
      </c>
      <c r="Y42" s="74">
        <f t="shared" si="22"/>
        <v>90.298838586108076</v>
      </c>
      <c r="Z42" s="74">
        <f t="shared" si="23"/>
        <v>97.604499179084982</v>
      </c>
      <c r="AA42" s="116">
        <f t="shared" si="24"/>
        <v>0.92515037058309724</v>
      </c>
      <c r="AB42" s="74">
        <f t="shared" si="25"/>
        <v>217.02124999999998</v>
      </c>
      <c r="AC42" s="74">
        <f t="shared" si="26"/>
        <v>0.54255312499999997</v>
      </c>
      <c r="AD42" s="169"/>
    </row>
    <row r="43" spans="2:30" ht="15.5">
      <c r="B43" s="10">
        <v>40</v>
      </c>
      <c r="C43" s="10" t="s">
        <v>4</v>
      </c>
      <c r="D43" s="10">
        <v>563.4</v>
      </c>
      <c r="E43" s="10">
        <v>83.09</v>
      </c>
      <c r="F43" s="11">
        <f>D43/$I$7</f>
        <v>1.1268</v>
      </c>
      <c r="G43" s="12">
        <v>6.2</v>
      </c>
      <c r="H43" s="12">
        <f t="shared" si="21"/>
        <v>7.4617884221928027E-2</v>
      </c>
      <c r="I43" s="12">
        <v>500</v>
      </c>
      <c r="J43" s="10">
        <v>200</v>
      </c>
      <c r="K43" s="10">
        <v>193000</v>
      </c>
      <c r="L43" s="10">
        <v>0.28000000000000003</v>
      </c>
      <c r="M43" s="10">
        <f t="shared" si="0"/>
        <v>100.78405588187051</v>
      </c>
      <c r="N43" s="10">
        <v>1.6E-2</v>
      </c>
      <c r="O43" s="11">
        <f t="shared" si="1"/>
        <v>1.6125448941099283</v>
      </c>
      <c r="P43" s="11">
        <f t="shared" si="2"/>
        <v>1.4310835055998654</v>
      </c>
      <c r="Q43" s="13">
        <f t="shared" si="3"/>
        <v>0.92857168294664805</v>
      </c>
      <c r="R43" s="13">
        <f t="shared" si="4"/>
        <v>0.8</v>
      </c>
      <c r="S43" s="13">
        <f t="shared" si="5"/>
        <v>0.26307818191843479</v>
      </c>
      <c r="T43" s="11">
        <v>0.54386900000000005</v>
      </c>
      <c r="U43" s="15"/>
      <c r="V43" s="14">
        <f t="shared" si="6"/>
        <v>0.32884772739804347</v>
      </c>
      <c r="W43" s="14">
        <f t="shared" si="7"/>
        <v>0.67983625000000003</v>
      </c>
      <c r="X43" s="72">
        <f t="shared" si="8"/>
        <v>1.16071460368331</v>
      </c>
      <c r="Y43" s="74">
        <f t="shared" si="22"/>
        <v>127.70184219501299</v>
      </c>
      <c r="Z43" s="74">
        <f t="shared" si="23"/>
        <v>138.03360648769561</v>
      </c>
      <c r="AA43" s="116">
        <f t="shared" si="24"/>
        <v>0.92515037058309713</v>
      </c>
      <c r="AB43" s="74">
        <f t="shared" si="25"/>
        <v>135.96725000000001</v>
      </c>
      <c r="AC43" s="74">
        <f t="shared" si="26"/>
        <v>0.67983625000000003</v>
      </c>
      <c r="AD43" s="169"/>
    </row>
    <row r="44" spans="2:30" ht="15.5">
      <c r="B44" s="10">
        <v>41</v>
      </c>
      <c r="C44" s="10" t="s">
        <v>5</v>
      </c>
      <c r="D44" s="10">
        <v>563.4</v>
      </c>
      <c r="E44" s="10">
        <v>83.09</v>
      </c>
      <c r="F44" s="11">
        <f>D44/$I$7</f>
        <v>1.1268</v>
      </c>
      <c r="G44" s="12">
        <v>6.2</v>
      </c>
      <c r="H44" s="12">
        <f t="shared" si="21"/>
        <v>7.4617884221928027E-2</v>
      </c>
      <c r="I44" s="12">
        <v>500</v>
      </c>
      <c r="J44" s="10">
        <v>300</v>
      </c>
      <c r="K44" s="10">
        <v>193000</v>
      </c>
      <c r="L44" s="10">
        <v>0.28000000000000003</v>
      </c>
      <c r="M44" s="10">
        <f t="shared" si="0"/>
        <v>100.78405588187051</v>
      </c>
      <c r="N44" s="10">
        <v>1.6E-2</v>
      </c>
      <c r="O44" s="11">
        <f t="shared" si="1"/>
        <v>1.6125448941099283</v>
      </c>
      <c r="P44" s="11">
        <f t="shared" si="2"/>
        <v>1.4310835055998654</v>
      </c>
      <c r="Q44" s="13">
        <f t="shared" si="3"/>
        <v>0.92857168294664805</v>
      </c>
      <c r="R44" s="13">
        <f t="shared" si="4"/>
        <v>1.2</v>
      </c>
      <c r="S44" s="13">
        <f t="shared" si="5"/>
        <v>0.27135571917393703</v>
      </c>
      <c r="T44" s="11">
        <v>0.64916600000000002</v>
      </c>
      <c r="U44" s="15"/>
      <c r="V44" s="14">
        <f t="shared" si="6"/>
        <v>0.22612976597828086</v>
      </c>
      <c r="W44" s="14">
        <f t="shared" si="7"/>
        <v>0.54097166666666674</v>
      </c>
      <c r="X44" s="72">
        <f t="shared" si="8"/>
        <v>0.77380973578887335</v>
      </c>
      <c r="Y44" s="74">
        <f t="shared" si="22"/>
        <v>127.70184219501299</v>
      </c>
      <c r="Z44" s="74">
        <f t="shared" si="23"/>
        <v>112.70396775032664</v>
      </c>
      <c r="AA44" s="116">
        <f t="shared" si="24"/>
        <v>1.1330731716376763</v>
      </c>
      <c r="AB44" s="74">
        <f t="shared" si="25"/>
        <v>162.29150000000001</v>
      </c>
      <c r="AC44" s="74">
        <f t="shared" si="26"/>
        <v>0.54097166666666674</v>
      </c>
      <c r="AD44" s="169"/>
    </row>
    <row r="45" spans="2:30" ht="15.5">
      <c r="B45" s="10">
        <v>42</v>
      </c>
      <c r="C45" s="10" t="s">
        <v>6</v>
      </c>
      <c r="D45" s="10">
        <v>563.4</v>
      </c>
      <c r="E45" s="10">
        <v>83.09</v>
      </c>
      <c r="F45" s="11">
        <f>D45/$I$7</f>
        <v>1.1268</v>
      </c>
      <c r="G45" s="12">
        <v>6.2</v>
      </c>
      <c r="H45" s="12">
        <f t="shared" si="21"/>
        <v>7.4617884221928027E-2</v>
      </c>
      <c r="I45" s="12">
        <v>500</v>
      </c>
      <c r="J45" s="10">
        <v>400</v>
      </c>
      <c r="K45" s="10">
        <v>193000</v>
      </c>
      <c r="L45" s="10">
        <v>0.28000000000000003</v>
      </c>
      <c r="M45" s="10">
        <f t="shared" si="0"/>
        <v>100.78405588187051</v>
      </c>
      <c r="N45" s="10">
        <v>1.6E-2</v>
      </c>
      <c r="O45" s="11">
        <f t="shared" si="1"/>
        <v>1.6125448941099283</v>
      </c>
      <c r="P45" s="11">
        <f t="shared" si="2"/>
        <v>1.4310835055998654</v>
      </c>
      <c r="Q45" s="13">
        <f t="shared" si="3"/>
        <v>0.92857168294664805</v>
      </c>
      <c r="R45" s="13">
        <f t="shared" si="4"/>
        <v>1.6</v>
      </c>
      <c r="S45" s="13">
        <f t="shared" si="5"/>
        <v>0.27444292185494462</v>
      </c>
      <c r="T45" s="11">
        <v>0.689415</v>
      </c>
      <c r="U45" s="15"/>
      <c r="V45" s="14">
        <f t="shared" si="6"/>
        <v>0.17152682615934037</v>
      </c>
      <c r="W45" s="14">
        <f t="shared" si="7"/>
        <v>0.43088437499999999</v>
      </c>
      <c r="X45" s="72">
        <f t="shared" si="8"/>
        <v>0.58035730184165502</v>
      </c>
      <c r="Y45" s="74">
        <f t="shared" si="22"/>
        <v>127.70184219501299</v>
      </c>
      <c r="Z45" s="74">
        <f t="shared" si="23"/>
        <v>97.604499179084982</v>
      </c>
      <c r="AA45" s="116">
        <f t="shared" si="24"/>
        <v>1.3083602013131108</v>
      </c>
      <c r="AB45" s="74">
        <f t="shared" si="25"/>
        <v>172.35374999999999</v>
      </c>
      <c r="AC45" s="74">
        <f t="shared" si="26"/>
        <v>0.43088437499999999</v>
      </c>
      <c r="AD45" s="169"/>
    </row>
    <row r="46" spans="2:30" ht="15.5">
      <c r="B46" s="10">
        <v>43</v>
      </c>
      <c r="C46" s="10" t="s">
        <v>7</v>
      </c>
      <c r="D46" s="10">
        <v>563.4</v>
      </c>
      <c r="E46" s="10">
        <v>83.09</v>
      </c>
      <c r="F46" s="11">
        <f>D46/$I$10</f>
        <v>0.75119999999999998</v>
      </c>
      <c r="G46" s="12">
        <v>6.2</v>
      </c>
      <c r="H46" s="12">
        <f t="shared" si="21"/>
        <v>7.4617884221928027E-2</v>
      </c>
      <c r="I46" s="12">
        <v>750</v>
      </c>
      <c r="J46" s="10">
        <v>200</v>
      </c>
      <c r="K46" s="10">
        <v>193000</v>
      </c>
      <c r="L46" s="10">
        <v>0.28000000000000003</v>
      </c>
      <c r="M46" s="10">
        <f t="shared" si="0"/>
        <v>82.289837039576156</v>
      </c>
      <c r="N46" s="10">
        <v>1.6E-2</v>
      </c>
      <c r="O46" s="11">
        <f t="shared" si="1"/>
        <v>1.3166373926332184</v>
      </c>
      <c r="P46" s="11">
        <f t="shared" si="2"/>
        <v>1.7527121840165316</v>
      </c>
      <c r="Q46" s="13">
        <f t="shared" si="3"/>
        <v>0.41269852575406579</v>
      </c>
      <c r="R46" s="13">
        <f t="shared" si="4"/>
        <v>0.53333333333333333</v>
      </c>
      <c r="S46" s="13">
        <f t="shared" si="5"/>
        <v>0.12060254185508314</v>
      </c>
      <c r="T46" s="11">
        <v>0.26696500000000001</v>
      </c>
      <c r="U46" s="15"/>
      <c r="V46" s="14">
        <f t="shared" si="6"/>
        <v>0.22612976597828088</v>
      </c>
      <c r="W46" s="14">
        <f t="shared" si="7"/>
        <v>0.50055937500000003</v>
      </c>
      <c r="X46" s="72">
        <f t="shared" si="8"/>
        <v>0.77380973578887335</v>
      </c>
      <c r="Y46" s="74">
        <f t="shared" si="22"/>
        <v>156.40217629560019</v>
      </c>
      <c r="Z46" s="74">
        <f t="shared" si="23"/>
        <v>138.03360648769561</v>
      </c>
      <c r="AA46" s="116">
        <f t="shared" si="24"/>
        <v>1.1330731716376763</v>
      </c>
      <c r="AB46" s="74">
        <f t="shared" si="25"/>
        <v>100.11187500000001</v>
      </c>
      <c r="AC46" s="74">
        <f t="shared" si="26"/>
        <v>0.50055937500000003</v>
      </c>
      <c r="AD46" s="169"/>
    </row>
    <row r="47" spans="2:30" ht="15.5">
      <c r="B47" s="10">
        <v>44</v>
      </c>
      <c r="C47" s="10" t="s">
        <v>8</v>
      </c>
      <c r="D47" s="10">
        <v>563.4</v>
      </c>
      <c r="E47" s="10">
        <v>83.09</v>
      </c>
      <c r="F47" s="11">
        <f>D47/$I$10</f>
        <v>0.75119999999999998</v>
      </c>
      <c r="G47" s="12">
        <v>6.2</v>
      </c>
      <c r="H47" s="12">
        <f t="shared" si="21"/>
        <v>7.4617884221928027E-2</v>
      </c>
      <c r="I47" s="12">
        <v>750</v>
      </c>
      <c r="J47" s="10">
        <v>300</v>
      </c>
      <c r="K47" s="10">
        <v>193000</v>
      </c>
      <c r="L47" s="10">
        <v>0.28000000000000003</v>
      </c>
      <c r="M47" s="10">
        <f t="shared" si="0"/>
        <v>82.289837039576156</v>
      </c>
      <c r="N47" s="10">
        <v>1.6E-2</v>
      </c>
      <c r="O47" s="11">
        <f t="shared" si="1"/>
        <v>1.3166373926332184</v>
      </c>
      <c r="P47" s="11">
        <f t="shared" si="2"/>
        <v>1.7527121840165316</v>
      </c>
      <c r="Q47" s="13">
        <f t="shared" si="3"/>
        <v>0.41269852575406579</v>
      </c>
      <c r="R47" s="13">
        <f t="shared" si="4"/>
        <v>0.79999999999999993</v>
      </c>
      <c r="S47" s="13">
        <f t="shared" si="5"/>
        <v>0.12235297391013417</v>
      </c>
      <c r="T47" s="11">
        <v>0.28375800000000001</v>
      </c>
      <c r="U47" s="15"/>
      <c r="V47" s="14">
        <f t="shared" si="6"/>
        <v>0.15294121738766772</v>
      </c>
      <c r="W47" s="14">
        <f t="shared" si="7"/>
        <v>0.35469750000000005</v>
      </c>
      <c r="X47" s="72">
        <f t="shared" si="8"/>
        <v>0.51587315719258231</v>
      </c>
      <c r="Y47" s="74">
        <f t="shared" si="22"/>
        <v>156.40217629560019</v>
      </c>
      <c r="Z47" s="74">
        <f t="shared" si="23"/>
        <v>112.70396775032664</v>
      </c>
      <c r="AA47" s="116">
        <f t="shared" si="24"/>
        <v>1.3877255558746457</v>
      </c>
      <c r="AB47" s="74">
        <f t="shared" si="25"/>
        <v>106.40925</v>
      </c>
      <c r="AC47" s="74">
        <f t="shared" si="26"/>
        <v>0.3546975</v>
      </c>
      <c r="AD47" s="169"/>
    </row>
    <row r="48" spans="2:30" ht="15.5">
      <c r="B48" s="10">
        <v>45</v>
      </c>
      <c r="C48" s="10" t="s">
        <v>9</v>
      </c>
      <c r="D48" s="10">
        <v>563.4</v>
      </c>
      <c r="E48" s="10">
        <v>83.09</v>
      </c>
      <c r="F48" s="11">
        <f>D48/$I$10</f>
        <v>0.75119999999999998</v>
      </c>
      <c r="G48" s="12">
        <v>6.2</v>
      </c>
      <c r="H48" s="12">
        <f t="shared" si="21"/>
        <v>7.4617884221928027E-2</v>
      </c>
      <c r="I48" s="12">
        <v>750</v>
      </c>
      <c r="J48" s="10">
        <v>400</v>
      </c>
      <c r="K48" s="10">
        <v>193000</v>
      </c>
      <c r="L48" s="10">
        <v>0.28000000000000003</v>
      </c>
      <c r="M48" s="10">
        <f t="shared" si="0"/>
        <v>82.289837039576156</v>
      </c>
      <c r="N48" s="10">
        <v>1.6E-2</v>
      </c>
      <c r="O48" s="11">
        <f t="shared" si="1"/>
        <v>1.3166373926332184</v>
      </c>
      <c r="P48" s="11">
        <f t="shared" si="2"/>
        <v>1.7527121840165316</v>
      </c>
      <c r="Q48" s="13">
        <f t="shared" si="3"/>
        <v>0.41269852575406579</v>
      </c>
      <c r="R48" s="13">
        <f t="shared" si="4"/>
        <v>1.0666666666666667</v>
      </c>
      <c r="S48" s="13">
        <f t="shared" si="5"/>
        <v>0.12298387416243488</v>
      </c>
      <c r="T48" s="11">
        <v>0.28406199999999998</v>
      </c>
      <c r="U48" s="15"/>
      <c r="V48" s="14">
        <f t="shared" si="6"/>
        <v>0.11529738202728269</v>
      </c>
      <c r="W48" s="14">
        <f t="shared" si="7"/>
        <v>0.26630812500000001</v>
      </c>
      <c r="X48" s="72">
        <f t="shared" si="8"/>
        <v>0.38690486789443668</v>
      </c>
      <c r="Y48" s="74">
        <f t="shared" si="22"/>
        <v>156.40217629560019</v>
      </c>
      <c r="Z48" s="74">
        <f t="shared" si="23"/>
        <v>97.604499179084982</v>
      </c>
      <c r="AA48" s="116">
        <f t="shared" si="24"/>
        <v>1.6024074464910996</v>
      </c>
      <c r="AB48" s="74">
        <f t="shared" si="25"/>
        <v>106.52324999999999</v>
      </c>
      <c r="AC48" s="74">
        <f t="shared" si="26"/>
        <v>0.26630812499999995</v>
      </c>
      <c r="AD48" s="169"/>
    </row>
    <row r="49" spans="2:30" ht="15.5">
      <c r="B49" s="10">
        <v>46</v>
      </c>
      <c r="C49" s="10" t="s">
        <v>10</v>
      </c>
      <c r="D49" s="10">
        <v>563.4</v>
      </c>
      <c r="E49" s="10">
        <v>83.09</v>
      </c>
      <c r="F49" s="11">
        <f>D49/$I$13</f>
        <v>0.56340000000000001</v>
      </c>
      <c r="G49" s="12">
        <v>6.2</v>
      </c>
      <c r="H49" s="12">
        <f t="shared" si="21"/>
        <v>7.4617884221928027E-2</v>
      </c>
      <c r="I49" s="12">
        <v>1000</v>
      </c>
      <c r="J49" s="10">
        <v>200</v>
      </c>
      <c r="K49" s="10">
        <v>193000</v>
      </c>
      <c r="L49" s="10">
        <v>0.28000000000000003</v>
      </c>
      <c r="M49" s="10">
        <f t="shared" si="0"/>
        <v>71.2650893495546</v>
      </c>
      <c r="N49" s="10">
        <v>1.6E-2</v>
      </c>
      <c r="O49" s="11">
        <f t="shared" si="1"/>
        <v>1.1402414295928736</v>
      </c>
      <c r="P49" s="11">
        <f t="shared" si="2"/>
        <v>2.0238577025077626</v>
      </c>
      <c r="Q49" s="13">
        <f t="shared" si="3"/>
        <v>0.23214292073666201</v>
      </c>
      <c r="R49" s="13">
        <f t="shared" si="4"/>
        <v>0.4</v>
      </c>
      <c r="S49" s="13">
        <f t="shared" si="5"/>
        <v>6.8610730463736155E-2</v>
      </c>
      <c r="T49" s="11">
        <v>0.13487399999999999</v>
      </c>
      <c r="U49" s="15"/>
      <c r="V49" s="14">
        <f t="shared" si="6"/>
        <v>0.17152682615934037</v>
      </c>
      <c r="W49" s="14">
        <f t="shared" si="7"/>
        <v>0.33718499999999996</v>
      </c>
      <c r="X49" s="72">
        <f t="shared" si="8"/>
        <v>0.58035730184165502</v>
      </c>
      <c r="Y49" s="74">
        <f t="shared" si="22"/>
        <v>180.59767717221615</v>
      </c>
      <c r="Z49" s="74">
        <f t="shared" si="23"/>
        <v>138.03360648769561</v>
      </c>
      <c r="AA49" s="116">
        <f t="shared" si="24"/>
        <v>1.3083602013131108</v>
      </c>
      <c r="AB49" s="74">
        <f t="shared" si="25"/>
        <v>67.436999999999998</v>
      </c>
      <c r="AC49" s="74">
        <f t="shared" si="26"/>
        <v>0.33718500000000001</v>
      </c>
      <c r="AD49" s="169"/>
    </row>
    <row r="50" spans="2:30" ht="15.5">
      <c r="B50" s="10">
        <v>47</v>
      </c>
      <c r="C50" s="10" t="s">
        <v>11</v>
      </c>
      <c r="D50" s="10">
        <v>563.4</v>
      </c>
      <c r="E50" s="10">
        <v>83.09</v>
      </c>
      <c r="F50" s="11">
        <f>D50/$I$13</f>
        <v>0.56340000000000001</v>
      </c>
      <c r="G50" s="12">
        <v>6.2</v>
      </c>
      <c r="H50" s="12">
        <f t="shared" si="21"/>
        <v>7.4617884221928027E-2</v>
      </c>
      <c r="I50" s="12">
        <v>1000</v>
      </c>
      <c r="J50" s="10">
        <v>300</v>
      </c>
      <c r="K50" s="12">
        <v>193000</v>
      </c>
      <c r="L50" s="12">
        <v>0.28000000000000003</v>
      </c>
      <c r="M50" s="10">
        <f t="shared" si="0"/>
        <v>71.2650893495546</v>
      </c>
      <c r="N50" s="10">
        <v>1.6E-2</v>
      </c>
      <c r="O50" s="11">
        <f t="shared" si="1"/>
        <v>1.1402414295928736</v>
      </c>
      <c r="P50" s="11">
        <f t="shared" si="2"/>
        <v>2.0238577025077626</v>
      </c>
      <c r="Q50" s="13">
        <f t="shared" si="3"/>
        <v>0.23214292073666201</v>
      </c>
      <c r="R50" s="13">
        <f t="shared" si="4"/>
        <v>0.6</v>
      </c>
      <c r="S50" s="13">
        <f t="shared" si="5"/>
        <v>6.917842921636963E-2</v>
      </c>
      <c r="T50" s="15">
        <v>0.15673599999999999</v>
      </c>
      <c r="U50" s="15"/>
      <c r="V50" s="14">
        <f t="shared" si="6"/>
        <v>0.11529738202728272</v>
      </c>
      <c r="W50" s="14">
        <f t="shared" si="7"/>
        <v>0.26122666666666666</v>
      </c>
      <c r="X50" s="72">
        <f t="shared" si="8"/>
        <v>0.38690486789443668</v>
      </c>
      <c r="Y50" s="74">
        <f t="shared" si="22"/>
        <v>180.59767717221615</v>
      </c>
      <c r="Z50" s="74">
        <f t="shared" si="23"/>
        <v>112.70396775032664</v>
      </c>
      <c r="AA50" s="116">
        <f t="shared" si="24"/>
        <v>1.6024074464910996</v>
      </c>
      <c r="AB50" s="74">
        <f t="shared" si="25"/>
        <v>78.367999999999981</v>
      </c>
      <c r="AC50" s="74">
        <f t="shared" si="26"/>
        <v>0.26122666666666661</v>
      </c>
      <c r="AD50" s="169"/>
    </row>
    <row r="51" spans="2:30" ht="15.5">
      <c r="B51" s="34">
        <v>48</v>
      </c>
      <c r="C51" s="34" t="s">
        <v>12</v>
      </c>
      <c r="D51" s="34">
        <v>563.4</v>
      </c>
      <c r="E51" s="34">
        <v>83.09</v>
      </c>
      <c r="F51" s="35">
        <f>D51/$I$13</f>
        <v>0.56340000000000001</v>
      </c>
      <c r="G51" s="34">
        <v>6.2</v>
      </c>
      <c r="H51" s="34">
        <f t="shared" si="21"/>
        <v>7.4617884221928027E-2</v>
      </c>
      <c r="I51" s="34">
        <v>1000</v>
      </c>
      <c r="J51" s="10">
        <v>400</v>
      </c>
      <c r="K51" s="10">
        <v>193000</v>
      </c>
      <c r="L51" s="10">
        <v>0.28000000000000003</v>
      </c>
      <c r="M51" s="10">
        <f t="shared" si="0"/>
        <v>71.2650893495546</v>
      </c>
      <c r="N51" s="10">
        <v>1.6E-2</v>
      </c>
      <c r="O51" s="11">
        <f t="shared" si="1"/>
        <v>1.1402414295928736</v>
      </c>
      <c r="P51" s="11">
        <f t="shared" si="2"/>
        <v>2.0238577025077626</v>
      </c>
      <c r="Q51" s="13">
        <f t="shared" si="3"/>
        <v>0.23214292073666201</v>
      </c>
      <c r="R51" s="13">
        <f t="shared" si="4"/>
        <v>0.8</v>
      </c>
      <c r="S51" s="13">
        <f t="shared" si="5"/>
        <v>6.9380478390277611E-2</v>
      </c>
      <c r="T51" s="11">
        <v>0.158224</v>
      </c>
      <c r="U51" s="11"/>
      <c r="V51" s="13">
        <f t="shared" si="6"/>
        <v>8.6725597987847014E-2</v>
      </c>
      <c r="W51" s="13">
        <f t="shared" si="7"/>
        <v>0.19777999999999998</v>
      </c>
      <c r="X51" s="73">
        <f t="shared" si="8"/>
        <v>0.29017865092082751</v>
      </c>
      <c r="Y51" s="74">
        <f t="shared" si="22"/>
        <v>180.59767717221615</v>
      </c>
      <c r="Z51" s="74">
        <f t="shared" si="23"/>
        <v>97.604499179084982</v>
      </c>
      <c r="AA51" s="116">
        <f t="shared" si="24"/>
        <v>1.8503007411661945</v>
      </c>
      <c r="AB51" s="74">
        <f t="shared" si="25"/>
        <v>79.112000000000009</v>
      </c>
      <c r="AC51" s="74">
        <f t="shared" si="26"/>
        <v>0.19778000000000001</v>
      </c>
      <c r="AD51" s="170"/>
    </row>
  </sheetData>
  <autoFilter ref="B3:AD51" xr:uid="{5BB24537-B89C-456C-AFC8-A679918A92FA}"/>
  <mergeCells count="4">
    <mergeCell ref="AD4:AD15"/>
    <mergeCell ref="AD16:AD27"/>
    <mergeCell ref="AD28:AD39"/>
    <mergeCell ref="AD40:AD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10</vt:i4>
      </vt:variant>
    </vt:vector>
  </HeadingPairs>
  <TitlesOfParts>
    <vt:vector size="30" baseType="lpstr">
      <vt:lpstr>Geometry &amp; Modelling details</vt:lpstr>
      <vt:lpstr>Validation</vt:lpstr>
      <vt:lpstr>KDF</vt:lpstr>
      <vt:lpstr>Load vs. Disp</vt:lpstr>
      <vt:lpstr>EPP - Stress</vt:lpstr>
      <vt:lpstr>GMNIA - D6</vt:lpstr>
      <vt:lpstr>EPP - Displacement</vt:lpstr>
      <vt:lpstr>LBA study</vt:lpstr>
      <vt:lpstr>Bifurcation study</vt:lpstr>
      <vt:lpstr>EXP - DATA</vt:lpstr>
      <vt:lpstr>Sheet2</vt:lpstr>
      <vt:lpstr>Sheet3</vt:lpstr>
      <vt:lpstr>Sheet1</vt:lpstr>
      <vt:lpstr>Parametric - Equation</vt:lpstr>
      <vt:lpstr>Parametric - Study</vt:lpstr>
      <vt:lpstr>ECCS</vt:lpstr>
      <vt:lpstr>EC3</vt:lpstr>
      <vt:lpstr>AS4100</vt:lpstr>
      <vt:lpstr>Combined T + EP</vt:lpstr>
      <vt:lpstr>Sheet4</vt:lpstr>
      <vt:lpstr>P vs. ToverR</vt:lpstr>
      <vt:lpstr>P vs. ToverR - Exp_GMNA</vt:lpstr>
      <vt:lpstr>P vs. ToverR - Exp_Code</vt:lpstr>
      <vt:lpstr>VALIDATION PLOT</vt:lpstr>
      <vt:lpstr>Curve-Fit</vt:lpstr>
      <vt:lpstr>GMNA</vt:lpstr>
      <vt:lpstr>GMNA, GMNIA vs Rovert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Asus Vivobook</dc:creator>
  <cp:lastModifiedBy>Notebook Asus Vivobook</cp:lastModifiedBy>
  <dcterms:created xsi:type="dcterms:W3CDTF">2025-03-20T04:25:01Z</dcterms:created>
  <dcterms:modified xsi:type="dcterms:W3CDTF">2025-05-26T07:51:50Z</dcterms:modified>
</cp:coreProperties>
</file>