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G:\My Drive\Projects\COVID-19\"/>
    </mc:Choice>
  </mc:AlternateContent>
  <xr:revisionPtr revIDLastSave="0" documentId="13_ncr:1_{8B675A5E-5AAD-41DA-AF6D-61F8D452357D}" xr6:coauthVersionLast="47" xr6:coauthVersionMax="47" xr10:uidLastSave="{00000000-0000-0000-0000-000000000000}"/>
  <bookViews>
    <workbookView xWindow="-120" yWindow="-120" windowWidth="20730" windowHeight="11040" tabRatio="1000" firstSheet="1" activeTab="12" xr2:uid="{A95968CB-5F91-4606-ACB0-2DA54F01AE79}"/>
  </bookViews>
  <sheets>
    <sheet name="dat_transm" sheetId="2" r:id="rId1"/>
    <sheet name="dat_infx" sheetId="4" r:id="rId2"/>
    <sheet name="dat_hosp.pop" sheetId="7" r:id="rId3"/>
    <sheet name="dat_death.pop" sheetId="9" r:id="rId4"/>
    <sheet name="dat_hosp.infx" sheetId="14" r:id="rId5"/>
    <sheet name="dat_death.infx" sheetId="16" r:id="rId6"/>
    <sheet name="ES_transm" sheetId="1" r:id="rId7"/>
    <sheet name="ES_infx" sheetId="5" r:id="rId8"/>
    <sheet name="ES_hosp.pop" sheetId="8" r:id="rId9"/>
    <sheet name="ES_death.pop" sheetId="10" r:id="rId10"/>
    <sheet name="ES_hosp.infx" sheetId="15" r:id="rId11"/>
    <sheet name="ES_death.infx" sheetId="17" r:id="rId12"/>
    <sheet name="Legend" sheetId="13"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 i="2" l="1"/>
  <c r="C11" i="2"/>
  <c r="D11" i="2" s="1"/>
  <c r="G11" i="2" s="1"/>
  <c r="F11" i="2"/>
  <c r="H11" i="2" s="1"/>
  <c r="H13" i="4"/>
  <c r="E8" i="2"/>
  <c r="C8" i="2"/>
  <c r="D8" i="2"/>
  <c r="F8" i="2"/>
  <c r="D10" i="2"/>
  <c r="G10" i="2" s="1"/>
  <c r="D9" i="2"/>
  <c r="G9" i="2" s="1"/>
  <c r="F10" i="2"/>
  <c r="H10" i="2" s="1"/>
  <c r="F9" i="2"/>
  <c r="H9" i="2" s="1"/>
  <c r="F35" i="4"/>
  <c r="I35" i="4" s="1"/>
  <c r="H35" i="4"/>
  <c r="J35" i="4" s="1"/>
  <c r="I23" i="4"/>
  <c r="J23" i="4"/>
  <c r="F23" i="4"/>
  <c r="H23" i="4"/>
  <c r="F34" i="4"/>
  <c r="H34" i="4"/>
  <c r="F33" i="4"/>
  <c r="I33" i="4" s="1"/>
  <c r="H33" i="4"/>
  <c r="J33" i="4" s="1"/>
  <c r="I34" i="4"/>
  <c r="J34" i="4"/>
  <c r="F32" i="4"/>
  <c r="H32" i="4"/>
  <c r="F31" i="4"/>
  <c r="I31" i="4" s="1"/>
  <c r="H31" i="4"/>
  <c r="J31" i="4" s="1"/>
  <c r="E30" i="4"/>
  <c r="G30" i="4"/>
  <c r="H30" i="4" s="1"/>
  <c r="J30" i="4" s="1"/>
  <c r="F30" i="4"/>
  <c r="I30" i="4" s="1"/>
  <c r="F29" i="4"/>
  <c r="I29" i="4" s="1"/>
  <c r="H29" i="4"/>
  <c r="H28" i="7"/>
  <c r="J28" i="7" s="1"/>
  <c r="F28" i="7"/>
  <c r="I28" i="7" s="1"/>
  <c r="F28" i="4"/>
  <c r="H28" i="4"/>
  <c r="J28" i="4" s="1"/>
  <c r="G27" i="4"/>
  <c r="H27" i="4" s="1"/>
  <c r="J27" i="4" s="1"/>
  <c r="E27" i="4"/>
  <c r="F27" i="4" s="1"/>
  <c r="I27" i="4" s="1"/>
  <c r="F26" i="9"/>
  <c r="I26" i="9" s="1"/>
  <c r="H26" i="9"/>
  <c r="J26" i="9" s="1"/>
  <c r="H25" i="16"/>
  <c r="J25" i="16" s="1"/>
  <c r="H25" i="14"/>
  <c r="J25" i="14" s="1"/>
  <c r="F25" i="16"/>
  <c r="I25" i="16" s="1"/>
  <c r="F25" i="14"/>
  <c r="I25" i="14" s="1"/>
  <c r="H25" i="9"/>
  <c r="J25" i="9" s="1"/>
  <c r="H25" i="7"/>
  <c r="F25" i="9"/>
  <c r="I25" i="9" s="1"/>
  <c r="F25" i="7"/>
  <c r="I25" i="7" s="1"/>
  <c r="H24" i="16"/>
  <c r="J24" i="16" s="1"/>
  <c r="H28" i="14"/>
  <c r="J28" i="14" s="1"/>
  <c r="F28" i="14"/>
  <c r="I28" i="14" s="1"/>
  <c r="I28" i="4"/>
  <c r="J29" i="4"/>
  <c r="I32" i="4"/>
  <c r="J32" i="4"/>
  <c r="J25" i="7"/>
  <c r="I25" i="4"/>
  <c r="H25" i="4"/>
  <c r="J25" i="4" s="1"/>
  <c r="F25" i="4"/>
  <c r="F24" i="9"/>
  <c r="I24" i="9" s="1"/>
  <c r="H24" i="9"/>
  <c r="J24" i="9" s="1"/>
  <c r="E24" i="4"/>
  <c r="F24" i="16" s="1"/>
  <c r="I24" i="16" s="1"/>
  <c r="H24" i="4"/>
  <c r="J24" i="4" s="1"/>
  <c r="F24" i="4"/>
  <c r="I24" i="4" s="1"/>
  <c r="F22" i="4"/>
  <c r="F21" i="4"/>
  <c r="H22" i="4"/>
  <c r="H21" i="4"/>
  <c r="E20" i="7"/>
  <c r="F20" i="7" s="1"/>
  <c r="E19" i="7"/>
  <c r="F19" i="7" s="1"/>
  <c r="H20" i="7"/>
  <c r="H19" i="7"/>
  <c r="H18" i="4"/>
  <c r="F18" i="4"/>
  <c r="F17" i="7" l="1"/>
  <c r="I17" i="7" s="1"/>
  <c r="H17" i="7"/>
  <c r="J17" i="7" s="1"/>
  <c r="H16" i="7"/>
  <c r="J16" i="7" s="1"/>
  <c r="F16" i="7"/>
  <c r="I16" i="7" s="1"/>
  <c r="F16" i="4"/>
  <c r="I16" i="4" s="1"/>
  <c r="H17" i="4"/>
  <c r="J17" i="4" s="1"/>
  <c r="F17" i="4"/>
  <c r="I17" i="4" s="1"/>
  <c r="H16" i="4"/>
  <c r="J16" i="4" s="1"/>
  <c r="F12" i="14"/>
  <c r="I12" i="14" s="1"/>
  <c r="H12" i="7"/>
  <c r="J12" i="7" s="1"/>
  <c r="F12" i="7"/>
  <c r="H11" i="7"/>
  <c r="J11" i="7" s="1"/>
  <c r="F11" i="7"/>
  <c r="I11" i="7" s="1"/>
  <c r="H11" i="4"/>
  <c r="J11" i="4" s="1"/>
  <c r="F11" i="4"/>
  <c r="I11" i="4" s="1"/>
  <c r="H12" i="4"/>
  <c r="J12" i="4" s="1"/>
  <c r="F12" i="4"/>
  <c r="I12" i="4" s="1"/>
  <c r="F13" i="14"/>
  <c r="I13" i="14" s="1"/>
  <c r="I18" i="4"/>
  <c r="J18" i="4"/>
  <c r="I21" i="4"/>
  <c r="J21" i="4"/>
  <c r="I22" i="4"/>
  <c r="J22" i="4"/>
  <c r="F13" i="16"/>
  <c r="I13" i="16" s="1"/>
  <c r="H13" i="16"/>
  <c r="J13" i="16" s="1"/>
  <c r="H16" i="14"/>
  <c r="J16" i="14" s="1"/>
  <c r="H17" i="14"/>
  <c r="J17" i="14" s="1"/>
  <c r="F16" i="14"/>
  <c r="I16" i="14" s="1"/>
  <c r="F17" i="14"/>
  <c r="I17" i="14" s="1"/>
  <c r="H13" i="14"/>
  <c r="J13" i="14" s="1"/>
  <c r="H11" i="14"/>
  <c r="J11" i="14" s="1"/>
  <c r="H12" i="14"/>
  <c r="J12" i="14" s="1"/>
  <c r="F11" i="14"/>
  <c r="I11" i="14" s="1"/>
  <c r="I19" i="7"/>
  <c r="J19" i="7"/>
  <c r="I20" i="7"/>
  <c r="J20" i="7"/>
  <c r="I12" i="7"/>
  <c r="H8" i="9"/>
  <c r="J8" i="9" s="1"/>
  <c r="H8" i="7"/>
  <c r="J8" i="7" s="1"/>
  <c r="F8" i="9"/>
  <c r="I8" i="9" s="1"/>
  <c r="F8" i="7"/>
  <c r="I8" i="7" s="1"/>
  <c r="G14" i="14"/>
  <c r="E14" i="14"/>
  <c r="G14" i="16"/>
  <c r="E14" i="16"/>
  <c r="G14" i="9"/>
  <c r="E14" i="9"/>
  <c r="F14" i="9" s="1"/>
  <c r="H4" i="9"/>
  <c r="J4" i="9" s="1"/>
  <c r="F4" i="9"/>
  <c r="I4" i="9" s="1"/>
  <c r="F4" i="7"/>
  <c r="I4" i="7" s="1"/>
  <c r="H3" i="16"/>
  <c r="J3" i="16" s="1"/>
  <c r="H4" i="16"/>
  <c r="J4" i="16" s="1"/>
  <c r="H5" i="16"/>
  <c r="J5" i="16" s="1"/>
  <c r="H6" i="16"/>
  <c r="H7" i="16"/>
  <c r="J7" i="16" s="1"/>
  <c r="H8" i="16"/>
  <c r="J8" i="16" s="1"/>
  <c r="H9" i="16"/>
  <c r="J9" i="16" s="1"/>
  <c r="H10" i="16"/>
  <c r="H2" i="16"/>
  <c r="J2" i="16" s="1"/>
  <c r="F3" i="16"/>
  <c r="I3" i="16" s="1"/>
  <c r="F4" i="16"/>
  <c r="I4" i="16" s="1"/>
  <c r="F5" i="16"/>
  <c r="I5" i="16" s="1"/>
  <c r="F6" i="16"/>
  <c r="I6" i="16" s="1"/>
  <c r="F7" i="16"/>
  <c r="I7" i="16" s="1"/>
  <c r="F8" i="16"/>
  <c r="I8" i="16" s="1"/>
  <c r="F9" i="16"/>
  <c r="I9" i="16" s="1"/>
  <c r="F10" i="16"/>
  <c r="I10" i="16" s="1"/>
  <c r="H3" i="14"/>
  <c r="J3" i="14" s="1"/>
  <c r="H4" i="14"/>
  <c r="J4" i="14" s="1"/>
  <c r="H5" i="14"/>
  <c r="H6" i="14"/>
  <c r="H7" i="14"/>
  <c r="J7" i="14" s="1"/>
  <c r="H8" i="14"/>
  <c r="J8" i="14" s="1"/>
  <c r="H9" i="14"/>
  <c r="J9" i="14" s="1"/>
  <c r="H10" i="14"/>
  <c r="H2" i="14"/>
  <c r="J2" i="14" s="1"/>
  <c r="F3" i="14"/>
  <c r="I3" i="14" s="1"/>
  <c r="F4" i="14"/>
  <c r="I4" i="14" s="1"/>
  <c r="F5" i="14"/>
  <c r="I5" i="14" s="1"/>
  <c r="F6" i="14"/>
  <c r="I6" i="14" s="1"/>
  <c r="F7" i="14"/>
  <c r="I7" i="14" s="1"/>
  <c r="F8" i="14"/>
  <c r="I8" i="14" s="1"/>
  <c r="F9" i="14"/>
  <c r="I9" i="14" s="1"/>
  <c r="F10" i="14"/>
  <c r="I10" i="14" s="1"/>
  <c r="F2" i="14"/>
  <c r="I2" i="14" s="1"/>
  <c r="E14" i="7"/>
  <c r="F14" i="7" s="1"/>
  <c r="I14" i="7" s="1"/>
  <c r="G14" i="4"/>
  <c r="H14" i="4" s="1"/>
  <c r="J13" i="4"/>
  <c r="F13" i="9"/>
  <c r="I13" i="9" s="1"/>
  <c r="G14" i="7"/>
  <c r="H14" i="7" s="1"/>
  <c r="J14" i="7" s="1"/>
  <c r="F13" i="7"/>
  <c r="I13" i="7" s="1"/>
  <c r="E14" i="4"/>
  <c r="F14" i="4" s="1"/>
  <c r="H15" i="4"/>
  <c r="J15" i="4" s="1"/>
  <c r="F15" i="4"/>
  <c r="I15" i="4" s="1"/>
  <c r="H13" i="9"/>
  <c r="J13" i="9" s="1"/>
  <c r="H13" i="7"/>
  <c r="J13" i="7" s="1"/>
  <c r="F13" i="4"/>
  <c r="I13" i="4" s="1"/>
  <c r="H10" i="9"/>
  <c r="J10" i="9" s="1"/>
  <c r="H9" i="9"/>
  <c r="J9" i="9" s="1"/>
  <c r="F10" i="9"/>
  <c r="I10" i="9" s="1"/>
  <c r="F9" i="9"/>
  <c r="I9" i="9" s="1"/>
  <c r="H10" i="7"/>
  <c r="J10" i="7" s="1"/>
  <c r="H9" i="7"/>
  <c r="J9" i="7" s="1"/>
  <c r="F10" i="7"/>
  <c r="I10" i="7" s="1"/>
  <c r="F9" i="7"/>
  <c r="I9" i="7" s="1"/>
  <c r="H7" i="9"/>
  <c r="J7" i="9" s="1"/>
  <c r="F7" i="9"/>
  <c r="I7" i="9" s="1"/>
  <c r="H7" i="7"/>
  <c r="J7" i="7" s="1"/>
  <c r="F7" i="7"/>
  <c r="I7" i="7" s="1"/>
  <c r="H6" i="9"/>
  <c r="J6" i="9" s="1"/>
  <c r="F6" i="9"/>
  <c r="I6" i="9" s="1"/>
  <c r="H6" i="7"/>
  <c r="J6" i="7" s="1"/>
  <c r="F6" i="7"/>
  <c r="I6" i="7" s="1"/>
  <c r="H5" i="7"/>
  <c r="J5" i="7" s="1"/>
  <c r="F5" i="7"/>
  <c r="I5" i="7" s="1"/>
  <c r="F2" i="16"/>
  <c r="I2" i="16" s="1"/>
  <c r="I5" i="9"/>
  <c r="J5" i="9"/>
  <c r="H4" i="7"/>
  <c r="J4" i="7" s="1"/>
  <c r="H3" i="9"/>
  <c r="J3" i="9" s="1"/>
  <c r="F3" i="9"/>
  <c r="I3" i="9" s="1"/>
  <c r="H3" i="7"/>
  <c r="J3" i="7" s="1"/>
  <c r="F3" i="7"/>
  <c r="I3" i="7" s="1"/>
  <c r="H2" i="9"/>
  <c r="J2" i="9" s="1"/>
  <c r="F2" i="9"/>
  <c r="I2" i="9" s="1"/>
  <c r="F2" i="7"/>
  <c r="I2" i="7" s="1"/>
  <c r="H2" i="7"/>
  <c r="J2" i="7" s="1"/>
  <c r="F4" i="2"/>
  <c r="H4" i="2" s="1"/>
  <c r="H7" i="4"/>
  <c r="J7" i="4" s="1"/>
  <c r="F7" i="4"/>
  <c r="I7" i="4" s="1"/>
  <c r="H10" i="4"/>
  <c r="J10" i="4" s="1"/>
  <c r="F10" i="4"/>
  <c r="I10" i="4" s="1"/>
  <c r="H9" i="4"/>
  <c r="J9" i="4" s="1"/>
  <c r="F9" i="4"/>
  <c r="I9" i="4" s="1"/>
  <c r="H8" i="4"/>
  <c r="J8" i="4" s="1"/>
  <c r="F8" i="4"/>
  <c r="I8" i="4" s="1"/>
  <c r="H6" i="4"/>
  <c r="J6" i="4" s="1"/>
  <c r="F6" i="4"/>
  <c r="I6" i="4" s="1"/>
  <c r="H5" i="4"/>
  <c r="J5" i="4" s="1"/>
  <c r="F5" i="4"/>
  <c r="I5" i="4" s="1"/>
  <c r="H4" i="4"/>
  <c r="J4" i="4" s="1"/>
  <c r="F4" i="4"/>
  <c r="I4" i="4" s="1"/>
  <c r="H3" i="4"/>
  <c r="J3" i="4" s="1"/>
  <c r="F3" i="4"/>
  <c r="I3" i="4" s="1"/>
  <c r="H2" i="4"/>
  <c r="J2" i="4" s="1"/>
  <c r="F2" i="4"/>
  <c r="I2" i="4" s="1"/>
  <c r="F7" i="2"/>
  <c r="H7" i="2" s="1"/>
  <c r="D7" i="2"/>
  <c r="G7" i="2" s="1"/>
  <c r="F6" i="2"/>
  <c r="H6" i="2" s="1"/>
  <c r="D6" i="2"/>
  <c r="G6" i="2" s="1"/>
  <c r="F5" i="2"/>
  <c r="H5" i="2" s="1"/>
  <c r="D5" i="2"/>
  <c r="G5" i="2" s="1"/>
  <c r="D4" i="2"/>
  <c r="G4" i="2" s="1"/>
  <c r="F3" i="2"/>
  <c r="H3" i="2" s="1"/>
  <c r="F2" i="2"/>
  <c r="H2" i="2" s="1"/>
  <c r="D3" i="2"/>
  <c r="G3" i="2" s="1"/>
  <c r="D2" i="2"/>
  <c r="G2" i="2" s="1"/>
  <c r="F14" i="16" l="1"/>
  <c r="I14" i="16" s="1"/>
  <c r="H14" i="16"/>
  <c r="J14" i="16" s="1"/>
  <c r="H14" i="14"/>
  <c r="J14" i="14" s="1"/>
  <c r="F14" i="14"/>
  <c r="I14" i="14" s="1"/>
  <c r="H14" i="9"/>
  <c r="J14" i="9" s="1"/>
  <c r="I14" i="9"/>
  <c r="J10" i="16"/>
  <c r="J6" i="16"/>
  <c r="J5" i="14"/>
  <c r="J6" i="14"/>
  <c r="J10" i="14"/>
  <c r="H8" i="2"/>
  <c r="G8" i="2"/>
  <c r="J14" i="4"/>
  <c r="I14" i="4"/>
</calcChain>
</file>

<file path=xl/sharedStrings.xml><?xml version="1.0" encoding="utf-8"?>
<sst xmlns="http://schemas.openxmlformats.org/spreadsheetml/2006/main" count="2649" uniqueCount="142">
  <si>
    <t>study</t>
  </si>
  <si>
    <t>a</t>
  </si>
  <si>
    <t>b</t>
  </si>
  <si>
    <t>c</t>
  </si>
  <si>
    <t>d</t>
  </si>
  <si>
    <t>n1</t>
  </si>
  <si>
    <t>n2</t>
  </si>
  <si>
    <t>absolute risk reduction (ARR) - decimal format</t>
  </si>
  <si>
    <t>variance of the ARR - decimal format</t>
  </si>
  <si>
    <t>BADEN2021</t>
  </si>
  <si>
    <t>LOGUNOV2021</t>
  </si>
  <si>
    <t>POLACK2020</t>
  </si>
  <si>
    <t>EMARY2021</t>
  </si>
  <si>
    <t>SADOFF2021</t>
  </si>
  <si>
    <t>VOYSEY2021a</t>
  </si>
  <si>
    <t>VOYSEY2021b</t>
  </si>
  <si>
    <t>ARRyi</t>
  </si>
  <si>
    <t>ARRvi</t>
  </si>
  <si>
    <t>vaccine</t>
  </si>
  <si>
    <t>mRNA-1273</t>
  </si>
  <si>
    <t>ChAdOx1 nCoV-19</t>
  </si>
  <si>
    <t>Gam-COVID-Vac</t>
  </si>
  <si>
    <t>BNT162b2</t>
  </si>
  <si>
    <t>Ad26.COV2.S</t>
  </si>
  <si>
    <t>WIV04</t>
  </si>
  <si>
    <t>HB02</t>
  </si>
  <si>
    <t>number of infected contacts of the vaccinated index cases</t>
  </si>
  <si>
    <t>number of non-infected contacts of the vaccinated index cases</t>
  </si>
  <si>
    <t>number of infected contacts of the unvaccinated index cases</t>
  </si>
  <si>
    <t>number of non-infected contacts of the unvaccinated index cases</t>
  </si>
  <si>
    <t>number of infected vaccinated cases</t>
  </si>
  <si>
    <t>number of non-infected vaccinated cases</t>
  </si>
  <si>
    <t>number of infected unvaccinated cases</t>
  </si>
  <si>
    <t>number of non-infected unvaccinated cases</t>
  </si>
  <si>
    <t>vaccinated sample size</t>
  </si>
  <si>
    <t>unvaccinated sample size</t>
  </si>
  <si>
    <t>Log relative risk (RR) - decimal format</t>
  </si>
  <si>
    <t>variance of the log RR - decimal format</t>
  </si>
  <si>
    <t>outcome</t>
  </si>
  <si>
    <t>number of vaccinated cases who died from SARS-CoV-2</t>
  </si>
  <si>
    <t>number of vaccinated cases who did not die from SARS-CoV-2</t>
  </si>
  <si>
    <t>number of unvaccinated cases who died from SARS-CoV-2</t>
  </si>
  <si>
    <t>number of unvaccinated cases who did not die from SARS-CoV-2</t>
  </si>
  <si>
    <t xml:space="preserve">number of vaccinated cases who were hospitalized or had severe SARS-CoV-2 </t>
  </si>
  <si>
    <t>number of unvaccinated cases who were hospitalized or had severe SARS-CoV-2</t>
  </si>
  <si>
    <t>number of vaccinated cases who were not hospitalized or did not have severe SARS-CoV-2</t>
  </si>
  <si>
    <t>number of unvaccinated cases who were not hospitalized or did not have severe SARS-CoV-2</t>
  </si>
  <si>
    <t>outcome used in the report (hospitalized vs. severe SARS-CoV-2). If both reported separately, extracted the higher number.</t>
  </si>
  <si>
    <t>notes</t>
  </si>
  <si>
    <t xml:space="preserve">number of infected vaccinated cases who were hospitalized or had severe SARS-CoV-2 </t>
  </si>
  <si>
    <t>number of infected vaccinated cases who were not hospitalized or did not have severe SARS-CoV-2</t>
  </si>
  <si>
    <t>number of infected unvaccinated cases who were hospitalized or had severe SARS-CoV-2</t>
  </si>
  <si>
    <t>number of infected unvaccinated cases who were not hospitalized or did not have severe SARS-CoV-2</t>
  </si>
  <si>
    <t>infected vaccinated sample size</t>
  </si>
  <si>
    <t>infected unvaccinated sample size</t>
  </si>
  <si>
    <t>total vaccinated sample size</t>
  </si>
  <si>
    <t>total unvaccinated sample size</t>
  </si>
  <si>
    <t>number of infected vaccinated cases who died from SARS-CoV-2</t>
  </si>
  <si>
    <t>number of infected vaccinated cases who did not die from SARS-CoV-2</t>
  </si>
  <si>
    <t>number of infected unvaccinated cases who died from SARS-CoV-2</t>
  </si>
  <si>
    <t>number of infected unvaccinated cases who did not die from SARS-CoV-2</t>
  </si>
  <si>
    <t>Hosp.pop: Hospitalization/severe SARS-CoV 2 data - Population-level</t>
  </si>
  <si>
    <t>Infx: Infection data</t>
  </si>
  <si>
    <t>Transm: Transmission data</t>
  </si>
  <si>
    <t>Hosp.infx: Hospitalization/severe SARS-CoV 2 data - Infected sub-population</t>
  </si>
  <si>
    <t>Death.pop: SARS-CoV-2-related deaths - Population-level</t>
  </si>
  <si>
    <t>Death.infx: SARS-CoV-2-related deaths - Infected sub-population</t>
  </si>
  <si>
    <t>severe/critical SARS-CoV-2</t>
  </si>
  <si>
    <t xml:space="preserve">severe SARS-CoV-2 </t>
  </si>
  <si>
    <t>hospitalization</t>
  </si>
  <si>
    <t>study type</t>
  </si>
  <si>
    <t>RCT</t>
  </si>
  <si>
    <t>DAGAN2021</t>
  </si>
  <si>
    <t>SWIFT2021</t>
  </si>
  <si>
    <t>HAAS2021</t>
  </si>
  <si>
    <t>logRRyi</t>
  </si>
  <si>
    <t>logRRvi</t>
  </si>
  <si>
    <t>BNT162b2 or mRNA-1273</t>
  </si>
  <si>
    <t>Authors report two deaths froms SARS-CoV-2 were recorded in the vaccine arm, but based on the incubation period of the disease both patients were deemed to have already been infected before the trial despite a negative PCR test.</t>
  </si>
  <si>
    <t>transmission</t>
  </si>
  <si>
    <t>infection</t>
  </si>
  <si>
    <t>death - infx</t>
  </si>
  <si>
    <t>death - pop</t>
  </si>
  <si>
    <t xml:space="preserve">moderate or severe SARS-CoV-2 </t>
  </si>
  <si>
    <t>hospitalization/severe SARS-CoV-2 - pop</t>
  </si>
  <si>
    <t>hospitalization/severe SARS-CoV-2 - infx</t>
  </si>
  <si>
    <t>NA</t>
  </si>
  <si>
    <t>excluded because a=c=0</t>
  </si>
  <si>
    <t>dat</t>
  </si>
  <si>
    <t>Raw data</t>
  </si>
  <si>
    <t>ES</t>
  </si>
  <si>
    <t>SHINDE2021</t>
  </si>
  <si>
    <t>NVX-CoV2373</t>
  </si>
  <si>
    <t>cohort</t>
  </si>
  <si>
    <t>FABIANI2021</t>
  </si>
  <si>
    <t>KAABI2021.vacc1</t>
  </si>
  <si>
    <t>KAABI2021.vacc2</t>
  </si>
  <si>
    <t>KHAN2021.vacc1</t>
  </si>
  <si>
    <t>KHAN2021.vacc2</t>
  </si>
  <si>
    <t>VASILEIOU2021.vacc1</t>
  </si>
  <si>
    <t>VASILEIOU2021.vacc2</t>
  </si>
  <si>
    <t>MAHDI2021</t>
  </si>
  <si>
    <t>MENNI2021.vacc1</t>
  </si>
  <si>
    <t>MENNI2021.vacc2</t>
  </si>
  <si>
    <t>No data</t>
  </si>
  <si>
    <t>severe SARS-CoV-2 or hospitalization</t>
  </si>
  <si>
    <t>severe SARS-CoV-2</t>
  </si>
  <si>
    <t>Effect sizes (i.e., logRR, RRR, ARR)</t>
  </si>
  <si>
    <t>AMIT2021</t>
  </si>
  <si>
    <t>BJORK2021</t>
  </si>
  <si>
    <t>CORCHADOGARCIA2021</t>
  </si>
  <si>
    <t>Denominators differ from the infection denominators because the authors used only patients with at least 15 days of follow-up data for the infection data.</t>
  </si>
  <si>
    <t>Denominators differ from the infection rates because the authors used propensity-matched infected unvaccinated controls to match the infected vaccinated groups.</t>
  </si>
  <si>
    <t>GLAMPSON2021</t>
  </si>
  <si>
    <t>BNT162b2 or ChAdOx1 nCoV-19</t>
  </si>
  <si>
    <t>GUIJARRO2021</t>
  </si>
  <si>
    <t>Authors reported the number at risk and cumulative case counts at 0, 7, 14, 21, 28, 35, and 42 days post-first dose separately for SARS-CoV-2 infection, hospitalization, and death. Extracted the numbers at risk for vaccinated/unvaccinated groups at the start of day 28 until end of follow-up, which was 7 days post-second dose (patients received the second dose on day 21 post-first dose). These were the sizes of the vaccinated/unvaccinated groups for each of these outcomes. Extracted the counts for the new cases during this same period by taking the cumulative number of cases at day 42 minus the cumulative number of cases at day 28 for each group.</t>
  </si>
  <si>
    <t>Vaccinated sample was a group of healthcare workers (n=2,590) but the authors report 81% were vaccinated (n= 2,116). Cases were not reported separately for the vaccinated subgroup of healthcare workers. Therefore, we assumed all reported infections were from this vaccinated subgroup by using the number of vaccinated healthcare workers in the denominator.</t>
  </si>
  <si>
    <t>LUMLEY2021</t>
  </si>
  <si>
    <t>MONGE2021</t>
  </si>
  <si>
    <t>MOUSTSENHELMS2021</t>
  </si>
  <si>
    <t>PRITCHARD2021.vacc1</t>
  </si>
  <si>
    <t>PRITCHARD2021.vacc2</t>
  </si>
  <si>
    <t>SHROTRI2021</t>
  </si>
  <si>
    <t>Authors reported the fully vaccinated population (n=4,714,932) and the Israel population aged 16 years and older (n=6,538,911). Approximated the unvaccinated population by taking the difference between these two numbers.</t>
  </si>
  <si>
    <t>JONES2021</t>
  </si>
  <si>
    <t>Approximated unvaccinated sample size by taking the difference (n=1,895) between the number of people who received at least one vaccine (n=7,214) and the total sample size (n=9,109). Utilized this approximation because the authors reported totals as person-days. This approximation is an underestimate given that a portion of the unvaccinated person-days included the period before people were vaccinated (79% of the total sample would eventually become vaccinated). Thus, it is a conservative estimate since it means the estimated baseline infection risk is higher using this denominator (89/1,895=4.7%).</t>
  </si>
  <si>
    <t>TANG2021</t>
  </si>
  <si>
    <t>Approximated the vaccinated and unvaccinated sample sizes by extracting the total number of tests rather than cases. Vaccines were combined because the total number of tests was not reported separately by vaccine. Utilized this approximation because the authors reported totals as person-days. They also reported the number of people who received BNT162b2 (n=3,022), ChAdOx1 nCoV-19 (n=6,138), the total sample size (n=10,412), the never-vaccinated group (n=1,252), and the number of positive tests in the never-vaccinated group (n=328). However, because these were not unique tests, this denominator would yield a very high baseline infection risk (26.2%). Therefore, approximating the sample sizes using the overall number of tests yielded a less distorted baseline infection risk (723/15,392=4.7%) more consistent with the other studies.</t>
  </si>
  <si>
    <t>LAYAN2021</t>
  </si>
  <si>
    <t>GIER2021.house</t>
  </si>
  <si>
    <t>GIER2021.other</t>
  </si>
  <si>
    <t>MARTINEZBAZ2021</t>
  </si>
  <si>
    <t>SINGNAYAGAM2021</t>
  </si>
  <si>
    <t>HARRIS2021.BNT162b2</t>
  </si>
  <si>
    <t>HARRIS2021.ChAdOx1</t>
  </si>
  <si>
    <t>EYRE2021.ChAdOx1</t>
  </si>
  <si>
    <t>EYRE2021.BNT162b2</t>
  </si>
  <si>
    <t>Sample size of the contacts of the vaccinated index cases</t>
  </si>
  <si>
    <t>Sample size of the contacts of the unvaccinated index cases</t>
  </si>
  <si>
    <r>
      <t>Authors report three different total number of events for the unvaccinated group: overall comparison (</t>
    </r>
    <r>
      <rPr>
        <i/>
        <sz val="11"/>
        <color theme="1"/>
        <rFont val="Calibri"/>
        <family val="2"/>
        <scheme val="minor"/>
      </rPr>
      <t>n</t>
    </r>
    <r>
      <rPr>
        <sz val="11"/>
        <color theme="1"/>
        <rFont val="Calibri"/>
        <family val="2"/>
        <scheme val="minor"/>
      </rPr>
      <t>=7,698), BNT162b2 comparison (</t>
    </r>
    <r>
      <rPr>
        <i/>
        <sz val="11"/>
        <color theme="1"/>
        <rFont val="Calibri"/>
        <family val="2"/>
        <scheme val="minor"/>
      </rPr>
      <t>n</t>
    </r>
    <r>
      <rPr>
        <sz val="11"/>
        <color theme="1"/>
        <rFont val="Calibri"/>
        <family val="2"/>
        <scheme val="minor"/>
      </rPr>
      <t>=6,671), and the ChAdOx1 nCov-19 comparison (</t>
    </r>
    <r>
      <rPr>
        <i/>
        <sz val="11"/>
        <color theme="1"/>
        <rFont val="Calibri"/>
        <family val="2"/>
        <scheme val="minor"/>
      </rPr>
      <t>n</t>
    </r>
    <r>
      <rPr>
        <sz val="11"/>
        <color theme="1"/>
        <rFont val="Calibri"/>
        <family val="2"/>
        <scheme val="minor"/>
      </rPr>
      <t>=7,252). Extracted the overall comparison since it was the higher number. Extracted event counts for the vaccine group from day 14 post-first dose onwards (day 14 to 42+ days). In the ChAdOx1 nCoV-19 group at days 35-41 and 42+, the counts are reported as ≤5. Therefore, we coded them as 5.</t>
    </r>
  </si>
  <si>
    <t>GIER2021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</si>
</sst>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sz val="10"/>
      <color theme="1"/>
      <name val="Times New Roman"/>
      <family val="1"/>
    </font>
    <font>
      <i/>
      <sz val="11"/>
      <color theme="1"/>
      <name val="Calibri"/>
      <family val="2"/>
      <scheme val="minor"/>
    </font>
  </fonts>
  <fills count="4">
    <fill>
      <patternFill patternType="none"/>
    </fill>
    <fill>
      <patternFill patternType="gray125"/>
    </fill>
    <fill>
      <patternFill patternType="solid">
        <fgColor theme="8" tint="0.39997558519241921"/>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2" borderId="1" xfId="0" applyFont="1" applyFill="1" applyBorder="1" applyAlignment="1">
      <alignment horizontal="left" vertical="top"/>
    </xf>
    <xf numFmtId="0" fontId="0" fillId="0" borderId="1" xfId="0" applyBorder="1" applyAlignment="1">
      <alignment horizontal="left" vertical="top"/>
    </xf>
    <xf numFmtId="0" fontId="0" fillId="0" borderId="1" xfId="0" applyBorder="1"/>
    <xf numFmtId="0" fontId="0" fillId="0" borderId="1" xfId="0" applyFill="1" applyBorder="1" applyAlignment="1">
      <alignment horizontal="left" vertical="top"/>
    </xf>
    <xf numFmtId="0" fontId="0" fillId="0" borderId="1" xfId="0" applyFill="1" applyBorder="1"/>
    <xf numFmtId="0" fontId="1" fillId="2" borderId="1" xfId="0" applyFont="1" applyFill="1" applyBorder="1"/>
    <xf numFmtId="0" fontId="0" fillId="0" borderId="1" xfId="0" applyBorder="1" applyAlignment="1">
      <alignment horizontal="left"/>
    </xf>
    <xf numFmtId="0" fontId="1" fillId="3" borderId="1" xfId="0" applyFont="1" applyFill="1" applyBorder="1"/>
    <xf numFmtId="0" fontId="1" fillId="0" borderId="0" xfId="0" applyFont="1"/>
    <xf numFmtId="0" fontId="0" fillId="0" borderId="1" xfId="0" applyFill="1" applyBorder="1" applyAlignment="1">
      <alignment horizontal="left"/>
    </xf>
    <xf numFmtId="0" fontId="3" fillId="0" borderId="0" xfId="0" applyFont="1"/>
    <xf numFmtId="0" fontId="0" fillId="0" borderId="0" xfId="0" applyFont="1"/>
    <xf numFmtId="0" fontId="0"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601C6-0B3F-49A8-8524-B61367B2A5A7}">
  <dimension ref="A1:I11"/>
  <sheetViews>
    <sheetView zoomScale="60" zoomScaleNormal="60" workbookViewId="0">
      <pane ySplit="1" topLeftCell="A2" activePane="bottomLeft" state="frozen"/>
      <selection pane="bottomLeft"/>
    </sheetView>
  </sheetViews>
  <sheetFormatPr defaultRowHeight="15" x14ac:dyDescent="0.25"/>
  <cols>
    <col min="1" max="1" width="19.140625" style="2" customWidth="1"/>
    <col min="2" max="2" width="13" style="2" bestFit="1" customWidth="1"/>
    <col min="3" max="5" width="7.42578125" style="2" customWidth="1"/>
    <col min="6" max="6" width="8.7109375" style="2" bestFit="1" customWidth="1"/>
    <col min="7" max="9" width="9.140625" style="3"/>
  </cols>
  <sheetData>
    <row r="1" spans="1:9" x14ac:dyDescent="0.25">
      <c r="A1" s="1" t="s">
        <v>0</v>
      </c>
      <c r="B1" s="1" t="s">
        <v>38</v>
      </c>
      <c r="C1" s="1" t="s">
        <v>1</v>
      </c>
      <c r="D1" s="1" t="s">
        <v>2</v>
      </c>
      <c r="E1" s="1" t="s">
        <v>3</v>
      </c>
      <c r="F1" s="1" t="s">
        <v>4</v>
      </c>
      <c r="G1" s="1" t="s">
        <v>5</v>
      </c>
      <c r="H1" s="1" t="s">
        <v>6</v>
      </c>
      <c r="I1" s="1" t="s">
        <v>48</v>
      </c>
    </row>
    <row r="2" spans="1:9" x14ac:dyDescent="0.25">
      <c r="A2" s="4" t="s">
        <v>135</v>
      </c>
      <c r="B2" s="4" t="s">
        <v>79</v>
      </c>
      <c r="C2" s="4">
        <v>196</v>
      </c>
      <c r="D2" s="4">
        <f>3424-C2</f>
        <v>3228</v>
      </c>
      <c r="E2" s="4">
        <v>96898</v>
      </c>
      <c r="F2" s="4">
        <f>960765-E2</f>
        <v>863867</v>
      </c>
      <c r="G2" s="5">
        <f>C2+D2</f>
        <v>3424</v>
      </c>
      <c r="H2" s="5">
        <f>E2+F2</f>
        <v>960765</v>
      </c>
    </row>
    <row r="3" spans="1:9" x14ac:dyDescent="0.25">
      <c r="A3" s="4" t="s">
        <v>134</v>
      </c>
      <c r="B3" s="4" t="s">
        <v>79</v>
      </c>
      <c r="C3" s="4">
        <v>371</v>
      </c>
      <c r="D3" s="4">
        <f>5939-C3</f>
        <v>5568</v>
      </c>
      <c r="E3" s="4">
        <v>96898</v>
      </c>
      <c r="F3" s="4">
        <f>960765-E3</f>
        <v>863867</v>
      </c>
      <c r="G3" s="5">
        <f t="shared" ref="G3:G8" si="0">C3+D3</f>
        <v>5939</v>
      </c>
      <c r="H3" s="5">
        <f t="shared" ref="H3:H8" si="1">E3+F3</f>
        <v>960765</v>
      </c>
    </row>
    <row r="4" spans="1:9" x14ac:dyDescent="0.25">
      <c r="A4" s="4" t="s">
        <v>129</v>
      </c>
      <c r="B4" s="4" t="s">
        <v>79</v>
      </c>
      <c r="C4" s="4">
        <v>8</v>
      </c>
      <c r="D4" s="4">
        <f>43-C4</f>
        <v>35</v>
      </c>
      <c r="E4" s="4">
        <v>261</v>
      </c>
      <c r="F4" s="4">
        <f>641-E4</f>
        <v>380</v>
      </c>
      <c r="G4" s="5">
        <f t="shared" si="0"/>
        <v>43</v>
      </c>
      <c r="H4" s="5">
        <f>E4+F4</f>
        <v>641</v>
      </c>
    </row>
    <row r="5" spans="1:9" x14ac:dyDescent="0.25">
      <c r="A5" s="4" t="s">
        <v>130</v>
      </c>
      <c r="B5" s="4" t="s">
        <v>79</v>
      </c>
      <c r="C5" s="4">
        <v>79</v>
      </c>
      <c r="D5" s="4">
        <f>706-C5</f>
        <v>627</v>
      </c>
      <c r="E5" s="4">
        <v>43069</v>
      </c>
      <c r="F5" s="4">
        <f>139802-E5</f>
        <v>96733</v>
      </c>
      <c r="G5" s="5">
        <f t="shared" si="0"/>
        <v>706</v>
      </c>
      <c r="H5" s="5">
        <f t="shared" si="1"/>
        <v>139802</v>
      </c>
    </row>
    <row r="6" spans="1:9" x14ac:dyDescent="0.25">
      <c r="A6" s="4" t="s">
        <v>131</v>
      </c>
      <c r="B6" s="4" t="s">
        <v>79</v>
      </c>
      <c r="C6" s="4">
        <v>50</v>
      </c>
      <c r="D6" s="4">
        <f>583-C6</f>
        <v>533</v>
      </c>
      <c r="E6" s="4">
        <v>11395</v>
      </c>
      <c r="F6" s="4">
        <f>108041-E6</f>
        <v>96646</v>
      </c>
      <c r="G6" s="5">
        <f t="shared" si="0"/>
        <v>583</v>
      </c>
      <c r="H6" s="5">
        <f t="shared" si="1"/>
        <v>108041</v>
      </c>
    </row>
    <row r="7" spans="1:9" x14ac:dyDescent="0.25">
      <c r="A7" s="4" t="s">
        <v>132</v>
      </c>
      <c r="B7" s="4" t="s">
        <v>79</v>
      </c>
      <c r="C7" s="4">
        <v>612</v>
      </c>
      <c r="D7" s="4">
        <f>3487-C7</f>
        <v>2875</v>
      </c>
      <c r="E7" s="4">
        <v>6237</v>
      </c>
      <c r="F7" s="4">
        <f>25024-E7</f>
        <v>18787</v>
      </c>
      <c r="G7" s="5">
        <f t="shared" si="0"/>
        <v>3487</v>
      </c>
      <c r="H7" s="5">
        <f t="shared" si="1"/>
        <v>25024</v>
      </c>
    </row>
    <row r="8" spans="1:9" x14ac:dyDescent="0.25">
      <c r="A8" s="4" t="s">
        <v>133</v>
      </c>
      <c r="B8" s="4" t="s">
        <v>79</v>
      </c>
      <c r="C8" s="4">
        <f>12+1+4</f>
        <v>17</v>
      </c>
      <c r="D8" s="4">
        <f>69-C8</f>
        <v>52</v>
      </c>
      <c r="E8" s="4">
        <f>12+3+8</f>
        <v>23</v>
      </c>
      <c r="F8" s="4">
        <f>100-E8</f>
        <v>77</v>
      </c>
      <c r="G8" s="5">
        <f t="shared" si="0"/>
        <v>69</v>
      </c>
      <c r="H8" s="5">
        <f t="shared" si="1"/>
        <v>100</v>
      </c>
    </row>
    <row r="9" spans="1:9" x14ac:dyDescent="0.25">
      <c r="A9" s="4" t="s">
        <v>136</v>
      </c>
      <c r="B9" s="4" t="s">
        <v>79</v>
      </c>
      <c r="C9" s="4">
        <v>7559</v>
      </c>
      <c r="D9" s="4">
        <f>25422-C9</f>
        <v>17863</v>
      </c>
      <c r="E9" s="4">
        <v>27666</v>
      </c>
      <c r="F9" s="4">
        <f>55977-E9</f>
        <v>28311</v>
      </c>
      <c r="G9" s="5">
        <f t="shared" ref="G9:G10" si="2">C9+D9</f>
        <v>25422</v>
      </c>
      <c r="H9" s="5">
        <f t="shared" ref="H9:H10" si="3">E9+F9</f>
        <v>55977</v>
      </c>
    </row>
    <row r="10" spans="1:9" x14ac:dyDescent="0.25">
      <c r="A10" s="4" t="s">
        <v>137</v>
      </c>
      <c r="B10" s="4" t="s">
        <v>79</v>
      </c>
      <c r="C10" s="4">
        <v>1694</v>
      </c>
      <c r="D10" s="4">
        <f>7282-C10</f>
        <v>5588</v>
      </c>
      <c r="E10" s="4">
        <v>27666</v>
      </c>
      <c r="F10" s="4">
        <f>55977-E10</f>
        <v>28311</v>
      </c>
      <c r="G10" s="5">
        <f t="shared" si="2"/>
        <v>7282</v>
      </c>
      <c r="H10" s="5">
        <f t="shared" si="3"/>
        <v>55977</v>
      </c>
    </row>
    <row r="11" spans="1:9" x14ac:dyDescent="0.25">
      <c r="A11" s="4" t="s">
        <v>141</v>
      </c>
      <c r="B11" s="4" t="s">
        <v>79</v>
      </c>
      <c r="C11" s="2">
        <f>38+256</f>
        <v>294</v>
      </c>
      <c r="D11" s="2">
        <f>2373-C11</f>
        <v>2079</v>
      </c>
      <c r="E11" s="2">
        <f>547+164</f>
        <v>711</v>
      </c>
      <c r="F11" s="2">
        <f>4022-E11</f>
        <v>3311</v>
      </c>
      <c r="G11" s="5">
        <f t="shared" ref="G11" si="4">C11+D11</f>
        <v>2373</v>
      </c>
      <c r="H11" s="5">
        <f t="shared" ref="H11" si="5">E11+F11</f>
        <v>4022</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F9944-9FD9-40C5-9661-C7D73FF75722}">
  <dimension ref="A1:I35"/>
  <sheetViews>
    <sheetView zoomScale="60" zoomScaleNormal="60" workbookViewId="0">
      <pane ySplit="1" topLeftCell="A2" activePane="bottomLeft" state="frozen"/>
      <selection pane="bottomLeft"/>
    </sheetView>
  </sheetViews>
  <sheetFormatPr defaultRowHeight="15" x14ac:dyDescent="0.25"/>
  <cols>
    <col min="1" max="1" width="16.42578125" style="2" bestFit="1" customWidth="1"/>
    <col min="2" max="2" width="14" style="3" bestFit="1" customWidth="1"/>
    <col min="3" max="3" width="19.140625" style="2" bestFit="1" customWidth="1"/>
    <col min="4" max="4" width="12.42578125" style="2" bestFit="1" customWidth="1"/>
    <col min="5" max="5" width="12.140625" style="2" bestFit="1" customWidth="1"/>
    <col min="6" max="6" width="11.140625" style="2" customWidth="1"/>
    <col min="7" max="8" width="14.85546875" style="2" bestFit="1" customWidth="1"/>
    <col min="9" max="9" width="9.140625" style="3"/>
  </cols>
  <sheetData>
    <row r="1" spans="1:9" x14ac:dyDescent="0.25">
      <c r="A1" s="1" t="s">
        <v>0</v>
      </c>
      <c r="B1" s="1" t="s">
        <v>70</v>
      </c>
      <c r="C1" s="1" t="s">
        <v>18</v>
      </c>
      <c r="D1" s="1" t="s">
        <v>38</v>
      </c>
      <c r="E1" s="1" t="s">
        <v>75</v>
      </c>
      <c r="F1" s="1" t="s">
        <v>76</v>
      </c>
      <c r="G1" s="1" t="s">
        <v>16</v>
      </c>
      <c r="H1" s="1" t="s">
        <v>17</v>
      </c>
      <c r="I1" s="6" t="s">
        <v>48</v>
      </c>
    </row>
    <row r="2" spans="1:9" x14ac:dyDescent="0.25">
      <c r="A2" s="2" t="s">
        <v>9</v>
      </c>
      <c r="B2" s="2" t="s">
        <v>71</v>
      </c>
      <c r="C2" s="2" t="s">
        <v>19</v>
      </c>
      <c r="D2" s="2" t="s">
        <v>82</v>
      </c>
      <c r="E2" s="2">
        <v>-1.10293715626931</v>
      </c>
      <c r="F2" s="2">
        <v>2.66652486728688</v>
      </c>
      <c r="G2" s="2">
        <v>7.1058054430469703E-5</v>
      </c>
      <c r="H2" s="2">
        <v>5.0488883097683696E-9</v>
      </c>
    </row>
    <row r="3" spans="1:9" x14ac:dyDescent="0.25">
      <c r="A3" s="2" t="s">
        <v>14</v>
      </c>
      <c r="B3" s="2" t="s">
        <v>71</v>
      </c>
      <c r="C3" s="2" t="s">
        <v>20</v>
      </c>
      <c r="D3" s="2" t="s">
        <v>82</v>
      </c>
      <c r="E3" s="2">
        <v>-1.1236272789527399</v>
      </c>
      <c r="F3" s="2">
        <v>2.6664981979850499</v>
      </c>
      <c r="G3" s="2">
        <v>8.5295121119071995E-5</v>
      </c>
      <c r="H3" s="2">
        <v>7.2746371427316003E-9</v>
      </c>
    </row>
    <row r="4" spans="1:9" x14ac:dyDescent="0.25">
      <c r="A4" s="4" t="s">
        <v>10</v>
      </c>
      <c r="B4" s="2" t="s">
        <v>71</v>
      </c>
      <c r="C4" s="4" t="s">
        <v>21</v>
      </c>
      <c r="D4" s="2" t="s">
        <v>82</v>
      </c>
      <c r="E4" s="4" t="s">
        <v>86</v>
      </c>
      <c r="F4" s="4" t="s">
        <v>86</v>
      </c>
      <c r="G4" s="4" t="s">
        <v>86</v>
      </c>
      <c r="H4" s="4" t="s">
        <v>86</v>
      </c>
      <c r="I4" s="3" t="s">
        <v>87</v>
      </c>
    </row>
    <row r="5" spans="1:9" x14ac:dyDescent="0.25">
      <c r="A5" s="4" t="s">
        <v>11</v>
      </c>
      <c r="B5" s="2" t="s">
        <v>71</v>
      </c>
      <c r="C5" s="4" t="s">
        <v>22</v>
      </c>
      <c r="D5" s="2" t="s">
        <v>82</v>
      </c>
      <c r="E5" s="4" t="s">
        <v>86</v>
      </c>
      <c r="F5" s="4" t="s">
        <v>86</v>
      </c>
      <c r="G5" s="4" t="s">
        <v>86</v>
      </c>
      <c r="H5" s="4" t="s">
        <v>86</v>
      </c>
      <c r="I5" s="3" t="s">
        <v>87</v>
      </c>
    </row>
    <row r="6" spans="1:9" x14ac:dyDescent="0.25">
      <c r="A6" s="4" t="s">
        <v>12</v>
      </c>
      <c r="B6" s="2" t="s">
        <v>71</v>
      </c>
      <c r="C6" s="4" t="s">
        <v>20</v>
      </c>
      <c r="D6" s="2" t="s">
        <v>82</v>
      </c>
      <c r="E6" s="4" t="s">
        <v>86</v>
      </c>
      <c r="F6" s="4" t="s">
        <v>86</v>
      </c>
      <c r="G6" s="4" t="s">
        <v>86</v>
      </c>
      <c r="H6" s="4" t="s">
        <v>86</v>
      </c>
      <c r="I6" s="3" t="s">
        <v>87</v>
      </c>
    </row>
    <row r="7" spans="1:9" x14ac:dyDescent="0.25">
      <c r="A7" s="4" t="s">
        <v>13</v>
      </c>
      <c r="B7" s="2" t="s">
        <v>71</v>
      </c>
      <c r="C7" s="4" t="s">
        <v>23</v>
      </c>
      <c r="D7" s="2" t="s">
        <v>82</v>
      </c>
      <c r="E7" s="4">
        <v>-2.3963591741860299</v>
      </c>
      <c r="F7" s="4">
        <v>2.1817157752037502</v>
      </c>
      <c r="G7" s="4">
        <v>2.5583299222267701E-4</v>
      </c>
      <c r="H7" s="4">
        <v>1.30867551014515E-8</v>
      </c>
    </row>
    <row r="8" spans="1:9" x14ac:dyDescent="0.25">
      <c r="A8" s="4" t="s">
        <v>15</v>
      </c>
      <c r="B8" s="2" t="s">
        <v>71</v>
      </c>
      <c r="C8" s="4" t="s">
        <v>20</v>
      </c>
      <c r="D8" s="2" t="s">
        <v>82</v>
      </c>
      <c r="E8" s="4">
        <v>-1.1001395246683401</v>
      </c>
      <c r="F8" s="4">
        <v>2.6664969737117898</v>
      </c>
      <c r="G8" s="4">
        <v>8.4918478260869604E-5</v>
      </c>
      <c r="H8" s="4">
        <v>7.2105355904313402E-9</v>
      </c>
    </row>
    <row r="9" spans="1:9" x14ac:dyDescent="0.25">
      <c r="A9" s="4" t="s">
        <v>95</v>
      </c>
      <c r="B9" s="2" t="s">
        <v>71</v>
      </c>
      <c r="C9" s="4" t="s">
        <v>24</v>
      </c>
      <c r="D9" s="2" t="s">
        <v>82</v>
      </c>
      <c r="E9" s="4" t="s">
        <v>86</v>
      </c>
      <c r="F9" s="4" t="s">
        <v>86</v>
      </c>
      <c r="G9" s="4" t="s">
        <v>86</v>
      </c>
      <c r="H9" s="4" t="s">
        <v>86</v>
      </c>
      <c r="I9" s="3" t="s">
        <v>87</v>
      </c>
    </row>
    <row r="10" spans="1:9" x14ac:dyDescent="0.25">
      <c r="A10" s="4" t="s">
        <v>96</v>
      </c>
      <c r="B10" s="2" t="s">
        <v>71</v>
      </c>
      <c r="C10" s="4" t="s">
        <v>25</v>
      </c>
      <c r="D10" s="2" t="s">
        <v>82</v>
      </c>
      <c r="E10" s="4" t="s">
        <v>86</v>
      </c>
      <c r="F10" s="4" t="s">
        <v>86</v>
      </c>
      <c r="G10" s="4" t="s">
        <v>86</v>
      </c>
      <c r="H10" s="4" t="s">
        <v>86</v>
      </c>
      <c r="I10" s="3" t="s">
        <v>87</v>
      </c>
    </row>
    <row r="11" spans="1:9" x14ac:dyDescent="0.25">
      <c r="A11" s="4" t="s">
        <v>91</v>
      </c>
      <c r="B11" s="2" t="s">
        <v>71</v>
      </c>
      <c r="C11" s="4" t="s">
        <v>92</v>
      </c>
      <c r="D11" s="2" t="s">
        <v>82</v>
      </c>
      <c r="E11" s="4" t="s">
        <v>86</v>
      </c>
      <c r="F11" s="4" t="s">
        <v>86</v>
      </c>
      <c r="G11" s="4" t="s">
        <v>86</v>
      </c>
      <c r="H11" s="4" t="s">
        <v>86</v>
      </c>
      <c r="I11" s="3" t="s">
        <v>104</v>
      </c>
    </row>
    <row r="12" spans="1:9" x14ac:dyDescent="0.25">
      <c r="A12" s="4" t="s">
        <v>101</v>
      </c>
      <c r="B12" s="2" t="s">
        <v>71</v>
      </c>
      <c r="C12" s="4" t="s">
        <v>20</v>
      </c>
      <c r="D12" s="2" t="s">
        <v>82</v>
      </c>
      <c r="E12" s="4" t="s">
        <v>86</v>
      </c>
      <c r="F12" s="4" t="s">
        <v>86</v>
      </c>
      <c r="G12" s="4" t="s">
        <v>86</v>
      </c>
      <c r="H12" s="4" t="s">
        <v>86</v>
      </c>
      <c r="I12" s="3" t="s">
        <v>104</v>
      </c>
    </row>
    <row r="13" spans="1:9" x14ac:dyDescent="0.25">
      <c r="A13" s="2" t="s">
        <v>74</v>
      </c>
      <c r="B13" s="2" t="s">
        <v>93</v>
      </c>
      <c r="C13" s="4" t="s">
        <v>22</v>
      </c>
      <c r="D13" s="2" t="s">
        <v>82</v>
      </c>
      <c r="E13" s="2">
        <v>-2.5947429730329898</v>
      </c>
      <c r="F13" s="2">
        <v>8.6442178661332407E-3</v>
      </c>
      <c r="G13" s="2">
        <v>3.6273141239643903E-4</v>
      </c>
      <c r="H13" s="2">
        <v>2.2103806070070701E-10</v>
      </c>
    </row>
    <row r="14" spans="1:9" x14ac:dyDescent="0.25">
      <c r="A14" s="2" t="s">
        <v>72</v>
      </c>
      <c r="B14" s="2" t="s">
        <v>93</v>
      </c>
      <c r="C14" s="4" t="s">
        <v>22</v>
      </c>
      <c r="D14" s="2" t="s">
        <v>82</v>
      </c>
      <c r="E14" s="2">
        <v>-0.91713576779303296</v>
      </c>
      <c r="F14" s="2">
        <v>0.699981827182377</v>
      </c>
      <c r="G14" s="2">
        <v>2.7286100628619301E-5</v>
      </c>
      <c r="H14" s="2">
        <v>5.7812740865208902E-10</v>
      </c>
    </row>
    <row r="15" spans="1:9" x14ac:dyDescent="0.25">
      <c r="A15" s="2" t="s">
        <v>73</v>
      </c>
      <c r="B15" s="2" t="s">
        <v>93</v>
      </c>
      <c r="C15" s="4" t="s">
        <v>77</v>
      </c>
      <c r="D15" s="2" t="s">
        <v>82</v>
      </c>
      <c r="E15" s="4" t="s">
        <v>86</v>
      </c>
      <c r="F15" s="4" t="s">
        <v>86</v>
      </c>
      <c r="G15" s="4" t="s">
        <v>86</v>
      </c>
      <c r="H15" s="4" t="s">
        <v>86</v>
      </c>
      <c r="I15" s="3" t="s">
        <v>104</v>
      </c>
    </row>
    <row r="16" spans="1:9" x14ac:dyDescent="0.25">
      <c r="A16" s="2" t="s">
        <v>97</v>
      </c>
      <c r="B16" s="2" t="s">
        <v>93</v>
      </c>
      <c r="C16" s="4" t="s">
        <v>22</v>
      </c>
      <c r="D16" s="2" t="s">
        <v>82</v>
      </c>
      <c r="E16" s="4" t="s">
        <v>86</v>
      </c>
      <c r="F16" s="4" t="s">
        <v>86</v>
      </c>
      <c r="G16" s="4" t="s">
        <v>86</v>
      </c>
      <c r="H16" s="4" t="s">
        <v>86</v>
      </c>
      <c r="I16" s="3" t="s">
        <v>104</v>
      </c>
    </row>
    <row r="17" spans="1:9" x14ac:dyDescent="0.25">
      <c r="A17" s="2" t="s">
        <v>98</v>
      </c>
      <c r="B17" s="2" t="s">
        <v>93</v>
      </c>
      <c r="C17" s="4" t="s">
        <v>19</v>
      </c>
      <c r="D17" s="2" t="s">
        <v>82</v>
      </c>
      <c r="E17" s="4" t="s">
        <v>86</v>
      </c>
      <c r="F17" s="4" t="s">
        <v>86</v>
      </c>
      <c r="G17" s="4" t="s">
        <v>86</v>
      </c>
      <c r="H17" s="4" t="s">
        <v>86</v>
      </c>
      <c r="I17" s="3" t="s">
        <v>104</v>
      </c>
    </row>
    <row r="18" spans="1:9" x14ac:dyDescent="0.25">
      <c r="A18" s="2" t="s">
        <v>94</v>
      </c>
      <c r="B18" s="2" t="s">
        <v>93</v>
      </c>
      <c r="C18" s="4" t="s">
        <v>22</v>
      </c>
      <c r="D18" s="2" t="s">
        <v>82</v>
      </c>
      <c r="E18" s="4" t="s">
        <v>86</v>
      </c>
      <c r="F18" s="4" t="s">
        <v>86</v>
      </c>
      <c r="G18" s="4" t="s">
        <v>86</v>
      </c>
      <c r="H18" s="4" t="s">
        <v>86</v>
      </c>
      <c r="I18" s="3" t="s">
        <v>104</v>
      </c>
    </row>
    <row r="19" spans="1:9" x14ac:dyDescent="0.25">
      <c r="A19" s="2" t="s">
        <v>99</v>
      </c>
      <c r="B19" s="2" t="s">
        <v>93</v>
      </c>
      <c r="C19" s="4" t="s">
        <v>20</v>
      </c>
      <c r="D19" s="2" t="s">
        <v>82</v>
      </c>
      <c r="E19" s="4" t="s">
        <v>86</v>
      </c>
      <c r="F19" s="4" t="s">
        <v>86</v>
      </c>
      <c r="G19" s="4" t="s">
        <v>86</v>
      </c>
      <c r="H19" s="4" t="s">
        <v>86</v>
      </c>
      <c r="I19" s="3" t="s">
        <v>104</v>
      </c>
    </row>
    <row r="20" spans="1:9" x14ac:dyDescent="0.25">
      <c r="A20" s="2" t="s">
        <v>100</v>
      </c>
      <c r="B20" s="2" t="s">
        <v>93</v>
      </c>
      <c r="C20" s="4" t="s">
        <v>22</v>
      </c>
      <c r="D20" s="2" t="s">
        <v>82</v>
      </c>
      <c r="E20" s="4" t="s">
        <v>86</v>
      </c>
      <c r="F20" s="4" t="s">
        <v>86</v>
      </c>
      <c r="G20" s="4" t="s">
        <v>86</v>
      </c>
      <c r="H20" s="4" t="s">
        <v>86</v>
      </c>
      <c r="I20" s="3" t="s">
        <v>104</v>
      </c>
    </row>
    <row r="21" spans="1:9" x14ac:dyDescent="0.25">
      <c r="A21" s="2" t="s">
        <v>102</v>
      </c>
      <c r="B21" s="2" t="s">
        <v>93</v>
      </c>
      <c r="C21" s="4" t="s">
        <v>20</v>
      </c>
      <c r="D21" s="2" t="s">
        <v>82</v>
      </c>
      <c r="E21" s="4" t="s">
        <v>86</v>
      </c>
      <c r="F21" s="4" t="s">
        <v>86</v>
      </c>
      <c r="G21" s="4" t="s">
        <v>86</v>
      </c>
      <c r="H21" s="4" t="s">
        <v>86</v>
      </c>
      <c r="I21" s="3" t="s">
        <v>104</v>
      </c>
    </row>
    <row r="22" spans="1:9" x14ac:dyDescent="0.25">
      <c r="A22" s="2" t="s">
        <v>103</v>
      </c>
      <c r="B22" s="2" t="s">
        <v>93</v>
      </c>
      <c r="C22" s="4" t="s">
        <v>22</v>
      </c>
      <c r="D22" s="2" t="s">
        <v>82</v>
      </c>
      <c r="E22" s="4" t="s">
        <v>86</v>
      </c>
      <c r="F22" s="4" t="s">
        <v>86</v>
      </c>
      <c r="G22" s="4" t="s">
        <v>86</v>
      </c>
      <c r="H22" s="4" t="s">
        <v>86</v>
      </c>
      <c r="I22" s="3" t="s">
        <v>104</v>
      </c>
    </row>
    <row r="23" spans="1:9" x14ac:dyDescent="0.25">
      <c r="A23" s="2" t="s">
        <v>108</v>
      </c>
      <c r="B23" s="2" t="s">
        <v>93</v>
      </c>
      <c r="C23" s="4" t="s">
        <v>22</v>
      </c>
      <c r="D23" s="2" t="s">
        <v>82</v>
      </c>
      <c r="E23" s="4" t="s">
        <v>86</v>
      </c>
      <c r="F23" s="4" t="s">
        <v>86</v>
      </c>
      <c r="G23" s="4" t="s">
        <v>86</v>
      </c>
      <c r="H23" s="4" t="s">
        <v>86</v>
      </c>
      <c r="I23" s="3" t="s">
        <v>104</v>
      </c>
    </row>
    <row r="24" spans="1:9" x14ac:dyDescent="0.25">
      <c r="A24" s="2" t="s">
        <v>109</v>
      </c>
      <c r="B24" s="2" t="s">
        <v>93</v>
      </c>
      <c r="C24" s="4" t="s">
        <v>22</v>
      </c>
      <c r="D24" s="2" t="s">
        <v>82</v>
      </c>
      <c r="E24" s="3">
        <v>-0.91270942820712797</v>
      </c>
      <c r="F24" s="2">
        <v>2.0273583658799899</v>
      </c>
      <c r="G24" s="3">
        <v>4.6203959679344501E-5</v>
      </c>
      <c r="H24" s="3">
        <v>5.9297423710145203E-11</v>
      </c>
    </row>
    <row r="25" spans="1:9" x14ac:dyDescent="0.25">
      <c r="A25" s="3" t="s">
        <v>110</v>
      </c>
      <c r="B25" s="2" t="s">
        <v>93</v>
      </c>
      <c r="C25" s="4" t="s">
        <v>23</v>
      </c>
      <c r="D25" s="2" t="s">
        <v>82</v>
      </c>
      <c r="E25" s="2">
        <v>2.93807550347548</v>
      </c>
      <c r="F25" s="2">
        <v>2.6662032532533999</v>
      </c>
      <c r="G25" s="2">
        <v>8.0400717174397203E-6</v>
      </c>
      <c r="H25" s="2">
        <v>6.46422334892022E-11</v>
      </c>
    </row>
    <row r="26" spans="1:9" x14ac:dyDescent="0.25">
      <c r="A26" s="2" t="s">
        <v>113</v>
      </c>
      <c r="B26" s="2" t="s">
        <v>93</v>
      </c>
      <c r="C26" s="4" t="s">
        <v>114</v>
      </c>
      <c r="D26" s="2" t="s">
        <v>82</v>
      </c>
      <c r="E26" s="2">
        <v>0.19817608202452799</v>
      </c>
      <c r="F26" s="2">
        <v>7.0258313783482795E-2</v>
      </c>
      <c r="G26" s="2">
        <v>-8.3060845396178308E-6</v>
      </c>
      <c r="H26" s="2">
        <v>1.39707945053853E-10</v>
      </c>
    </row>
    <row r="27" spans="1:9" x14ac:dyDescent="0.25">
      <c r="A27" s="2" t="s">
        <v>115</v>
      </c>
      <c r="B27" s="2" t="s">
        <v>93</v>
      </c>
      <c r="C27" s="4" t="s">
        <v>22</v>
      </c>
      <c r="D27" s="2" t="s">
        <v>82</v>
      </c>
      <c r="E27" s="4" t="s">
        <v>86</v>
      </c>
      <c r="F27" s="4" t="s">
        <v>86</v>
      </c>
      <c r="G27" s="4" t="s">
        <v>86</v>
      </c>
      <c r="H27" s="4" t="s">
        <v>86</v>
      </c>
      <c r="I27" s="3" t="s">
        <v>104</v>
      </c>
    </row>
    <row r="28" spans="1:9" x14ac:dyDescent="0.25">
      <c r="A28" s="2" t="s">
        <v>118</v>
      </c>
      <c r="B28" s="2" t="s">
        <v>93</v>
      </c>
      <c r="C28" s="4" t="s">
        <v>114</v>
      </c>
      <c r="D28" s="2" t="s">
        <v>82</v>
      </c>
      <c r="E28" s="4" t="s">
        <v>86</v>
      </c>
      <c r="F28" s="4" t="s">
        <v>86</v>
      </c>
      <c r="G28" s="4" t="s">
        <v>86</v>
      </c>
      <c r="H28" s="4" t="s">
        <v>86</v>
      </c>
      <c r="I28" s="3" t="s">
        <v>104</v>
      </c>
    </row>
    <row r="29" spans="1:9" x14ac:dyDescent="0.25">
      <c r="A29" s="2" t="s">
        <v>119</v>
      </c>
      <c r="B29" s="2" t="s">
        <v>93</v>
      </c>
      <c r="C29" s="4" t="s">
        <v>22</v>
      </c>
      <c r="D29" s="2" t="s">
        <v>82</v>
      </c>
      <c r="E29" s="4" t="s">
        <v>86</v>
      </c>
      <c r="F29" s="4" t="s">
        <v>86</v>
      </c>
      <c r="G29" s="4" t="s">
        <v>86</v>
      </c>
      <c r="H29" s="4" t="s">
        <v>86</v>
      </c>
      <c r="I29" s="3" t="s">
        <v>104</v>
      </c>
    </row>
    <row r="30" spans="1:9" x14ac:dyDescent="0.25">
      <c r="A30" s="2" t="s">
        <v>120</v>
      </c>
      <c r="B30" s="2" t="s">
        <v>93</v>
      </c>
      <c r="C30" s="4" t="s">
        <v>22</v>
      </c>
      <c r="D30" s="2" t="s">
        <v>82</v>
      </c>
      <c r="E30" s="4" t="s">
        <v>86</v>
      </c>
      <c r="F30" s="4" t="s">
        <v>86</v>
      </c>
      <c r="G30" s="4" t="s">
        <v>86</v>
      </c>
      <c r="H30" s="4" t="s">
        <v>86</v>
      </c>
      <c r="I30" s="3" t="s">
        <v>104</v>
      </c>
    </row>
    <row r="31" spans="1:9" x14ac:dyDescent="0.25">
      <c r="A31" s="2" t="s">
        <v>121</v>
      </c>
      <c r="B31" s="2" t="s">
        <v>93</v>
      </c>
      <c r="C31" s="4" t="s">
        <v>20</v>
      </c>
      <c r="D31" s="2" t="s">
        <v>82</v>
      </c>
      <c r="E31" s="4" t="s">
        <v>86</v>
      </c>
      <c r="F31" s="4" t="s">
        <v>86</v>
      </c>
      <c r="G31" s="4" t="s">
        <v>86</v>
      </c>
      <c r="H31" s="4" t="s">
        <v>86</v>
      </c>
      <c r="I31" s="3" t="s">
        <v>104</v>
      </c>
    </row>
    <row r="32" spans="1:9" x14ac:dyDescent="0.25">
      <c r="A32" s="2" t="s">
        <v>122</v>
      </c>
      <c r="B32" s="2" t="s">
        <v>93</v>
      </c>
      <c r="C32" s="4" t="s">
        <v>22</v>
      </c>
      <c r="D32" s="2" t="s">
        <v>82</v>
      </c>
      <c r="E32" s="4" t="s">
        <v>86</v>
      </c>
      <c r="F32" s="4" t="s">
        <v>86</v>
      </c>
      <c r="G32" s="4" t="s">
        <v>86</v>
      </c>
      <c r="H32" s="4" t="s">
        <v>86</v>
      </c>
      <c r="I32" s="3" t="s">
        <v>104</v>
      </c>
    </row>
    <row r="33" spans="1:9" x14ac:dyDescent="0.25">
      <c r="A33" s="2" t="s">
        <v>123</v>
      </c>
      <c r="B33" s="2" t="s">
        <v>93</v>
      </c>
      <c r="C33" s="4" t="s">
        <v>114</v>
      </c>
      <c r="D33" s="2" t="s">
        <v>82</v>
      </c>
      <c r="E33" s="4" t="s">
        <v>86</v>
      </c>
      <c r="F33" s="4" t="s">
        <v>86</v>
      </c>
      <c r="G33" s="4" t="s">
        <v>86</v>
      </c>
      <c r="H33" s="4" t="s">
        <v>86</v>
      </c>
      <c r="I33" s="3" t="s">
        <v>104</v>
      </c>
    </row>
    <row r="34" spans="1:9" x14ac:dyDescent="0.25">
      <c r="A34" s="2" t="s">
        <v>125</v>
      </c>
      <c r="B34" s="2" t="s">
        <v>93</v>
      </c>
      <c r="C34" s="4" t="s">
        <v>22</v>
      </c>
      <c r="D34" s="2" t="s">
        <v>82</v>
      </c>
      <c r="E34" s="4" t="s">
        <v>86</v>
      </c>
      <c r="F34" s="4" t="s">
        <v>86</v>
      </c>
      <c r="G34" s="4" t="s">
        <v>86</v>
      </c>
      <c r="H34" s="4" t="s">
        <v>86</v>
      </c>
      <c r="I34" s="3" t="s">
        <v>104</v>
      </c>
    </row>
    <row r="35" spans="1:9" x14ac:dyDescent="0.25">
      <c r="A35" s="2" t="s">
        <v>127</v>
      </c>
      <c r="B35" s="4" t="s">
        <v>93</v>
      </c>
      <c r="C35" s="4" t="s">
        <v>22</v>
      </c>
      <c r="D35" s="2" t="s">
        <v>82</v>
      </c>
      <c r="E35" s="4" t="s">
        <v>86</v>
      </c>
      <c r="F35" s="4" t="s">
        <v>86</v>
      </c>
      <c r="G35" s="4" t="s">
        <v>86</v>
      </c>
      <c r="H35" s="4" t="s">
        <v>86</v>
      </c>
      <c r="I35" s="3" t="s">
        <v>104</v>
      </c>
    </row>
  </sheetData>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CE565-6309-47FF-BDAA-C55BFED12D50}">
  <dimension ref="A1:I35"/>
  <sheetViews>
    <sheetView zoomScale="60" zoomScaleNormal="60" workbookViewId="0">
      <pane ySplit="1" topLeftCell="A2" activePane="bottomLeft" state="frozen"/>
      <selection pane="bottomLeft"/>
    </sheetView>
  </sheetViews>
  <sheetFormatPr defaultRowHeight="15" x14ac:dyDescent="0.25"/>
  <cols>
    <col min="1" max="1" width="16.42578125" style="2" bestFit="1" customWidth="1"/>
    <col min="2" max="2" width="14" style="3" bestFit="1" customWidth="1"/>
    <col min="3" max="3" width="19.140625" style="2" bestFit="1" customWidth="1"/>
    <col min="4" max="4" width="41.42578125" style="3" bestFit="1" customWidth="1"/>
    <col min="5" max="5" width="12.140625" style="2" bestFit="1" customWidth="1"/>
    <col min="6" max="6" width="11.140625" style="2" customWidth="1"/>
    <col min="7" max="7" width="11.140625" style="2" bestFit="1" customWidth="1"/>
    <col min="8" max="8" width="11.140625" style="2" customWidth="1"/>
    <col min="9" max="9" width="9.140625" style="3"/>
  </cols>
  <sheetData>
    <row r="1" spans="1:9" x14ac:dyDescent="0.25">
      <c r="A1" s="1" t="s">
        <v>0</v>
      </c>
      <c r="B1" s="1" t="s">
        <v>70</v>
      </c>
      <c r="C1" s="1" t="s">
        <v>18</v>
      </c>
      <c r="D1" s="1" t="s">
        <v>38</v>
      </c>
      <c r="E1" s="1" t="s">
        <v>75</v>
      </c>
      <c r="F1" s="1" t="s">
        <v>76</v>
      </c>
      <c r="G1" s="1" t="s">
        <v>16</v>
      </c>
      <c r="H1" s="1" t="s">
        <v>17</v>
      </c>
      <c r="I1" s="6" t="s">
        <v>48</v>
      </c>
    </row>
    <row r="2" spans="1:9" x14ac:dyDescent="0.25">
      <c r="A2" s="2" t="s">
        <v>9</v>
      </c>
      <c r="B2" s="2" t="s">
        <v>71</v>
      </c>
      <c r="C2" s="2" t="s">
        <v>19</v>
      </c>
      <c r="D2" s="2" t="s">
        <v>85</v>
      </c>
      <c r="E2" s="2">
        <v>-1.37003384024811</v>
      </c>
      <c r="F2" s="2">
        <v>1.94407720782655</v>
      </c>
      <c r="G2" s="2">
        <v>0.162162162162162</v>
      </c>
      <c r="H2" s="2">
        <v>7.3440862337867505E-4</v>
      </c>
    </row>
    <row r="3" spans="1:9" x14ac:dyDescent="0.25">
      <c r="A3" s="2" t="s">
        <v>14</v>
      </c>
      <c r="B3" s="2" t="s">
        <v>71</v>
      </c>
      <c r="C3" s="2" t="s">
        <v>20</v>
      </c>
      <c r="D3" s="2" t="s">
        <v>85</v>
      </c>
      <c r="E3" s="2">
        <v>-1.8535368289242999</v>
      </c>
      <c r="F3" s="2">
        <v>2.0531761091533398</v>
      </c>
      <c r="G3" s="2">
        <v>9.9009900990099001E-2</v>
      </c>
      <c r="H3" s="2">
        <v>8.8323703461415696E-4</v>
      </c>
    </row>
    <row r="4" spans="1:9" x14ac:dyDescent="0.25">
      <c r="A4" s="4" t="s">
        <v>10</v>
      </c>
      <c r="B4" s="2" t="s">
        <v>71</v>
      </c>
      <c r="C4" s="4" t="s">
        <v>21</v>
      </c>
      <c r="D4" s="2" t="s">
        <v>85</v>
      </c>
      <c r="E4" s="4">
        <v>-2.4036506843689902</v>
      </c>
      <c r="F4" s="4">
        <v>1.9740839425201</v>
      </c>
      <c r="G4" s="4">
        <v>0.32258064516128998</v>
      </c>
      <c r="H4" s="4">
        <v>3.5245543956228401E-3</v>
      </c>
    </row>
    <row r="5" spans="1:9" x14ac:dyDescent="0.25">
      <c r="A5" s="4" t="s">
        <v>11</v>
      </c>
      <c r="B5" s="2" t="s">
        <v>71</v>
      </c>
      <c r="C5" s="4" t="s">
        <v>22</v>
      </c>
      <c r="D5" s="2" t="s">
        <v>85</v>
      </c>
      <c r="E5" s="4">
        <v>0.81093021621632899</v>
      </c>
      <c r="F5" s="4">
        <v>0.97993827160493796</v>
      </c>
      <c r="G5" s="4">
        <v>-6.9444444444444406E-2</v>
      </c>
      <c r="H5" s="4">
        <v>1.3995758554336201E-2</v>
      </c>
    </row>
    <row r="6" spans="1:9" x14ac:dyDescent="0.25">
      <c r="A6" s="4" t="s">
        <v>12</v>
      </c>
      <c r="B6" s="2" t="s">
        <v>71</v>
      </c>
      <c r="C6" s="4" t="s">
        <v>20</v>
      </c>
      <c r="D6" s="2" t="s">
        <v>85</v>
      </c>
      <c r="E6" s="4" t="s">
        <v>86</v>
      </c>
      <c r="F6" s="4" t="s">
        <v>86</v>
      </c>
      <c r="G6" s="4" t="s">
        <v>86</v>
      </c>
      <c r="H6" s="4" t="s">
        <v>86</v>
      </c>
      <c r="I6" s="3" t="s">
        <v>87</v>
      </c>
    </row>
    <row r="7" spans="1:9" x14ac:dyDescent="0.25">
      <c r="A7" s="4" t="s">
        <v>13</v>
      </c>
      <c r="B7" s="2" t="s">
        <v>71</v>
      </c>
      <c r="C7" s="4" t="s">
        <v>23</v>
      </c>
      <c r="D7" s="2" t="s">
        <v>85</v>
      </c>
      <c r="E7" s="4">
        <v>-0.356674943938732</v>
      </c>
      <c r="F7" s="4">
        <v>7.66992266992267E-2</v>
      </c>
      <c r="G7" s="4">
        <v>5.1282051282051301E-2</v>
      </c>
      <c r="H7" s="4">
        <v>1.3041019688692999E-3</v>
      </c>
    </row>
    <row r="8" spans="1:9" x14ac:dyDescent="0.25">
      <c r="A8" s="4" t="s">
        <v>15</v>
      </c>
      <c r="B8" s="2" t="s">
        <v>71</v>
      </c>
      <c r="C8" s="4" t="s">
        <v>20</v>
      </c>
      <c r="D8" s="2" t="s">
        <v>85</v>
      </c>
      <c r="E8" s="4">
        <v>-2.35918556451076</v>
      </c>
      <c r="F8" s="4">
        <v>2.0487353588928801</v>
      </c>
      <c r="G8" s="4">
        <v>6.0483870967741903E-2</v>
      </c>
      <c r="H8" s="4">
        <v>2.2913537226007901E-4</v>
      </c>
    </row>
    <row r="9" spans="1:9" x14ac:dyDescent="0.25">
      <c r="A9" s="4" t="s">
        <v>95</v>
      </c>
      <c r="B9" s="2" t="s">
        <v>71</v>
      </c>
      <c r="C9" s="4" t="s">
        <v>24</v>
      </c>
      <c r="D9" s="2" t="s">
        <v>85</v>
      </c>
      <c r="E9" s="4">
        <v>-0.34092658697059403</v>
      </c>
      <c r="F9" s="4">
        <v>2.3525462962963002</v>
      </c>
      <c r="G9" s="4">
        <v>2.1052631578947399E-2</v>
      </c>
      <c r="H9" s="4">
        <v>2.1694124507945801E-4</v>
      </c>
    </row>
    <row r="10" spans="1:9" x14ac:dyDescent="0.25">
      <c r="A10" s="4" t="s">
        <v>96</v>
      </c>
      <c r="B10" s="2" t="s">
        <v>71</v>
      </c>
      <c r="C10" s="4" t="s">
        <v>25</v>
      </c>
      <c r="D10" s="2" t="s">
        <v>85</v>
      </c>
      <c r="E10" s="4">
        <v>-0.13613217432458</v>
      </c>
      <c r="F10" s="4">
        <v>2.3441287878787902</v>
      </c>
      <c r="G10" s="4">
        <v>2.1052631578947399E-2</v>
      </c>
      <c r="H10" s="4">
        <v>2.1694124507945801E-4</v>
      </c>
    </row>
    <row r="11" spans="1:9" x14ac:dyDescent="0.25">
      <c r="A11" s="4" t="s">
        <v>91</v>
      </c>
      <c r="B11" s="2" t="s">
        <v>71</v>
      </c>
      <c r="C11" s="4" t="s">
        <v>92</v>
      </c>
      <c r="D11" s="2" t="s">
        <v>85</v>
      </c>
      <c r="E11" s="4">
        <v>-0.47000362924573602</v>
      </c>
      <c r="F11" s="4">
        <v>2.5708333333333302</v>
      </c>
      <c r="G11" s="4">
        <v>3.4482758620689703E-2</v>
      </c>
      <c r="H11" s="4">
        <v>1.1480585509861E-3</v>
      </c>
    </row>
    <row r="12" spans="1:9" x14ac:dyDescent="0.25">
      <c r="A12" s="4" t="s">
        <v>101</v>
      </c>
      <c r="B12" s="2" t="s">
        <v>71</v>
      </c>
      <c r="C12" s="4" t="s">
        <v>20</v>
      </c>
      <c r="D12" s="2" t="s">
        <v>85</v>
      </c>
      <c r="E12" s="4" t="s">
        <v>86</v>
      </c>
      <c r="F12" s="4" t="s">
        <v>86</v>
      </c>
      <c r="G12" s="4" t="s">
        <v>86</v>
      </c>
      <c r="H12" s="4" t="s">
        <v>86</v>
      </c>
      <c r="I12" s="3" t="s">
        <v>87</v>
      </c>
    </row>
    <row r="13" spans="1:9" x14ac:dyDescent="0.25">
      <c r="A13" s="2" t="s">
        <v>74</v>
      </c>
      <c r="B13" s="2" t="s">
        <v>93</v>
      </c>
      <c r="C13" s="4" t="s">
        <v>22</v>
      </c>
      <c r="D13" s="2" t="s">
        <v>85</v>
      </c>
      <c r="E13" s="2">
        <v>0.63723542626733498</v>
      </c>
      <c r="F13" s="2">
        <v>1.6901224561840799E-3</v>
      </c>
      <c r="G13" s="2">
        <v>-4.4823444126906399E-2</v>
      </c>
      <c r="H13" s="2">
        <v>1.41706376453577E-5</v>
      </c>
    </row>
    <row r="14" spans="1:9" x14ac:dyDescent="0.25">
      <c r="A14" s="2" t="s">
        <v>72</v>
      </c>
      <c r="B14" s="2" t="s">
        <v>93</v>
      </c>
      <c r="C14" s="4" t="s">
        <v>22</v>
      </c>
      <c r="D14" s="2" t="s">
        <v>85</v>
      </c>
      <c r="E14" s="2">
        <v>-0.23841102344499901</v>
      </c>
      <c r="F14" s="2">
        <v>0.54540792540792504</v>
      </c>
      <c r="G14" s="2">
        <v>9.7902097902097893E-3</v>
      </c>
      <c r="H14" s="2">
        <v>7.7257239313085601E-4</v>
      </c>
    </row>
    <row r="15" spans="1:9" x14ac:dyDescent="0.25">
      <c r="A15" s="2" t="s">
        <v>73</v>
      </c>
      <c r="B15" s="2" t="s">
        <v>93</v>
      </c>
      <c r="C15" s="4" t="s">
        <v>77</v>
      </c>
      <c r="D15" s="2" t="s">
        <v>85</v>
      </c>
      <c r="E15" s="4" t="s">
        <v>86</v>
      </c>
      <c r="F15" s="4" t="s">
        <v>86</v>
      </c>
      <c r="G15" s="4" t="s">
        <v>86</v>
      </c>
      <c r="H15" s="4" t="s">
        <v>86</v>
      </c>
      <c r="I15" s="3" t="s">
        <v>104</v>
      </c>
    </row>
    <row r="16" spans="1:9" x14ac:dyDescent="0.25">
      <c r="A16" s="2" t="s">
        <v>97</v>
      </c>
      <c r="B16" s="2" t="s">
        <v>93</v>
      </c>
      <c r="C16" s="4" t="s">
        <v>22</v>
      </c>
      <c r="D16" s="2" t="s">
        <v>85</v>
      </c>
      <c r="E16" s="2">
        <v>0.33444383835982</v>
      </c>
      <c r="F16" s="2">
        <v>0.68286712027936802</v>
      </c>
      <c r="G16" s="2">
        <v>-9.4754653130287594E-2</v>
      </c>
      <c r="H16" s="2">
        <v>7.4996200437300597E-2</v>
      </c>
    </row>
    <row r="17" spans="1:9" x14ac:dyDescent="0.25">
      <c r="A17" s="2" t="s">
        <v>98</v>
      </c>
      <c r="B17" s="2" t="s">
        <v>93</v>
      </c>
      <c r="C17" s="4" t="s">
        <v>19</v>
      </c>
      <c r="D17" s="2" t="s">
        <v>85</v>
      </c>
      <c r="E17" s="2">
        <v>0.739908946467985</v>
      </c>
      <c r="F17" s="2">
        <v>0.266200453612701</v>
      </c>
      <c r="G17" s="2">
        <v>-0.26142131979695399</v>
      </c>
      <c r="H17" s="2">
        <v>6.34221263632265E-2</v>
      </c>
    </row>
    <row r="18" spans="1:9" x14ac:dyDescent="0.25">
      <c r="A18" s="2" t="s">
        <v>94</v>
      </c>
      <c r="B18" s="2" t="s">
        <v>93</v>
      </c>
      <c r="C18" s="4" t="s">
        <v>22</v>
      </c>
      <c r="D18" s="2" t="s">
        <v>85</v>
      </c>
      <c r="E18" s="4" t="s">
        <v>86</v>
      </c>
      <c r="F18" s="4" t="s">
        <v>86</v>
      </c>
      <c r="G18" s="4" t="s">
        <v>86</v>
      </c>
      <c r="H18" s="4" t="s">
        <v>86</v>
      </c>
      <c r="I18" s="3" t="s">
        <v>104</v>
      </c>
    </row>
    <row r="19" spans="1:9" x14ac:dyDescent="0.25">
      <c r="A19" s="2" t="s">
        <v>99</v>
      </c>
      <c r="B19" s="2" t="s">
        <v>93</v>
      </c>
      <c r="C19" s="4" t="s">
        <v>20</v>
      </c>
      <c r="D19" s="2" t="s">
        <v>85</v>
      </c>
      <c r="E19" s="4" t="s">
        <v>86</v>
      </c>
      <c r="F19" s="4" t="s">
        <v>86</v>
      </c>
      <c r="G19" s="4" t="s">
        <v>86</v>
      </c>
      <c r="H19" s="4" t="s">
        <v>86</v>
      </c>
      <c r="I19" s="3" t="s">
        <v>104</v>
      </c>
    </row>
    <row r="20" spans="1:9" x14ac:dyDescent="0.25">
      <c r="A20" s="2" t="s">
        <v>100</v>
      </c>
      <c r="B20" s="2" t="s">
        <v>93</v>
      </c>
      <c r="C20" s="4" t="s">
        <v>22</v>
      </c>
      <c r="D20" s="2" t="s">
        <v>85</v>
      </c>
      <c r="E20" s="4" t="s">
        <v>86</v>
      </c>
      <c r="F20" s="4" t="s">
        <v>86</v>
      </c>
      <c r="G20" s="4" t="s">
        <v>86</v>
      </c>
      <c r="H20" s="4" t="s">
        <v>86</v>
      </c>
      <c r="I20" s="3" t="s">
        <v>104</v>
      </c>
    </row>
    <row r="21" spans="1:9" x14ac:dyDescent="0.25">
      <c r="A21" s="2" t="s">
        <v>102</v>
      </c>
      <c r="B21" s="2" t="s">
        <v>93</v>
      </c>
      <c r="C21" s="4" t="s">
        <v>20</v>
      </c>
      <c r="D21" s="2" t="s">
        <v>85</v>
      </c>
      <c r="E21" s="4" t="s">
        <v>86</v>
      </c>
      <c r="F21" s="4" t="s">
        <v>86</v>
      </c>
      <c r="G21" s="4" t="s">
        <v>86</v>
      </c>
      <c r="H21" s="4" t="s">
        <v>86</v>
      </c>
      <c r="I21" s="3" t="s">
        <v>104</v>
      </c>
    </row>
    <row r="22" spans="1:9" x14ac:dyDescent="0.25">
      <c r="A22" s="2" t="s">
        <v>103</v>
      </c>
      <c r="B22" s="2" t="s">
        <v>93</v>
      </c>
      <c r="C22" s="4" t="s">
        <v>22</v>
      </c>
      <c r="D22" s="2" t="s">
        <v>85</v>
      </c>
      <c r="E22" s="4" t="s">
        <v>86</v>
      </c>
      <c r="F22" s="4" t="s">
        <v>86</v>
      </c>
      <c r="G22" s="4" t="s">
        <v>86</v>
      </c>
      <c r="H22" s="4" t="s">
        <v>86</v>
      </c>
      <c r="I22" s="3" t="s">
        <v>104</v>
      </c>
    </row>
    <row r="23" spans="1:9" x14ac:dyDescent="0.25">
      <c r="A23" s="2" t="s">
        <v>108</v>
      </c>
      <c r="B23" s="2" t="s">
        <v>93</v>
      </c>
      <c r="C23" s="4" t="s">
        <v>22</v>
      </c>
      <c r="D23" s="2" t="s">
        <v>85</v>
      </c>
      <c r="E23" s="4" t="s">
        <v>86</v>
      </c>
      <c r="F23" s="4" t="s">
        <v>86</v>
      </c>
      <c r="G23" s="4" t="s">
        <v>86</v>
      </c>
      <c r="H23" s="4" t="s">
        <v>86</v>
      </c>
      <c r="I23" s="3" t="s">
        <v>104</v>
      </c>
    </row>
    <row r="24" spans="1:9" x14ac:dyDescent="0.25">
      <c r="A24" s="2" t="s">
        <v>109</v>
      </c>
      <c r="B24" s="2" t="s">
        <v>93</v>
      </c>
      <c r="C24" s="4" t="s">
        <v>22</v>
      </c>
      <c r="D24" s="2" t="s">
        <v>85</v>
      </c>
      <c r="E24" s="4" t="s">
        <v>86</v>
      </c>
      <c r="F24" s="4" t="s">
        <v>86</v>
      </c>
      <c r="G24" s="4" t="s">
        <v>86</v>
      </c>
      <c r="H24" s="4" t="s">
        <v>86</v>
      </c>
      <c r="I24" s="3" t="s">
        <v>104</v>
      </c>
    </row>
    <row r="25" spans="1:9" x14ac:dyDescent="0.25">
      <c r="A25" s="3" t="s">
        <v>110</v>
      </c>
      <c r="B25" s="2" t="s">
        <v>93</v>
      </c>
      <c r="C25" s="4" t="s">
        <v>23</v>
      </c>
      <c r="D25" s="2" t="s">
        <v>85</v>
      </c>
      <c r="E25" s="3">
        <v>-0.64185388617239503</v>
      </c>
      <c r="F25" s="2">
        <v>0.96801619433198405</v>
      </c>
      <c r="G25" s="3">
        <v>6.9230769230769207E-2</v>
      </c>
      <c r="H25" s="3">
        <v>6.4219390077378197E-3</v>
      </c>
    </row>
    <row r="26" spans="1:9" x14ac:dyDescent="0.25">
      <c r="A26" s="2" t="s">
        <v>113</v>
      </c>
      <c r="B26" s="2" t="s">
        <v>93</v>
      </c>
      <c r="C26" s="4" t="s">
        <v>114</v>
      </c>
      <c r="D26" s="2" t="s">
        <v>85</v>
      </c>
      <c r="E26" s="4" t="s">
        <v>86</v>
      </c>
      <c r="F26" s="4" t="s">
        <v>86</v>
      </c>
      <c r="G26" s="4" t="s">
        <v>86</v>
      </c>
      <c r="H26" s="4" t="s">
        <v>86</v>
      </c>
      <c r="I26" s="3" t="s">
        <v>104</v>
      </c>
    </row>
    <row r="27" spans="1:9" x14ac:dyDescent="0.25">
      <c r="A27" s="2" t="s">
        <v>115</v>
      </c>
      <c r="B27" s="2" t="s">
        <v>93</v>
      </c>
      <c r="C27" s="4" t="s">
        <v>22</v>
      </c>
      <c r="D27" s="2" t="s">
        <v>85</v>
      </c>
      <c r="E27" s="4" t="s">
        <v>86</v>
      </c>
      <c r="F27" s="4" t="s">
        <v>86</v>
      </c>
      <c r="G27" s="4" t="s">
        <v>86</v>
      </c>
      <c r="H27" s="4" t="s">
        <v>86</v>
      </c>
      <c r="I27" s="3" t="s">
        <v>104</v>
      </c>
    </row>
    <row r="28" spans="1:9" x14ac:dyDescent="0.25">
      <c r="A28" s="2" t="s">
        <v>118</v>
      </c>
      <c r="B28" s="2" t="s">
        <v>93</v>
      </c>
      <c r="C28" s="4" t="s">
        <v>114</v>
      </c>
      <c r="D28" s="2" t="s">
        <v>85</v>
      </c>
      <c r="E28" s="2">
        <v>1.8600787132055301</v>
      </c>
      <c r="F28" s="2">
        <v>1.7257004002287</v>
      </c>
      <c r="G28" s="2">
        <v>2.5196850393700801E-2</v>
      </c>
      <c r="H28" s="2">
        <v>3.8680266336910597E-5</v>
      </c>
    </row>
    <row r="29" spans="1:9" x14ac:dyDescent="0.25">
      <c r="A29" s="2" t="s">
        <v>119</v>
      </c>
      <c r="B29" s="2" t="s">
        <v>93</v>
      </c>
      <c r="C29" s="4" t="s">
        <v>22</v>
      </c>
      <c r="D29" s="2" t="s">
        <v>85</v>
      </c>
      <c r="E29" s="4" t="s">
        <v>86</v>
      </c>
      <c r="F29" s="4" t="s">
        <v>86</v>
      </c>
      <c r="G29" s="4" t="s">
        <v>86</v>
      </c>
      <c r="H29" s="4" t="s">
        <v>86</v>
      </c>
      <c r="I29" s="3" t="s">
        <v>104</v>
      </c>
    </row>
    <row r="30" spans="1:9" x14ac:dyDescent="0.25">
      <c r="A30" s="2" t="s">
        <v>120</v>
      </c>
      <c r="B30" s="2" t="s">
        <v>93</v>
      </c>
      <c r="C30" s="4" t="s">
        <v>22</v>
      </c>
      <c r="D30" s="2" t="s">
        <v>85</v>
      </c>
      <c r="E30" s="4" t="s">
        <v>86</v>
      </c>
      <c r="F30" s="4" t="s">
        <v>86</v>
      </c>
      <c r="G30" s="4" t="s">
        <v>86</v>
      </c>
      <c r="H30" s="4" t="s">
        <v>86</v>
      </c>
      <c r="I30" s="3" t="s">
        <v>104</v>
      </c>
    </row>
    <row r="31" spans="1:9" x14ac:dyDescent="0.25">
      <c r="A31" s="2" t="s">
        <v>121</v>
      </c>
      <c r="B31" s="2" t="s">
        <v>93</v>
      </c>
      <c r="C31" s="4" t="s">
        <v>20</v>
      </c>
      <c r="D31" s="2" t="s">
        <v>85</v>
      </c>
      <c r="E31" s="4" t="s">
        <v>86</v>
      </c>
      <c r="F31" s="4" t="s">
        <v>86</v>
      </c>
      <c r="G31" s="4" t="s">
        <v>86</v>
      </c>
      <c r="H31" s="4" t="s">
        <v>86</v>
      </c>
      <c r="I31" s="3" t="s">
        <v>104</v>
      </c>
    </row>
    <row r="32" spans="1:9" x14ac:dyDescent="0.25">
      <c r="A32" s="2" t="s">
        <v>122</v>
      </c>
      <c r="B32" s="2" t="s">
        <v>93</v>
      </c>
      <c r="C32" s="4" t="s">
        <v>22</v>
      </c>
      <c r="D32" s="2" t="s">
        <v>85</v>
      </c>
      <c r="E32" s="4" t="s">
        <v>86</v>
      </c>
      <c r="F32" s="4" t="s">
        <v>86</v>
      </c>
      <c r="G32" s="4" t="s">
        <v>86</v>
      </c>
      <c r="H32" s="4" t="s">
        <v>86</v>
      </c>
      <c r="I32" s="3" t="s">
        <v>104</v>
      </c>
    </row>
    <row r="33" spans="1:9" x14ac:dyDescent="0.25">
      <c r="A33" s="2" t="s">
        <v>123</v>
      </c>
      <c r="B33" s="2" t="s">
        <v>93</v>
      </c>
      <c r="C33" s="4" t="s">
        <v>114</v>
      </c>
      <c r="D33" s="2" t="s">
        <v>85</v>
      </c>
      <c r="E33" s="4" t="s">
        <v>86</v>
      </c>
      <c r="F33" s="4" t="s">
        <v>86</v>
      </c>
      <c r="G33" s="4" t="s">
        <v>86</v>
      </c>
      <c r="H33" s="4" t="s">
        <v>86</v>
      </c>
      <c r="I33" s="3" t="s">
        <v>104</v>
      </c>
    </row>
    <row r="34" spans="1:9" x14ac:dyDescent="0.25">
      <c r="A34" s="2" t="s">
        <v>125</v>
      </c>
      <c r="B34" s="2" t="s">
        <v>93</v>
      </c>
      <c r="C34" s="4" t="s">
        <v>22</v>
      </c>
      <c r="D34" s="2" t="s">
        <v>85</v>
      </c>
      <c r="E34" s="4" t="s">
        <v>86</v>
      </c>
      <c r="F34" s="4" t="s">
        <v>86</v>
      </c>
      <c r="G34" s="4" t="s">
        <v>86</v>
      </c>
      <c r="H34" s="4" t="s">
        <v>86</v>
      </c>
      <c r="I34" s="3" t="s">
        <v>104</v>
      </c>
    </row>
    <row r="35" spans="1:9" x14ac:dyDescent="0.25">
      <c r="A35" s="2" t="s">
        <v>127</v>
      </c>
      <c r="B35" s="4" t="s">
        <v>93</v>
      </c>
      <c r="C35" s="4" t="s">
        <v>22</v>
      </c>
      <c r="D35" s="2" t="s">
        <v>85</v>
      </c>
      <c r="E35" s="4" t="s">
        <v>86</v>
      </c>
      <c r="F35" s="4" t="s">
        <v>86</v>
      </c>
      <c r="G35" s="4" t="s">
        <v>86</v>
      </c>
      <c r="H35" s="4" t="s">
        <v>86</v>
      </c>
      <c r="I35" s="3" t="s">
        <v>104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8B9CD-D8DF-4CD1-8A44-6F5BFE2640A4}">
  <dimension ref="A1:I35"/>
  <sheetViews>
    <sheetView zoomScale="60" zoomScaleNormal="60" workbookViewId="0">
      <pane ySplit="1" topLeftCell="A2" activePane="bottomLeft" state="frozen"/>
      <selection pane="bottomLeft"/>
    </sheetView>
  </sheetViews>
  <sheetFormatPr defaultRowHeight="15" x14ac:dyDescent="0.25"/>
  <cols>
    <col min="1" max="1" width="16.42578125" style="2" bestFit="1" customWidth="1"/>
    <col min="2" max="2" width="14" style="3" bestFit="1" customWidth="1"/>
    <col min="3" max="3" width="19.140625" style="2" bestFit="1" customWidth="1"/>
    <col min="4" max="4" width="12" style="2" bestFit="1" customWidth="1"/>
    <col min="5" max="5" width="12.140625" style="2" bestFit="1" customWidth="1"/>
    <col min="6" max="6" width="11.140625" style="2" customWidth="1"/>
    <col min="7" max="7" width="11.140625" style="2" bestFit="1" customWidth="1"/>
    <col min="8" max="8" width="11.140625" style="2" customWidth="1"/>
    <col min="9" max="9" width="9.140625" style="3"/>
  </cols>
  <sheetData>
    <row r="1" spans="1:9" x14ac:dyDescent="0.25">
      <c r="A1" s="1" t="s">
        <v>0</v>
      </c>
      <c r="B1" s="1" t="s">
        <v>70</v>
      </c>
      <c r="C1" s="1" t="s">
        <v>18</v>
      </c>
      <c r="D1" s="1" t="s">
        <v>38</v>
      </c>
      <c r="E1" s="1" t="s">
        <v>75</v>
      </c>
      <c r="F1" s="1" t="s">
        <v>76</v>
      </c>
      <c r="G1" s="1" t="s">
        <v>16</v>
      </c>
      <c r="H1" s="1" t="s">
        <v>17</v>
      </c>
      <c r="I1" s="6" t="s">
        <v>48</v>
      </c>
    </row>
    <row r="2" spans="1:9" x14ac:dyDescent="0.25">
      <c r="A2" s="2" t="s">
        <v>9</v>
      </c>
      <c r="B2" s="2" t="s">
        <v>71</v>
      </c>
      <c r="C2" s="2" t="s">
        <v>19</v>
      </c>
      <c r="D2" s="2" t="s">
        <v>81</v>
      </c>
      <c r="E2" s="2">
        <v>1.64222773525709</v>
      </c>
      <c r="F2" s="2">
        <v>2.5779569892473102</v>
      </c>
      <c r="G2" s="2">
        <v>5.40540540540541E-3</v>
      </c>
      <c r="H2" s="2">
        <v>2.9060470258425001E-5</v>
      </c>
    </row>
    <row r="3" spans="1:9" x14ac:dyDescent="0.25">
      <c r="A3" s="2" t="s">
        <v>14</v>
      </c>
      <c r="B3" s="2" t="s">
        <v>71</v>
      </c>
      <c r="C3" s="2" t="s">
        <v>20</v>
      </c>
      <c r="D3" s="2" t="s">
        <v>81</v>
      </c>
      <c r="E3" s="2">
        <v>9.2373320131015305E-2</v>
      </c>
      <c r="F3" s="2">
        <v>2.6246046805819101</v>
      </c>
      <c r="G3" s="2">
        <v>9.9009900990098994E-3</v>
      </c>
      <c r="H3" s="2">
        <v>9.7059014792764405E-5</v>
      </c>
    </row>
    <row r="4" spans="1:9" x14ac:dyDescent="0.25">
      <c r="A4" s="4" t="s">
        <v>10</v>
      </c>
      <c r="B4" s="2" t="s">
        <v>71</v>
      </c>
      <c r="C4" s="4" t="s">
        <v>21</v>
      </c>
      <c r="D4" s="2" t="s">
        <v>81</v>
      </c>
      <c r="E4" s="4" t="s">
        <v>86</v>
      </c>
      <c r="F4" s="4" t="s">
        <v>86</v>
      </c>
      <c r="G4" s="4" t="s">
        <v>86</v>
      </c>
      <c r="H4" s="4" t="s">
        <v>86</v>
      </c>
      <c r="I4" s="3" t="s">
        <v>87</v>
      </c>
    </row>
    <row r="5" spans="1:9" x14ac:dyDescent="0.25">
      <c r="A5" s="4" t="s">
        <v>11</v>
      </c>
      <c r="B5" s="2" t="s">
        <v>71</v>
      </c>
      <c r="C5" s="4" t="s">
        <v>22</v>
      </c>
      <c r="D5" s="2" t="s">
        <v>81</v>
      </c>
      <c r="E5" s="4" t="s">
        <v>86</v>
      </c>
      <c r="F5" s="4" t="s">
        <v>86</v>
      </c>
      <c r="G5" s="4" t="s">
        <v>86</v>
      </c>
      <c r="H5" s="4" t="s">
        <v>86</v>
      </c>
      <c r="I5" s="3" t="s">
        <v>87</v>
      </c>
    </row>
    <row r="6" spans="1:9" x14ac:dyDescent="0.25">
      <c r="A6" s="4" t="s">
        <v>12</v>
      </c>
      <c r="B6" s="2" t="s">
        <v>71</v>
      </c>
      <c r="C6" s="4" t="s">
        <v>20</v>
      </c>
      <c r="D6" s="2" t="s">
        <v>81</v>
      </c>
      <c r="E6" s="4" t="s">
        <v>86</v>
      </c>
      <c r="F6" s="4" t="s">
        <v>86</v>
      </c>
      <c r="G6" s="4" t="s">
        <v>86</v>
      </c>
      <c r="H6" s="4" t="s">
        <v>86</v>
      </c>
      <c r="I6" s="3" t="s">
        <v>87</v>
      </c>
    </row>
    <row r="7" spans="1:9" x14ac:dyDescent="0.25">
      <c r="A7" s="4" t="s">
        <v>13</v>
      </c>
      <c r="B7" s="2" t="s">
        <v>71</v>
      </c>
      <c r="C7" s="4" t="s">
        <v>23</v>
      </c>
      <c r="D7" s="2" t="s">
        <v>81</v>
      </c>
      <c r="E7" s="4">
        <v>-1.3049487216659399</v>
      </c>
      <c r="F7" s="4">
        <v>2.1705026964560901</v>
      </c>
      <c r="G7" s="4">
        <v>1.42450142450142E-2</v>
      </c>
      <c r="H7" s="4">
        <v>4.0005965282545797E-5</v>
      </c>
    </row>
    <row r="8" spans="1:9" x14ac:dyDescent="0.25">
      <c r="A8" s="4" t="s">
        <v>15</v>
      </c>
      <c r="B8" s="2" t="s">
        <v>71</v>
      </c>
      <c r="C8" s="4" t="s">
        <v>20</v>
      </c>
      <c r="D8" s="2" t="s">
        <v>81</v>
      </c>
      <c r="E8" s="4">
        <v>-2.3810648693719301E-2</v>
      </c>
      <c r="F8" s="4">
        <v>2.6508858965272899</v>
      </c>
      <c r="G8" s="4">
        <v>4.0322580645161298E-3</v>
      </c>
      <c r="H8" s="4">
        <v>1.6193544191198701E-5</v>
      </c>
    </row>
    <row r="9" spans="1:9" x14ac:dyDescent="0.25">
      <c r="A9" s="4" t="s">
        <v>95</v>
      </c>
      <c r="B9" s="2" t="s">
        <v>71</v>
      </c>
      <c r="C9" s="4" t="s">
        <v>24</v>
      </c>
      <c r="D9" s="2" t="s">
        <v>81</v>
      </c>
      <c r="E9" s="4" t="s">
        <v>86</v>
      </c>
      <c r="F9" s="4" t="s">
        <v>86</v>
      </c>
      <c r="G9" s="4" t="s">
        <v>86</v>
      </c>
      <c r="H9" s="4" t="s">
        <v>86</v>
      </c>
      <c r="I9" s="3" t="s">
        <v>87</v>
      </c>
    </row>
    <row r="10" spans="1:9" x14ac:dyDescent="0.25">
      <c r="A10" s="4" t="s">
        <v>96</v>
      </c>
      <c r="B10" s="2" t="s">
        <v>71</v>
      </c>
      <c r="C10" s="4" t="s">
        <v>25</v>
      </c>
      <c r="D10" s="2" t="s">
        <v>81</v>
      </c>
      <c r="E10" s="4" t="s">
        <v>86</v>
      </c>
      <c r="F10" s="4" t="s">
        <v>86</v>
      </c>
      <c r="G10" s="4" t="s">
        <v>86</v>
      </c>
      <c r="H10" s="4" t="s">
        <v>86</v>
      </c>
      <c r="I10" s="3" t="s">
        <v>87</v>
      </c>
    </row>
    <row r="11" spans="1:9" x14ac:dyDescent="0.25">
      <c r="A11" s="4" t="s">
        <v>91</v>
      </c>
      <c r="B11" s="2" t="s">
        <v>71</v>
      </c>
      <c r="C11" s="4" t="s">
        <v>92</v>
      </c>
      <c r="D11" s="2" t="s">
        <v>81</v>
      </c>
      <c r="E11" s="4" t="s">
        <v>86</v>
      </c>
      <c r="F11" s="4" t="s">
        <v>86</v>
      </c>
      <c r="G11" s="4" t="s">
        <v>86</v>
      </c>
      <c r="H11" s="4" t="s">
        <v>86</v>
      </c>
      <c r="I11" s="3" t="s">
        <v>104</v>
      </c>
    </row>
    <row r="12" spans="1:9" x14ac:dyDescent="0.25">
      <c r="A12" s="4" t="s">
        <v>101</v>
      </c>
      <c r="B12" s="2" t="s">
        <v>71</v>
      </c>
      <c r="C12" s="4" t="s">
        <v>20</v>
      </c>
      <c r="D12" s="2" t="s">
        <v>81</v>
      </c>
      <c r="E12" s="4" t="s">
        <v>86</v>
      </c>
      <c r="F12" s="4" t="s">
        <v>86</v>
      </c>
      <c r="G12" s="4" t="s">
        <v>86</v>
      </c>
      <c r="H12" s="4" t="s">
        <v>86</v>
      </c>
      <c r="I12" s="3" t="s">
        <v>104</v>
      </c>
    </row>
    <row r="13" spans="1:9" x14ac:dyDescent="0.25">
      <c r="A13" s="2" t="s">
        <v>74</v>
      </c>
      <c r="B13" s="2" t="s">
        <v>93</v>
      </c>
      <c r="C13" s="4" t="s">
        <v>22</v>
      </c>
      <c r="D13" s="2" t="s">
        <v>81</v>
      </c>
      <c r="E13" s="2">
        <v>1.21918540714854</v>
      </c>
      <c r="F13" s="2">
        <v>8.4762855957070497E-3</v>
      </c>
      <c r="G13" s="2">
        <v>-1.55162839921094E-2</v>
      </c>
      <c r="H13" s="2">
        <v>3.4962120446446498E-6</v>
      </c>
    </row>
    <row r="14" spans="1:9" x14ac:dyDescent="0.25">
      <c r="A14" s="2" t="s">
        <v>72</v>
      </c>
      <c r="B14" s="2" t="s">
        <v>93</v>
      </c>
      <c r="C14" s="4" t="s">
        <v>22</v>
      </c>
      <c r="D14" s="2" t="s">
        <v>81</v>
      </c>
      <c r="E14" s="2">
        <v>0.86020126522311102</v>
      </c>
      <c r="F14" s="2">
        <v>0.67874125874125901</v>
      </c>
      <c r="G14" s="2">
        <v>-2.0979020979021001E-2</v>
      </c>
      <c r="H14" s="2">
        <v>6.8372396345402404E-4</v>
      </c>
    </row>
    <row r="15" spans="1:9" x14ac:dyDescent="0.25">
      <c r="A15" s="2" t="s">
        <v>73</v>
      </c>
      <c r="B15" s="2" t="s">
        <v>93</v>
      </c>
      <c r="C15" s="4" t="s">
        <v>77</v>
      </c>
      <c r="D15" s="2" t="s">
        <v>81</v>
      </c>
      <c r="E15" s="4" t="s">
        <v>86</v>
      </c>
      <c r="F15" s="4" t="s">
        <v>86</v>
      </c>
      <c r="G15" s="4" t="s">
        <v>86</v>
      </c>
      <c r="H15" s="4" t="s">
        <v>86</v>
      </c>
      <c r="I15" s="3" t="s">
        <v>104</v>
      </c>
    </row>
    <row r="16" spans="1:9" x14ac:dyDescent="0.25">
      <c r="A16" s="2" t="s">
        <v>97</v>
      </c>
      <c r="B16" s="2" t="s">
        <v>93</v>
      </c>
      <c r="C16" s="4" t="s">
        <v>22</v>
      </c>
      <c r="D16" s="2" t="s">
        <v>81</v>
      </c>
      <c r="E16" s="4" t="s">
        <v>86</v>
      </c>
      <c r="F16" s="4" t="s">
        <v>86</v>
      </c>
      <c r="G16" s="4" t="s">
        <v>86</v>
      </c>
      <c r="H16" s="4" t="s">
        <v>86</v>
      </c>
      <c r="I16" s="3" t="s">
        <v>104</v>
      </c>
    </row>
    <row r="17" spans="1:9" x14ac:dyDescent="0.25">
      <c r="A17" s="2" t="s">
        <v>98</v>
      </c>
      <c r="B17" s="2" t="s">
        <v>93</v>
      </c>
      <c r="C17" s="4" t="s">
        <v>19</v>
      </c>
      <c r="D17" s="2" t="s">
        <v>81</v>
      </c>
      <c r="E17" s="4" t="s">
        <v>86</v>
      </c>
      <c r="F17" s="4" t="s">
        <v>86</v>
      </c>
      <c r="G17" s="4" t="s">
        <v>86</v>
      </c>
      <c r="H17" s="4" t="s">
        <v>86</v>
      </c>
      <c r="I17" s="3" t="s">
        <v>104</v>
      </c>
    </row>
    <row r="18" spans="1:9" x14ac:dyDescent="0.25">
      <c r="A18" s="2" t="s">
        <v>94</v>
      </c>
      <c r="B18" s="2" t="s">
        <v>93</v>
      </c>
      <c r="C18" s="4" t="s">
        <v>22</v>
      </c>
      <c r="D18" s="2" t="s">
        <v>81</v>
      </c>
      <c r="E18" s="4" t="s">
        <v>86</v>
      </c>
      <c r="F18" s="4" t="s">
        <v>86</v>
      </c>
      <c r="G18" s="4" t="s">
        <v>86</v>
      </c>
      <c r="H18" s="4" t="s">
        <v>86</v>
      </c>
      <c r="I18" s="3" t="s">
        <v>104</v>
      </c>
    </row>
    <row r="19" spans="1:9" x14ac:dyDescent="0.25">
      <c r="A19" s="2" t="s">
        <v>99</v>
      </c>
      <c r="B19" s="2" t="s">
        <v>93</v>
      </c>
      <c r="C19" s="4" t="s">
        <v>20</v>
      </c>
      <c r="D19" s="2" t="s">
        <v>81</v>
      </c>
      <c r="E19" s="4" t="s">
        <v>86</v>
      </c>
      <c r="F19" s="4" t="s">
        <v>86</v>
      </c>
      <c r="G19" s="4" t="s">
        <v>86</v>
      </c>
      <c r="H19" s="4" t="s">
        <v>86</v>
      </c>
      <c r="I19" s="3" t="s">
        <v>104</v>
      </c>
    </row>
    <row r="20" spans="1:9" x14ac:dyDescent="0.25">
      <c r="A20" s="2" t="s">
        <v>100</v>
      </c>
      <c r="B20" s="2" t="s">
        <v>93</v>
      </c>
      <c r="C20" s="4" t="s">
        <v>22</v>
      </c>
      <c r="D20" s="2" t="s">
        <v>81</v>
      </c>
      <c r="E20" s="4" t="s">
        <v>86</v>
      </c>
      <c r="F20" s="4" t="s">
        <v>86</v>
      </c>
      <c r="G20" s="4" t="s">
        <v>86</v>
      </c>
      <c r="H20" s="4" t="s">
        <v>86</v>
      </c>
      <c r="I20" s="3" t="s">
        <v>104</v>
      </c>
    </row>
    <row r="21" spans="1:9" x14ac:dyDescent="0.25">
      <c r="A21" s="2" t="s">
        <v>102</v>
      </c>
      <c r="B21" s="2" t="s">
        <v>93</v>
      </c>
      <c r="C21" s="4" t="s">
        <v>20</v>
      </c>
      <c r="D21" s="2" t="s">
        <v>81</v>
      </c>
      <c r="E21" s="4" t="s">
        <v>86</v>
      </c>
      <c r="F21" s="4" t="s">
        <v>86</v>
      </c>
      <c r="G21" s="4" t="s">
        <v>86</v>
      </c>
      <c r="H21" s="4" t="s">
        <v>86</v>
      </c>
      <c r="I21" s="3" t="s">
        <v>104</v>
      </c>
    </row>
    <row r="22" spans="1:9" x14ac:dyDescent="0.25">
      <c r="A22" s="2" t="s">
        <v>103</v>
      </c>
      <c r="B22" s="2" t="s">
        <v>93</v>
      </c>
      <c r="C22" s="4" t="s">
        <v>22</v>
      </c>
      <c r="D22" s="2" t="s">
        <v>81</v>
      </c>
      <c r="E22" s="4" t="s">
        <v>86</v>
      </c>
      <c r="F22" s="4" t="s">
        <v>86</v>
      </c>
      <c r="G22" s="4" t="s">
        <v>86</v>
      </c>
      <c r="H22" s="4" t="s">
        <v>86</v>
      </c>
      <c r="I22" s="3" t="s">
        <v>104</v>
      </c>
    </row>
    <row r="23" spans="1:9" x14ac:dyDescent="0.25">
      <c r="A23" s="2" t="s">
        <v>108</v>
      </c>
      <c r="B23" s="2" t="s">
        <v>93</v>
      </c>
      <c r="C23" s="4" t="s">
        <v>22</v>
      </c>
      <c r="D23" s="2" t="s">
        <v>81</v>
      </c>
      <c r="E23" s="4" t="s">
        <v>86</v>
      </c>
      <c r="F23" s="4" t="s">
        <v>86</v>
      </c>
      <c r="G23" s="4" t="s">
        <v>86</v>
      </c>
      <c r="H23" s="4" t="s">
        <v>86</v>
      </c>
      <c r="I23" s="3" t="s">
        <v>104</v>
      </c>
    </row>
    <row r="24" spans="1:9" x14ac:dyDescent="0.25">
      <c r="A24" s="2" t="s">
        <v>109</v>
      </c>
      <c r="B24" s="2" t="s">
        <v>93</v>
      </c>
      <c r="C24" s="4" t="s">
        <v>22</v>
      </c>
      <c r="D24" s="2" t="s">
        <v>81</v>
      </c>
      <c r="E24" s="2">
        <v>0.257659277152465</v>
      </c>
      <c r="F24" s="2">
        <v>2.0044293715697998</v>
      </c>
      <c r="G24" s="2">
        <v>8.6642599277978304E-3</v>
      </c>
      <c r="H24" s="2">
        <v>2.0671938694828901E-6</v>
      </c>
    </row>
    <row r="25" spans="1:9" x14ac:dyDescent="0.25">
      <c r="A25" s="3" t="s">
        <v>110</v>
      </c>
      <c r="B25" s="2" t="s">
        <v>93</v>
      </c>
      <c r="C25" s="4" t="s">
        <v>23</v>
      </c>
      <c r="D25" s="2" t="s">
        <v>81</v>
      </c>
      <c r="E25" s="2">
        <v>1.1375277049177801</v>
      </c>
      <c r="F25" s="2">
        <v>2.5876045074518399</v>
      </c>
      <c r="G25" s="2">
        <v>7.6923076923076901E-3</v>
      </c>
      <c r="H25" s="2">
        <v>5.8716431497496599E-5</v>
      </c>
    </row>
    <row r="26" spans="1:9" x14ac:dyDescent="0.25">
      <c r="A26" s="2" t="s">
        <v>113</v>
      </c>
      <c r="B26" s="2" t="s">
        <v>93</v>
      </c>
      <c r="C26" s="4" t="s">
        <v>114</v>
      </c>
      <c r="D26" s="2" t="s">
        <v>81</v>
      </c>
      <c r="E26" s="4" t="s">
        <v>86</v>
      </c>
      <c r="F26" s="4" t="s">
        <v>86</v>
      </c>
      <c r="G26" s="4" t="s">
        <v>86</v>
      </c>
      <c r="H26" s="4" t="s">
        <v>86</v>
      </c>
      <c r="I26" s="3" t="s">
        <v>104</v>
      </c>
    </row>
    <row r="27" spans="1:9" x14ac:dyDescent="0.25">
      <c r="A27" s="2" t="s">
        <v>115</v>
      </c>
      <c r="B27" s="2" t="s">
        <v>93</v>
      </c>
      <c r="C27" s="4" t="s">
        <v>22</v>
      </c>
      <c r="D27" s="2" t="s">
        <v>81</v>
      </c>
      <c r="E27" s="4" t="s">
        <v>86</v>
      </c>
      <c r="F27" s="4" t="s">
        <v>86</v>
      </c>
      <c r="G27" s="4" t="s">
        <v>86</v>
      </c>
      <c r="H27" s="4" t="s">
        <v>86</v>
      </c>
      <c r="I27" s="3" t="s">
        <v>104</v>
      </c>
    </row>
    <row r="28" spans="1:9" x14ac:dyDescent="0.25">
      <c r="A28" s="2" t="s">
        <v>118</v>
      </c>
      <c r="B28" s="2" t="s">
        <v>93</v>
      </c>
      <c r="C28" s="4" t="s">
        <v>114</v>
      </c>
      <c r="D28" s="2" t="s">
        <v>81</v>
      </c>
      <c r="E28" s="4" t="s">
        <v>86</v>
      </c>
      <c r="F28" s="4" t="s">
        <v>86</v>
      </c>
      <c r="G28" s="4" t="s">
        <v>86</v>
      </c>
      <c r="H28" s="4" t="s">
        <v>86</v>
      </c>
      <c r="I28" s="3" t="s">
        <v>104</v>
      </c>
    </row>
    <row r="29" spans="1:9" x14ac:dyDescent="0.25">
      <c r="A29" s="2" t="s">
        <v>119</v>
      </c>
      <c r="B29" s="2" t="s">
        <v>93</v>
      </c>
      <c r="C29" s="4" t="s">
        <v>22</v>
      </c>
      <c r="D29" s="2" t="s">
        <v>81</v>
      </c>
      <c r="E29" s="4" t="s">
        <v>86</v>
      </c>
      <c r="F29" s="4" t="s">
        <v>86</v>
      </c>
      <c r="G29" s="4" t="s">
        <v>86</v>
      </c>
      <c r="H29" s="4" t="s">
        <v>86</v>
      </c>
      <c r="I29" s="3" t="s">
        <v>104</v>
      </c>
    </row>
    <row r="30" spans="1:9" x14ac:dyDescent="0.25">
      <c r="A30" s="2" t="s">
        <v>120</v>
      </c>
      <c r="B30" s="2" t="s">
        <v>93</v>
      </c>
      <c r="C30" s="4" t="s">
        <v>22</v>
      </c>
      <c r="D30" s="2" t="s">
        <v>81</v>
      </c>
      <c r="E30" s="4" t="s">
        <v>86</v>
      </c>
      <c r="F30" s="4" t="s">
        <v>86</v>
      </c>
      <c r="G30" s="4" t="s">
        <v>86</v>
      </c>
      <c r="H30" s="4" t="s">
        <v>86</v>
      </c>
      <c r="I30" s="3" t="s">
        <v>104</v>
      </c>
    </row>
    <row r="31" spans="1:9" x14ac:dyDescent="0.25">
      <c r="A31" s="2" t="s">
        <v>121</v>
      </c>
      <c r="B31" s="2" t="s">
        <v>93</v>
      </c>
      <c r="C31" s="4" t="s">
        <v>20</v>
      </c>
      <c r="D31" s="2" t="s">
        <v>81</v>
      </c>
      <c r="E31" s="4" t="s">
        <v>86</v>
      </c>
      <c r="F31" s="4" t="s">
        <v>86</v>
      </c>
      <c r="G31" s="4" t="s">
        <v>86</v>
      </c>
      <c r="H31" s="4" t="s">
        <v>86</v>
      </c>
      <c r="I31" s="3" t="s">
        <v>104</v>
      </c>
    </row>
    <row r="32" spans="1:9" x14ac:dyDescent="0.25">
      <c r="A32" s="2" t="s">
        <v>122</v>
      </c>
      <c r="B32" s="2" t="s">
        <v>93</v>
      </c>
      <c r="C32" s="4" t="s">
        <v>22</v>
      </c>
      <c r="D32" s="2" t="s">
        <v>81</v>
      </c>
      <c r="E32" s="4" t="s">
        <v>86</v>
      </c>
      <c r="F32" s="4" t="s">
        <v>86</v>
      </c>
      <c r="G32" s="4" t="s">
        <v>86</v>
      </c>
      <c r="H32" s="4" t="s">
        <v>86</v>
      </c>
      <c r="I32" s="3" t="s">
        <v>104</v>
      </c>
    </row>
    <row r="33" spans="1:9" x14ac:dyDescent="0.25">
      <c r="A33" s="2" t="s">
        <v>123</v>
      </c>
      <c r="B33" s="2" t="s">
        <v>93</v>
      </c>
      <c r="C33" s="4" t="s">
        <v>114</v>
      </c>
      <c r="D33" s="2" t="s">
        <v>81</v>
      </c>
      <c r="E33" s="4" t="s">
        <v>86</v>
      </c>
      <c r="F33" s="4" t="s">
        <v>86</v>
      </c>
      <c r="G33" s="4" t="s">
        <v>86</v>
      </c>
      <c r="H33" s="4" t="s">
        <v>86</v>
      </c>
      <c r="I33" s="3" t="s">
        <v>104</v>
      </c>
    </row>
    <row r="34" spans="1:9" x14ac:dyDescent="0.25">
      <c r="A34" s="2" t="s">
        <v>125</v>
      </c>
      <c r="B34" s="2" t="s">
        <v>93</v>
      </c>
      <c r="C34" s="4" t="s">
        <v>22</v>
      </c>
      <c r="D34" s="2" t="s">
        <v>81</v>
      </c>
      <c r="E34" s="4" t="s">
        <v>86</v>
      </c>
      <c r="F34" s="4" t="s">
        <v>86</v>
      </c>
      <c r="G34" s="4" t="s">
        <v>86</v>
      </c>
      <c r="H34" s="4" t="s">
        <v>86</v>
      </c>
      <c r="I34" s="3" t="s">
        <v>104</v>
      </c>
    </row>
    <row r="35" spans="1:9" x14ac:dyDescent="0.25">
      <c r="A35" s="2" t="s">
        <v>127</v>
      </c>
      <c r="B35" s="4" t="s">
        <v>93</v>
      </c>
      <c r="C35" s="4" t="s">
        <v>22</v>
      </c>
      <c r="D35" s="2" t="s">
        <v>81</v>
      </c>
      <c r="E35" s="4" t="s">
        <v>86</v>
      </c>
      <c r="F35" s="4" t="s">
        <v>86</v>
      </c>
      <c r="G35" s="4" t="s">
        <v>86</v>
      </c>
      <c r="H35" s="4" t="s">
        <v>86</v>
      </c>
      <c r="I35" s="3" t="s">
        <v>104</v>
      </c>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275FF-5A0C-4F43-8BF8-CDFBA0DD1048}">
  <dimension ref="A1:B76"/>
  <sheetViews>
    <sheetView tabSelected="1" zoomScale="70" zoomScaleNormal="70" workbookViewId="0"/>
  </sheetViews>
  <sheetFormatPr defaultRowHeight="15" x14ac:dyDescent="0.25"/>
  <sheetData>
    <row r="1" spans="1:2" x14ac:dyDescent="0.25">
      <c r="A1" t="s">
        <v>88</v>
      </c>
      <c r="B1" t="s">
        <v>89</v>
      </c>
    </row>
    <row r="2" spans="1:2" x14ac:dyDescent="0.25">
      <c r="A2" t="s">
        <v>90</v>
      </c>
      <c r="B2" t="s">
        <v>107</v>
      </c>
    </row>
    <row r="4" spans="1:2" x14ac:dyDescent="0.25">
      <c r="A4" s="9" t="s">
        <v>63</v>
      </c>
    </row>
    <row r="5" spans="1:2" x14ac:dyDescent="0.25">
      <c r="A5" t="s">
        <v>1</v>
      </c>
      <c r="B5" t="s">
        <v>26</v>
      </c>
    </row>
    <row r="6" spans="1:2" x14ac:dyDescent="0.25">
      <c r="A6" t="s">
        <v>2</v>
      </c>
      <c r="B6" t="s">
        <v>27</v>
      </c>
    </row>
    <row r="7" spans="1:2" x14ac:dyDescent="0.25">
      <c r="A7" t="s">
        <v>3</v>
      </c>
      <c r="B7" t="s">
        <v>28</v>
      </c>
    </row>
    <row r="8" spans="1:2" x14ac:dyDescent="0.25">
      <c r="A8" t="s">
        <v>4</v>
      </c>
      <c r="B8" t="s">
        <v>29</v>
      </c>
    </row>
    <row r="9" spans="1:2" x14ac:dyDescent="0.25">
      <c r="A9" t="s">
        <v>5</v>
      </c>
      <c r="B9" t="s">
        <v>138</v>
      </c>
    </row>
    <row r="10" spans="1:2" x14ac:dyDescent="0.25">
      <c r="A10" t="s">
        <v>6</v>
      </c>
      <c r="B10" t="s">
        <v>139</v>
      </c>
    </row>
    <row r="11" spans="1:2" x14ac:dyDescent="0.25">
      <c r="A11" t="s">
        <v>75</v>
      </c>
      <c r="B11" t="s">
        <v>36</v>
      </c>
    </row>
    <row r="12" spans="1:2" x14ac:dyDescent="0.25">
      <c r="A12" t="s">
        <v>76</v>
      </c>
      <c r="B12" t="s">
        <v>37</v>
      </c>
    </row>
    <row r="13" spans="1:2" x14ac:dyDescent="0.25">
      <c r="A13" t="s">
        <v>16</v>
      </c>
      <c r="B13" t="s">
        <v>7</v>
      </c>
    </row>
    <row r="14" spans="1:2" x14ac:dyDescent="0.25">
      <c r="A14" t="s">
        <v>17</v>
      </c>
      <c r="B14" t="s">
        <v>8</v>
      </c>
    </row>
    <row r="16" spans="1:2" x14ac:dyDescent="0.25">
      <c r="A16" s="9" t="s">
        <v>62</v>
      </c>
    </row>
    <row r="17" spans="1:2" x14ac:dyDescent="0.25">
      <c r="A17" t="s">
        <v>1</v>
      </c>
      <c r="B17" t="s">
        <v>30</v>
      </c>
    </row>
    <row r="18" spans="1:2" x14ac:dyDescent="0.25">
      <c r="A18" t="s">
        <v>2</v>
      </c>
      <c r="B18" t="s">
        <v>31</v>
      </c>
    </row>
    <row r="19" spans="1:2" x14ac:dyDescent="0.25">
      <c r="A19" t="s">
        <v>3</v>
      </c>
      <c r="B19" t="s">
        <v>32</v>
      </c>
    </row>
    <row r="20" spans="1:2" x14ac:dyDescent="0.25">
      <c r="A20" t="s">
        <v>4</v>
      </c>
      <c r="B20" t="s">
        <v>33</v>
      </c>
    </row>
    <row r="21" spans="1:2" x14ac:dyDescent="0.25">
      <c r="A21" t="s">
        <v>5</v>
      </c>
      <c r="B21" t="s">
        <v>34</v>
      </c>
    </row>
    <row r="22" spans="1:2" x14ac:dyDescent="0.25">
      <c r="A22" t="s">
        <v>6</v>
      </c>
      <c r="B22" t="s">
        <v>35</v>
      </c>
    </row>
    <row r="23" spans="1:2" x14ac:dyDescent="0.25">
      <c r="A23" t="s">
        <v>75</v>
      </c>
      <c r="B23" t="s">
        <v>36</v>
      </c>
    </row>
    <row r="24" spans="1:2" x14ac:dyDescent="0.25">
      <c r="A24" t="s">
        <v>76</v>
      </c>
      <c r="B24" t="s">
        <v>37</v>
      </c>
    </row>
    <row r="25" spans="1:2" x14ac:dyDescent="0.25">
      <c r="A25" t="s">
        <v>16</v>
      </c>
      <c r="B25" t="s">
        <v>7</v>
      </c>
    </row>
    <row r="26" spans="1:2" x14ac:dyDescent="0.25">
      <c r="A26" t="s">
        <v>17</v>
      </c>
      <c r="B26" t="s">
        <v>8</v>
      </c>
    </row>
    <row r="28" spans="1:2" x14ac:dyDescent="0.25">
      <c r="A28" s="9" t="s">
        <v>61</v>
      </c>
    </row>
    <row r="29" spans="1:2" x14ac:dyDescent="0.25">
      <c r="A29" t="s">
        <v>1</v>
      </c>
      <c r="B29" t="s">
        <v>43</v>
      </c>
    </row>
    <row r="30" spans="1:2" x14ac:dyDescent="0.25">
      <c r="A30" t="s">
        <v>2</v>
      </c>
      <c r="B30" t="s">
        <v>45</v>
      </c>
    </row>
    <row r="31" spans="1:2" x14ac:dyDescent="0.25">
      <c r="A31" t="s">
        <v>3</v>
      </c>
      <c r="B31" t="s">
        <v>44</v>
      </c>
    </row>
    <row r="32" spans="1:2" x14ac:dyDescent="0.25">
      <c r="A32" t="s">
        <v>4</v>
      </c>
      <c r="B32" t="s">
        <v>46</v>
      </c>
    </row>
    <row r="33" spans="1:2" x14ac:dyDescent="0.25">
      <c r="A33" t="s">
        <v>5</v>
      </c>
      <c r="B33" t="s">
        <v>55</v>
      </c>
    </row>
    <row r="34" spans="1:2" x14ac:dyDescent="0.25">
      <c r="A34" t="s">
        <v>6</v>
      </c>
      <c r="B34" t="s">
        <v>56</v>
      </c>
    </row>
    <row r="35" spans="1:2" x14ac:dyDescent="0.25">
      <c r="A35" t="s">
        <v>75</v>
      </c>
      <c r="B35" t="s">
        <v>36</v>
      </c>
    </row>
    <row r="36" spans="1:2" x14ac:dyDescent="0.25">
      <c r="A36" t="s">
        <v>76</v>
      </c>
      <c r="B36" t="s">
        <v>37</v>
      </c>
    </row>
    <row r="37" spans="1:2" x14ac:dyDescent="0.25">
      <c r="A37" t="s">
        <v>16</v>
      </c>
      <c r="B37" t="s">
        <v>7</v>
      </c>
    </row>
    <row r="38" spans="1:2" x14ac:dyDescent="0.25">
      <c r="A38" t="s">
        <v>17</v>
      </c>
      <c r="B38" t="s">
        <v>8</v>
      </c>
    </row>
    <row r="39" spans="1:2" x14ac:dyDescent="0.25">
      <c r="A39" t="s">
        <v>38</v>
      </c>
      <c r="B39" t="s">
        <v>47</v>
      </c>
    </row>
    <row r="41" spans="1:2" x14ac:dyDescent="0.25">
      <c r="A41" s="9" t="s">
        <v>65</v>
      </c>
    </row>
    <row r="42" spans="1:2" x14ac:dyDescent="0.25">
      <c r="A42" t="s">
        <v>1</v>
      </c>
      <c r="B42" t="s">
        <v>39</v>
      </c>
    </row>
    <row r="43" spans="1:2" x14ac:dyDescent="0.25">
      <c r="A43" t="s">
        <v>2</v>
      </c>
      <c r="B43" t="s">
        <v>40</v>
      </c>
    </row>
    <row r="44" spans="1:2" x14ac:dyDescent="0.25">
      <c r="A44" t="s">
        <v>3</v>
      </c>
      <c r="B44" t="s">
        <v>41</v>
      </c>
    </row>
    <row r="45" spans="1:2" x14ac:dyDescent="0.25">
      <c r="A45" t="s">
        <v>4</v>
      </c>
      <c r="B45" t="s">
        <v>42</v>
      </c>
    </row>
    <row r="46" spans="1:2" x14ac:dyDescent="0.25">
      <c r="A46" t="s">
        <v>5</v>
      </c>
      <c r="B46" t="s">
        <v>55</v>
      </c>
    </row>
    <row r="47" spans="1:2" x14ac:dyDescent="0.25">
      <c r="A47" t="s">
        <v>6</v>
      </c>
      <c r="B47" t="s">
        <v>56</v>
      </c>
    </row>
    <row r="48" spans="1:2" x14ac:dyDescent="0.25">
      <c r="A48" t="s">
        <v>75</v>
      </c>
      <c r="B48" t="s">
        <v>36</v>
      </c>
    </row>
    <row r="49" spans="1:2" x14ac:dyDescent="0.25">
      <c r="A49" t="s">
        <v>76</v>
      </c>
      <c r="B49" t="s">
        <v>37</v>
      </c>
    </row>
    <row r="50" spans="1:2" x14ac:dyDescent="0.25">
      <c r="A50" t="s">
        <v>16</v>
      </c>
      <c r="B50" t="s">
        <v>7</v>
      </c>
    </row>
    <row r="51" spans="1:2" x14ac:dyDescent="0.25">
      <c r="A51" t="s">
        <v>17</v>
      </c>
      <c r="B51" t="s">
        <v>8</v>
      </c>
    </row>
    <row r="53" spans="1:2" x14ac:dyDescent="0.25">
      <c r="A53" s="9" t="s">
        <v>64</v>
      </c>
    </row>
    <row r="54" spans="1:2" x14ac:dyDescent="0.25">
      <c r="A54" t="s">
        <v>1</v>
      </c>
      <c r="B54" t="s">
        <v>49</v>
      </c>
    </row>
    <row r="55" spans="1:2" x14ac:dyDescent="0.25">
      <c r="A55" t="s">
        <v>2</v>
      </c>
      <c r="B55" t="s">
        <v>50</v>
      </c>
    </row>
    <row r="56" spans="1:2" x14ac:dyDescent="0.25">
      <c r="A56" t="s">
        <v>3</v>
      </c>
      <c r="B56" t="s">
        <v>51</v>
      </c>
    </row>
    <row r="57" spans="1:2" x14ac:dyDescent="0.25">
      <c r="A57" t="s">
        <v>4</v>
      </c>
      <c r="B57" t="s">
        <v>52</v>
      </c>
    </row>
    <row r="58" spans="1:2" x14ac:dyDescent="0.25">
      <c r="A58" t="s">
        <v>5</v>
      </c>
      <c r="B58" t="s">
        <v>53</v>
      </c>
    </row>
    <row r="59" spans="1:2" x14ac:dyDescent="0.25">
      <c r="A59" t="s">
        <v>6</v>
      </c>
      <c r="B59" t="s">
        <v>54</v>
      </c>
    </row>
    <row r="60" spans="1:2" x14ac:dyDescent="0.25">
      <c r="A60" t="s">
        <v>75</v>
      </c>
      <c r="B60" t="s">
        <v>36</v>
      </c>
    </row>
    <row r="61" spans="1:2" x14ac:dyDescent="0.25">
      <c r="A61" t="s">
        <v>76</v>
      </c>
      <c r="B61" t="s">
        <v>37</v>
      </c>
    </row>
    <row r="62" spans="1:2" x14ac:dyDescent="0.25">
      <c r="A62" t="s">
        <v>16</v>
      </c>
      <c r="B62" t="s">
        <v>7</v>
      </c>
    </row>
    <row r="63" spans="1:2" x14ac:dyDescent="0.25">
      <c r="A63" t="s">
        <v>17</v>
      </c>
      <c r="B63" t="s">
        <v>8</v>
      </c>
    </row>
    <row r="64" spans="1:2" x14ac:dyDescent="0.25">
      <c r="A64" t="s">
        <v>38</v>
      </c>
      <c r="B64" t="s">
        <v>47</v>
      </c>
    </row>
    <row r="66" spans="1:2" x14ac:dyDescent="0.25">
      <c r="A66" s="9" t="s">
        <v>66</v>
      </c>
    </row>
    <row r="67" spans="1:2" x14ac:dyDescent="0.25">
      <c r="A67" t="s">
        <v>1</v>
      </c>
      <c r="B67" t="s">
        <v>57</v>
      </c>
    </row>
    <row r="68" spans="1:2" x14ac:dyDescent="0.25">
      <c r="A68" t="s">
        <v>2</v>
      </c>
      <c r="B68" t="s">
        <v>58</v>
      </c>
    </row>
    <row r="69" spans="1:2" x14ac:dyDescent="0.25">
      <c r="A69" t="s">
        <v>3</v>
      </c>
      <c r="B69" t="s">
        <v>59</v>
      </c>
    </row>
    <row r="70" spans="1:2" x14ac:dyDescent="0.25">
      <c r="A70" t="s">
        <v>4</v>
      </c>
      <c r="B70" t="s">
        <v>60</v>
      </c>
    </row>
    <row r="71" spans="1:2" x14ac:dyDescent="0.25">
      <c r="A71" t="s">
        <v>5</v>
      </c>
      <c r="B71" t="s">
        <v>53</v>
      </c>
    </row>
    <row r="72" spans="1:2" x14ac:dyDescent="0.25">
      <c r="A72" t="s">
        <v>6</v>
      </c>
      <c r="B72" t="s">
        <v>54</v>
      </c>
    </row>
    <row r="73" spans="1:2" x14ac:dyDescent="0.25">
      <c r="A73" t="s">
        <v>75</v>
      </c>
      <c r="B73" t="s">
        <v>36</v>
      </c>
    </row>
    <row r="74" spans="1:2" x14ac:dyDescent="0.25">
      <c r="A74" t="s">
        <v>76</v>
      </c>
      <c r="B74" t="s">
        <v>37</v>
      </c>
    </row>
    <row r="75" spans="1:2" x14ac:dyDescent="0.25">
      <c r="A75" t="s">
        <v>16</v>
      </c>
      <c r="B75" t="s">
        <v>7</v>
      </c>
    </row>
    <row r="76" spans="1:2" x14ac:dyDescent="0.25">
      <c r="A76" t="s">
        <v>17</v>
      </c>
      <c r="B76" t="s">
        <v>8</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015D-9212-4A6F-8B5B-09F38AF825CF}">
  <dimension ref="A1:K35"/>
  <sheetViews>
    <sheetView zoomScale="60" zoomScaleNormal="60" workbookViewId="0">
      <pane ySplit="1" topLeftCell="A2" activePane="bottomLeft" state="frozen"/>
      <selection pane="bottomLeft"/>
    </sheetView>
  </sheetViews>
  <sheetFormatPr defaultRowHeight="15" x14ac:dyDescent="0.25"/>
  <cols>
    <col min="1" max="1" width="16.42578125" style="2" bestFit="1" customWidth="1"/>
    <col min="2" max="2" width="14" style="2" bestFit="1" customWidth="1"/>
    <col min="3" max="3" width="19.140625" style="2" bestFit="1" customWidth="1"/>
    <col min="4" max="4" width="11.5703125" style="2" bestFit="1" customWidth="1"/>
    <col min="5" max="5" width="7.42578125" style="2" customWidth="1"/>
    <col min="6" max="6" width="10" style="2" bestFit="1" customWidth="1"/>
    <col min="7" max="7" width="8.7109375" style="2" bestFit="1" customWidth="1"/>
    <col min="8" max="8" width="10" style="2" bestFit="1" customWidth="1"/>
    <col min="9" max="10" width="10" style="3" bestFit="1" customWidth="1"/>
    <col min="11" max="11" width="9.140625" style="3"/>
  </cols>
  <sheetData>
    <row r="1" spans="1:11" x14ac:dyDescent="0.25">
      <c r="A1" s="1" t="s">
        <v>0</v>
      </c>
      <c r="B1" s="1" t="s">
        <v>70</v>
      </c>
      <c r="C1" s="1" t="s">
        <v>18</v>
      </c>
      <c r="D1" s="1" t="s">
        <v>38</v>
      </c>
      <c r="E1" s="1" t="s">
        <v>1</v>
      </c>
      <c r="F1" s="1" t="s">
        <v>2</v>
      </c>
      <c r="G1" s="1" t="s">
        <v>3</v>
      </c>
      <c r="H1" s="1" t="s">
        <v>4</v>
      </c>
      <c r="I1" s="1" t="s">
        <v>5</v>
      </c>
      <c r="J1" s="1" t="s">
        <v>6</v>
      </c>
      <c r="K1" s="6" t="s">
        <v>48</v>
      </c>
    </row>
    <row r="2" spans="1:11" x14ac:dyDescent="0.25">
      <c r="A2" s="2" t="s">
        <v>9</v>
      </c>
      <c r="B2" s="2" t="s">
        <v>71</v>
      </c>
      <c r="C2" s="2" t="s">
        <v>19</v>
      </c>
      <c r="D2" s="2" t="s">
        <v>80</v>
      </c>
      <c r="E2" s="2">
        <v>11</v>
      </c>
      <c r="F2" s="2">
        <f>14134-E2</f>
        <v>14123</v>
      </c>
      <c r="G2" s="2">
        <v>185</v>
      </c>
      <c r="H2" s="2">
        <f>14073-G2</f>
        <v>13888</v>
      </c>
      <c r="I2" s="3">
        <f>E2+F2</f>
        <v>14134</v>
      </c>
      <c r="J2" s="3">
        <f>G2+H2</f>
        <v>14073</v>
      </c>
    </row>
    <row r="3" spans="1:11" x14ac:dyDescent="0.25">
      <c r="A3" s="2" t="s">
        <v>14</v>
      </c>
      <c r="B3" s="2" t="s">
        <v>71</v>
      </c>
      <c r="C3" s="2" t="s">
        <v>20</v>
      </c>
      <c r="D3" s="2" t="s">
        <v>80</v>
      </c>
      <c r="E3" s="2">
        <v>30</v>
      </c>
      <c r="F3" s="2">
        <f>5807-E3</f>
        <v>5777</v>
      </c>
      <c r="G3" s="2">
        <v>101</v>
      </c>
      <c r="H3" s="2">
        <f>5829-G3</f>
        <v>5728</v>
      </c>
      <c r="I3" s="3">
        <f t="shared" ref="I3:I8" si="0">E3+F3</f>
        <v>5807</v>
      </c>
      <c r="J3" s="3">
        <f t="shared" ref="J3:J9" si="1">G3+H3</f>
        <v>5829</v>
      </c>
    </row>
    <row r="4" spans="1:11" x14ac:dyDescent="0.25">
      <c r="A4" s="4" t="s">
        <v>10</v>
      </c>
      <c r="B4" s="2" t="s">
        <v>71</v>
      </c>
      <c r="C4" s="4" t="s">
        <v>21</v>
      </c>
      <c r="D4" s="2" t="s">
        <v>80</v>
      </c>
      <c r="E4" s="4">
        <v>16</v>
      </c>
      <c r="F4" s="4">
        <f>14964-E4</f>
        <v>14948</v>
      </c>
      <c r="G4" s="4">
        <v>62</v>
      </c>
      <c r="H4" s="4">
        <f>4902-G4</f>
        <v>4840</v>
      </c>
      <c r="I4" s="5">
        <f t="shared" si="0"/>
        <v>14964</v>
      </c>
      <c r="J4" s="5">
        <f t="shared" si="1"/>
        <v>4902</v>
      </c>
    </row>
    <row r="5" spans="1:11" x14ac:dyDescent="0.25">
      <c r="A5" s="4" t="s">
        <v>11</v>
      </c>
      <c r="B5" s="2" t="s">
        <v>71</v>
      </c>
      <c r="C5" s="4" t="s">
        <v>22</v>
      </c>
      <c r="D5" s="2" t="s">
        <v>80</v>
      </c>
      <c r="E5" s="4">
        <v>8</v>
      </c>
      <c r="F5" s="4">
        <f>18198-E5</f>
        <v>18190</v>
      </c>
      <c r="G5" s="4">
        <v>162</v>
      </c>
      <c r="H5" s="4">
        <f>18325-G5</f>
        <v>18163</v>
      </c>
      <c r="I5" s="5">
        <f t="shared" si="0"/>
        <v>18198</v>
      </c>
      <c r="J5" s="5">
        <f t="shared" si="1"/>
        <v>18325</v>
      </c>
    </row>
    <row r="6" spans="1:11" x14ac:dyDescent="0.25">
      <c r="A6" s="4" t="s">
        <v>12</v>
      </c>
      <c r="B6" s="2" t="s">
        <v>71</v>
      </c>
      <c r="C6" s="4" t="s">
        <v>20</v>
      </c>
      <c r="D6" s="2" t="s">
        <v>80</v>
      </c>
      <c r="E6" s="4">
        <v>59</v>
      </c>
      <c r="F6" s="4">
        <f>4244-E6</f>
        <v>4185</v>
      </c>
      <c r="G6" s="4">
        <v>210</v>
      </c>
      <c r="H6" s="4">
        <f>4290-G6</f>
        <v>4080</v>
      </c>
      <c r="I6" s="5">
        <f t="shared" si="0"/>
        <v>4244</v>
      </c>
      <c r="J6" s="5">
        <f t="shared" si="1"/>
        <v>4290</v>
      </c>
    </row>
    <row r="7" spans="1:11" x14ac:dyDescent="0.25">
      <c r="A7" s="4" t="s">
        <v>13</v>
      </c>
      <c r="B7" s="2" t="s">
        <v>71</v>
      </c>
      <c r="C7" s="4" t="s">
        <v>23</v>
      </c>
      <c r="D7" s="2" t="s">
        <v>80</v>
      </c>
      <c r="E7" s="4">
        <v>117</v>
      </c>
      <c r="F7" s="4">
        <f>19514-E7</f>
        <v>19397</v>
      </c>
      <c r="G7" s="4">
        <v>351</v>
      </c>
      <c r="H7" s="4">
        <f>19544-G7</f>
        <v>19193</v>
      </c>
      <c r="I7" s="5">
        <f t="shared" si="0"/>
        <v>19514</v>
      </c>
      <c r="J7" s="5">
        <f t="shared" si="1"/>
        <v>19544</v>
      </c>
    </row>
    <row r="8" spans="1:11" x14ac:dyDescent="0.25">
      <c r="A8" s="4" t="s">
        <v>15</v>
      </c>
      <c r="B8" s="2" t="s">
        <v>71</v>
      </c>
      <c r="C8" s="4" t="s">
        <v>20</v>
      </c>
      <c r="D8" s="2" t="s">
        <v>80</v>
      </c>
      <c r="E8" s="4">
        <v>84</v>
      </c>
      <c r="F8" s="4">
        <f>8597-E8</f>
        <v>8513</v>
      </c>
      <c r="G8" s="4">
        <v>248</v>
      </c>
      <c r="H8" s="4">
        <f>8581-G8</f>
        <v>8333</v>
      </c>
      <c r="I8" s="5">
        <f t="shared" si="0"/>
        <v>8597</v>
      </c>
      <c r="J8" s="5">
        <f t="shared" si="1"/>
        <v>8581</v>
      </c>
    </row>
    <row r="9" spans="1:11" x14ac:dyDescent="0.25">
      <c r="A9" s="4" t="s">
        <v>95</v>
      </c>
      <c r="B9" s="2" t="s">
        <v>71</v>
      </c>
      <c r="C9" s="4" t="s">
        <v>24</v>
      </c>
      <c r="D9" s="2" t="s">
        <v>80</v>
      </c>
      <c r="E9" s="4">
        <v>26</v>
      </c>
      <c r="F9" s="4">
        <f>12743-E9</f>
        <v>12717</v>
      </c>
      <c r="G9" s="4">
        <v>95</v>
      </c>
      <c r="H9" s="4">
        <f>12737-G9</f>
        <v>12642</v>
      </c>
      <c r="I9" s="5">
        <f>E9+F9</f>
        <v>12743</v>
      </c>
      <c r="J9" s="5">
        <f t="shared" si="1"/>
        <v>12737</v>
      </c>
    </row>
    <row r="10" spans="1:11" x14ac:dyDescent="0.25">
      <c r="A10" s="4" t="s">
        <v>96</v>
      </c>
      <c r="B10" s="2" t="s">
        <v>71</v>
      </c>
      <c r="C10" s="4" t="s">
        <v>25</v>
      </c>
      <c r="D10" s="2" t="s">
        <v>80</v>
      </c>
      <c r="E10" s="4">
        <v>21</v>
      </c>
      <c r="F10" s="4">
        <f>12726-E10</f>
        <v>12705</v>
      </c>
      <c r="G10" s="4">
        <v>95</v>
      </c>
      <c r="H10" s="4">
        <f>12737-G10</f>
        <v>12642</v>
      </c>
      <c r="I10" s="5">
        <f t="shared" ref="I10" si="2">E10+F10</f>
        <v>12726</v>
      </c>
      <c r="J10" s="5">
        <f>G10+H10</f>
        <v>12737</v>
      </c>
    </row>
    <row r="11" spans="1:11" x14ac:dyDescent="0.25">
      <c r="A11" s="4" t="s">
        <v>91</v>
      </c>
      <c r="B11" s="2" t="s">
        <v>71</v>
      </c>
      <c r="C11" s="4" t="s">
        <v>92</v>
      </c>
      <c r="D11" s="2" t="s">
        <v>80</v>
      </c>
      <c r="E11" s="4">
        <v>15</v>
      </c>
      <c r="F11" s="4">
        <f>1357-E11</f>
        <v>1342</v>
      </c>
      <c r="G11" s="4">
        <v>29</v>
      </c>
      <c r="H11" s="4">
        <f>1327-G11</f>
        <v>1298</v>
      </c>
      <c r="I11" s="5">
        <f t="shared" ref="I11:I12" si="3">E11+F11</f>
        <v>1357</v>
      </c>
      <c r="J11" s="5">
        <f t="shared" ref="J11:J12" si="4">G11+H11</f>
        <v>1327</v>
      </c>
    </row>
    <row r="12" spans="1:11" x14ac:dyDescent="0.25">
      <c r="A12" s="4" t="s">
        <v>101</v>
      </c>
      <c r="B12" s="2" t="s">
        <v>71</v>
      </c>
      <c r="C12" s="4" t="s">
        <v>20</v>
      </c>
      <c r="D12" s="2" t="s">
        <v>80</v>
      </c>
      <c r="E12" s="4">
        <v>19</v>
      </c>
      <c r="F12" s="4">
        <f>750-E12</f>
        <v>731</v>
      </c>
      <c r="G12" s="4">
        <v>23</v>
      </c>
      <c r="H12" s="4">
        <f>717-G12</f>
        <v>694</v>
      </c>
      <c r="I12" s="5">
        <f t="shared" si="3"/>
        <v>750</v>
      </c>
      <c r="J12" s="5">
        <f t="shared" si="4"/>
        <v>717</v>
      </c>
    </row>
    <row r="13" spans="1:11" x14ac:dyDescent="0.25">
      <c r="A13" s="2" t="s">
        <v>74</v>
      </c>
      <c r="B13" s="2" t="s">
        <v>93</v>
      </c>
      <c r="C13" s="4" t="s">
        <v>22</v>
      </c>
      <c r="D13" s="2" t="s">
        <v>80</v>
      </c>
      <c r="E13" s="2">
        <v>6266</v>
      </c>
      <c r="F13" s="2">
        <f>4714932-E13</f>
        <v>4708666</v>
      </c>
      <c r="G13" s="2">
        <v>109876</v>
      </c>
      <c r="H13" s="2">
        <f>(6538911-4714932)-G13</f>
        <v>1714103</v>
      </c>
      <c r="I13" s="5">
        <f t="shared" ref="I13:I15" si="5">E13+F13</f>
        <v>4714932</v>
      </c>
      <c r="J13" s="5">
        <f>G13+H13</f>
        <v>1823979</v>
      </c>
      <c r="K13" s="3" t="s">
        <v>124</v>
      </c>
    </row>
    <row r="14" spans="1:11" x14ac:dyDescent="0.25">
      <c r="A14" s="2" t="s">
        <v>72</v>
      </c>
      <c r="B14" s="2" t="s">
        <v>93</v>
      </c>
      <c r="C14" s="4" t="s">
        <v>22</v>
      </c>
      <c r="D14" s="2" t="s">
        <v>80</v>
      </c>
      <c r="E14" s="2">
        <f>4460-4405</f>
        <v>55</v>
      </c>
      <c r="F14" s="2">
        <f>108529-E14</f>
        <v>108474</v>
      </c>
      <c r="G14" s="2">
        <f>6100-5775</f>
        <v>325</v>
      </c>
      <c r="H14" s="2">
        <f>107209-G14</f>
        <v>106884</v>
      </c>
      <c r="I14" s="5">
        <f t="shared" si="5"/>
        <v>108529</v>
      </c>
      <c r="J14" s="5">
        <f t="shared" ref="J14:J15" si="6">G14+H14</f>
        <v>107209</v>
      </c>
      <c r="K14" s="12" t="s">
        <v>116</v>
      </c>
    </row>
    <row r="15" spans="1:11" x14ac:dyDescent="0.25">
      <c r="A15" s="2" t="s">
        <v>73</v>
      </c>
      <c r="B15" s="2" t="s">
        <v>93</v>
      </c>
      <c r="C15" s="4" t="s">
        <v>77</v>
      </c>
      <c r="D15" s="2" t="s">
        <v>80</v>
      </c>
      <c r="E15" s="2">
        <v>30</v>
      </c>
      <c r="F15" s="2">
        <f>44011-E15</f>
        <v>43981</v>
      </c>
      <c r="G15" s="2">
        <v>997</v>
      </c>
      <c r="H15" s="2">
        <f>23931-G15</f>
        <v>22934</v>
      </c>
      <c r="I15" s="5">
        <f t="shared" si="5"/>
        <v>44011</v>
      </c>
      <c r="J15" s="5">
        <f t="shared" si="6"/>
        <v>23931</v>
      </c>
    </row>
    <row r="16" spans="1:11" x14ac:dyDescent="0.25">
      <c r="A16" s="2" t="s">
        <v>97</v>
      </c>
      <c r="B16" s="2" t="s">
        <v>93</v>
      </c>
      <c r="C16" s="4" t="s">
        <v>22</v>
      </c>
      <c r="D16" s="2" t="s">
        <v>80</v>
      </c>
      <c r="E16" s="2">
        <v>3</v>
      </c>
      <c r="F16" s="2">
        <f>2873-E16</f>
        <v>2870</v>
      </c>
      <c r="G16" s="2">
        <v>197</v>
      </c>
      <c r="H16" s="2">
        <f>14697-G16</f>
        <v>14500</v>
      </c>
      <c r="I16" s="5">
        <f>E16+F16</f>
        <v>2873</v>
      </c>
      <c r="J16" s="5">
        <f>G16+H16</f>
        <v>14697</v>
      </c>
    </row>
    <row r="17" spans="1:11" x14ac:dyDescent="0.25">
      <c r="A17" s="2" t="s">
        <v>98</v>
      </c>
      <c r="B17" s="2" t="s">
        <v>93</v>
      </c>
      <c r="C17" s="4" t="s">
        <v>19</v>
      </c>
      <c r="D17" s="2" t="s">
        <v>80</v>
      </c>
      <c r="E17" s="2">
        <v>4</v>
      </c>
      <c r="F17" s="2">
        <f>3380-E17</f>
        <v>3376</v>
      </c>
      <c r="G17" s="2">
        <v>197</v>
      </c>
      <c r="H17" s="2">
        <f>14697-G17</f>
        <v>14500</v>
      </c>
      <c r="I17" s="5">
        <f>E17+F17</f>
        <v>3380</v>
      </c>
      <c r="J17" s="5">
        <f>G17+H17</f>
        <v>14697</v>
      </c>
    </row>
    <row r="18" spans="1:11" x14ac:dyDescent="0.25">
      <c r="A18" s="2" t="s">
        <v>94</v>
      </c>
      <c r="B18" s="2" t="s">
        <v>93</v>
      </c>
      <c r="C18" s="4" t="s">
        <v>22</v>
      </c>
      <c r="D18" s="2" t="s">
        <v>80</v>
      </c>
      <c r="E18" s="2">
        <v>4</v>
      </c>
      <c r="F18" s="2">
        <f>5186-E18</f>
        <v>5182</v>
      </c>
      <c r="G18" s="2">
        <v>15</v>
      </c>
      <c r="H18" s="2">
        <f>1090-G18</f>
        <v>1075</v>
      </c>
      <c r="I18" s="5">
        <f t="shared" ref="I18:I22" si="7">E18+F18</f>
        <v>5186</v>
      </c>
      <c r="J18" s="5">
        <f t="shared" ref="J18:J22" si="8">G18+H18</f>
        <v>1090</v>
      </c>
    </row>
    <row r="19" spans="1:11" x14ac:dyDescent="0.25">
      <c r="A19" s="2" t="s">
        <v>99</v>
      </c>
      <c r="B19" s="2" t="s">
        <v>93</v>
      </c>
      <c r="C19" s="4" t="s">
        <v>20</v>
      </c>
      <c r="D19" s="2" t="s">
        <v>80</v>
      </c>
      <c r="E19" s="2" t="s">
        <v>86</v>
      </c>
      <c r="F19" s="2" t="s">
        <v>86</v>
      </c>
      <c r="G19" s="2" t="s">
        <v>86</v>
      </c>
      <c r="H19" s="2" t="s">
        <v>86</v>
      </c>
      <c r="I19" s="5" t="s">
        <v>86</v>
      </c>
      <c r="J19" s="5" t="s">
        <v>86</v>
      </c>
      <c r="K19" s="3" t="s">
        <v>104</v>
      </c>
    </row>
    <row r="20" spans="1:11" x14ac:dyDescent="0.25">
      <c r="A20" s="2" t="s">
        <v>100</v>
      </c>
      <c r="B20" s="2" t="s">
        <v>93</v>
      </c>
      <c r="C20" s="4" t="s">
        <v>22</v>
      </c>
      <c r="D20" s="2" t="s">
        <v>80</v>
      </c>
      <c r="E20" s="2" t="s">
        <v>86</v>
      </c>
      <c r="F20" s="2" t="s">
        <v>86</v>
      </c>
      <c r="G20" s="2" t="s">
        <v>86</v>
      </c>
      <c r="H20" s="2" t="s">
        <v>86</v>
      </c>
      <c r="I20" s="5" t="s">
        <v>86</v>
      </c>
      <c r="J20" s="5" t="s">
        <v>86</v>
      </c>
      <c r="K20" s="3" t="s">
        <v>104</v>
      </c>
    </row>
    <row r="21" spans="1:11" x14ac:dyDescent="0.25">
      <c r="A21" s="2" t="s">
        <v>102</v>
      </c>
      <c r="B21" s="2" t="s">
        <v>93</v>
      </c>
      <c r="C21" s="4" t="s">
        <v>20</v>
      </c>
      <c r="D21" s="2" t="s">
        <v>80</v>
      </c>
      <c r="E21" s="2">
        <v>641</v>
      </c>
      <c r="F21" s="2">
        <f>36329-E21</f>
        <v>35688</v>
      </c>
      <c r="G21" s="2">
        <v>50340</v>
      </c>
      <c r="H21" s="2">
        <f>464356-G21</f>
        <v>414016</v>
      </c>
      <c r="I21" s="5">
        <f t="shared" si="7"/>
        <v>36329</v>
      </c>
      <c r="J21" s="5">
        <f t="shared" si="8"/>
        <v>464356</v>
      </c>
    </row>
    <row r="22" spans="1:11" x14ac:dyDescent="0.25">
      <c r="A22" s="2" t="s">
        <v>103</v>
      </c>
      <c r="B22" s="2" t="s">
        <v>93</v>
      </c>
      <c r="C22" s="4" t="s">
        <v>22</v>
      </c>
      <c r="D22" s="2" t="s">
        <v>80</v>
      </c>
      <c r="E22" s="2">
        <v>2465</v>
      </c>
      <c r="F22" s="2">
        <f>67293-E22</f>
        <v>64828</v>
      </c>
      <c r="G22" s="2">
        <v>50340</v>
      </c>
      <c r="H22" s="2">
        <f>464356-G22</f>
        <v>414016</v>
      </c>
      <c r="I22" s="5">
        <f t="shared" si="7"/>
        <v>67293</v>
      </c>
      <c r="J22" s="5">
        <f t="shared" si="8"/>
        <v>464356</v>
      </c>
    </row>
    <row r="23" spans="1:11" x14ac:dyDescent="0.25">
      <c r="A23" s="4" t="s">
        <v>108</v>
      </c>
      <c r="B23" s="4" t="s">
        <v>93</v>
      </c>
      <c r="C23" s="4" t="s">
        <v>22</v>
      </c>
      <c r="D23" s="4" t="s">
        <v>80</v>
      </c>
      <c r="E23" s="4">
        <v>26</v>
      </c>
      <c r="F23" s="4">
        <f>7214-E23</f>
        <v>7188</v>
      </c>
      <c r="G23" s="4">
        <v>89</v>
      </c>
      <c r="H23" s="4">
        <f>1895-G23</f>
        <v>1806</v>
      </c>
      <c r="I23" s="5">
        <f>E23+F23</f>
        <v>7214</v>
      </c>
      <c r="J23" s="5">
        <f>G23+H23</f>
        <v>1895</v>
      </c>
      <c r="K23" s="5" t="s">
        <v>126</v>
      </c>
    </row>
    <row r="24" spans="1:11" x14ac:dyDescent="0.25">
      <c r="A24" s="2" t="s">
        <v>109</v>
      </c>
      <c r="B24" s="2" t="s">
        <v>93</v>
      </c>
      <c r="C24" s="4" t="s">
        <v>22</v>
      </c>
      <c r="D24" s="2" t="s">
        <v>80</v>
      </c>
      <c r="E24" s="2">
        <f>25+10+8</f>
        <v>43</v>
      </c>
      <c r="F24" s="2">
        <f>26587-E24</f>
        <v>26544</v>
      </c>
      <c r="G24" s="2">
        <v>4155</v>
      </c>
      <c r="H24" s="2">
        <f>779154-G24</f>
        <v>774999</v>
      </c>
      <c r="I24" s="5">
        <f t="shared" ref="I24" si="9">E24+F24</f>
        <v>26587</v>
      </c>
      <c r="J24" s="5">
        <f t="shared" ref="J24" si="10">G24+H24</f>
        <v>779154</v>
      </c>
    </row>
    <row r="25" spans="1:11" x14ac:dyDescent="0.25">
      <c r="A25" s="3" t="s">
        <v>110</v>
      </c>
      <c r="B25" s="2" t="s">
        <v>93</v>
      </c>
      <c r="C25" s="4" t="s">
        <v>23</v>
      </c>
      <c r="D25" s="2" t="s">
        <v>80</v>
      </c>
      <c r="E25" s="2">
        <v>3</v>
      </c>
      <c r="F25" s="2">
        <f>1779-E25</f>
        <v>1776</v>
      </c>
      <c r="G25" s="2">
        <v>128</v>
      </c>
      <c r="H25" s="2">
        <f>17744-G25</f>
        <v>17616</v>
      </c>
      <c r="I25" s="5">
        <f t="shared" ref="I25" si="11">E25+F25</f>
        <v>1779</v>
      </c>
      <c r="J25" s="5">
        <f t="shared" ref="J25" si="12">G25+H25</f>
        <v>17744</v>
      </c>
    </row>
    <row r="26" spans="1:11" x14ac:dyDescent="0.25">
      <c r="A26" s="2" t="s">
        <v>113</v>
      </c>
      <c r="B26" s="2" t="s">
        <v>93</v>
      </c>
      <c r="C26" s="4" t="s">
        <v>114</v>
      </c>
      <c r="D26" s="2" t="s">
        <v>80</v>
      </c>
      <c r="E26" s="2" t="s">
        <v>86</v>
      </c>
      <c r="F26" s="2" t="s">
        <v>86</v>
      </c>
      <c r="G26" s="2" t="s">
        <v>86</v>
      </c>
      <c r="H26" s="2" t="s">
        <v>86</v>
      </c>
      <c r="I26" s="5" t="s">
        <v>86</v>
      </c>
      <c r="J26" s="5" t="s">
        <v>86</v>
      </c>
      <c r="K26" s="3" t="s">
        <v>104</v>
      </c>
    </row>
    <row r="27" spans="1:11" x14ac:dyDescent="0.25">
      <c r="A27" s="2" t="s">
        <v>115</v>
      </c>
      <c r="B27" s="2" t="s">
        <v>93</v>
      </c>
      <c r="C27" s="4" t="s">
        <v>22</v>
      </c>
      <c r="D27" s="2" t="s">
        <v>80</v>
      </c>
      <c r="E27" s="2">
        <f>1+2+1+1+1</f>
        <v>6</v>
      </c>
      <c r="F27" s="2">
        <f>2116-E27</f>
        <v>2110</v>
      </c>
      <c r="G27" s="2">
        <f>588+416+325+331+314+315+376+549+672+693</f>
        <v>4579</v>
      </c>
      <c r="H27" s="2">
        <f>170513-G27</f>
        <v>165934</v>
      </c>
      <c r="I27" s="5">
        <f t="shared" ref="I27:I32" si="13">E27+F27</f>
        <v>2116</v>
      </c>
      <c r="J27" s="5">
        <f t="shared" ref="J27:J32" si="14">G27+H27</f>
        <v>170513</v>
      </c>
      <c r="K27" s="3" t="s">
        <v>117</v>
      </c>
    </row>
    <row r="28" spans="1:11" x14ac:dyDescent="0.25">
      <c r="A28" s="2" t="s">
        <v>118</v>
      </c>
      <c r="B28" s="2" t="s">
        <v>93</v>
      </c>
      <c r="C28" s="4" t="s">
        <v>114</v>
      </c>
      <c r="D28" s="2" t="s">
        <v>80</v>
      </c>
      <c r="E28" s="2">
        <v>2</v>
      </c>
      <c r="F28" s="2">
        <f>940-E28</f>
        <v>938</v>
      </c>
      <c r="G28" s="2">
        <v>635</v>
      </c>
      <c r="H28" s="2">
        <f>10513-G28</f>
        <v>9878</v>
      </c>
      <c r="I28" s="5">
        <f t="shared" si="13"/>
        <v>940</v>
      </c>
      <c r="J28" s="5">
        <f t="shared" si="14"/>
        <v>10513</v>
      </c>
    </row>
    <row r="29" spans="1:11" x14ac:dyDescent="0.25">
      <c r="A29" s="2" t="s">
        <v>119</v>
      </c>
      <c r="B29" s="2" t="s">
        <v>93</v>
      </c>
      <c r="C29" s="4" t="s">
        <v>22</v>
      </c>
      <c r="D29" s="2" t="s">
        <v>80</v>
      </c>
      <c r="E29" s="2">
        <v>885</v>
      </c>
      <c r="F29" s="2">
        <f>207774-E29</f>
        <v>206889</v>
      </c>
      <c r="G29" s="2">
        <v>7389</v>
      </c>
      <c r="H29" s="2">
        <f>230438-G29</f>
        <v>223049</v>
      </c>
      <c r="I29" s="5">
        <f t="shared" si="13"/>
        <v>207774</v>
      </c>
      <c r="J29" s="5">
        <f t="shared" si="14"/>
        <v>230438</v>
      </c>
    </row>
    <row r="30" spans="1:11" x14ac:dyDescent="0.25">
      <c r="A30" s="2" t="s">
        <v>120</v>
      </c>
      <c r="B30" s="2" t="s">
        <v>93</v>
      </c>
      <c r="C30" s="4" t="s">
        <v>22</v>
      </c>
      <c r="D30" s="2" t="s">
        <v>80</v>
      </c>
      <c r="E30" s="2">
        <f>27+10</f>
        <v>37</v>
      </c>
      <c r="F30" s="2">
        <f>114406-E30</f>
        <v>114369</v>
      </c>
      <c r="G30" s="2">
        <f>488+5663</f>
        <v>6151</v>
      </c>
      <c r="H30" s="2">
        <f>255673-G30</f>
        <v>249522</v>
      </c>
      <c r="I30" s="5">
        <f t="shared" si="13"/>
        <v>114406</v>
      </c>
      <c r="J30" s="5">
        <f t="shared" si="14"/>
        <v>255673</v>
      </c>
    </row>
    <row r="31" spans="1:11" x14ac:dyDescent="0.25">
      <c r="A31" s="2" t="s">
        <v>121</v>
      </c>
      <c r="B31" s="2" t="s">
        <v>93</v>
      </c>
      <c r="C31" s="4" t="s">
        <v>20</v>
      </c>
      <c r="D31" s="2" t="s">
        <v>80</v>
      </c>
      <c r="E31" s="2">
        <v>21</v>
      </c>
      <c r="F31" s="2">
        <f>41018-E31</f>
        <v>40997</v>
      </c>
      <c r="G31" s="2">
        <v>10721</v>
      </c>
      <c r="H31" s="2">
        <f>329419-G31</f>
        <v>318698</v>
      </c>
      <c r="I31" s="5">
        <f t="shared" si="13"/>
        <v>41018</v>
      </c>
      <c r="J31" s="5">
        <f t="shared" si="14"/>
        <v>329419</v>
      </c>
    </row>
    <row r="32" spans="1:11" x14ac:dyDescent="0.25">
      <c r="A32" s="2" t="s">
        <v>122</v>
      </c>
      <c r="B32" s="2" t="s">
        <v>93</v>
      </c>
      <c r="C32" s="4" t="s">
        <v>22</v>
      </c>
      <c r="D32" s="2" t="s">
        <v>80</v>
      </c>
      <c r="E32" s="2">
        <v>72</v>
      </c>
      <c r="F32" s="2">
        <f>57646-E32</f>
        <v>57574</v>
      </c>
      <c r="G32" s="2">
        <v>10721</v>
      </c>
      <c r="H32" s="2">
        <f>329419-G32</f>
        <v>318698</v>
      </c>
      <c r="I32" s="5">
        <f t="shared" si="13"/>
        <v>57646</v>
      </c>
      <c r="J32" s="5">
        <f t="shared" si="14"/>
        <v>329419</v>
      </c>
    </row>
    <row r="33" spans="1:11" x14ac:dyDescent="0.25">
      <c r="A33" s="4" t="s">
        <v>123</v>
      </c>
      <c r="B33" s="4" t="s">
        <v>93</v>
      </c>
      <c r="C33" s="4" t="s">
        <v>114</v>
      </c>
      <c r="D33" s="4" t="s">
        <v>80</v>
      </c>
      <c r="E33" s="4">
        <v>368</v>
      </c>
      <c r="F33" s="4">
        <f>15289-E33</f>
        <v>14921</v>
      </c>
      <c r="G33" s="4">
        <v>723</v>
      </c>
      <c r="H33" s="4">
        <f>15392-G33</f>
        <v>14669</v>
      </c>
      <c r="I33" s="5">
        <f t="shared" ref="I33" si="15">E33+F33</f>
        <v>15289</v>
      </c>
      <c r="J33" s="5">
        <f t="shared" ref="J33" si="16">G33+H33</f>
        <v>15392</v>
      </c>
      <c r="K33" s="5" t="s">
        <v>128</v>
      </c>
    </row>
    <row r="34" spans="1:11" x14ac:dyDescent="0.25">
      <c r="A34" s="4" t="s">
        <v>125</v>
      </c>
      <c r="B34" s="4" t="s">
        <v>93</v>
      </c>
      <c r="C34" s="4" t="s">
        <v>22</v>
      </c>
      <c r="D34" s="4" t="s">
        <v>80</v>
      </c>
      <c r="E34" s="4">
        <v>4</v>
      </c>
      <c r="F34" s="4">
        <f>1989-E34</f>
        <v>1985</v>
      </c>
      <c r="G34" s="4">
        <v>26</v>
      </c>
      <c r="H34" s="4">
        <f>3252-G34</f>
        <v>3226</v>
      </c>
      <c r="I34" s="5">
        <f t="shared" ref="I34:I35" si="17">E34+F34</f>
        <v>1989</v>
      </c>
      <c r="J34" s="5">
        <f t="shared" ref="J34:J35" si="18">G34+H34</f>
        <v>3252</v>
      </c>
      <c r="K34" s="5"/>
    </row>
    <row r="35" spans="1:11" x14ac:dyDescent="0.25">
      <c r="A35" s="2" t="s">
        <v>127</v>
      </c>
      <c r="B35" s="4" t="s">
        <v>93</v>
      </c>
      <c r="C35" s="4" t="s">
        <v>22</v>
      </c>
      <c r="D35" s="2" t="s">
        <v>80</v>
      </c>
      <c r="E35" s="2">
        <v>6</v>
      </c>
      <c r="F35" s="2">
        <f>2724-E35</f>
        <v>2718</v>
      </c>
      <c r="G35" s="2">
        <v>185</v>
      </c>
      <c r="H35" s="2">
        <f>2165-G35</f>
        <v>1980</v>
      </c>
      <c r="I35" s="5">
        <f t="shared" si="17"/>
        <v>2724</v>
      </c>
      <c r="J35" s="5">
        <f t="shared" si="18"/>
        <v>2165</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FFFB3-A0A0-4804-AFA5-0DBB0C3B93BF}">
  <dimension ref="A1:K35"/>
  <sheetViews>
    <sheetView zoomScale="60" zoomScaleNormal="60" workbookViewId="0">
      <pane ySplit="1" topLeftCell="A2" activePane="bottomLeft" state="frozen"/>
      <selection pane="bottomLeft"/>
    </sheetView>
  </sheetViews>
  <sheetFormatPr defaultRowHeight="15" x14ac:dyDescent="0.25"/>
  <cols>
    <col min="1" max="1" width="16.42578125" style="3" bestFit="1" customWidth="1"/>
    <col min="2" max="2" width="14" style="3" bestFit="1" customWidth="1"/>
    <col min="3" max="3" width="19.140625" style="3" bestFit="1" customWidth="1"/>
    <col min="4" max="4" width="20.5703125" style="3" bestFit="1" customWidth="1"/>
    <col min="5" max="5" width="9.140625" style="7"/>
    <col min="6" max="6" width="10" style="7" bestFit="1" customWidth="1"/>
    <col min="7" max="7" width="9.140625" style="7"/>
    <col min="8" max="10" width="10" style="7" bestFit="1" customWidth="1"/>
    <col min="11" max="11" width="9.140625" style="3"/>
  </cols>
  <sheetData>
    <row r="1" spans="1:11" x14ac:dyDescent="0.25">
      <c r="A1" s="1" t="s">
        <v>0</v>
      </c>
      <c r="B1" s="1" t="s">
        <v>70</v>
      </c>
      <c r="C1" s="1" t="s">
        <v>18</v>
      </c>
      <c r="D1" s="1" t="s">
        <v>38</v>
      </c>
      <c r="E1" s="1" t="s">
        <v>1</v>
      </c>
      <c r="F1" s="1" t="s">
        <v>2</v>
      </c>
      <c r="G1" s="1" t="s">
        <v>3</v>
      </c>
      <c r="H1" s="1" t="s">
        <v>4</v>
      </c>
      <c r="I1" s="1" t="s">
        <v>5</v>
      </c>
      <c r="J1" s="1" t="s">
        <v>6</v>
      </c>
      <c r="K1" s="6" t="s">
        <v>48</v>
      </c>
    </row>
    <row r="2" spans="1:11" x14ac:dyDescent="0.25">
      <c r="A2" s="2" t="s">
        <v>9</v>
      </c>
      <c r="B2" s="2" t="s">
        <v>71</v>
      </c>
      <c r="C2" s="2" t="s">
        <v>19</v>
      </c>
      <c r="D2" s="2" t="s">
        <v>68</v>
      </c>
      <c r="E2" s="2">
        <v>0</v>
      </c>
      <c r="F2" s="2">
        <f>14134-E2</f>
        <v>14134</v>
      </c>
      <c r="G2" s="2">
        <v>30</v>
      </c>
      <c r="H2" s="2">
        <f>14073-G2</f>
        <v>14043</v>
      </c>
      <c r="I2" s="7">
        <f>E2+F2</f>
        <v>14134</v>
      </c>
      <c r="J2" s="7">
        <f>G2+H2</f>
        <v>14073</v>
      </c>
      <c r="K2" s="13"/>
    </row>
    <row r="3" spans="1:11" x14ac:dyDescent="0.25">
      <c r="A3" s="2" t="s">
        <v>14</v>
      </c>
      <c r="B3" s="2" t="s">
        <v>71</v>
      </c>
      <c r="C3" s="2" t="s">
        <v>20</v>
      </c>
      <c r="D3" s="3" t="s">
        <v>69</v>
      </c>
      <c r="E3" s="7">
        <v>0</v>
      </c>
      <c r="F3" s="7">
        <f>12021-E3</f>
        <v>12021</v>
      </c>
      <c r="G3" s="7">
        <v>10</v>
      </c>
      <c r="H3" s="7">
        <f>11724-G3</f>
        <v>11714</v>
      </c>
      <c r="I3" s="7">
        <f>E3+F3</f>
        <v>12021</v>
      </c>
      <c r="J3" s="7">
        <f>G3+H3</f>
        <v>11724</v>
      </c>
      <c r="K3" s="13"/>
    </row>
    <row r="4" spans="1:11" x14ac:dyDescent="0.25">
      <c r="A4" s="4" t="s">
        <v>10</v>
      </c>
      <c r="B4" s="2" t="s">
        <v>71</v>
      </c>
      <c r="C4" s="4" t="s">
        <v>21</v>
      </c>
      <c r="D4" s="3" t="s">
        <v>83</v>
      </c>
      <c r="E4" s="7">
        <v>0</v>
      </c>
      <c r="F4" s="7">
        <f>14964-E4</f>
        <v>14964</v>
      </c>
      <c r="G4" s="7">
        <v>20</v>
      </c>
      <c r="H4" s="7">
        <f>4902-G4</f>
        <v>4882</v>
      </c>
      <c r="I4" s="7">
        <f t="shared" ref="I4:I10" si="0">E4+F4</f>
        <v>14964</v>
      </c>
      <c r="J4" s="7">
        <f t="shared" ref="J4:J10" si="1">G4+H4</f>
        <v>4902</v>
      </c>
      <c r="K4" s="13"/>
    </row>
    <row r="5" spans="1:11" x14ac:dyDescent="0.25">
      <c r="A5" s="4" t="s">
        <v>11</v>
      </c>
      <c r="B5" s="2" t="s">
        <v>71</v>
      </c>
      <c r="C5" s="4" t="s">
        <v>22</v>
      </c>
      <c r="D5" s="5" t="s">
        <v>68</v>
      </c>
      <c r="E5" s="10">
        <v>1</v>
      </c>
      <c r="F5" s="10">
        <f>21669-E5</f>
        <v>21668</v>
      </c>
      <c r="G5" s="10">
        <v>9</v>
      </c>
      <c r="H5" s="10">
        <f>21686-G5</f>
        <v>21677</v>
      </c>
      <c r="I5" s="10">
        <f t="shared" si="0"/>
        <v>21669</v>
      </c>
      <c r="J5" s="10">
        <f t="shared" si="1"/>
        <v>21686</v>
      </c>
      <c r="K5" s="13"/>
    </row>
    <row r="6" spans="1:11" x14ac:dyDescent="0.25">
      <c r="A6" s="4" t="s">
        <v>12</v>
      </c>
      <c r="B6" s="2" t="s">
        <v>71</v>
      </c>
      <c r="C6" s="4" t="s">
        <v>20</v>
      </c>
      <c r="D6" s="5" t="s">
        <v>69</v>
      </c>
      <c r="E6" s="10">
        <v>0</v>
      </c>
      <c r="F6" s="10">
        <f>4244-E6</f>
        <v>4244</v>
      </c>
      <c r="G6" s="10">
        <v>0</v>
      </c>
      <c r="H6" s="10">
        <f>4290-G6</f>
        <v>4290</v>
      </c>
      <c r="I6" s="10">
        <f t="shared" si="0"/>
        <v>4244</v>
      </c>
      <c r="J6" s="10">
        <f t="shared" si="1"/>
        <v>4290</v>
      </c>
      <c r="K6" s="13"/>
    </row>
    <row r="7" spans="1:11" x14ac:dyDescent="0.25">
      <c r="A7" s="4" t="s">
        <v>13</v>
      </c>
      <c r="B7" s="2" t="s">
        <v>71</v>
      </c>
      <c r="C7" s="4" t="s">
        <v>23</v>
      </c>
      <c r="D7" s="5" t="s">
        <v>67</v>
      </c>
      <c r="E7" s="10">
        <v>14</v>
      </c>
      <c r="F7" s="10">
        <f>19514-E7</f>
        <v>19500</v>
      </c>
      <c r="G7" s="10">
        <v>60</v>
      </c>
      <c r="H7" s="10">
        <f>19544-G7</f>
        <v>19484</v>
      </c>
      <c r="I7" s="10">
        <f t="shared" si="0"/>
        <v>19514</v>
      </c>
      <c r="J7" s="10">
        <f t="shared" si="1"/>
        <v>19544</v>
      </c>
      <c r="K7" s="13"/>
    </row>
    <row r="8" spans="1:11" x14ac:dyDescent="0.25">
      <c r="A8" s="4" t="s">
        <v>15</v>
      </c>
      <c r="B8" s="2" t="s">
        <v>71</v>
      </c>
      <c r="C8" s="4" t="s">
        <v>20</v>
      </c>
      <c r="D8" s="5" t="s">
        <v>69</v>
      </c>
      <c r="E8" s="10">
        <v>0</v>
      </c>
      <c r="F8" s="10">
        <f>11794-E8</f>
        <v>11794</v>
      </c>
      <c r="G8" s="10">
        <v>15</v>
      </c>
      <c r="H8" s="10">
        <f>11776-G8</f>
        <v>11761</v>
      </c>
      <c r="I8" s="10">
        <f t="shared" si="0"/>
        <v>11794</v>
      </c>
      <c r="J8" s="10">
        <f t="shared" si="1"/>
        <v>11776</v>
      </c>
      <c r="K8" s="13"/>
    </row>
    <row r="9" spans="1:11" x14ac:dyDescent="0.25">
      <c r="A9" s="4" t="s">
        <v>95</v>
      </c>
      <c r="B9" s="2" t="s">
        <v>71</v>
      </c>
      <c r="C9" s="4" t="s">
        <v>24</v>
      </c>
      <c r="D9" s="5" t="s">
        <v>68</v>
      </c>
      <c r="E9" s="10">
        <v>0</v>
      </c>
      <c r="F9" s="10">
        <f>12743-E9</f>
        <v>12743</v>
      </c>
      <c r="G9" s="10">
        <v>2</v>
      </c>
      <c r="H9" s="10">
        <f>12737-G9</f>
        <v>12735</v>
      </c>
      <c r="I9" s="10">
        <f t="shared" si="0"/>
        <v>12743</v>
      </c>
      <c r="J9" s="10">
        <f t="shared" si="1"/>
        <v>12737</v>
      </c>
      <c r="K9" s="13"/>
    </row>
    <row r="10" spans="1:11" x14ac:dyDescent="0.25">
      <c r="A10" s="4" t="s">
        <v>96</v>
      </c>
      <c r="B10" s="2" t="s">
        <v>71</v>
      </c>
      <c r="C10" s="4" t="s">
        <v>25</v>
      </c>
      <c r="D10" s="5" t="s">
        <v>68</v>
      </c>
      <c r="E10" s="10">
        <v>0</v>
      </c>
      <c r="F10" s="10">
        <f>12726-E10</f>
        <v>12726</v>
      </c>
      <c r="G10" s="10">
        <v>2</v>
      </c>
      <c r="H10" s="10">
        <f>12737-G10</f>
        <v>12735</v>
      </c>
      <c r="I10" s="10">
        <f t="shared" si="0"/>
        <v>12726</v>
      </c>
      <c r="J10" s="10">
        <f t="shared" si="1"/>
        <v>12737</v>
      </c>
      <c r="K10" s="13"/>
    </row>
    <row r="11" spans="1:11" x14ac:dyDescent="0.25">
      <c r="A11" s="4" t="s">
        <v>91</v>
      </c>
      <c r="B11" s="2" t="s">
        <v>71</v>
      </c>
      <c r="C11" s="4" t="s">
        <v>92</v>
      </c>
      <c r="D11" s="5" t="s">
        <v>68</v>
      </c>
      <c r="E11" s="10">
        <v>0</v>
      </c>
      <c r="F11" s="10">
        <f>1357-E11</f>
        <v>1357</v>
      </c>
      <c r="G11" s="10">
        <v>1</v>
      </c>
      <c r="H11" s="10">
        <f>1327-G11</f>
        <v>1326</v>
      </c>
      <c r="I11" s="10">
        <f t="shared" ref="I11:I12" si="2">E11+F11</f>
        <v>1357</v>
      </c>
      <c r="J11" s="10">
        <f t="shared" ref="J11:J12" si="3">G11+H11</f>
        <v>1327</v>
      </c>
      <c r="K11" s="13"/>
    </row>
    <row r="12" spans="1:11" x14ac:dyDescent="0.25">
      <c r="A12" s="4" t="s">
        <v>101</v>
      </c>
      <c r="B12" s="2" t="s">
        <v>71</v>
      </c>
      <c r="C12" s="4" t="s">
        <v>20</v>
      </c>
      <c r="D12" s="5" t="s">
        <v>105</v>
      </c>
      <c r="E12" s="10">
        <v>0</v>
      </c>
      <c r="F12" s="10">
        <f>750-E12</f>
        <v>750</v>
      </c>
      <c r="G12" s="10">
        <v>0</v>
      </c>
      <c r="H12" s="10">
        <f>717-G12</f>
        <v>717</v>
      </c>
      <c r="I12" s="10">
        <f t="shared" si="2"/>
        <v>750</v>
      </c>
      <c r="J12" s="10">
        <f t="shared" si="3"/>
        <v>717</v>
      </c>
      <c r="K12" s="13"/>
    </row>
    <row r="13" spans="1:11" x14ac:dyDescent="0.25">
      <c r="A13" s="2" t="s">
        <v>74</v>
      </c>
      <c r="B13" s="2" t="s">
        <v>93</v>
      </c>
      <c r="C13" s="4" t="s">
        <v>22</v>
      </c>
      <c r="D13" s="3" t="s">
        <v>69</v>
      </c>
      <c r="E13" s="7">
        <v>596</v>
      </c>
      <c r="F13" s="7">
        <f>4714932-E13</f>
        <v>4714336</v>
      </c>
      <c r="G13" s="7">
        <v>5526</v>
      </c>
      <c r="H13" s="7">
        <f>(6538911-4714932)-G13</f>
        <v>1818453</v>
      </c>
      <c r="I13" s="10">
        <f t="shared" ref="I13:I14" si="4">E13+F13</f>
        <v>4714932</v>
      </c>
      <c r="J13" s="10">
        <f t="shared" ref="J13:J14" si="5">G13+H13</f>
        <v>1823979</v>
      </c>
      <c r="K13" s="13" t="s">
        <v>124</v>
      </c>
    </row>
    <row r="14" spans="1:11" x14ac:dyDescent="0.25">
      <c r="A14" s="2" t="s">
        <v>72</v>
      </c>
      <c r="B14" s="2" t="s">
        <v>93</v>
      </c>
      <c r="C14" s="4" t="s">
        <v>22</v>
      </c>
      <c r="D14" s="3" t="s">
        <v>69</v>
      </c>
      <c r="E14" s="7">
        <f>110-108</f>
        <v>2</v>
      </c>
      <c r="F14" s="7">
        <f>110054-E14</f>
        <v>110052</v>
      </c>
      <c r="G14" s="7">
        <f>259-244</f>
        <v>15</v>
      </c>
      <c r="H14" s="7">
        <f>109867-G14</f>
        <v>109852</v>
      </c>
      <c r="I14" s="10">
        <f t="shared" si="4"/>
        <v>110054</v>
      </c>
      <c r="J14" s="10">
        <f t="shared" si="5"/>
        <v>109867</v>
      </c>
      <c r="K14" s="13" t="s">
        <v>116</v>
      </c>
    </row>
    <row r="15" spans="1:11" x14ac:dyDescent="0.25">
      <c r="A15" s="2" t="s">
        <v>73</v>
      </c>
      <c r="B15" s="2" t="s">
        <v>93</v>
      </c>
      <c r="C15" s="4" t="s">
        <v>77</v>
      </c>
      <c r="D15" s="3" t="s">
        <v>104</v>
      </c>
      <c r="E15" s="3" t="s">
        <v>86</v>
      </c>
      <c r="F15" s="3" t="s">
        <v>86</v>
      </c>
      <c r="G15" s="3" t="s">
        <v>86</v>
      </c>
      <c r="H15" s="3" t="s">
        <v>86</v>
      </c>
      <c r="I15" s="3" t="s">
        <v>86</v>
      </c>
      <c r="J15" s="3" t="s">
        <v>86</v>
      </c>
      <c r="K15" s="13" t="s">
        <v>104</v>
      </c>
    </row>
    <row r="16" spans="1:11" x14ac:dyDescent="0.25">
      <c r="A16" s="2" t="s">
        <v>97</v>
      </c>
      <c r="B16" s="2" t="s">
        <v>93</v>
      </c>
      <c r="C16" s="4" t="s">
        <v>22</v>
      </c>
      <c r="D16" s="3" t="s">
        <v>106</v>
      </c>
      <c r="E16" s="7">
        <v>1</v>
      </c>
      <c r="F16" s="7">
        <f>2873-E16</f>
        <v>2872</v>
      </c>
      <c r="G16" s="7">
        <v>47</v>
      </c>
      <c r="H16" s="7">
        <f>14697-G16</f>
        <v>14650</v>
      </c>
      <c r="I16" s="10">
        <f>E16+F16</f>
        <v>2873</v>
      </c>
      <c r="J16" s="10">
        <f t="shared" ref="J16:J20" si="6">G16+H16</f>
        <v>14697</v>
      </c>
      <c r="K16" s="13"/>
    </row>
    <row r="17" spans="1:11" x14ac:dyDescent="0.25">
      <c r="A17" s="2" t="s">
        <v>98</v>
      </c>
      <c r="B17" s="2" t="s">
        <v>93</v>
      </c>
      <c r="C17" s="4" t="s">
        <v>19</v>
      </c>
      <c r="D17" s="3" t="s">
        <v>106</v>
      </c>
      <c r="E17" s="7">
        <v>2</v>
      </c>
      <c r="F17" s="7">
        <f>3380-E17</f>
        <v>3378</v>
      </c>
      <c r="G17" s="7">
        <v>47</v>
      </c>
      <c r="H17" s="7">
        <f>14697-G17</f>
        <v>14650</v>
      </c>
      <c r="I17" s="10">
        <f t="shared" ref="I17:I20" si="7">E17+F17</f>
        <v>3380</v>
      </c>
      <c r="J17" s="10">
        <f t="shared" si="6"/>
        <v>14697</v>
      </c>
      <c r="K17" s="13"/>
    </row>
    <row r="18" spans="1:11" x14ac:dyDescent="0.25">
      <c r="A18" s="2" t="s">
        <v>94</v>
      </c>
      <c r="B18" s="2" t="s">
        <v>93</v>
      </c>
      <c r="C18" s="4" t="s">
        <v>22</v>
      </c>
      <c r="D18" s="3" t="s">
        <v>104</v>
      </c>
      <c r="E18" s="3" t="s">
        <v>86</v>
      </c>
      <c r="F18" s="3" t="s">
        <v>86</v>
      </c>
      <c r="G18" s="3" t="s">
        <v>86</v>
      </c>
      <c r="H18" s="3" t="s">
        <v>86</v>
      </c>
      <c r="I18" s="3" t="s">
        <v>86</v>
      </c>
      <c r="J18" s="3" t="s">
        <v>86</v>
      </c>
      <c r="K18" s="13" t="s">
        <v>104</v>
      </c>
    </row>
    <row r="19" spans="1:11" x14ac:dyDescent="0.25">
      <c r="A19" s="2" t="s">
        <v>99</v>
      </c>
      <c r="B19" s="2" t="s">
        <v>93</v>
      </c>
      <c r="C19" s="4" t="s">
        <v>20</v>
      </c>
      <c r="D19" s="3" t="s">
        <v>69</v>
      </c>
      <c r="E19" s="7">
        <f>83+34+11+5+5</f>
        <v>138</v>
      </c>
      <c r="F19" s="7">
        <f>620154-E19</f>
        <v>620016</v>
      </c>
      <c r="G19" s="7">
        <v>7698</v>
      </c>
      <c r="H19" s="7">
        <f>3077595-G19</f>
        <v>3069897</v>
      </c>
      <c r="I19" s="10">
        <f t="shared" si="7"/>
        <v>620154</v>
      </c>
      <c r="J19" s="10">
        <f t="shared" si="6"/>
        <v>3077595</v>
      </c>
      <c r="K19" s="13" t="s">
        <v>140</v>
      </c>
    </row>
    <row r="20" spans="1:11" x14ac:dyDescent="0.25">
      <c r="A20" s="2" t="s">
        <v>100</v>
      </c>
      <c r="B20" s="2" t="s">
        <v>93</v>
      </c>
      <c r="C20" s="4" t="s">
        <v>22</v>
      </c>
      <c r="D20" s="3" t="s">
        <v>69</v>
      </c>
      <c r="E20" s="7">
        <f>71+38+19+20+31</f>
        <v>179</v>
      </c>
      <c r="F20" s="7">
        <f>711839-E20</f>
        <v>711660</v>
      </c>
      <c r="G20" s="7">
        <v>7698</v>
      </c>
      <c r="H20" s="7">
        <f>3077595-G20</f>
        <v>3069897</v>
      </c>
      <c r="I20" s="10">
        <f t="shared" si="7"/>
        <v>711839</v>
      </c>
      <c r="J20" s="10">
        <f t="shared" si="6"/>
        <v>3077595</v>
      </c>
      <c r="K20" s="13" t="s">
        <v>140</v>
      </c>
    </row>
    <row r="21" spans="1:11" x14ac:dyDescent="0.25">
      <c r="A21" s="2" t="s">
        <v>102</v>
      </c>
      <c r="B21" s="2" t="s">
        <v>93</v>
      </c>
      <c r="C21" s="4" t="s">
        <v>20</v>
      </c>
      <c r="D21" s="3" t="s">
        <v>104</v>
      </c>
      <c r="E21" s="3" t="s">
        <v>86</v>
      </c>
      <c r="F21" s="3" t="s">
        <v>86</v>
      </c>
      <c r="G21" s="3" t="s">
        <v>86</v>
      </c>
      <c r="H21" s="3" t="s">
        <v>86</v>
      </c>
      <c r="I21" s="3" t="s">
        <v>86</v>
      </c>
      <c r="J21" s="3" t="s">
        <v>86</v>
      </c>
      <c r="K21" s="13" t="s">
        <v>104</v>
      </c>
    </row>
    <row r="22" spans="1:11" x14ac:dyDescent="0.25">
      <c r="A22" s="2" t="s">
        <v>103</v>
      </c>
      <c r="B22" s="2" t="s">
        <v>93</v>
      </c>
      <c r="C22" s="4" t="s">
        <v>22</v>
      </c>
      <c r="D22" s="3" t="s">
        <v>104</v>
      </c>
      <c r="E22" s="3" t="s">
        <v>86</v>
      </c>
      <c r="F22" s="3" t="s">
        <v>86</v>
      </c>
      <c r="G22" s="3" t="s">
        <v>86</v>
      </c>
      <c r="H22" s="3" t="s">
        <v>86</v>
      </c>
      <c r="I22" s="3" t="s">
        <v>86</v>
      </c>
      <c r="J22" s="3" t="s">
        <v>86</v>
      </c>
      <c r="K22" s="13" t="s">
        <v>104</v>
      </c>
    </row>
    <row r="23" spans="1:11" x14ac:dyDescent="0.25">
      <c r="A23" s="2" t="s">
        <v>108</v>
      </c>
      <c r="B23" s="2" t="s">
        <v>93</v>
      </c>
      <c r="C23" s="4" t="s">
        <v>22</v>
      </c>
      <c r="D23" s="3" t="s">
        <v>104</v>
      </c>
      <c r="E23" s="3" t="s">
        <v>86</v>
      </c>
      <c r="F23" s="3" t="s">
        <v>86</v>
      </c>
      <c r="G23" s="3" t="s">
        <v>86</v>
      </c>
      <c r="H23" s="3" t="s">
        <v>86</v>
      </c>
      <c r="I23" s="3" t="s">
        <v>86</v>
      </c>
      <c r="J23" s="3" t="s">
        <v>86</v>
      </c>
      <c r="K23" s="13" t="s">
        <v>104</v>
      </c>
    </row>
    <row r="24" spans="1:11" x14ac:dyDescent="0.25">
      <c r="A24" s="2" t="s">
        <v>109</v>
      </c>
      <c r="B24" s="2" t="s">
        <v>93</v>
      </c>
      <c r="C24" s="4" t="s">
        <v>22</v>
      </c>
      <c r="D24" s="3" t="s">
        <v>104</v>
      </c>
      <c r="E24" s="3" t="s">
        <v>86</v>
      </c>
      <c r="F24" s="3" t="s">
        <v>86</v>
      </c>
      <c r="G24" s="3" t="s">
        <v>86</v>
      </c>
      <c r="H24" s="3" t="s">
        <v>86</v>
      </c>
      <c r="I24" s="3" t="s">
        <v>86</v>
      </c>
      <c r="J24" s="3" t="s">
        <v>86</v>
      </c>
      <c r="K24" s="13" t="s">
        <v>104</v>
      </c>
    </row>
    <row r="25" spans="1:11" x14ac:dyDescent="0.25">
      <c r="A25" s="3" t="s">
        <v>110</v>
      </c>
      <c r="B25" s="2" t="s">
        <v>93</v>
      </c>
      <c r="C25" s="4" t="s">
        <v>23</v>
      </c>
      <c r="D25" s="3" t="s">
        <v>69</v>
      </c>
      <c r="E25" s="7">
        <v>1</v>
      </c>
      <c r="F25" s="7">
        <f>2195-E25</f>
        <v>2194</v>
      </c>
      <c r="G25" s="7">
        <v>19</v>
      </c>
      <c r="H25" s="7">
        <f>124377-G25</f>
        <v>124358</v>
      </c>
      <c r="I25" s="10">
        <f t="shared" ref="I25" si="8">E25+F25</f>
        <v>2195</v>
      </c>
      <c r="J25" s="10">
        <f t="shared" ref="J25" si="9">G25+H25</f>
        <v>124377</v>
      </c>
      <c r="K25" s="13" t="s">
        <v>111</v>
      </c>
    </row>
    <row r="26" spans="1:11" x14ac:dyDescent="0.25">
      <c r="A26" s="2" t="s">
        <v>113</v>
      </c>
      <c r="B26" s="2" t="s">
        <v>93</v>
      </c>
      <c r="C26" s="4" t="s">
        <v>114</v>
      </c>
      <c r="D26" s="3" t="s">
        <v>104</v>
      </c>
      <c r="E26" s="3" t="s">
        <v>86</v>
      </c>
      <c r="F26" s="3" t="s">
        <v>86</v>
      </c>
      <c r="G26" s="3" t="s">
        <v>86</v>
      </c>
      <c r="H26" s="3" t="s">
        <v>86</v>
      </c>
      <c r="I26" s="3" t="s">
        <v>86</v>
      </c>
      <c r="J26" s="3" t="s">
        <v>86</v>
      </c>
      <c r="K26" s="13" t="s">
        <v>104</v>
      </c>
    </row>
    <row r="27" spans="1:11" x14ac:dyDescent="0.25">
      <c r="A27" s="2" t="s">
        <v>115</v>
      </c>
      <c r="B27" s="2" t="s">
        <v>93</v>
      </c>
      <c r="C27" s="4" t="s">
        <v>22</v>
      </c>
      <c r="D27" s="3" t="s">
        <v>104</v>
      </c>
      <c r="E27" s="3" t="s">
        <v>86</v>
      </c>
      <c r="F27" s="3" t="s">
        <v>86</v>
      </c>
      <c r="G27" s="3" t="s">
        <v>86</v>
      </c>
      <c r="H27" s="3" t="s">
        <v>86</v>
      </c>
      <c r="I27" s="3" t="s">
        <v>86</v>
      </c>
      <c r="J27" s="3" t="s">
        <v>86</v>
      </c>
      <c r="K27" s="13" t="s">
        <v>104</v>
      </c>
    </row>
    <row r="28" spans="1:11" x14ac:dyDescent="0.25">
      <c r="A28" s="2" t="s">
        <v>118</v>
      </c>
      <c r="B28" s="2" t="s">
        <v>93</v>
      </c>
      <c r="C28" s="4" t="s">
        <v>114</v>
      </c>
      <c r="D28" s="3" t="s">
        <v>69</v>
      </c>
      <c r="E28" s="7">
        <v>0</v>
      </c>
      <c r="F28" s="7">
        <f>940-E28</f>
        <v>940</v>
      </c>
      <c r="G28" s="7">
        <v>16</v>
      </c>
      <c r="H28" s="7">
        <f>10513-G28</f>
        <v>10497</v>
      </c>
      <c r="I28" s="10">
        <f t="shared" ref="I28" si="10">E28+F28</f>
        <v>940</v>
      </c>
      <c r="J28" s="10">
        <f t="shared" ref="J28" si="11">G28+H28</f>
        <v>10513</v>
      </c>
      <c r="K28" s="13"/>
    </row>
    <row r="29" spans="1:11" x14ac:dyDescent="0.25">
      <c r="A29" s="2" t="s">
        <v>119</v>
      </c>
      <c r="B29" s="2" t="s">
        <v>93</v>
      </c>
      <c r="C29" s="4" t="s">
        <v>22</v>
      </c>
      <c r="D29" s="3" t="s">
        <v>104</v>
      </c>
      <c r="E29" s="3" t="s">
        <v>86</v>
      </c>
      <c r="F29" s="3" t="s">
        <v>86</v>
      </c>
      <c r="G29" s="3" t="s">
        <v>86</v>
      </c>
      <c r="H29" s="3" t="s">
        <v>86</v>
      </c>
      <c r="I29" s="3" t="s">
        <v>86</v>
      </c>
      <c r="J29" s="3" t="s">
        <v>86</v>
      </c>
      <c r="K29" s="13" t="s">
        <v>104</v>
      </c>
    </row>
    <row r="30" spans="1:11" x14ac:dyDescent="0.25">
      <c r="A30" s="2" t="s">
        <v>120</v>
      </c>
      <c r="B30" s="2" t="s">
        <v>93</v>
      </c>
      <c r="C30" s="4" t="s">
        <v>22</v>
      </c>
      <c r="D30" s="3" t="s">
        <v>104</v>
      </c>
      <c r="E30" s="3" t="s">
        <v>86</v>
      </c>
      <c r="F30" s="3" t="s">
        <v>86</v>
      </c>
      <c r="G30" s="3" t="s">
        <v>86</v>
      </c>
      <c r="H30" s="3" t="s">
        <v>86</v>
      </c>
      <c r="I30" s="3" t="s">
        <v>86</v>
      </c>
      <c r="J30" s="3" t="s">
        <v>86</v>
      </c>
      <c r="K30" s="13" t="s">
        <v>104</v>
      </c>
    </row>
    <row r="31" spans="1:11" x14ac:dyDescent="0.25">
      <c r="A31" s="2" t="s">
        <v>121</v>
      </c>
      <c r="B31" s="2" t="s">
        <v>93</v>
      </c>
      <c r="C31" s="4" t="s">
        <v>20</v>
      </c>
      <c r="D31" s="3" t="s">
        <v>104</v>
      </c>
      <c r="E31" s="3" t="s">
        <v>86</v>
      </c>
      <c r="F31" s="3" t="s">
        <v>86</v>
      </c>
      <c r="G31" s="3" t="s">
        <v>86</v>
      </c>
      <c r="H31" s="3" t="s">
        <v>86</v>
      </c>
      <c r="I31" s="3" t="s">
        <v>86</v>
      </c>
      <c r="J31" s="3" t="s">
        <v>86</v>
      </c>
      <c r="K31" s="13" t="s">
        <v>104</v>
      </c>
    </row>
    <row r="32" spans="1:11" x14ac:dyDescent="0.25">
      <c r="A32" s="2" t="s">
        <v>122</v>
      </c>
      <c r="B32" s="2" t="s">
        <v>93</v>
      </c>
      <c r="C32" s="4" t="s">
        <v>22</v>
      </c>
      <c r="D32" s="3" t="s">
        <v>104</v>
      </c>
      <c r="E32" s="3" t="s">
        <v>86</v>
      </c>
      <c r="F32" s="3" t="s">
        <v>86</v>
      </c>
      <c r="G32" s="3" t="s">
        <v>86</v>
      </c>
      <c r="H32" s="3" t="s">
        <v>86</v>
      </c>
      <c r="I32" s="3" t="s">
        <v>86</v>
      </c>
      <c r="J32" s="3" t="s">
        <v>86</v>
      </c>
      <c r="K32" s="13" t="s">
        <v>104</v>
      </c>
    </row>
    <row r="33" spans="1:11" x14ac:dyDescent="0.25">
      <c r="A33" s="2" t="s">
        <v>123</v>
      </c>
      <c r="B33" s="2" t="s">
        <v>93</v>
      </c>
      <c r="C33" s="4" t="s">
        <v>114</v>
      </c>
      <c r="D33" s="3" t="s">
        <v>104</v>
      </c>
      <c r="E33" s="3" t="s">
        <v>86</v>
      </c>
      <c r="F33" s="3" t="s">
        <v>86</v>
      </c>
      <c r="G33" s="3" t="s">
        <v>86</v>
      </c>
      <c r="H33" s="3" t="s">
        <v>86</v>
      </c>
      <c r="I33" s="3" t="s">
        <v>86</v>
      </c>
      <c r="J33" s="3" t="s">
        <v>86</v>
      </c>
      <c r="K33" s="13" t="s">
        <v>104</v>
      </c>
    </row>
    <row r="34" spans="1:11" x14ac:dyDescent="0.25">
      <c r="A34" s="2" t="s">
        <v>125</v>
      </c>
      <c r="B34" s="2" t="s">
        <v>93</v>
      </c>
      <c r="C34" s="4" t="s">
        <v>22</v>
      </c>
      <c r="D34" s="3" t="s">
        <v>104</v>
      </c>
      <c r="E34" s="3" t="s">
        <v>86</v>
      </c>
      <c r="F34" s="3" t="s">
        <v>86</v>
      </c>
      <c r="G34" s="3" t="s">
        <v>86</v>
      </c>
      <c r="H34" s="3" t="s">
        <v>86</v>
      </c>
      <c r="I34" s="3" t="s">
        <v>86</v>
      </c>
      <c r="J34" s="3" t="s">
        <v>86</v>
      </c>
      <c r="K34" s="13" t="s">
        <v>104</v>
      </c>
    </row>
    <row r="35" spans="1:11" x14ac:dyDescent="0.25">
      <c r="A35" s="2" t="s">
        <v>127</v>
      </c>
      <c r="B35" s="4" t="s">
        <v>93</v>
      </c>
      <c r="C35" s="4" t="s">
        <v>22</v>
      </c>
      <c r="D35" s="3" t="s">
        <v>104</v>
      </c>
      <c r="E35" s="3" t="s">
        <v>86</v>
      </c>
      <c r="F35" s="3" t="s">
        <v>86</v>
      </c>
      <c r="G35" s="3" t="s">
        <v>86</v>
      </c>
      <c r="H35" s="3" t="s">
        <v>86</v>
      </c>
      <c r="I35" s="3" t="s">
        <v>86</v>
      </c>
      <c r="J35" s="3" t="s">
        <v>86</v>
      </c>
      <c r="K35" s="3" t="s">
        <v>104</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90061-51B0-4157-B683-4E6AADE0FBD3}">
  <dimension ref="A1:K35"/>
  <sheetViews>
    <sheetView zoomScale="60" zoomScaleNormal="60" workbookViewId="0">
      <pane ySplit="1" topLeftCell="A2" activePane="bottomLeft" state="frozen"/>
      <selection pane="bottomLeft"/>
    </sheetView>
  </sheetViews>
  <sheetFormatPr defaultRowHeight="15" x14ac:dyDescent="0.25"/>
  <cols>
    <col min="1" max="1" width="16.42578125" style="3" bestFit="1" customWidth="1"/>
    <col min="2" max="2" width="14" style="3" bestFit="1" customWidth="1"/>
    <col min="3" max="3" width="19.140625" style="3" bestFit="1" customWidth="1"/>
    <col min="4" max="4" width="11.5703125" style="3" bestFit="1" customWidth="1"/>
    <col min="5" max="5" width="9.140625" style="7"/>
    <col min="6" max="6" width="10" style="7" bestFit="1" customWidth="1"/>
    <col min="7" max="7" width="9.140625" style="7"/>
    <col min="8" max="10" width="10" style="7" bestFit="1" customWidth="1"/>
    <col min="11" max="11" width="9.140625" style="3"/>
  </cols>
  <sheetData>
    <row r="1" spans="1:11" x14ac:dyDescent="0.25">
      <c r="A1" s="1" t="s">
        <v>0</v>
      </c>
      <c r="B1" s="1" t="s">
        <v>70</v>
      </c>
      <c r="C1" s="1" t="s">
        <v>18</v>
      </c>
      <c r="D1" s="1" t="s">
        <v>38</v>
      </c>
      <c r="E1" s="1" t="s">
        <v>1</v>
      </c>
      <c r="F1" s="1" t="s">
        <v>2</v>
      </c>
      <c r="G1" s="1" t="s">
        <v>3</v>
      </c>
      <c r="H1" s="1" t="s">
        <v>4</v>
      </c>
      <c r="I1" s="1" t="s">
        <v>5</v>
      </c>
      <c r="J1" s="1" t="s">
        <v>6</v>
      </c>
      <c r="K1" s="8" t="s">
        <v>48</v>
      </c>
    </row>
    <row r="2" spans="1:11" x14ac:dyDescent="0.25">
      <c r="A2" s="2" t="s">
        <v>9</v>
      </c>
      <c r="B2" s="2" t="s">
        <v>71</v>
      </c>
      <c r="C2" s="2" t="s">
        <v>19</v>
      </c>
      <c r="D2" s="2" t="s">
        <v>82</v>
      </c>
      <c r="E2" s="2">
        <v>0</v>
      </c>
      <c r="F2" s="2">
        <f>14134-E2</f>
        <v>14134</v>
      </c>
      <c r="G2" s="2">
        <v>1</v>
      </c>
      <c r="H2" s="2">
        <f>14073-G2</f>
        <v>14072</v>
      </c>
      <c r="I2" s="7">
        <f>E2+F2</f>
        <v>14134</v>
      </c>
      <c r="J2" s="7">
        <f>G2+H2</f>
        <v>14073</v>
      </c>
    </row>
    <row r="3" spans="1:11" x14ac:dyDescent="0.25">
      <c r="A3" s="2" t="s">
        <v>14</v>
      </c>
      <c r="B3" s="2" t="s">
        <v>71</v>
      </c>
      <c r="C3" s="2" t="s">
        <v>20</v>
      </c>
      <c r="D3" s="2" t="s">
        <v>82</v>
      </c>
      <c r="E3" s="7">
        <v>0</v>
      </c>
      <c r="F3" s="7">
        <f>12021-E3</f>
        <v>12021</v>
      </c>
      <c r="G3" s="7">
        <v>1</v>
      </c>
      <c r="H3" s="7">
        <f>11724-G3</f>
        <v>11723</v>
      </c>
      <c r="I3" s="7">
        <f>E3+F3</f>
        <v>12021</v>
      </c>
      <c r="J3" s="7">
        <f>G3+H3</f>
        <v>11724</v>
      </c>
    </row>
    <row r="4" spans="1:11" x14ac:dyDescent="0.25">
      <c r="A4" s="4" t="s">
        <v>10</v>
      </c>
      <c r="B4" s="2" t="s">
        <v>71</v>
      </c>
      <c r="C4" s="4" t="s">
        <v>21</v>
      </c>
      <c r="D4" s="2" t="s">
        <v>82</v>
      </c>
      <c r="E4" s="7">
        <v>0</v>
      </c>
      <c r="F4" s="7">
        <f>14964-E4</f>
        <v>14964</v>
      </c>
      <c r="G4" s="7">
        <v>0</v>
      </c>
      <c r="H4" s="7">
        <f>4902-G4</f>
        <v>4902</v>
      </c>
      <c r="I4" s="7">
        <f t="shared" ref="I4:I10" si="0">E4+F4</f>
        <v>14964</v>
      </c>
      <c r="J4" s="7">
        <f t="shared" ref="J4:J10" si="1">G4+H4</f>
        <v>4902</v>
      </c>
      <c r="K4" s="3" t="s">
        <v>78</v>
      </c>
    </row>
    <row r="5" spans="1:11" x14ac:dyDescent="0.25">
      <c r="A5" s="4" t="s">
        <v>11</v>
      </c>
      <c r="B5" s="2" t="s">
        <v>71</v>
      </c>
      <c r="C5" s="4" t="s">
        <v>22</v>
      </c>
      <c r="D5" s="2" t="s">
        <v>82</v>
      </c>
      <c r="E5" s="10">
        <v>0</v>
      </c>
      <c r="F5" s="10">
        <v>21669</v>
      </c>
      <c r="G5" s="10">
        <v>0</v>
      </c>
      <c r="H5" s="10">
        <v>21686</v>
      </c>
      <c r="I5" s="10">
        <f t="shared" si="0"/>
        <v>21669</v>
      </c>
      <c r="J5" s="10">
        <f t="shared" si="1"/>
        <v>21686</v>
      </c>
      <c r="K5" s="5"/>
    </row>
    <row r="6" spans="1:11" x14ac:dyDescent="0.25">
      <c r="A6" s="4" t="s">
        <v>12</v>
      </c>
      <c r="B6" s="2" t="s">
        <v>71</v>
      </c>
      <c r="C6" s="4" t="s">
        <v>20</v>
      </c>
      <c r="D6" s="2" t="s">
        <v>82</v>
      </c>
      <c r="E6" s="10">
        <v>0</v>
      </c>
      <c r="F6" s="10">
        <f>4244-E6</f>
        <v>4244</v>
      </c>
      <c r="G6" s="10">
        <v>0</v>
      </c>
      <c r="H6" s="10">
        <f>4290-G6</f>
        <v>4290</v>
      </c>
      <c r="I6" s="10">
        <f t="shared" si="0"/>
        <v>4244</v>
      </c>
      <c r="J6" s="10">
        <f t="shared" si="1"/>
        <v>4290</v>
      </c>
      <c r="K6" s="5"/>
    </row>
    <row r="7" spans="1:11" x14ac:dyDescent="0.25">
      <c r="A7" s="4" t="s">
        <v>13</v>
      </c>
      <c r="B7" s="2" t="s">
        <v>71</v>
      </c>
      <c r="C7" s="4" t="s">
        <v>23</v>
      </c>
      <c r="D7" s="2" t="s">
        <v>82</v>
      </c>
      <c r="E7" s="10">
        <v>0</v>
      </c>
      <c r="F7" s="10">
        <f>19514-E7</f>
        <v>19514</v>
      </c>
      <c r="G7" s="10">
        <v>5</v>
      </c>
      <c r="H7" s="10">
        <f>19544-G7</f>
        <v>19539</v>
      </c>
      <c r="I7" s="10">
        <f t="shared" si="0"/>
        <v>19514</v>
      </c>
      <c r="J7" s="10">
        <f t="shared" si="1"/>
        <v>19544</v>
      </c>
      <c r="K7" s="5"/>
    </row>
    <row r="8" spans="1:11" x14ac:dyDescent="0.25">
      <c r="A8" s="4" t="s">
        <v>15</v>
      </c>
      <c r="B8" s="2" t="s">
        <v>71</v>
      </c>
      <c r="C8" s="4" t="s">
        <v>20</v>
      </c>
      <c r="D8" s="2" t="s">
        <v>82</v>
      </c>
      <c r="E8" s="10">
        <v>0</v>
      </c>
      <c r="F8" s="10">
        <f>11794-E8</f>
        <v>11794</v>
      </c>
      <c r="G8" s="10">
        <v>1</v>
      </c>
      <c r="H8" s="10">
        <f>11776-G8</f>
        <v>11775</v>
      </c>
      <c r="I8" s="10">
        <f t="shared" si="0"/>
        <v>11794</v>
      </c>
      <c r="J8" s="10">
        <f t="shared" si="1"/>
        <v>11776</v>
      </c>
      <c r="K8" s="5"/>
    </row>
    <row r="9" spans="1:11" x14ac:dyDescent="0.25">
      <c r="A9" s="4" t="s">
        <v>95</v>
      </c>
      <c r="B9" s="2" t="s">
        <v>71</v>
      </c>
      <c r="C9" s="4" t="s">
        <v>24</v>
      </c>
      <c r="D9" s="2" t="s">
        <v>82</v>
      </c>
      <c r="E9" s="10">
        <v>0</v>
      </c>
      <c r="F9" s="10">
        <f>12743-E9</f>
        <v>12743</v>
      </c>
      <c r="G9" s="10">
        <v>0</v>
      </c>
      <c r="H9" s="10">
        <f>12737-G9</f>
        <v>12737</v>
      </c>
      <c r="I9" s="10">
        <f t="shared" si="0"/>
        <v>12743</v>
      </c>
      <c r="J9" s="10">
        <f t="shared" si="1"/>
        <v>12737</v>
      </c>
      <c r="K9" s="5"/>
    </row>
    <row r="10" spans="1:11" x14ac:dyDescent="0.25">
      <c r="A10" s="4" t="s">
        <v>96</v>
      </c>
      <c r="B10" s="2" t="s">
        <v>71</v>
      </c>
      <c r="C10" s="4" t="s">
        <v>25</v>
      </c>
      <c r="D10" s="2" t="s">
        <v>82</v>
      </c>
      <c r="E10" s="10">
        <v>0</v>
      </c>
      <c r="F10" s="10">
        <f>12726-E10</f>
        <v>12726</v>
      </c>
      <c r="G10" s="10">
        <v>0</v>
      </c>
      <c r="H10" s="10">
        <f>12737-G10</f>
        <v>12737</v>
      </c>
      <c r="I10" s="10">
        <f t="shared" si="0"/>
        <v>12726</v>
      </c>
      <c r="J10" s="10">
        <f t="shared" si="1"/>
        <v>12737</v>
      </c>
      <c r="K10" s="5"/>
    </row>
    <row r="11" spans="1:11" x14ac:dyDescent="0.25">
      <c r="A11" s="4" t="s">
        <v>91</v>
      </c>
      <c r="B11" s="2" t="s">
        <v>71</v>
      </c>
      <c r="C11" s="4" t="s">
        <v>92</v>
      </c>
      <c r="D11" s="2" t="s">
        <v>82</v>
      </c>
      <c r="E11" s="10" t="s">
        <v>86</v>
      </c>
      <c r="F11" s="10" t="s">
        <v>86</v>
      </c>
      <c r="G11" s="10" t="s">
        <v>86</v>
      </c>
      <c r="H11" s="10" t="s">
        <v>86</v>
      </c>
      <c r="I11" s="10" t="s">
        <v>86</v>
      </c>
      <c r="J11" s="10" t="s">
        <v>86</v>
      </c>
      <c r="K11" s="5" t="s">
        <v>104</v>
      </c>
    </row>
    <row r="12" spans="1:11" x14ac:dyDescent="0.25">
      <c r="A12" s="4" t="s">
        <v>101</v>
      </c>
      <c r="B12" s="2" t="s">
        <v>71</v>
      </c>
      <c r="C12" s="4" t="s">
        <v>20</v>
      </c>
      <c r="D12" s="2" t="s">
        <v>82</v>
      </c>
      <c r="E12" s="10" t="s">
        <v>86</v>
      </c>
      <c r="F12" s="10" t="s">
        <v>86</v>
      </c>
      <c r="G12" s="10" t="s">
        <v>86</v>
      </c>
      <c r="H12" s="10" t="s">
        <v>86</v>
      </c>
      <c r="I12" s="10" t="s">
        <v>86</v>
      </c>
      <c r="J12" s="10" t="s">
        <v>86</v>
      </c>
      <c r="K12" s="5" t="s">
        <v>104</v>
      </c>
    </row>
    <row r="13" spans="1:11" x14ac:dyDescent="0.25">
      <c r="A13" s="2" t="s">
        <v>74</v>
      </c>
      <c r="B13" s="2" t="s">
        <v>93</v>
      </c>
      <c r="C13" s="4" t="s">
        <v>22</v>
      </c>
      <c r="D13" s="2" t="s">
        <v>82</v>
      </c>
      <c r="E13" s="10">
        <v>138</v>
      </c>
      <c r="F13" s="10">
        <f>4714932-E13</f>
        <v>4714794</v>
      </c>
      <c r="G13" s="10">
        <v>715</v>
      </c>
      <c r="H13" s="10">
        <f>(6538911-4714932)-G13</f>
        <v>1823264</v>
      </c>
      <c r="I13" s="10">
        <f t="shared" ref="I13:I14" si="2">E13+F13</f>
        <v>4714932</v>
      </c>
      <c r="J13" s="10">
        <f t="shared" ref="J13:J14" si="3">G13+H13</f>
        <v>1823979</v>
      </c>
      <c r="K13" s="3" t="s">
        <v>124</v>
      </c>
    </row>
    <row r="14" spans="1:11" x14ac:dyDescent="0.25">
      <c r="A14" s="2" t="s">
        <v>72</v>
      </c>
      <c r="B14" s="2" t="s">
        <v>93</v>
      </c>
      <c r="C14" s="4" t="s">
        <v>22</v>
      </c>
      <c r="D14" s="2" t="s">
        <v>82</v>
      </c>
      <c r="E14" s="7">
        <f>9-7</f>
        <v>2</v>
      </c>
      <c r="F14" s="7">
        <f>110101-E14</f>
        <v>110099</v>
      </c>
      <c r="G14" s="7">
        <f>32-27</f>
        <v>5</v>
      </c>
      <c r="H14" s="7">
        <f>110008-G14</f>
        <v>110003</v>
      </c>
      <c r="I14" s="10">
        <f t="shared" si="2"/>
        <v>110101</v>
      </c>
      <c r="J14" s="10">
        <f t="shared" si="3"/>
        <v>110008</v>
      </c>
      <c r="K14" s="11" t="s">
        <v>116</v>
      </c>
    </row>
    <row r="15" spans="1:11" x14ac:dyDescent="0.25">
      <c r="A15" s="2" t="s">
        <v>73</v>
      </c>
      <c r="B15" s="2" t="s">
        <v>93</v>
      </c>
      <c r="C15" s="4" t="s">
        <v>77</v>
      </c>
      <c r="D15" s="2" t="s">
        <v>82</v>
      </c>
      <c r="E15" s="3" t="s">
        <v>86</v>
      </c>
      <c r="F15" s="3" t="s">
        <v>86</v>
      </c>
      <c r="G15" s="3" t="s">
        <v>86</v>
      </c>
      <c r="H15" s="3" t="s">
        <v>86</v>
      </c>
      <c r="I15" s="3" t="s">
        <v>86</v>
      </c>
      <c r="J15" s="3" t="s">
        <v>86</v>
      </c>
      <c r="K15" s="3" t="s">
        <v>104</v>
      </c>
    </row>
    <row r="16" spans="1:11" x14ac:dyDescent="0.25">
      <c r="A16" s="2" t="s">
        <v>97</v>
      </c>
      <c r="B16" s="2" t="s">
        <v>93</v>
      </c>
      <c r="C16" s="4" t="s">
        <v>22</v>
      </c>
      <c r="D16" s="2" t="s">
        <v>82</v>
      </c>
      <c r="E16" s="3" t="s">
        <v>86</v>
      </c>
      <c r="F16" s="3" t="s">
        <v>86</v>
      </c>
      <c r="G16" s="3" t="s">
        <v>86</v>
      </c>
      <c r="H16" s="3" t="s">
        <v>86</v>
      </c>
      <c r="I16" s="3" t="s">
        <v>86</v>
      </c>
      <c r="J16" s="3" t="s">
        <v>86</v>
      </c>
      <c r="K16" s="3" t="s">
        <v>104</v>
      </c>
    </row>
    <row r="17" spans="1:11" x14ac:dyDescent="0.25">
      <c r="A17" s="2" t="s">
        <v>98</v>
      </c>
      <c r="B17" s="2" t="s">
        <v>93</v>
      </c>
      <c r="C17" s="4" t="s">
        <v>19</v>
      </c>
      <c r="D17" s="2" t="s">
        <v>82</v>
      </c>
      <c r="E17" s="3" t="s">
        <v>86</v>
      </c>
      <c r="F17" s="3" t="s">
        <v>86</v>
      </c>
      <c r="G17" s="3" t="s">
        <v>86</v>
      </c>
      <c r="H17" s="3" t="s">
        <v>86</v>
      </c>
      <c r="I17" s="3" t="s">
        <v>86</v>
      </c>
      <c r="J17" s="3" t="s">
        <v>86</v>
      </c>
      <c r="K17" s="3" t="s">
        <v>104</v>
      </c>
    </row>
    <row r="18" spans="1:11" x14ac:dyDescent="0.25">
      <c r="A18" s="2" t="s">
        <v>94</v>
      </c>
      <c r="B18" s="2" t="s">
        <v>93</v>
      </c>
      <c r="C18" s="4" t="s">
        <v>22</v>
      </c>
      <c r="D18" s="2" t="s">
        <v>82</v>
      </c>
      <c r="E18" s="3" t="s">
        <v>86</v>
      </c>
      <c r="F18" s="3" t="s">
        <v>86</v>
      </c>
      <c r="G18" s="3" t="s">
        <v>86</v>
      </c>
      <c r="H18" s="3" t="s">
        <v>86</v>
      </c>
      <c r="I18" s="3" t="s">
        <v>86</v>
      </c>
      <c r="J18" s="3" t="s">
        <v>86</v>
      </c>
      <c r="K18" s="3" t="s">
        <v>104</v>
      </c>
    </row>
    <row r="19" spans="1:11" x14ac:dyDescent="0.25">
      <c r="A19" s="2" t="s">
        <v>99</v>
      </c>
      <c r="B19" s="2" t="s">
        <v>93</v>
      </c>
      <c r="C19" s="4" t="s">
        <v>20</v>
      </c>
      <c r="D19" s="2" t="s">
        <v>82</v>
      </c>
      <c r="E19" s="3" t="s">
        <v>86</v>
      </c>
      <c r="F19" s="3" t="s">
        <v>86</v>
      </c>
      <c r="G19" s="3" t="s">
        <v>86</v>
      </c>
      <c r="H19" s="3" t="s">
        <v>86</v>
      </c>
      <c r="I19" s="3" t="s">
        <v>86</v>
      </c>
      <c r="J19" s="3" t="s">
        <v>86</v>
      </c>
      <c r="K19" s="3" t="s">
        <v>104</v>
      </c>
    </row>
    <row r="20" spans="1:11" x14ac:dyDescent="0.25">
      <c r="A20" s="2" t="s">
        <v>100</v>
      </c>
      <c r="B20" s="2" t="s">
        <v>93</v>
      </c>
      <c r="C20" s="4" t="s">
        <v>22</v>
      </c>
      <c r="D20" s="2" t="s">
        <v>82</v>
      </c>
      <c r="E20" s="3" t="s">
        <v>86</v>
      </c>
      <c r="F20" s="3" t="s">
        <v>86</v>
      </c>
      <c r="G20" s="3" t="s">
        <v>86</v>
      </c>
      <c r="H20" s="3" t="s">
        <v>86</v>
      </c>
      <c r="I20" s="3" t="s">
        <v>86</v>
      </c>
      <c r="J20" s="3" t="s">
        <v>86</v>
      </c>
      <c r="K20" s="3" t="s">
        <v>104</v>
      </c>
    </row>
    <row r="21" spans="1:11" x14ac:dyDescent="0.25">
      <c r="A21" s="2" t="s">
        <v>102</v>
      </c>
      <c r="B21" s="2" t="s">
        <v>93</v>
      </c>
      <c r="C21" s="4" t="s">
        <v>20</v>
      </c>
      <c r="D21" s="2" t="s">
        <v>82</v>
      </c>
      <c r="E21" s="3" t="s">
        <v>86</v>
      </c>
      <c r="F21" s="3" t="s">
        <v>86</v>
      </c>
      <c r="G21" s="3" t="s">
        <v>86</v>
      </c>
      <c r="H21" s="3" t="s">
        <v>86</v>
      </c>
      <c r="I21" s="3" t="s">
        <v>86</v>
      </c>
      <c r="J21" s="3" t="s">
        <v>86</v>
      </c>
      <c r="K21" s="3" t="s">
        <v>104</v>
      </c>
    </row>
    <row r="22" spans="1:11" x14ac:dyDescent="0.25">
      <c r="A22" s="2" t="s">
        <v>103</v>
      </c>
      <c r="B22" s="2" t="s">
        <v>93</v>
      </c>
      <c r="C22" s="4" t="s">
        <v>22</v>
      </c>
      <c r="D22" s="2" t="s">
        <v>82</v>
      </c>
      <c r="E22" s="3" t="s">
        <v>86</v>
      </c>
      <c r="F22" s="3" t="s">
        <v>86</v>
      </c>
      <c r="G22" s="3" t="s">
        <v>86</v>
      </c>
      <c r="H22" s="3" t="s">
        <v>86</v>
      </c>
      <c r="I22" s="3" t="s">
        <v>86</v>
      </c>
      <c r="J22" s="3" t="s">
        <v>86</v>
      </c>
      <c r="K22" s="3" t="s">
        <v>104</v>
      </c>
    </row>
    <row r="23" spans="1:11" x14ac:dyDescent="0.25">
      <c r="A23" s="2" t="s">
        <v>108</v>
      </c>
      <c r="B23" s="2" t="s">
        <v>93</v>
      </c>
      <c r="C23" s="4" t="s">
        <v>22</v>
      </c>
      <c r="D23" s="2" t="s">
        <v>82</v>
      </c>
      <c r="E23" s="3" t="s">
        <v>86</v>
      </c>
      <c r="F23" s="3" t="s">
        <v>86</v>
      </c>
      <c r="G23" s="3" t="s">
        <v>86</v>
      </c>
      <c r="H23" s="3" t="s">
        <v>86</v>
      </c>
      <c r="I23" s="3" t="s">
        <v>86</v>
      </c>
      <c r="J23" s="3" t="s">
        <v>86</v>
      </c>
      <c r="K23" s="3" t="s">
        <v>104</v>
      </c>
    </row>
    <row r="24" spans="1:11" x14ac:dyDescent="0.25">
      <c r="A24" s="2" t="s">
        <v>109</v>
      </c>
      <c r="B24" s="2" t="s">
        <v>93</v>
      </c>
      <c r="C24" s="4" t="s">
        <v>22</v>
      </c>
      <c r="D24" s="2" t="s">
        <v>82</v>
      </c>
      <c r="E24" s="7">
        <v>0</v>
      </c>
      <c r="F24" s="7">
        <f>26587-E24</f>
        <v>26587</v>
      </c>
      <c r="G24" s="7">
        <v>36</v>
      </c>
      <c r="H24" s="7">
        <f>779154-G24</f>
        <v>779118</v>
      </c>
      <c r="I24" s="7">
        <f>E24+F24</f>
        <v>26587</v>
      </c>
      <c r="J24" s="7">
        <f>G24+H24</f>
        <v>779154</v>
      </c>
    </row>
    <row r="25" spans="1:11" x14ac:dyDescent="0.25">
      <c r="A25" s="3" t="s">
        <v>110</v>
      </c>
      <c r="B25" s="2" t="s">
        <v>93</v>
      </c>
      <c r="C25" s="4" t="s">
        <v>23</v>
      </c>
      <c r="D25" s="2" t="s">
        <v>82</v>
      </c>
      <c r="E25" s="7">
        <v>0</v>
      </c>
      <c r="F25" s="7">
        <f>2195-E25</f>
        <v>2195</v>
      </c>
      <c r="G25" s="7">
        <v>1</v>
      </c>
      <c r="H25" s="7">
        <f>124377-G25</f>
        <v>124376</v>
      </c>
      <c r="I25" s="7">
        <f t="shared" ref="I25:I26" si="4">E25+F25</f>
        <v>2195</v>
      </c>
      <c r="J25" s="7">
        <f t="shared" ref="J25:J26" si="5">G25+H25</f>
        <v>124377</v>
      </c>
      <c r="K25" s="3" t="s">
        <v>111</v>
      </c>
    </row>
    <row r="26" spans="1:11" x14ac:dyDescent="0.25">
      <c r="A26" s="2" t="s">
        <v>113</v>
      </c>
      <c r="B26" s="2" t="s">
        <v>93</v>
      </c>
      <c r="C26" s="4" t="s">
        <v>114</v>
      </c>
      <c r="D26" s="2" t="s">
        <v>82</v>
      </c>
      <c r="E26" s="7">
        <v>18</v>
      </c>
      <c r="F26" s="7">
        <f>389587-E26</f>
        <v>389569</v>
      </c>
      <c r="G26" s="7">
        <v>68</v>
      </c>
      <c r="H26" s="7">
        <f>1794352-G26</f>
        <v>1794284</v>
      </c>
      <c r="I26" s="7">
        <f t="shared" si="4"/>
        <v>389587</v>
      </c>
      <c r="J26" s="7">
        <f t="shared" si="5"/>
        <v>1794352</v>
      </c>
    </row>
    <row r="27" spans="1:11" x14ac:dyDescent="0.25">
      <c r="A27" s="2" t="s">
        <v>115</v>
      </c>
      <c r="B27" s="2" t="s">
        <v>93</v>
      </c>
      <c r="C27" s="4" t="s">
        <v>22</v>
      </c>
      <c r="D27" s="2" t="s">
        <v>82</v>
      </c>
      <c r="E27" s="3" t="s">
        <v>86</v>
      </c>
      <c r="F27" s="3" t="s">
        <v>86</v>
      </c>
      <c r="G27" s="3" t="s">
        <v>86</v>
      </c>
      <c r="H27" s="3" t="s">
        <v>86</v>
      </c>
      <c r="I27" s="3" t="s">
        <v>86</v>
      </c>
      <c r="J27" s="3" t="s">
        <v>86</v>
      </c>
      <c r="K27" s="3" t="s">
        <v>104</v>
      </c>
    </row>
    <row r="28" spans="1:11" x14ac:dyDescent="0.25">
      <c r="A28" s="2" t="s">
        <v>118</v>
      </c>
      <c r="B28" s="2" t="s">
        <v>93</v>
      </c>
      <c r="C28" s="4" t="s">
        <v>114</v>
      </c>
      <c r="D28" s="2" t="s">
        <v>82</v>
      </c>
      <c r="E28" s="3" t="s">
        <v>86</v>
      </c>
      <c r="F28" s="3" t="s">
        <v>86</v>
      </c>
      <c r="G28" s="3" t="s">
        <v>86</v>
      </c>
      <c r="H28" s="3" t="s">
        <v>86</v>
      </c>
      <c r="I28" s="3" t="s">
        <v>86</v>
      </c>
      <c r="J28" s="3" t="s">
        <v>86</v>
      </c>
      <c r="K28" s="3" t="s">
        <v>104</v>
      </c>
    </row>
    <row r="29" spans="1:11" x14ac:dyDescent="0.25">
      <c r="A29" s="2" t="s">
        <v>119</v>
      </c>
      <c r="B29" s="2" t="s">
        <v>93</v>
      </c>
      <c r="C29" s="4" t="s">
        <v>22</v>
      </c>
      <c r="D29" s="2" t="s">
        <v>82</v>
      </c>
      <c r="E29" s="3" t="s">
        <v>86</v>
      </c>
      <c r="F29" s="3" t="s">
        <v>86</v>
      </c>
      <c r="G29" s="3" t="s">
        <v>86</v>
      </c>
      <c r="H29" s="3" t="s">
        <v>86</v>
      </c>
      <c r="I29" s="3" t="s">
        <v>86</v>
      </c>
      <c r="J29" s="3" t="s">
        <v>86</v>
      </c>
      <c r="K29" s="3" t="s">
        <v>104</v>
      </c>
    </row>
    <row r="30" spans="1:11" x14ac:dyDescent="0.25">
      <c r="A30" s="2" t="s">
        <v>120</v>
      </c>
      <c r="B30" s="2" t="s">
        <v>93</v>
      </c>
      <c r="C30" s="4" t="s">
        <v>22</v>
      </c>
      <c r="D30" s="2" t="s">
        <v>82</v>
      </c>
      <c r="E30" s="3" t="s">
        <v>86</v>
      </c>
      <c r="F30" s="3" t="s">
        <v>86</v>
      </c>
      <c r="G30" s="3" t="s">
        <v>86</v>
      </c>
      <c r="H30" s="3" t="s">
        <v>86</v>
      </c>
      <c r="I30" s="3" t="s">
        <v>86</v>
      </c>
      <c r="J30" s="3" t="s">
        <v>86</v>
      </c>
      <c r="K30" s="3" t="s">
        <v>104</v>
      </c>
    </row>
    <row r="31" spans="1:11" x14ac:dyDescent="0.25">
      <c r="A31" s="2" t="s">
        <v>121</v>
      </c>
      <c r="B31" s="2" t="s">
        <v>93</v>
      </c>
      <c r="C31" s="4" t="s">
        <v>20</v>
      </c>
      <c r="D31" s="2" t="s">
        <v>82</v>
      </c>
      <c r="E31" s="3" t="s">
        <v>86</v>
      </c>
      <c r="F31" s="3" t="s">
        <v>86</v>
      </c>
      <c r="G31" s="3" t="s">
        <v>86</v>
      </c>
      <c r="H31" s="3" t="s">
        <v>86</v>
      </c>
      <c r="I31" s="3" t="s">
        <v>86</v>
      </c>
      <c r="J31" s="3" t="s">
        <v>86</v>
      </c>
      <c r="K31" s="3" t="s">
        <v>104</v>
      </c>
    </row>
    <row r="32" spans="1:11" x14ac:dyDescent="0.25">
      <c r="A32" s="2" t="s">
        <v>122</v>
      </c>
      <c r="B32" s="2" t="s">
        <v>93</v>
      </c>
      <c r="C32" s="4" t="s">
        <v>22</v>
      </c>
      <c r="D32" s="2" t="s">
        <v>82</v>
      </c>
      <c r="E32" s="3" t="s">
        <v>86</v>
      </c>
      <c r="F32" s="3" t="s">
        <v>86</v>
      </c>
      <c r="G32" s="3" t="s">
        <v>86</v>
      </c>
      <c r="H32" s="3" t="s">
        <v>86</v>
      </c>
      <c r="I32" s="3" t="s">
        <v>86</v>
      </c>
      <c r="J32" s="3" t="s">
        <v>86</v>
      </c>
      <c r="K32" s="3" t="s">
        <v>104</v>
      </c>
    </row>
    <row r="33" spans="1:11" x14ac:dyDescent="0.25">
      <c r="A33" s="2" t="s">
        <v>123</v>
      </c>
      <c r="B33" s="2" t="s">
        <v>93</v>
      </c>
      <c r="C33" s="4" t="s">
        <v>114</v>
      </c>
      <c r="D33" s="2" t="s">
        <v>82</v>
      </c>
      <c r="E33" s="3" t="s">
        <v>86</v>
      </c>
      <c r="F33" s="3" t="s">
        <v>86</v>
      </c>
      <c r="G33" s="3" t="s">
        <v>86</v>
      </c>
      <c r="H33" s="3" t="s">
        <v>86</v>
      </c>
      <c r="I33" s="3" t="s">
        <v>86</v>
      </c>
      <c r="J33" s="3" t="s">
        <v>86</v>
      </c>
      <c r="K33" s="3" t="s">
        <v>104</v>
      </c>
    </row>
    <row r="34" spans="1:11" x14ac:dyDescent="0.25">
      <c r="A34" s="2" t="s">
        <v>125</v>
      </c>
      <c r="B34" s="2" t="s">
        <v>93</v>
      </c>
      <c r="C34" s="4" t="s">
        <v>22</v>
      </c>
      <c r="D34" s="2" t="s">
        <v>82</v>
      </c>
      <c r="E34" s="3" t="s">
        <v>86</v>
      </c>
      <c r="F34" s="3" t="s">
        <v>86</v>
      </c>
      <c r="G34" s="3" t="s">
        <v>86</v>
      </c>
      <c r="H34" s="3" t="s">
        <v>86</v>
      </c>
      <c r="I34" s="3" t="s">
        <v>86</v>
      </c>
      <c r="J34" s="3" t="s">
        <v>86</v>
      </c>
      <c r="K34" s="3" t="s">
        <v>104</v>
      </c>
    </row>
    <row r="35" spans="1:11" x14ac:dyDescent="0.25">
      <c r="A35" s="2" t="s">
        <v>127</v>
      </c>
      <c r="B35" s="4" t="s">
        <v>93</v>
      </c>
      <c r="C35" s="4" t="s">
        <v>22</v>
      </c>
      <c r="D35" s="2" t="s">
        <v>82</v>
      </c>
      <c r="E35" s="3" t="s">
        <v>86</v>
      </c>
      <c r="F35" s="3" t="s">
        <v>86</v>
      </c>
      <c r="G35" s="3" t="s">
        <v>86</v>
      </c>
      <c r="H35" s="3" t="s">
        <v>86</v>
      </c>
      <c r="I35" s="3" t="s">
        <v>86</v>
      </c>
      <c r="J35" s="3" t="s">
        <v>86</v>
      </c>
      <c r="K35" s="3" t="s">
        <v>104</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F7F32-2BDD-473E-84CF-CD66AF83A6FE}">
  <dimension ref="A1:K35"/>
  <sheetViews>
    <sheetView zoomScale="60" zoomScaleNormal="60" workbookViewId="0">
      <pane ySplit="1" topLeftCell="A2" activePane="bottomLeft" state="frozen"/>
      <selection pane="bottomLeft"/>
    </sheetView>
  </sheetViews>
  <sheetFormatPr defaultRowHeight="15" x14ac:dyDescent="0.25"/>
  <cols>
    <col min="1" max="1" width="16.42578125" style="3" bestFit="1" customWidth="1"/>
    <col min="2" max="2" width="14" style="3" bestFit="1" customWidth="1"/>
    <col min="3" max="3" width="19.140625" style="3" bestFit="1" customWidth="1"/>
    <col min="4" max="4" width="20.5703125" style="3" bestFit="1" customWidth="1"/>
    <col min="5" max="10" width="9.140625" style="7"/>
    <col min="11" max="11" width="9.140625" style="3"/>
  </cols>
  <sheetData>
    <row r="1" spans="1:11" x14ac:dyDescent="0.25">
      <c r="A1" s="1" t="s">
        <v>0</v>
      </c>
      <c r="B1" s="1" t="s">
        <v>70</v>
      </c>
      <c r="C1" s="1" t="s">
        <v>18</v>
      </c>
      <c r="D1" s="1" t="s">
        <v>38</v>
      </c>
      <c r="E1" s="1" t="s">
        <v>1</v>
      </c>
      <c r="F1" s="1" t="s">
        <v>2</v>
      </c>
      <c r="G1" s="1" t="s">
        <v>3</v>
      </c>
      <c r="H1" s="1" t="s">
        <v>4</v>
      </c>
      <c r="I1" s="1" t="s">
        <v>5</v>
      </c>
      <c r="J1" s="1" t="s">
        <v>6</v>
      </c>
      <c r="K1" s="6" t="s">
        <v>48</v>
      </c>
    </row>
    <row r="2" spans="1:11" x14ac:dyDescent="0.25">
      <c r="A2" s="2" t="s">
        <v>9</v>
      </c>
      <c r="B2" s="2" t="s">
        <v>71</v>
      </c>
      <c r="C2" s="2" t="s">
        <v>19</v>
      </c>
      <c r="D2" s="2" t="s">
        <v>68</v>
      </c>
      <c r="E2" s="2">
        <v>0</v>
      </c>
      <c r="F2" s="2">
        <f>dat_infx!E2-dat_hosp.infx!E2</f>
        <v>11</v>
      </c>
      <c r="G2" s="2">
        <v>30</v>
      </c>
      <c r="H2" s="2">
        <f>dat_infx!G2-dat_hosp.infx!G2</f>
        <v>155</v>
      </c>
      <c r="I2" s="7">
        <f>E2+F2</f>
        <v>11</v>
      </c>
      <c r="J2" s="7">
        <f>G2+H2</f>
        <v>185</v>
      </c>
    </row>
    <row r="3" spans="1:11" x14ac:dyDescent="0.25">
      <c r="A3" s="2" t="s">
        <v>14</v>
      </c>
      <c r="B3" s="2" t="s">
        <v>71</v>
      </c>
      <c r="C3" s="2" t="s">
        <v>20</v>
      </c>
      <c r="D3" s="3" t="s">
        <v>69</v>
      </c>
      <c r="E3" s="7">
        <v>0</v>
      </c>
      <c r="F3" s="2">
        <f>dat_infx!E3-dat_hosp.infx!E3</f>
        <v>30</v>
      </c>
      <c r="G3" s="7">
        <v>10</v>
      </c>
      <c r="H3" s="2">
        <f>dat_infx!G3-dat_hosp.infx!G3</f>
        <v>91</v>
      </c>
      <c r="I3" s="7">
        <f t="shared" ref="I3:I10" si="0">E3+F3</f>
        <v>30</v>
      </c>
      <c r="J3" s="7">
        <f t="shared" ref="J3:J10" si="1">G3+H3</f>
        <v>101</v>
      </c>
    </row>
    <row r="4" spans="1:11" x14ac:dyDescent="0.25">
      <c r="A4" s="4" t="s">
        <v>10</v>
      </c>
      <c r="B4" s="2" t="s">
        <v>71</v>
      </c>
      <c r="C4" s="4" t="s">
        <v>21</v>
      </c>
      <c r="D4" s="3" t="s">
        <v>83</v>
      </c>
      <c r="E4" s="7">
        <v>0</v>
      </c>
      <c r="F4" s="2">
        <f>dat_infx!E4-dat_hosp.infx!E4</f>
        <v>16</v>
      </c>
      <c r="G4" s="7">
        <v>20</v>
      </c>
      <c r="H4" s="2">
        <f>dat_infx!G4-dat_hosp.infx!G4</f>
        <v>42</v>
      </c>
      <c r="I4" s="7">
        <f t="shared" si="0"/>
        <v>16</v>
      </c>
      <c r="J4" s="7">
        <f t="shared" si="1"/>
        <v>62</v>
      </c>
    </row>
    <row r="5" spans="1:11" x14ac:dyDescent="0.25">
      <c r="A5" s="4" t="s">
        <v>11</v>
      </c>
      <c r="B5" s="2" t="s">
        <v>71</v>
      </c>
      <c r="C5" s="4" t="s">
        <v>22</v>
      </c>
      <c r="D5" s="5" t="s">
        <v>68</v>
      </c>
      <c r="E5" s="10">
        <v>1</v>
      </c>
      <c r="F5" s="2">
        <f>dat_infx!E5-dat_hosp.infx!E5</f>
        <v>7</v>
      </c>
      <c r="G5" s="10">
        <v>9</v>
      </c>
      <c r="H5" s="2">
        <f>dat_infx!G5-dat_hosp.infx!G5</f>
        <v>153</v>
      </c>
      <c r="I5" s="7">
        <f t="shared" si="0"/>
        <v>8</v>
      </c>
      <c r="J5" s="7">
        <f t="shared" si="1"/>
        <v>162</v>
      </c>
    </row>
    <row r="6" spans="1:11" x14ac:dyDescent="0.25">
      <c r="A6" s="4" t="s">
        <v>12</v>
      </c>
      <c r="B6" s="2" t="s">
        <v>71</v>
      </c>
      <c r="C6" s="4" t="s">
        <v>20</v>
      </c>
      <c r="D6" s="5" t="s">
        <v>69</v>
      </c>
      <c r="E6" s="10">
        <v>0</v>
      </c>
      <c r="F6" s="2">
        <f>dat_infx!E6-dat_hosp.infx!E6</f>
        <v>59</v>
      </c>
      <c r="G6" s="10">
        <v>0</v>
      </c>
      <c r="H6" s="2">
        <f>dat_infx!G6-dat_hosp.infx!G6</f>
        <v>210</v>
      </c>
      <c r="I6" s="7">
        <f t="shared" si="0"/>
        <v>59</v>
      </c>
      <c r="J6" s="7">
        <f t="shared" si="1"/>
        <v>210</v>
      </c>
    </row>
    <row r="7" spans="1:11" x14ac:dyDescent="0.25">
      <c r="A7" s="4" t="s">
        <v>13</v>
      </c>
      <c r="B7" s="2" t="s">
        <v>71</v>
      </c>
      <c r="C7" s="4" t="s">
        <v>23</v>
      </c>
      <c r="D7" s="5" t="s">
        <v>67</v>
      </c>
      <c r="E7" s="10">
        <v>14</v>
      </c>
      <c r="F7" s="2">
        <f>dat_infx!E7-dat_hosp.infx!E7</f>
        <v>103</v>
      </c>
      <c r="G7" s="10">
        <v>60</v>
      </c>
      <c r="H7" s="2">
        <f>dat_infx!G7-dat_hosp.infx!G7</f>
        <v>291</v>
      </c>
      <c r="I7" s="7">
        <f t="shared" si="0"/>
        <v>117</v>
      </c>
      <c r="J7" s="7">
        <f t="shared" si="1"/>
        <v>351</v>
      </c>
    </row>
    <row r="8" spans="1:11" x14ac:dyDescent="0.25">
      <c r="A8" s="4" t="s">
        <v>15</v>
      </c>
      <c r="B8" s="2" t="s">
        <v>71</v>
      </c>
      <c r="C8" s="4" t="s">
        <v>20</v>
      </c>
      <c r="D8" s="5" t="s">
        <v>69</v>
      </c>
      <c r="E8" s="10">
        <v>0</v>
      </c>
      <c r="F8" s="2">
        <f>dat_infx!E8-dat_hosp.infx!E8</f>
        <v>84</v>
      </c>
      <c r="G8" s="10">
        <v>15</v>
      </c>
      <c r="H8" s="2">
        <f>dat_infx!G8-dat_hosp.infx!G8</f>
        <v>233</v>
      </c>
      <c r="I8" s="7">
        <f t="shared" si="0"/>
        <v>84</v>
      </c>
      <c r="J8" s="7">
        <f t="shared" si="1"/>
        <v>248</v>
      </c>
    </row>
    <row r="9" spans="1:11" x14ac:dyDescent="0.25">
      <c r="A9" s="4" t="s">
        <v>95</v>
      </c>
      <c r="B9" s="2" t="s">
        <v>71</v>
      </c>
      <c r="C9" s="4" t="s">
        <v>24</v>
      </c>
      <c r="D9" s="5" t="s">
        <v>68</v>
      </c>
      <c r="E9" s="10">
        <v>0</v>
      </c>
      <c r="F9" s="2">
        <f>dat_infx!E9-dat_hosp.infx!E9</f>
        <v>26</v>
      </c>
      <c r="G9" s="10">
        <v>2</v>
      </c>
      <c r="H9" s="2">
        <f>dat_infx!G9-dat_hosp.infx!G9</f>
        <v>93</v>
      </c>
      <c r="I9" s="7">
        <f t="shared" si="0"/>
        <v>26</v>
      </c>
      <c r="J9" s="7">
        <f t="shared" si="1"/>
        <v>95</v>
      </c>
    </row>
    <row r="10" spans="1:11" x14ac:dyDescent="0.25">
      <c r="A10" s="4" t="s">
        <v>96</v>
      </c>
      <c r="B10" s="2" t="s">
        <v>71</v>
      </c>
      <c r="C10" s="4" t="s">
        <v>25</v>
      </c>
      <c r="D10" s="5" t="s">
        <v>68</v>
      </c>
      <c r="E10" s="10">
        <v>0</v>
      </c>
      <c r="F10" s="2">
        <f>dat_infx!E10-dat_hosp.infx!E10</f>
        <v>21</v>
      </c>
      <c r="G10" s="10">
        <v>2</v>
      </c>
      <c r="H10" s="2">
        <f>dat_infx!G10-dat_hosp.infx!G10</f>
        <v>93</v>
      </c>
      <c r="I10" s="7">
        <f t="shared" si="0"/>
        <v>21</v>
      </c>
      <c r="J10" s="7">
        <f t="shared" si="1"/>
        <v>95</v>
      </c>
    </row>
    <row r="11" spans="1:11" x14ac:dyDescent="0.25">
      <c r="A11" s="4" t="s">
        <v>91</v>
      </c>
      <c r="B11" s="2" t="s">
        <v>71</v>
      </c>
      <c r="C11" s="4" t="s">
        <v>92</v>
      </c>
      <c r="D11" s="5" t="s">
        <v>68</v>
      </c>
      <c r="E11" s="10">
        <v>0</v>
      </c>
      <c r="F11" s="2">
        <f>dat_infx!E11-dat_hosp.infx!E11</f>
        <v>15</v>
      </c>
      <c r="G11" s="10">
        <v>1</v>
      </c>
      <c r="H11" s="2">
        <f>dat_infx!G11-dat_hosp.infx!G11</f>
        <v>28</v>
      </c>
      <c r="I11" s="7">
        <f t="shared" ref="I11:I17" si="2">E11+F11</f>
        <v>15</v>
      </c>
      <c r="J11" s="7">
        <f t="shared" ref="J11:J17" si="3">G11+H11</f>
        <v>29</v>
      </c>
    </row>
    <row r="12" spans="1:11" x14ac:dyDescent="0.25">
      <c r="A12" s="4" t="s">
        <v>101</v>
      </c>
      <c r="B12" s="2" t="s">
        <v>71</v>
      </c>
      <c r="C12" s="4" t="s">
        <v>20</v>
      </c>
      <c r="D12" s="5" t="s">
        <v>105</v>
      </c>
      <c r="E12" s="10">
        <v>0</v>
      </c>
      <c r="F12" s="2">
        <f>dat_infx!E12-dat_hosp.infx!E12</f>
        <v>19</v>
      </c>
      <c r="G12" s="10">
        <v>0</v>
      </c>
      <c r="H12" s="2">
        <f>dat_infx!G12-dat_hosp.infx!G12</f>
        <v>23</v>
      </c>
      <c r="I12" s="7">
        <f t="shared" si="2"/>
        <v>19</v>
      </c>
      <c r="J12" s="7">
        <f t="shared" si="3"/>
        <v>23</v>
      </c>
    </row>
    <row r="13" spans="1:11" x14ac:dyDescent="0.25">
      <c r="A13" s="2" t="s">
        <v>74</v>
      </c>
      <c r="B13" s="2" t="s">
        <v>93</v>
      </c>
      <c r="C13" s="4" t="s">
        <v>22</v>
      </c>
      <c r="D13" s="3" t="s">
        <v>69</v>
      </c>
      <c r="E13" s="7">
        <v>596</v>
      </c>
      <c r="F13" s="2">
        <f>dat_infx!E13-dat_hosp.infx!E13</f>
        <v>5670</v>
      </c>
      <c r="G13" s="7">
        <v>5526</v>
      </c>
      <c r="H13" s="2">
        <f>dat_infx!G13-dat_hosp.infx!G13</f>
        <v>104350</v>
      </c>
      <c r="I13" s="7">
        <f t="shared" si="2"/>
        <v>6266</v>
      </c>
      <c r="J13" s="7">
        <f t="shared" si="3"/>
        <v>109876</v>
      </c>
    </row>
    <row r="14" spans="1:11" x14ac:dyDescent="0.25">
      <c r="A14" s="2" t="s">
        <v>72</v>
      </c>
      <c r="B14" s="2" t="s">
        <v>93</v>
      </c>
      <c r="C14" s="4" t="s">
        <v>22</v>
      </c>
      <c r="D14" s="3" t="s">
        <v>69</v>
      </c>
      <c r="E14" s="7">
        <f>110-108</f>
        <v>2</v>
      </c>
      <c r="F14" s="2">
        <f>dat_infx!E14-dat_hosp.infx!E14</f>
        <v>53</v>
      </c>
      <c r="G14" s="7">
        <f>259-244</f>
        <v>15</v>
      </c>
      <c r="H14" s="2">
        <f>dat_infx!G14-dat_hosp.infx!G14</f>
        <v>310</v>
      </c>
      <c r="I14" s="7">
        <f t="shared" si="2"/>
        <v>55</v>
      </c>
      <c r="J14" s="7">
        <f t="shared" si="3"/>
        <v>325</v>
      </c>
    </row>
    <row r="15" spans="1:11" x14ac:dyDescent="0.25">
      <c r="A15" s="2" t="s">
        <v>73</v>
      </c>
      <c r="B15" s="2" t="s">
        <v>93</v>
      </c>
      <c r="C15" s="4" t="s">
        <v>77</v>
      </c>
      <c r="D15" s="3" t="s">
        <v>104</v>
      </c>
      <c r="E15" s="3" t="s">
        <v>86</v>
      </c>
      <c r="F15" s="3" t="s">
        <v>86</v>
      </c>
      <c r="G15" s="3" t="s">
        <v>86</v>
      </c>
      <c r="H15" s="3" t="s">
        <v>86</v>
      </c>
      <c r="I15" s="3" t="s">
        <v>86</v>
      </c>
      <c r="J15" s="3" t="s">
        <v>86</v>
      </c>
      <c r="K15" s="3" t="s">
        <v>104</v>
      </c>
    </row>
    <row r="16" spans="1:11" x14ac:dyDescent="0.25">
      <c r="A16" s="2" t="s">
        <v>97</v>
      </c>
      <c r="B16" s="2" t="s">
        <v>93</v>
      </c>
      <c r="C16" s="4" t="s">
        <v>22</v>
      </c>
      <c r="D16" s="3" t="s">
        <v>106</v>
      </c>
      <c r="E16" s="7">
        <v>1</v>
      </c>
      <c r="F16" s="2">
        <f>dat_infx!E16-dat_hosp.infx!E16</f>
        <v>2</v>
      </c>
      <c r="G16" s="7">
        <v>47</v>
      </c>
      <c r="H16" s="2">
        <f>dat_infx!G16-dat_hosp.infx!G16</f>
        <v>150</v>
      </c>
      <c r="I16" s="7">
        <f t="shared" si="2"/>
        <v>3</v>
      </c>
      <c r="J16" s="7">
        <f t="shared" si="3"/>
        <v>197</v>
      </c>
    </row>
    <row r="17" spans="1:11" x14ac:dyDescent="0.25">
      <c r="A17" s="2" t="s">
        <v>98</v>
      </c>
      <c r="B17" s="2" t="s">
        <v>93</v>
      </c>
      <c r="C17" s="4" t="s">
        <v>19</v>
      </c>
      <c r="D17" s="3" t="s">
        <v>106</v>
      </c>
      <c r="E17" s="7">
        <v>2</v>
      </c>
      <c r="F17" s="2">
        <f>dat_infx!E17-dat_hosp.infx!E17</f>
        <v>2</v>
      </c>
      <c r="G17" s="7">
        <v>47</v>
      </c>
      <c r="H17" s="2">
        <f>dat_infx!G17-dat_hosp.infx!G17</f>
        <v>150</v>
      </c>
      <c r="I17" s="7">
        <f t="shared" si="2"/>
        <v>4</v>
      </c>
      <c r="J17" s="7">
        <f t="shared" si="3"/>
        <v>197</v>
      </c>
    </row>
    <row r="18" spans="1:11" x14ac:dyDescent="0.25">
      <c r="A18" s="2" t="s">
        <v>94</v>
      </c>
      <c r="B18" s="2" t="s">
        <v>93</v>
      </c>
      <c r="C18" s="4" t="s">
        <v>22</v>
      </c>
      <c r="D18" s="3" t="s">
        <v>104</v>
      </c>
      <c r="E18" s="3" t="s">
        <v>86</v>
      </c>
      <c r="F18" s="3" t="s">
        <v>86</v>
      </c>
      <c r="G18" s="3" t="s">
        <v>86</v>
      </c>
      <c r="H18" s="3" t="s">
        <v>86</v>
      </c>
      <c r="I18" s="3" t="s">
        <v>86</v>
      </c>
      <c r="J18" s="3" t="s">
        <v>86</v>
      </c>
      <c r="K18" s="3" t="s">
        <v>104</v>
      </c>
    </row>
    <row r="19" spans="1:11" x14ac:dyDescent="0.25">
      <c r="A19" s="2" t="s">
        <v>99</v>
      </c>
      <c r="B19" s="2" t="s">
        <v>93</v>
      </c>
      <c r="C19" s="4" t="s">
        <v>20</v>
      </c>
      <c r="D19" s="3" t="s">
        <v>104</v>
      </c>
      <c r="E19" s="3" t="s">
        <v>86</v>
      </c>
      <c r="F19" s="3" t="s">
        <v>86</v>
      </c>
      <c r="G19" s="3" t="s">
        <v>86</v>
      </c>
      <c r="H19" s="3" t="s">
        <v>86</v>
      </c>
      <c r="I19" s="3" t="s">
        <v>86</v>
      </c>
      <c r="J19" s="3" t="s">
        <v>86</v>
      </c>
      <c r="K19" s="3" t="s">
        <v>104</v>
      </c>
    </row>
    <row r="20" spans="1:11" x14ac:dyDescent="0.25">
      <c r="A20" s="2" t="s">
        <v>100</v>
      </c>
      <c r="B20" s="2" t="s">
        <v>93</v>
      </c>
      <c r="C20" s="4" t="s">
        <v>22</v>
      </c>
      <c r="D20" s="3" t="s">
        <v>104</v>
      </c>
      <c r="E20" s="3" t="s">
        <v>86</v>
      </c>
      <c r="F20" s="3" t="s">
        <v>86</v>
      </c>
      <c r="G20" s="3" t="s">
        <v>86</v>
      </c>
      <c r="H20" s="3" t="s">
        <v>86</v>
      </c>
      <c r="I20" s="3" t="s">
        <v>86</v>
      </c>
      <c r="J20" s="3" t="s">
        <v>86</v>
      </c>
      <c r="K20" s="3" t="s">
        <v>104</v>
      </c>
    </row>
    <row r="21" spans="1:11" x14ac:dyDescent="0.25">
      <c r="A21" s="2" t="s">
        <v>102</v>
      </c>
      <c r="B21" s="2" t="s">
        <v>93</v>
      </c>
      <c r="C21" s="4" t="s">
        <v>20</v>
      </c>
      <c r="D21" s="3" t="s">
        <v>104</v>
      </c>
      <c r="E21" s="3" t="s">
        <v>86</v>
      </c>
      <c r="F21" s="3" t="s">
        <v>86</v>
      </c>
      <c r="G21" s="3" t="s">
        <v>86</v>
      </c>
      <c r="H21" s="3" t="s">
        <v>86</v>
      </c>
      <c r="I21" s="3" t="s">
        <v>86</v>
      </c>
      <c r="J21" s="3" t="s">
        <v>86</v>
      </c>
      <c r="K21" s="3" t="s">
        <v>104</v>
      </c>
    </row>
    <row r="22" spans="1:11" x14ac:dyDescent="0.25">
      <c r="A22" s="2" t="s">
        <v>103</v>
      </c>
      <c r="B22" s="2" t="s">
        <v>93</v>
      </c>
      <c r="C22" s="4" t="s">
        <v>22</v>
      </c>
      <c r="D22" s="3" t="s">
        <v>104</v>
      </c>
      <c r="E22" s="3" t="s">
        <v>86</v>
      </c>
      <c r="F22" s="3" t="s">
        <v>86</v>
      </c>
      <c r="G22" s="3" t="s">
        <v>86</v>
      </c>
      <c r="H22" s="3" t="s">
        <v>86</v>
      </c>
      <c r="I22" s="3" t="s">
        <v>86</v>
      </c>
      <c r="J22" s="3" t="s">
        <v>86</v>
      </c>
      <c r="K22" s="3" t="s">
        <v>104</v>
      </c>
    </row>
    <row r="23" spans="1:11" x14ac:dyDescent="0.25">
      <c r="A23" s="2" t="s">
        <v>108</v>
      </c>
      <c r="B23" s="2" t="s">
        <v>93</v>
      </c>
      <c r="C23" s="4" t="s">
        <v>22</v>
      </c>
      <c r="D23" s="3" t="s">
        <v>104</v>
      </c>
      <c r="E23" s="3" t="s">
        <v>86</v>
      </c>
      <c r="F23" s="3" t="s">
        <v>86</v>
      </c>
      <c r="G23" s="3" t="s">
        <v>86</v>
      </c>
      <c r="H23" s="3" t="s">
        <v>86</v>
      </c>
      <c r="I23" s="3" t="s">
        <v>86</v>
      </c>
      <c r="J23" s="3" t="s">
        <v>86</v>
      </c>
      <c r="K23" s="3" t="s">
        <v>104</v>
      </c>
    </row>
    <row r="24" spans="1:11" x14ac:dyDescent="0.25">
      <c r="A24" s="2" t="s">
        <v>109</v>
      </c>
      <c r="B24" s="2" t="s">
        <v>93</v>
      </c>
      <c r="C24" s="4" t="s">
        <v>22</v>
      </c>
      <c r="D24" s="3" t="s">
        <v>104</v>
      </c>
      <c r="E24" s="3" t="s">
        <v>86</v>
      </c>
      <c r="F24" s="3" t="s">
        <v>86</v>
      </c>
      <c r="G24" s="3" t="s">
        <v>86</v>
      </c>
      <c r="H24" s="3" t="s">
        <v>86</v>
      </c>
      <c r="I24" s="3" t="s">
        <v>86</v>
      </c>
      <c r="J24" s="3" t="s">
        <v>86</v>
      </c>
      <c r="K24" s="3" t="s">
        <v>104</v>
      </c>
    </row>
    <row r="25" spans="1:11" x14ac:dyDescent="0.25">
      <c r="A25" s="3" t="s">
        <v>110</v>
      </c>
      <c r="B25" s="2" t="s">
        <v>93</v>
      </c>
      <c r="C25" s="4" t="s">
        <v>23</v>
      </c>
      <c r="D25" s="3" t="s">
        <v>69</v>
      </c>
      <c r="E25" s="7">
        <v>1</v>
      </c>
      <c r="F25" s="2">
        <f>13-E25</f>
        <v>12</v>
      </c>
      <c r="G25" s="7">
        <v>19</v>
      </c>
      <c r="H25" s="2">
        <f>130-G25</f>
        <v>111</v>
      </c>
      <c r="I25" s="7">
        <f t="shared" ref="I25:I28" si="4">E25+F25</f>
        <v>13</v>
      </c>
      <c r="J25" s="7">
        <f t="shared" ref="J25:J28" si="5">G25+H25</f>
        <v>130</v>
      </c>
      <c r="K25" s="3" t="s">
        <v>112</v>
      </c>
    </row>
    <row r="26" spans="1:11" x14ac:dyDescent="0.25">
      <c r="A26" s="2" t="s">
        <v>113</v>
      </c>
      <c r="B26" s="2" t="s">
        <v>93</v>
      </c>
      <c r="C26" s="4" t="s">
        <v>114</v>
      </c>
      <c r="D26" s="3" t="s">
        <v>104</v>
      </c>
      <c r="E26" s="3" t="s">
        <v>86</v>
      </c>
      <c r="F26" s="3" t="s">
        <v>86</v>
      </c>
      <c r="G26" s="3" t="s">
        <v>86</v>
      </c>
      <c r="H26" s="3" t="s">
        <v>86</v>
      </c>
      <c r="I26" s="3" t="s">
        <v>86</v>
      </c>
      <c r="J26" s="3" t="s">
        <v>86</v>
      </c>
      <c r="K26" s="3" t="s">
        <v>104</v>
      </c>
    </row>
    <row r="27" spans="1:11" x14ac:dyDescent="0.25">
      <c r="A27" s="2" t="s">
        <v>115</v>
      </c>
      <c r="B27" s="2" t="s">
        <v>93</v>
      </c>
      <c r="C27" s="4" t="s">
        <v>22</v>
      </c>
      <c r="D27" s="3" t="s">
        <v>104</v>
      </c>
      <c r="E27" s="3" t="s">
        <v>86</v>
      </c>
      <c r="F27" s="3" t="s">
        <v>86</v>
      </c>
      <c r="G27" s="3" t="s">
        <v>86</v>
      </c>
      <c r="H27" s="3" t="s">
        <v>86</v>
      </c>
      <c r="I27" s="3" t="s">
        <v>86</v>
      </c>
      <c r="J27" s="3" t="s">
        <v>86</v>
      </c>
      <c r="K27" s="3" t="s">
        <v>104</v>
      </c>
    </row>
    <row r="28" spans="1:11" x14ac:dyDescent="0.25">
      <c r="A28" s="2" t="s">
        <v>118</v>
      </c>
      <c r="B28" s="2" t="s">
        <v>93</v>
      </c>
      <c r="C28" s="4" t="s">
        <v>114</v>
      </c>
      <c r="D28" s="3" t="s">
        <v>69</v>
      </c>
      <c r="E28" s="7">
        <v>0</v>
      </c>
      <c r="F28" s="2">
        <f>dat_infx!E28-dat_hosp.infx!E28</f>
        <v>2</v>
      </c>
      <c r="G28" s="7">
        <v>16</v>
      </c>
      <c r="H28" s="2">
        <f>dat_infx!G28-dat_hosp.infx!G28</f>
        <v>619</v>
      </c>
      <c r="I28" s="7">
        <f t="shared" si="4"/>
        <v>2</v>
      </c>
      <c r="J28" s="7">
        <f t="shared" si="5"/>
        <v>635</v>
      </c>
    </row>
    <row r="29" spans="1:11" x14ac:dyDescent="0.25">
      <c r="A29" s="2" t="s">
        <v>119</v>
      </c>
      <c r="B29" s="2" t="s">
        <v>93</v>
      </c>
      <c r="C29" s="4" t="s">
        <v>22</v>
      </c>
      <c r="D29" s="3" t="s">
        <v>104</v>
      </c>
      <c r="E29" s="3" t="s">
        <v>86</v>
      </c>
      <c r="F29" s="3" t="s">
        <v>86</v>
      </c>
      <c r="G29" s="3" t="s">
        <v>86</v>
      </c>
      <c r="H29" s="3" t="s">
        <v>86</v>
      </c>
      <c r="I29" s="3" t="s">
        <v>86</v>
      </c>
      <c r="J29" s="3" t="s">
        <v>86</v>
      </c>
      <c r="K29" s="3" t="s">
        <v>104</v>
      </c>
    </row>
    <row r="30" spans="1:11" x14ac:dyDescent="0.25">
      <c r="A30" s="2" t="s">
        <v>120</v>
      </c>
      <c r="B30" s="2" t="s">
        <v>93</v>
      </c>
      <c r="C30" s="4" t="s">
        <v>22</v>
      </c>
      <c r="D30" s="3" t="s">
        <v>104</v>
      </c>
      <c r="E30" s="3" t="s">
        <v>86</v>
      </c>
      <c r="F30" s="3" t="s">
        <v>86</v>
      </c>
      <c r="G30" s="3" t="s">
        <v>86</v>
      </c>
      <c r="H30" s="3" t="s">
        <v>86</v>
      </c>
      <c r="I30" s="3" t="s">
        <v>86</v>
      </c>
      <c r="J30" s="3" t="s">
        <v>86</v>
      </c>
      <c r="K30" s="3" t="s">
        <v>104</v>
      </c>
    </row>
    <row r="31" spans="1:11" x14ac:dyDescent="0.25">
      <c r="A31" s="2" t="s">
        <v>121</v>
      </c>
      <c r="B31" s="2" t="s">
        <v>93</v>
      </c>
      <c r="C31" s="4" t="s">
        <v>20</v>
      </c>
      <c r="D31" s="3" t="s">
        <v>104</v>
      </c>
      <c r="E31" s="3" t="s">
        <v>86</v>
      </c>
      <c r="F31" s="3" t="s">
        <v>86</v>
      </c>
      <c r="G31" s="3" t="s">
        <v>86</v>
      </c>
      <c r="H31" s="3" t="s">
        <v>86</v>
      </c>
      <c r="I31" s="3" t="s">
        <v>86</v>
      </c>
      <c r="J31" s="3" t="s">
        <v>86</v>
      </c>
      <c r="K31" s="3" t="s">
        <v>104</v>
      </c>
    </row>
    <row r="32" spans="1:11" x14ac:dyDescent="0.25">
      <c r="A32" s="2" t="s">
        <v>122</v>
      </c>
      <c r="B32" s="2" t="s">
        <v>93</v>
      </c>
      <c r="C32" s="4" t="s">
        <v>22</v>
      </c>
      <c r="D32" s="3" t="s">
        <v>104</v>
      </c>
      <c r="E32" s="3" t="s">
        <v>86</v>
      </c>
      <c r="F32" s="3" t="s">
        <v>86</v>
      </c>
      <c r="G32" s="3" t="s">
        <v>86</v>
      </c>
      <c r="H32" s="3" t="s">
        <v>86</v>
      </c>
      <c r="I32" s="3" t="s">
        <v>86</v>
      </c>
      <c r="J32" s="3" t="s">
        <v>86</v>
      </c>
      <c r="K32" s="3" t="s">
        <v>104</v>
      </c>
    </row>
    <row r="33" spans="1:11" x14ac:dyDescent="0.25">
      <c r="A33" s="2" t="s">
        <v>123</v>
      </c>
      <c r="B33" s="2" t="s">
        <v>93</v>
      </c>
      <c r="C33" s="4" t="s">
        <v>114</v>
      </c>
      <c r="D33" s="3" t="s">
        <v>104</v>
      </c>
      <c r="E33" s="3" t="s">
        <v>86</v>
      </c>
      <c r="F33" s="3" t="s">
        <v>86</v>
      </c>
      <c r="G33" s="3" t="s">
        <v>86</v>
      </c>
      <c r="H33" s="3" t="s">
        <v>86</v>
      </c>
      <c r="I33" s="3" t="s">
        <v>86</v>
      </c>
      <c r="J33" s="3" t="s">
        <v>86</v>
      </c>
      <c r="K33" s="3" t="s">
        <v>104</v>
      </c>
    </row>
    <row r="34" spans="1:11" x14ac:dyDescent="0.25">
      <c r="A34" s="2" t="s">
        <v>125</v>
      </c>
      <c r="B34" s="2" t="s">
        <v>93</v>
      </c>
      <c r="C34" s="4" t="s">
        <v>22</v>
      </c>
      <c r="D34" s="3" t="s">
        <v>104</v>
      </c>
      <c r="E34" s="3" t="s">
        <v>86</v>
      </c>
      <c r="F34" s="3" t="s">
        <v>86</v>
      </c>
      <c r="G34" s="3" t="s">
        <v>86</v>
      </c>
      <c r="H34" s="3" t="s">
        <v>86</v>
      </c>
      <c r="I34" s="3" t="s">
        <v>86</v>
      </c>
      <c r="J34" s="3" t="s">
        <v>86</v>
      </c>
      <c r="K34" s="3" t="s">
        <v>104</v>
      </c>
    </row>
    <row r="35" spans="1:11" x14ac:dyDescent="0.25">
      <c r="A35" s="2" t="s">
        <v>127</v>
      </c>
      <c r="B35" s="4" t="s">
        <v>93</v>
      </c>
      <c r="C35" s="4" t="s">
        <v>22</v>
      </c>
      <c r="D35" s="3" t="s">
        <v>104</v>
      </c>
      <c r="E35" s="3" t="s">
        <v>86</v>
      </c>
      <c r="F35" s="3" t="s">
        <v>86</v>
      </c>
      <c r="G35" s="3" t="s">
        <v>86</v>
      </c>
      <c r="H35" s="3" t="s">
        <v>86</v>
      </c>
      <c r="I35" s="3" t="s">
        <v>86</v>
      </c>
      <c r="J35" s="3" t="s">
        <v>86</v>
      </c>
      <c r="K35" s="3" t="s">
        <v>104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96772-AB3D-400A-B923-7DC0869ED0F6}">
  <dimension ref="A1:K35"/>
  <sheetViews>
    <sheetView zoomScale="60" zoomScaleNormal="60" workbookViewId="0">
      <pane ySplit="1" topLeftCell="A2" activePane="bottomLeft" state="frozen"/>
      <selection pane="bottomLeft"/>
    </sheetView>
  </sheetViews>
  <sheetFormatPr defaultRowHeight="15" x14ac:dyDescent="0.25"/>
  <cols>
    <col min="1" max="1" width="16.42578125" style="3" bestFit="1" customWidth="1"/>
    <col min="2" max="2" width="14" style="3" bestFit="1" customWidth="1"/>
    <col min="3" max="3" width="19.140625" style="3" bestFit="1" customWidth="1"/>
    <col min="4" max="4" width="11.5703125" style="3" bestFit="1" customWidth="1"/>
    <col min="5" max="10" width="9.140625" style="7"/>
    <col min="11" max="11" width="9.140625" style="3"/>
  </cols>
  <sheetData>
    <row r="1" spans="1:11" x14ac:dyDescent="0.25">
      <c r="A1" s="1" t="s">
        <v>0</v>
      </c>
      <c r="B1" s="1" t="s">
        <v>70</v>
      </c>
      <c r="C1" s="1" t="s">
        <v>18</v>
      </c>
      <c r="D1" s="1" t="s">
        <v>38</v>
      </c>
      <c r="E1" s="1" t="s">
        <v>1</v>
      </c>
      <c r="F1" s="1" t="s">
        <v>2</v>
      </c>
      <c r="G1" s="1" t="s">
        <v>3</v>
      </c>
      <c r="H1" s="1" t="s">
        <v>4</v>
      </c>
      <c r="I1" s="1" t="s">
        <v>5</v>
      </c>
      <c r="J1" s="1" t="s">
        <v>6</v>
      </c>
      <c r="K1" s="8" t="s">
        <v>48</v>
      </c>
    </row>
    <row r="2" spans="1:11" x14ac:dyDescent="0.25">
      <c r="A2" s="2" t="s">
        <v>9</v>
      </c>
      <c r="B2" s="2" t="s">
        <v>71</v>
      </c>
      <c r="C2" s="2" t="s">
        <v>19</v>
      </c>
      <c r="D2" s="2" t="s">
        <v>81</v>
      </c>
      <c r="E2" s="2">
        <v>0</v>
      </c>
      <c r="F2" s="2">
        <f>dat_infx!E2-dat_death.infx!E2</f>
        <v>11</v>
      </c>
      <c r="G2" s="2">
        <v>1</v>
      </c>
      <c r="H2" s="2">
        <f>dat_infx!G2-dat_death.infx!G2</f>
        <v>184</v>
      </c>
      <c r="I2" s="7">
        <f>E2+F2</f>
        <v>11</v>
      </c>
      <c r="J2" s="7">
        <f>G2+H2</f>
        <v>185</v>
      </c>
    </row>
    <row r="3" spans="1:11" x14ac:dyDescent="0.25">
      <c r="A3" s="2" t="s">
        <v>14</v>
      </c>
      <c r="B3" s="2" t="s">
        <v>71</v>
      </c>
      <c r="C3" s="2" t="s">
        <v>20</v>
      </c>
      <c r="D3" s="2" t="s">
        <v>81</v>
      </c>
      <c r="E3" s="7">
        <v>0</v>
      </c>
      <c r="F3" s="2">
        <f>dat_infx!E3-dat_death.infx!E3</f>
        <v>30</v>
      </c>
      <c r="G3" s="7">
        <v>1</v>
      </c>
      <c r="H3" s="2">
        <f>dat_infx!G3-dat_death.infx!G3</f>
        <v>100</v>
      </c>
      <c r="I3" s="7">
        <f t="shared" ref="I3:I10" si="0">E3+F3</f>
        <v>30</v>
      </c>
      <c r="J3" s="7">
        <f t="shared" ref="J3:J10" si="1">G3+H3</f>
        <v>101</v>
      </c>
    </row>
    <row r="4" spans="1:11" x14ac:dyDescent="0.25">
      <c r="A4" s="4" t="s">
        <v>10</v>
      </c>
      <c r="B4" s="2" t="s">
        <v>71</v>
      </c>
      <c r="C4" s="4" t="s">
        <v>21</v>
      </c>
      <c r="D4" s="2" t="s">
        <v>81</v>
      </c>
      <c r="E4" s="7">
        <v>0</v>
      </c>
      <c r="F4" s="2">
        <f>dat_infx!E4-dat_death.infx!E4</f>
        <v>16</v>
      </c>
      <c r="G4" s="7">
        <v>0</v>
      </c>
      <c r="H4" s="2">
        <f>dat_infx!G4-dat_death.infx!G4</f>
        <v>62</v>
      </c>
      <c r="I4" s="7">
        <f t="shared" si="0"/>
        <v>16</v>
      </c>
      <c r="J4" s="7">
        <f t="shared" si="1"/>
        <v>62</v>
      </c>
      <c r="K4" s="3" t="s">
        <v>78</v>
      </c>
    </row>
    <row r="5" spans="1:11" x14ac:dyDescent="0.25">
      <c r="A5" s="4" t="s">
        <v>11</v>
      </c>
      <c r="B5" s="2" t="s">
        <v>71</v>
      </c>
      <c r="C5" s="4" t="s">
        <v>22</v>
      </c>
      <c r="D5" s="2" t="s">
        <v>81</v>
      </c>
      <c r="E5" s="10">
        <v>0</v>
      </c>
      <c r="F5" s="2">
        <f>dat_infx!E5-dat_death.infx!E5</f>
        <v>8</v>
      </c>
      <c r="G5" s="10">
        <v>0</v>
      </c>
      <c r="H5" s="2">
        <f>dat_infx!G5-dat_death.infx!G5</f>
        <v>162</v>
      </c>
      <c r="I5" s="7">
        <f t="shared" si="0"/>
        <v>8</v>
      </c>
      <c r="J5" s="7">
        <f t="shared" si="1"/>
        <v>162</v>
      </c>
    </row>
    <row r="6" spans="1:11" x14ac:dyDescent="0.25">
      <c r="A6" s="4" t="s">
        <v>12</v>
      </c>
      <c r="B6" s="2" t="s">
        <v>71</v>
      </c>
      <c r="C6" s="4" t="s">
        <v>20</v>
      </c>
      <c r="D6" s="2" t="s">
        <v>81</v>
      </c>
      <c r="E6" s="10">
        <v>0</v>
      </c>
      <c r="F6" s="2">
        <f>dat_infx!E6-dat_death.infx!E6</f>
        <v>59</v>
      </c>
      <c r="G6" s="10">
        <v>0</v>
      </c>
      <c r="H6" s="2">
        <f>dat_infx!G6-dat_death.infx!G6</f>
        <v>210</v>
      </c>
      <c r="I6" s="7">
        <f t="shared" si="0"/>
        <v>59</v>
      </c>
      <c r="J6" s="7">
        <f t="shared" si="1"/>
        <v>210</v>
      </c>
    </row>
    <row r="7" spans="1:11" x14ac:dyDescent="0.25">
      <c r="A7" s="4" t="s">
        <v>13</v>
      </c>
      <c r="B7" s="2" t="s">
        <v>71</v>
      </c>
      <c r="C7" s="4" t="s">
        <v>23</v>
      </c>
      <c r="D7" s="2" t="s">
        <v>81</v>
      </c>
      <c r="E7" s="10">
        <v>0</v>
      </c>
      <c r="F7" s="2">
        <f>dat_infx!E7-dat_death.infx!E7</f>
        <v>117</v>
      </c>
      <c r="G7" s="10">
        <v>5</v>
      </c>
      <c r="H7" s="2">
        <f>dat_infx!G7-dat_death.infx!G7</f>
        <v>346</v>
      </c>
      <c r="I7" s="7">
        <f t="shared" si="0"/>
        <v>117</v>
      </c>
      <c r="J7" s="7">
        <f t="shared" si="1"/>
        <v>351</v>
      </c>
    </row>
    <row r="8" spans="1:11" x14ac:dyDescent="0.25">
      <c r="A8" s="4" t="s">
        <v>15</v>
      </c>
      <c r="B8" s="2" t="s">
        <v>71</v>
      </c>
      <c r="C8" s="4" t="s">
        <v>20</v>
      </c>
      <c r="D8" s="2" t="s">
        <v>81</v>
      </c>
      <c r="E8" s="10">
        <v>0</v>
      </c>
      <c r="F8" s="2">
        <f>dat_infx!E8-dat_death.infx!E8</f>
        <v>84</v>
      </c>
      <c r="G8" s="10">
        <v>1</v>
      </c>
      <c r="H8" s="2">
        <f>dat_infx!G8-dat_death.infx!G8</f>
        <v>247</v>
      </c>
      <c r="I8" s="7">
        <f t="shared" si="0"/>
        <v>84</v>
      </c>
      <c r="J8" s="7">
        <f t="shared" si="1"/>
        <v>248</v>
      </c>
    </row>
    <row r="9" spans="1:11" x14ac:dyDescent="0.25">
      <c r="A9" s="4" t="s">
        <v>95</v>
      </c>
      <c r="B9" s="2" t="s">
        <v>71</v>
      </c>
      <c r="C9" s="4" t="s">
        <v>24</v>
      </c>
      <c r="D9" s="2" t="s">
        <v>81</v>
      </c>
      <c r="E9" s="10">
        <v>0</v>
      </c>
      <c r="F9" s="2">
        <f>dat_infx!E9-dat_death.infx!E9</f>
        <v>26</v>
      </c>
      <c r="G9" s="10">
        <v>0</v>
      </c>
      <c r="H9" s="2">
        <f>dat_infx!G9-dat_death.infx!G9</f>
        <v>95</v>
      </c>
      <c r="I9" s="7">
        <f t="shared" si="0"/>
        <v>26</v>
      </c>
      <c r="J9" s="7">
        <f t="shared" si="1"/>
        <v>95</v>
      </c>
    </row>
    <row r="10" spans="1:11" x14ac:dyDescent="0.25">
      <c r="A10" s="4" t="s">
        <v>96</v>
      </c>
      <c r="B10" s="2" t="s">
        <v>71</v>
      </c>
      <c r="C10" s="4" t="s">
        <v>25</v>
      </c>
      <c r="D10" s="2" t="s">
        <v>81</v>
      </c>
      <c r="E10" s="10">
        <v>0</v>
      </c>
      <c r="F10" s="2">
        <f>dat_infx!E10-dat_death.infx!E10</f>
        <v>21</v>
      </c>
      <c r="G10" s="10">
        <v>0</v>
      </c>
      <c r="H10" s="2">
        <f>dat_infx!G10-dat_death.infx!G10</f>
        <v>95</v>
      </c>
      <c r="I10" s="7">
        <f t="shared" si="0"/>
        <v>21</v>
      </c>
      <c r="J10" s="7">
        <f t="shared" si="1"/>
        <v>95</v>
      </c>
    </row>
    <row r="11" spans="1:11" x14ac:dyDescent="0.25">
      <c r="A11" s="4" t="s">
        <v>91</v>
      </c>
      <c r="B11" s="2" t="s">
        <v>71</v>
      </c>
      <c r="C11" s="4" t="s">
        <v>92</v>
      </c>
      <c r="D11" s="2" t="s">
        <v>81</v>
      </c>
      <c r="E11" s="10" t="s">
        <v>86</v>
      </c>
      <c r="F11" s="2" t="s">
        <v>86</v>
      </c>
      <c r="G11" s="10" t="s">
        <v>86</v>
      </c>
      <c r="H11" s="2" t="s">
        <v>86</v>
      </c>
      <c r="I11" s="7" t="s">
        <v>86</v>
      </c>
      <c r="J11" s="7" t="s">
        <v>86</v>
      </c>
      <c r="K11" s="3" t="s">
        <v>104</v>
      </c>
    </row>
    <row r="12" spans="1:11" x14ac:dyDescent="0.25">
      <c r="A12" s="4" t="s">
        <v>101</v>
      </c>
      <c r="B12" s="2" t="s">
        <v>71</v>
      </c>
      <c r="C12" s="4" t="s">
        <v>20</v>
      </c>
      <c r="D12" s="2" t="s">
        <v>81</v>
      </c>
      <c r="E12" s="10" t="s">
        <v>86</v>
      </c>
      <c r="F12" s="2" t="s">
        <v>86</v>
      </c>
      <c r="G12" s="10" t="s">
        <v>86</v>
      </c>
      <c r="H12" s="2" t="s">
        <v>86</v>
      </c>
      <c r="I12" s="7" t="s">
        <v>86</v>
      </c>
      <c r="J12" s="7" t="s">
        <v>86</v>
      </c>
      <c r="K12" s="3" t="s">
        <v>104</v>
      </c>
    </row>
    <row r="13" spans="1:11" x14ac:dyDescent="0.25">
      <c r="A13" s="2" t="s">
        <v>74</v>
      </c>
      <c r="B13" s="2" t="s">
        <v>93</v>
      </c>
      <c r="C13" s="4" t="s">
        <v>22</v>
      </c>
      <c r="D13" s="2" t="s">
        <v>81</v>
      </c>
      <c r="E13" s="10">
        <v>138</v>
      </c>
      <c r="F13" s="2">
        <f>dat_infx!E13-dat_death.infx!E13</f>
        <v>6128</v>
      </c>
      <c r="G13" s="10">
        <v>715</v>
      </c>
      <c r="H13" s="2">
        <f>dat_infx!G13-dat_death.infx!G13</f>
        <v>109161</v>
      </c>
      <c r="I13" s="7">
        <f t="shared" ref="I13:I14" si="2">E13+F13</f>
        <v>6266</v>
      </c>
      <c r="J13" s="7">
        <f t="shared" ref="J13:J14" si="3">G13+H13</f>
        <v>109876</v>
      </c>
    </row>
    <row r="14" spans="1:11" x14ac:dyDescent="0.25">
      <c r="A14" s="2" t="s">
        <v>72</v>
      </c>
      <c r="B14" s="2" t="s">
        <v>93</v>
      </c>
      <c r="C14" s="4" t="s">
        <v>22</v>
      </c>
      <c r="D14" s="2" t="s">
        <v>81</v>
      </c>
      <c r="E14" s="7">
        <f>9-7</f>
        <v>2</v>
      </c>
      <c r="F14" s="2">
        <f>dat_infx!E14-dat_death.infx!E14</f>
        <v>53</v>
      </c>
      <c r="G14" s="7">
        <f>32-27</f>
        <v>5</v>
      </c>
      <c r="H14" s="2">
        <f>dat_infx!G14-dat_death.infx!G14</f>
        <v>320</v>
      </c>
      <c r="I14" s="7">
        <f t="shared" si="2"/>
        <v>55</v>
      </c>
      <c r="J14" s="7">
        <f t="shared" si="3"/>
        <v>325</v>
      </c>
    </row>
    <row r="15" spans="1:11" x14ac:dyDescent="0.25">
      <c r="A15" s="2" t="s">
        <v>73</v>
      </c>
      <c r="B15" s="2" t="s">
        <v>93</v>
      </c>
      <c r="C15" s="4" t="s">
        <v>77</v>
      </c>
      <c r="D15" s="2" t="s">
        <v>81</v>
      </c>
      <c r="E15" s="3" t="s">
        <v>86</v>
      </c>
      <c r="F15" s="3" t="s">
        <v>86</v>
      </c>
      <c r="G15" s="3" t="s">
        <v>86</v>
      </c>
      <c r="H15" s="3" t="s">
        <v>86</v>
      </c>
      <c r="I15" s="3" t="s">
        <v>86</v>
      </c>
      <c r="J15" s="3" t="s">
        <v>86</v>
      </c>
      <c r="K15" s="3" t="s">
        <v>104</v>
      </c>
    </row>
    <row r="16" spans="1:11" x14ac:dyDescent="0.25">
      <c r="A16" s="2" t="s">
        <v>97</v>
      </c>
      <c r="B16" s="2" t="s">
        <v>93</v>
      </c>
      <c r="C16" s="4" t="s">
        <v>22</v>
      </c>
      <c r="D16" s="2" t="s">
        <v>81</v>
      </c>
      <c r="E16" s="3" t="s">
        <v>86</v>
      </c>
      <c r="F16" s="3" t="s">
        <v>86</v>
      </c>
      <c r="G16" s="3" t="s">
        <v>86</v>
      </c>
      <c r="H16" s="3" t="s">
        <v>86</v>
      </c>
      <c r="I16" s="3" t="s">
        <v>86</v>
      </c>
      <c r="J16" s="3" t="s">
        <v>86</v>
      </c>
      <c r="K16" s="3" t="s">
        <v>104</v>
      </c>
    </row>
    <row r="17" spans="1:11" x14ac:dyDescent="0.25">
      <c r="A17" s="2" t="s">
        <v>98</v>
      </c>
      <c r="B17" s="2" t="s">
        <v>93</v>
      </c>
      <c r="C17" s="4" t="s">
        <v>19</v>
      </c>
      <c r="D17" s="2" t="s">
        <v>81</v>
      </c>
      <c r="E17" s="3" t="s">
        <v>86</v>
      </c>
      <c r="F17" s="3" t="s">
        <v>86</v>
      </c>
      <c r="G17" s="3" t="s">
        <v>86</v>
      </c>
      <c r="H17" s="3" t="s">
        <v>86</v>
      </c>
      <c r="I17" s="3" t="s">
        <v>86</v>
      </c>
      <c r="J17" s="3" t="s">
        <v>86</v>
      </c>
      <c r="K17" s="3" t="s">
        <v>104</v>
      </c>
    </row>
    <row r="18" spans="1:11" x14ac:dyDescent="0.25">
      <c r="A18" s="2" t="s">
        <v>94</v>
      </c>
      <c r="B18" s="2" t="s">
        <v>93</v>
      </c>
      <c r="C18" s="4" t="s">
        <v>22</v>
      </c>
      <c r="D18" s="2" t="s">
        <v>81</v>
      </c>
      <c r="E18" s="3" t="s">
        <v>86</v>
      </c>
      <c r="F18" s="3" t="s">
        <v>86</v>
      </c>
      <c r="G18" s="3" t="s">
        <v>86</v>
      </c>
      <c r="H18" s="3" t="s">
        <v>86</v>
      </c>
      <c r="I18" s="3" t="s">
        <v>86</v>
      </c>
      <c r="J18" s="3" t="s">
        <v>86</v>
      </c>
      <c r="K18" s="3" t="s">
        <v>104</v>
      </c>
    </row>
    <row r="19" spans="1:11" x14ac:dyDescent="0.25">
      <c r="A19" s="2" t="s">
        <v>99</v>
      </c>
      <c r="B19" s="2" t="s">
        <v>93</v>
      </c>
      <c r="C19" s="4" t="s">
        <v>20</v>
      </c>
      <c r="D19" s="2" t="s">
        <v>81</v>
      </c>
      <c r="E19" s="3" t="s">
        <v>86</v>
      </c>
      <c r="F19" s="3" t="s">
        <v>86</v>
      </c>
      <c r="G19" s="3" t="s">
        <v>86</v>
      </c>
      <c r="H19" s="3" t="s">
        <v>86</v>
      </c>
      <c r="I19" s="3" t="s">
        <v>86</v>
      </c>
      <c r="J19" s="3" t="s">
        <v>86</v>
      </c>
      <c r="K19" s="3" t="s">
        <v>104</v>
      </c>
    </row>
    <row r="20" spans="1:11" x14ac:dyDescent="0.25">
      <c r="A20" s="2" t="s">
        <v>100</v>
      </c>
      <c r="B20" s="2" t="s">
        <v>93</v>
      </c>
      <c r="C20" s="4" t="s">
        <v>22</v>
      </c>
      <c r="D20" s="2" t="s">
        <v>81</v>
      </c>
      <c r="E20" s="3" t="s">
        <v>86</v>
      </c>
      <c r="F20" s="3" t="s">
        <v>86</v>
      </c>
      <c r="G20" s="3" t="s">
        <v>86</v>
      </c>
      <c r="H20" s="3" t="s">
        <v>86</v>
      </c>
      <c r="I20" s="3" t="s">
        <v>86</v>
      </c>
      <c r="J20" s="3" t="s">
        <v>86</v>
      </c>
      <c r="K20" s="3" t="s">
        <v>104</v>
      </c>
    </row>
    <row r="21" spans="1:11" x14ac:dyDescent="0.25">
      <c r="A21" s="2" t="s">
        <v>102</v>
      </c>
      <c r="B21" s="2" t="s">
        <v>93</v>
      </c>
      <c r="C21" s="4" t="s">
        <v>20</v>
      </c>
      <c r="D21" s="2" t="s">
        <v>81</v>
      </c>
      <c r="E21" s="3" t="s">
        <v>86</v>
      </c>
      <c r="F21" s="3" t="s">
        <v>86</v>
      </c>
      <c r="G21" s="3" t="s">
        <v>86</v>
      </c>
      <c r="H21" s="3" t="s">
        <v>86</v>
      </c>
      <c r="I21" s="3" t="s">
        <v>86</v>
      </c>
      <c r="J21" s="3" t="s">
        <v>86</v>
      </c>
      <c r="K21" s="3" t="s">
        <v>104</v>
      </c>
    </row>
    <row r="22" spans="1:11" x14ac:dyDescent="0.25">
      <c r="A22" s="2" t="s">
        <v>103</v>
      </c>
      <c r="B22" s="2" t="s">
        <v>93</v>
      </c>
      <c r="C22" s="4" t="s">
        <v>22</v>
      </c>
      <c r="D22" s="2" t="s">
        <v>81</v>
      </c>
      <c r="E22" s="3" t="s">
        <v>86</v>
      </c>
      <c r="F22" s="3" t="s">
        <v>86</v>
      </c>
      <c r="G22" s="3" t="s">
        <v>86</v>
      </c>
      <c r="H22" s="3" t="s">
        <v>86</v>
      </c>
      <c r="I22" s="3" t="s">
        <v>86</v>
      </c>
      <c r="J22" s="3" t="s">
        <v>86</v>
      </c>
      <c r="K22" s="3" t="s">
        <v>104</v>
      </c>
    </row>
    <row r="23" spans="1:11" x14ac:dyDescent="0.25">
      <c r="A23" s="2" t="s">
        <v>108</v>
      </c>
      <c r="B23" s="2" t="s">
        <v>93</v>
      </c>
      <c r="C23" s="4" t="s">
        <v>22</v>
      </c>
      <c r="D23" s="2" t="s">
        <v>81</v>
      </c>
      <c r="E23" s="3" t="s">
        <v>86</v>
      </c>
      <c r="F23" s="3" t="s">
        <v>86</v>
      </c>
      <c r="G23" s="3" t="s">
        <v>86</v>
      </c>
      <c r="H23" s="3" t="s">
        <v>86</v>
      </c>
      <c r="I23" s="3" t="s">
        <v>86</v>
      </c>
      <c r="J23" s="3" t="s">
        <v>86</v>
      </c>
      <c r="K23" s="3" t="s">
        <v>104</v>
      </c>
    </row>
    <row r="24" spans="1:11" x14ac:dyDescent="0.25">
      <c r="A24" s="2" t="s">
        <v>109</v>
      </c>
      <c r="B24" s="2" t="s">
        <v>93</v>
      </c>
      <c r="C24" s="4" t="s">
        <v>22</v>
      </c>
      <c r="D24" s="2" t="s">
        <v>81</v>
      </c>
      <c r="E24" s="7">
        <v>0</v>
      </c>
      <c r="F24" s="2">
        <f>dat_infx!E24-dat_death.infx!E24</f>
        <v>43</v>
      </c>
      <c r="G24" s="7">
        <v>36</v>
      </c>
      <c r="H24" s="2">
        <f>dat_infx!G24-dat_death.infx!G24</f>
        <v>4119</v>
      </c>
      <c r="I24" s="7">
        <f t="shared" ref="I24:I25" si="4">E24+F24</f>
        <v>43</v>
      </c>
      <c r="J24" s="7">
        <f t="shared" ref="J24:J25" si="5">G24+H24</f>
        <v>4155</v>
      </c>
    </row>
    <row r="25" spans="1:11" x14ac:dyDescent="0.25">
      <c r="A25" s="3" t="s">
        <v>110</v>
      </c>
      <c r="B25" s="2" t="s">
        <v>93</v>
      </c>
      <c r="C25" s="4" t="s">
        <v>23</v>
      </c>
      <c r="D25" s="2" t="s">
        <v>81</v>
      </c>
      <c r="E25" s="7">
        <v>0</v>
      </c>
      <c r="F25" s="2">
        <f>13-E25</f>
        <v>13</v>
      </c>
      <c r="G25" s="7">
        <v>1</v>
      </c>
      <c r="H25" s="2">
        <f>130-G25</f>
        <v>129</v>
      </c>
      <c r="I25" s="7">
        <f t="shared" si="4"/>
        <v>13</v>
      </c>
      <c r="J25" s="7">
        <f t="shared" si="5"/>
        <v>130</v>
      </c>
      <c r="K25" s="3" t="s">
        <v>112</v>
      </c>
    </row>
    <row r="26" spans="1:11" x14ac:dyDescent="0.25">
      <c r="A26" s="2" t="s">
        <v>113</v>
      </c>
      <c r="B26" s="2" t="s">
        <v>93</v>
      </c>
      <c r="C26" s="4" t="s">
        <v>114</v>
      </c>
      <c r="D26" s="2" t="s">
        <v>81</v>
      </c>
      <c r="E26" s="3" t="s">
        <v>86</v>
      </c>
      <c r="F26" s="3" t="s">
        <v>86</v>
      </c>
      <c r="G26" s="3" t="s">
        <v>86</v>
      </c>
      <c r="H26" s="3" t="s">
        <v>86</v>
      </c>
      <c r="I26" s="3" t="s">
        <v>86</v>
      </c>
      <c r="J26" s="3" t="s">
        <v>86</v>
      </c>
      <c r="K26" s="3" t="s">
        <v>104</v>
      </c>
    </row>
    <row r="27" spans="1:11" x14ac:dyDescent="0.25">
      <c r="A27" s="2" t="s">
        <v>115</v>
      </c>
      <c r="B27" s="2" t="s">
        <v>93</v>
      </c>
      <c r="C27" s="4" t="s">
        <v>22</v>
      </c>
      <c r="D27" s="2" t="s">
        <v>81</v>
      </c>
      <c r="E27" s="3" t="s">
        <v>86</v>
      </c>
      <c r="F27" s="3" t="s">
        <v>86</v>
      </c>
      <c r="G27" s="3" t="s">
        <v>86</v>
      </c>
      <c r="H27" s="3" t="s">
        <v>86</v>
      </c>
      <c r="I27" s="3" t="s">
        <v>86</v>
      </c>
      <c r="J27" s="3" t="s">
        <v>86</v>
      </c>
      <c r="K27" s="3" t="s">
        <v>104</v>
      </c>
    </row>
    <row r="28" spans="1:11" x14ac:dyDescent="0.25">
      <c r="A28" s="2" t="s">
        <v>118</v>
      </c>
      <c r="B28" s="2" t="s">
        <v>93</v>
      </c>
      <c r="C28" s="4" t="s">
        <v>114</v>
      </c>
      <c r="D28" s="2" t="s">
        <v>81</v>
      </c>
      <c r="E28" s="3" t="s">
        <v>86</v>
      </c>
      <c r="F28" s="3" t="s">
        <v>86</v>
      </c>
      <c r="G28" s="3" t="s">
        <v>86</v>
      </c>
      <c r="H28" s="3" t="s">
        <v>86</v>
      </c>
      <c r="I28" s="3" t="s">
        <v>86</v>
      </c>
      <c r="J28" s="3" t="s">
        <v>86</v>
      </c>
      <c r="K28" s="3" t="s">
        <v>104</v>
      </c>
    </row>
    <row r="29" spans="1:11" x14ac:dyDescent="0.25">
      <c r="A29" s="2" t="s">
        <v>119</v>
      </c>
      <c r="B29" s="2" t="s">
        <v>93</v>
      </c>
      <c r="C29" s="4" t="s">
        <v>22</v>
      </c>
      <c r="D29" s="2" t="s">
        <v>81</v>
      </c>
      <c r="E29" s="3" t="s">
        <v>86</v>
      </c>
      <c r="F29" s="3" t="s">
        <v>86</v>
      </c>
      <c r="G29" s="3" t="s">
        <v>86</v>
      </c>
      <c r="H29" s="3" t="s">
        <v>86</v>
      </c>
      <c r="I29" s="3" t="s">
        <v>86</v>
      </c>
      <c r="J29" s="3" t="s">
        <v>86</v>
      </c>
      <c r="K29" s="3" t="s">
        <v>104</v>
      </c>
    </row>
    <row r="30" spans="1:11" x14ac:dyDescent="0.25">
      <c r="A30" s="2" t="s">
        <v>120</v>
      </c>
      <c r="B30" s="2" t="s">
        <v>93</v>
      </c>
      <c r="C30" s="4" t="s">
        <v>22</v>
      </c>
      <c r="D30" s="2" t="s">
        <v>81</v>
      </c>
      <c r="E30" s="3" t="s">
        <v>86</v>
      </c>
      <c r="F30" s="3" t="s">
        <v>86</v>
      </c>
      <c r="G30" s="3" t="s">
        <v>86</v>
      </c>
      <c r="H30" s="3" t="s">
        <v>86</v>
      </c>
      <c r="I30" s="3" t="s">
        <v>86</v>
      </c>
      <c r="J30" s="3" t="s">
        <v>86</v>
      </c>
      <c r="K30" s="3" t="s">
        <v>104</v>
      </c>
    </row>
    <row r="31" spans="1:11" x14ac:dyDescent="0.25">
      <c r="A31" s="2" t="s">
        <v>121</v>
      </c>
      <c r="B31" s="2" t="s">
        <v>93</v>
      </c>
      <c r="C31" s="4" t="s">
        <v>20</v>
      </c>
      <c r="D31" s="2" t="s">
        <v>81</v>
      </c>
      <c r="E31" s="3" t="s">
        <v>86</v>
      </c>
      <c r="F31" s="3" t="s">
        <v>86</v>
      </c>
      <c r="G31" s="3" t="s">
        <v>86</v>
      </c>
      <c r="H31" s="3" t="s">
        <v>86</v>
      </c>
      <c r="I31" s="3" t="s">
        <v>86</v>
      </c>
      <c r="J31" s="3" t="s">
        <v>86</v>
      </c>
      <c r="K31" s="3" t="s">
        <v>104</v>
      </c>
    </row>
    <row r="32" spans="1:11" x14ac:dyDescent="0.25">
      <c r="A32" s="2" t="s">
        <v>122</v>
      </c>
      <c r="B32" s="2" t="s">
        <v>93</v>
      </c>
      <c r="C32" s="4" t="s">
        <v>22</v>
      </c>
      <c r="D32" s="2" t="s">
        <v>81</v>
      </c>
      <c r="E32" s="3" t="s">
        <v>86</v>
      </c>
      <c r="F32" s="3" t="s">
        <v>86</v>
      </c>
      <c r="G32" s="3" t="s">
        <v>86</v>
      </c>
      <c r="H32" s="3" t="s">
        <v>86</v>
      </c>
      <c r="I32" s="3" t="s">
        <v>86</v>
      </c>
      <c r="J32" s="3" t="s">
        <v>86</v>
      </c>
      <c r="K32" s="3" t="s">
        <v>104</v>
      </c>
    </row>
    <row r="33" spans="1:11" x14ac:dyDescent="0.25">
      <c r="A33" s="2" t="s">
        <v>123</v>
      </c>
      <c r="B33" s="2" t="s">
        <v>93</v>
      </c>
      <c r="C33" s="4" t="s">
        <v>114</v>
      </c>
      <c r="D33" s="2" t="s">
        <v>81</v>
      </c>
      <c r="E33" s="3" t="s">
        <v>86</v>
      </c>
      <c r="F33" s="3" t="s">
        <v>86</v>
      </c>
      <c r="G33" s="3" t="s">
        <v>86</v>
      </c>
      <c r="H33" s="3" t="s">
        <v>86</v>
      </c>
      <c r="I33" s="3" t="s">
        <v>86</v>
      </c>
      <c r="J33" s="3" t="s">
        <v>86</v>
      </c>
      <c r="K33" s="3" t="s">
        <v>104</v>
      </c>
    </row>
    <row r="34" spans="1:11" x14ac:dyDescent="0.25">
      <c r="A34" s="2" t="s">
        <v>125</v>
      </c>
      <c r="B34" s="2" t="s">
        <v>93</v>
      </c>
      <c r="C34" s="4" t="s">
        <v>22</v>
      </c>
      <c r="D34" s="2" t="s">
        <v>81</v>
      </c>
      <c r="E34" s="3" t="s">
        <v>86</v>
      </c>
      <c r="F34" s="3" t="s">
        <v>86</v>
      </c>
      <c r="G34" s="3" t="s">
        <v>86</v>
      </c>
      <c r="H34" s="3" t="s">
        <v>86</v>
      </c>
      <c r="I34" s="3" t="s">
        <v>86</v>
      </c>
      <c r="J34" s="3" t="s">
        <v>86</v>
      </c>
      <c r="K34" s="3" t="s">
        <v>104</v>
      </c>
    </row>
    <row r="35" spans="1:11" x14ac:dyDescent="0.25">
      <c r="A35" s="2" t="s">
        <v>127</v>
      </c>
      <c r="B35" s="4" t="s">
        <v>93</v>
      </c>
      <c r="C35" s="4" t="s">
        <v>22</v>
      </c>
      <c r="D35" s="2" t="s">
        <v>81</v>
      </c>
      <c r="E35" s="3" t="s">
        <v>86</v>
      </c>
      <c r="F35" s="3" t="s">
        <v>86</v>
      </c>
      <c r="G35" s="3" t="s">
        <v>86</v>
      </c>
      <c r="H35" s="3" t="s">
        <v>86</v>
      </c>
      <c r="I35" s="3" t="s">
        <v>86</v>
      </c>
      <c r="J35" s="3" t="s">
        <v>86</v>
      </c>
      <c r="K35" s="3" t="s">
        <v>104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DD079-C3F5-4849-B971-A49A6C9B79F3}">
  <dimension ref="A1:G11"/>
  <sheetViews>
    <sheetView zoomScale="60" zoomScaleNormal="60" workbookViewId="0">
      <pane ySplit="1" topLeftCell="A2" activePane="bottomLeft" state="frozen"/>
      <selection pane="bottomLeft"/>
    </sheetView>
  </sheetViews>
  <sheetFormatPr defaultRowHeight="15" x14ac:dyDescent="0.25"/>
  <cols>
    <col min="1" max="1" width="23.42578125" style="2" bestFit="1" customWidth="1"/>
    <col min="2" max="2" width="13" style="2" bestFit="1" customWidth="1"/>
    <col min="3" max="3" width="12.140625" style="2" bestFit="1" customWidth="1"/>
    <col min="4" max="4" width="11.140625" style="2" bestFit="1" customWidth="1"/>
    <col min="5" max="5" width="9.7109375" style="2" bestFit="1" customWidth="1"/>
    <col min="6" max="6" width="11.140625" style="2" bestFit="1" customWidth="1"/>
    <col min="7" max="7" width="9.140625" style="3"/>
  </cols>
  <sheetData>
    <row r="1" spans="1:7" x14ac:dyDescent="0.25">
      <c r="A1" s="1" t="s">
        <v>0</v>
      </c>
      <c r="B1" s="1" t="s">
        <v>38</v>
      </c>
      <c r="C1" s="1" t="s">
        <v>75</v>
      </c>
      <c r="D1" s="1" t="s">
        <v>76</v>
      </c>
      <c r="E1" s="1" t="s">
        <v>16</v>
      </c>
      <c r="F1" s="1" t="s">
        <v>17</v>
      </c>
      <c r="G1" s="6" t="s">
        <v>48</v>
      </c>
    </row>
    <row r="2" spans="1:7" x14ac:dyDescent="0.25">
      <c r="A2" s="4" t="s">
        <v>135</v>
      </c>
      <c r="B2" s="4" t="s">
        <v>79</v>
      </c>
      <c r="C2" s="2">
        <v>-0.56637911475437797</v>
      </c>
      <c r="D2" s="2">
        <v>4.8192640347571401E-3</v>
      </c>
      <c r="E2" s="2">
        <v>4.3612057146245102E-2</v>
      </c>
      <c r="F2" s="2">
        <v>1.58555520648963E-5</v>
      </c>
    </row>
    <row r="3" spans="1:7" x14ac:dyDescent="0.25">
      <c r="A3" s="4" t="s">
        <v>134</v>
      </c>
      <c r="B3" s="4" t="s">
        <v>79</v>
      </c>
      <c r="C3" s="2">
        <v>-0.47902302213168702</v>
      </c>
      <c r="D3" s="2">
        <v>2.53631856805288E-3</v>
      </c>
      <c r="E3" s="2">
        <v>3.8386618771994702E-2</v>
      </c>
      <c r="F3" s="2">
        <v>9.9556636145136592E-6</v>
      </c>
    </row>
    <row r="4" spans="1:7" x14ac:dyDescent="0.25">
      <c r="A4" s="4" t="s">
        <v>129</v>
      </c>
      <c r="B4" s="4" t="s">
        <v>79</v>
      </c>
      <c r="C4" s="2">
        <v>-0.78324952441575002</v>
      </c>
      <c r="D4" s="2">
        <v>0.104015541268537</v>
      </c>
      <c r="E4" s="2">
        <v>0.22112977542357501</v>
      </c>
      <c r="F4" s="2">
        <v>3.8982762175240899E-3</v>
      </c>
    </row>
    <row r="5" spans="1:7" x14ac:dyDescent="0.25">
      <c r="A5" s="4" t="s">
        <v>130</v>
      </c>
      <c r="B5" s="4" t="s">
        <v>79</v>
      </c>
      <c r="C5" s="2">
        <v>-1.0127437299564901</v>
      </c>
      <c r="D5" s="2">
        <v>1.12578628359795E-2</v>
      </c>
      <c r="E5" s="2">
        <v>0.196173398290168</v>
      </c>
      <c r="F5" s="2">
        <v>1.4228516416368701E-4</v>
      </c>
    </row>
    <row r="6" spans="1:7" x14ac:dyDescent="0.25">
      <c r="A6" s="4" t="s">
        <v>131</v>
      </c>
      <c r="B6" s="4" t="s">
        <v>79</v>
      </c>
      <c r="C6" s="2">
        <v>-0.20682805890723999</v>
      </c>
      <c r="D6" s="2">
        <v>1.83632361767904E-2</v>
      </c>
      <c r="E6" s="2">
        <v>1.9705926707863301E-2</v>
      </c>
      <c r="F6" s="2">
        <v>1.3536371930081601E-4</v>
      </c>
    </row>
    <row r="7" spans="1:7" x14ac:dyDescent="0.25">
      <c r="A7" s="4" t="s">
        <v>132</v>
      </c>
      <c r="B7" s="4" t="s">
        <v>79</v>
      </c>
      <c r="C7" s="2">
        <v>-0.35072869734440998</v>
      </c>
      <c r="D7" s="2">
        <v>1.4675793183525701E-3</v>
      </c>
      <c r="E7" s="2">
        <v>7.3731695347058201E-2</v>
      </c>
      <c r="F7" s="2">
        <v>4.8976211430924302E-5</v>
      </c>
    </row>
    <row r="8" spans="1:7" x14ac:dyDescent="0.25">
      <c r="A8" s="4" t="s">
        <v>133</v>
      </c>
      <c r="B8" s="4" t="s">
        <v>79</v>
      </c>
      <c r="C8" s="2">
        <v>6.8782809517898405E-2</v>
      </c>
      <c r="D8" s="2">
        <v>7.7809036658141498E-2</v>
      </c>
      <c r="E8" s="2">
        <v>-1.63768115942029E-2</v>
      </c>
      <c r="F8" s="2">
        <v>4.46194606236054E-3</v>
      </c>
    </row>
    <row r="9" spans="1:7" x14ac:dyDescent="0.25">
      <c r="A9" s="4" t="s">
        <v>136</v>
      </c>
      <c r="B9" s="4" t="s">
        <v>79</v>
      </c>
      <c r="C9" s="2">
        <v>-0.50813936493183898</v>
      </c>
      <c r="D9" s="2">
        <v>1.11237592352174E-4</v>
      </c>
      <c r="E9" s="2">
        <v>0.19689781933558101</v>
      </c>
      <c r="F9" s="2">
        <v>1.26839710497541E-5</v>
      </c>
    </row>
    <row r="10" spans="1:7" x14ac:dyDescent="0.25">
      <c r="A10" s="4" t="s">
        <v>137</v>
      </c>
      <c r="B10" s="4" t="s">
        <v>79</v>
      </c>
      <c r="C10" s="2">
        <v>-0.75357628389278097</v>
      </c>
      <c r="D10" s="2">
        <v>4.7127483063177299E-4</v>
      </c>
      <c r="E10" s="2">
        <v>0.26161030639094501</v>
      </c>
      <c r="F10" s="2">
        <v>2.8979730131811302E-5</v>
      </c>
    </row>
    <row r="11" spans="1:7" x14ac:dyDescent="0.25">
      <c r="A11" s="4" t="s">
        <v>141</v>
      </c>
      <c r="B11" s="4" t="s">
        <v>79</v>
      </c>
      <c r="C11" s="2">
        <v>-0.35546834856772502</v>
      </c>
      <c r="D11" s="2">
        <v>4.1377902829305502E-3</v>
      </c>
      <c r="E11" s="2">
        <v>5.2883917216371902E-2</v>
      </c>
      <c r="F11" s="2">
        <v>8.1924144958112405E-5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069EC-B3B7-4461-9CCC-A712F3232E04}">
  <dimension ref="A1:I35"/>
  <sheetViews>
    <sheetView zoomScale="60" zoomScaleNormal="60" workbookViewId="0">
      <pane ySplit="1" topLeftCell="A2" activePane="bottomLeft" state="frozen"/>
      <selection pane="bottomLeft"/>
    </sheetView>
  </sheetViews>
  <sheetFormatPr defaultRowHeight="15" x14ac:dyDescent="0.25"/>
  <cols>
    <col min="1" max="1" width="16.42578125" style="2" bestFit="1" customWidth="1"/>
    <col min="2" max="2" width="14" style="2" bestFit="1" customWidth="1"/>
    <col min="3" max="3" width="19.140625" style="2" bestFit="1" customWidth="1"/>
    <col min="4" max="4" width="11.5703125" style="2" bestFit="1" customWidth="1"/>
    <col min="5" max="5" width="12.140625" style="2" bestFit="1" customWidth="1"/>
    <col min="6" max="6" width="11.140625" style="2" customWidth="1"/>
    <col min="7" max="7" width="11.140625" style="2" bestFit="1" customWidth="1"/>
    <col min="8" max="8" width="14.85546875" style="2" bestFit="1" customWidth="1"/>
    <col min="9" max="9" width="9.140625" style="3"/>
  </cols>
  <sheetData>
    <row r="1" spans="1:9" x14ac:dyDescent="0.25">
      <c r="A1" s="1" t="s">
        <v>0</v>
      </c>
      <c r="B1" s="1" t="s">
        <v>70</v>
      </c>
      <c r="C1" s="1" t="s">
        <v>18</v>
      </c>
      <c r="D1" s="1" t="s">
        <v>38</v>
      </c>
      <c r="E1" s="1" t="s">
        <v>75</v>
      </c>
      <c r="F1" s="1" t="s">
        <v>76</v>
      </c>
      <c r="G1" s="1" t="s">
        <v>16</v>
      </c>
      <c r="H1" s="1" t="s">
        <v>17</v>
      </c>
      <c r="I1" s="6" t="s">
        <v>48</v>
      </c>
    </row>
    <row r="2" spans="1:9" x14ac:dyDescent="0.25">
      <c r="A2" s="2" t="s">
        <v>9</v>
      </c>
      <c r="B2" s="2" t="s">
        <v>71</v>
      </c>
      <c r="C2" s="2" t="s">
        <v>19</v>
      </c>
      <c r="D2" s="2" t="s">
        <v>80</v>
      </c>
      <c r="E2" s="3">
        <v>-2.8267857265341898</v>
      </c>
      <c r="F2" s="3">
        <v>9.6172686880413902E-2</v>
      </c>
      <c r="G2" s="3">
        <v>1.2367474893466001E-2</v>
      </c>
      <c r="H2" s="3">
        <v>9.7685161783553496E-7</v>
      </c>
    </row>
    <row r="3" spans="1:9" x14ac:dyDescent="0.25">
      <c r="A3" s="2" t="s">
        <v>14</v>
      </c>
      <c r="B3" s="2" t="s">
        <v>71</v>
      </c>
      <c r="C3" s="2" t="s">
        <v>20</v>
      </c>
      <c r="D3" s="2" t="s">
        <v>80</v>
      </c>
      <c r="E3" s="3">
        <v>-1.2101417625055999</v>
      </c>
      <c r="F3" s="3">
        <v>4.2890561460978797E-2</v>
      </c>
      <c r="G3" s="3">
        <v>1.2160978567079201E-2</v>
      </c>
      <c r="H3" s="3">
        <v>3.8061223877565701E-6</v>
      </c>
    </row>
    <row r="4" spans="1:9" x14ac:dyDescent="0.25">
      <c r="A4" s="4" t="s">
        <v>10</v>
      </c>
      <c r="B4" s="2" t="s">
        <v>71</v>
      </c>
      <c r="C4" s="4" t="s">
        <v>21</v>
      </c>
      <c r="D4" s="2" t="s">
        <v>80</v>
      </c>
      <c r="E4" s="3">
        <v>-2.4705496941852898</v>
      </c>
      <c r="F4" s="3">
        <v>7.8358206838460995E-2</v>
      </c>
      <c r="G4" s="3">
        <v>1.1578665991361699E-2</v>
      </c>
      <c r="H4" s="3">
        <v>2.6188945087885898E-6</v>
      </c>
    </row>
    <row r="5" spans="1:9" x14ac:dyDescent="0.25">
      <c r="A5" s="4" t="s">
        <v>11</v>
      </c>
      <c r="B5" s="2" t="s">
        <v>71</v>
      </c>
      <c r="C5" s="4" t="s">
        <v>22</v>
      </c>
      <c r="D5" s="2" t="s">
        <v>80</v>
      </c>
      <c r="E5" s="3">
        <v>-3.0012002437143299</v>
      </c>
      <c r="F5" s="3">
        <v>0.131063318153437</v>
      </c>
      <c r="G5" s="3">
        <v>8.4007732436003693E-3</v>
      </c>
      <c r="H5" s="3">
        <v>5.0230350441291802E-7</v>
      </c>
    </row>
    <row r="6" spans="1:9" x14ac:dyDescent="0.25">
      <c r="A6" s="4" t="s">
        <v>12</v>
      </c>
      <c r="B6" s="2" t="s">
        <v>71</v>
      </c>
      <c r="C6" s="4" t="s">
        <v>20</v>
      </c>
      <c r="D6" s="2" t="s">
        <v>80</v>
      </c>
      <c r="E6" s="3">
        <v>-1.25878957462356</v>
      </c>
      <c r="F6" s="3">
        <v>2.1242330303976702E-2</v>
      </c>
      <c r="G6" s="3">
        <v>3.5049069686204498E-2</v>
      </c>
      <c r="H6" s="3">
        <v>1.4082084950080101E-5</v>
      </c>
    </row>
    <row r="7" spans="1:9" x14ac:dyDescent="0.25">
      <c r="A7" s="4" t="s">
        <v>13</v>
      </c>
      <c r="B7" s="2" t="s">
        <v>71</v>
      </c>
      <c r="C7" s="4" t="s">
        <v>23</v>
      </c>
      <c r="D7" s="2" t="s">
        <v>80</v>
      </c>
      <c r="E7" s="3">
        <v>-1.09707611139843</v>
      </c>
      <c r="F7" s="3">
        <v>1.12935995377534E-2</v>
      </c>
      <c r="G7" s="3">
        <v>1.19637806558563E-2</v>
      </c>
      <c r="H7" s="3">
        <v>1.20783066784288E-6</v>
      </c>
    </row>
    <row r="8" spans="1:9" x14ac:dyDescent="0.25">
      <c r="A8" s="4" t="s">
        <v>15</v>
      </c>
      <c r="B8" s="2" t="s">
        <v>71</v>
      </c>
      <c r="C8" s="4" t="s">
        <v>20</v>
      </c>
      <c r="D8" s="2" t="s">
        <v>80</v>
      </c>
      <c r="E8" s="3">
        <v>-1.08447479568899</v>
      </c>
      <c r="F8" s="3">
        <v>1.57041637886863E-2</v>
      </c>
      <c r="G8" s="3">
        <v>1.9130210185846201E-2</v>
      </c>
      <c r="H8" s="3">
        <v>4.3961266724867199E-6</v>
      </c>
    </row>
    <row r="9" spans="1:9" x14ac:dyDescent="0.25">
      <c r="A9" s="4" t="s">
        <v>95</v>
      </c>
      <c r="B9" s="2" t="s">
        <v>71</v>
      </c>
      <c r="C9" s="4" t="s">
        <v>24</v>
      </c>
      <c r="D9" s="2" t="s">
        <v>80</v>
      </c>
      <c r="E9" s="3">
        <v>-1.2962513112015801</v>
      </c>
      <c r="F9" s="3">
        <v>4.8830868371035702E-2</v>
      </c>
      <c r="G9" s="3">
        <v>5.4182493534760201E-3</v>
      </c>
      <c r="H9" s="3">
        <v>7.4100407517015403E-7</v>
      </c>
    </row>
    <row r="10" spans="1:9" x14ac:dyDescent="0.25">
      <c r="A10" s="4" t="s">
        <v>96</v>
      </c>
      <c r="B10" s="2" t="s">
        <v>71</v>
      </c>
      <c r="C10" s="4" t="s">
        <v>25</v>
      </c>
      <c r="D10" s="2" t="s">
        <v>80</v>
      </c>
      <c r="E10" s="3">
        <v>-1.5084904550800999</v>
      </c>
      <c r="F10" s="3">
        <v>5.7988272698609102E-2</v>
      </c>
      <c r="G10" s="3">
        <v>5.80842020764846E-3</v>
      </c>
      <c r="H10" s="3">
        <v>7.1067132805887599E-7</v>
      </c>
    </row>
    <row r="11" spans="1:9" x14ac:dyDescent="0.25">
      <c r="A11" s="4" t="s">
        <v>91</v>
      </c>
      <c r="B11" s="2" t="s">
        <v>71</v>
      </c>
      <c r="C11" s="4" t="s">
        <v>92</v>
      </c>
      <c r="D11" s="2" t="s">
        <v>80</v>
      </c>
      <c r="E11" s="3">
        <v>-0.68160125438692498</v>
      </c>
      <c r="F11" s="3">
        <v>9.9658926108963403E-2</v>
      </c>
      <c r="G11" s="3">
        <v>1.08000104401582E-2</v>
      </c>
      <c r="H11" s="3">
        <v>2.4164396368104301E-5</v>
      </c>
    </row>
    <row r="12" spans="1:9" x14ac:dyDescent="0.25">
      <c r="A12" s="4" t="s">
        <v>101</v>
      </c>
      <c r="B12" s="2" t="s">
        <v>71</v>
      </c>
      <c r="C12" s="4" t="s">
        <v>20</v>
      </c>
      <c r="D12" s="2" t="s">
        <v>80</v>
      </c>
      <c r="E12" s="3">
        <v>-0.236052602693445</v>
      </c>
      <c r="F12" s="3">
        <v>9.3381806344130305E-2</v>
      </c>
      <c r="G12" s="3">
        <v>6.7447698744769902E-3</v>
      </c>
      <c r="H12" s="3">
        <v>7.6226256085788695E-5</v>
      </c>
    </row>
    <row r="13" spans="1:9" x14ac:dyDescent="0.25">
      <c r="A13" s="2" t="s">
        <v>74</v>
      </c>
      <c r="B13" s="2" t="s">
        <v>93</v>
      </c>
      <c r="C13" s="4" t="s">
        <v>22</v>
      </c>
      <c r="D13" s="2" t="s">
        <v>80</v>
      </c>
      <c r="E13" s="3">
        <v>-3.8139283801815398</v>
      </c>
      <c r="F13" s="3">
        <v>1.67932270426183E-4</v>
      </c>
      <c r="G13" s="3">
        <v>5.8910759311688099E-2</v>
      </c>
      <c r="H13" s="3">
        <v>3.1318526366044499E-8</v>
      </c>
    </row>
    <row r="14" spans="1:9" x14ac:dyDescent="0.25">
      <c r="A14" s="2" t="s">
        <v>72</v>
      </c>
      <c r="B14" s="2" t="s">
        <v>93</v>
      </c>
      <c r="C14" s="4" t="s">
        <v>22</v>
      </c>
      <c r="D14" s="2" t="s">
        <v>80</v>
      </c>
      <c r="E14" s="3">
        <v>-1.788729215134</v>
      </c>
      <c r="F14" s="3">
        <v>2.1240199556531301E-2</v>
      </c>
      <c r="G14" s="3">
        <v>2.5246849203652299E-3</v>
      </c>
      <c r="H14" s="3">
        <v>3.28576116809836E-8</v>
      </c>
    </row>
    <row r="15" spans="1:9" x14ac:dyDescent="0.25">
      <c r="A15" s="2" t="s">
        <v>73</v>
      </c>
      <c r="B15" s="2" t="s">
        <v>93</v>
      </c>
      <c r="C15" s="4" t="s">
        <v>77</v>
      </c>
      <c r="D15" s="2" t="s">
        <v>80</v>
      </c>
      <c r="E15" s="3">
        <v>-4.1128183013760502</v>
      </c>
      <c r="F15" s="3">
        <v>3.4271833964357998E-2</v>
      </c>
      <c r="G15" s="3">
        <v>4.0979795546324999E-2</v>
      </c>
      <c r="H15" s="3">
        <v>1.68384777368617E-6</v>
      </c>
    </row>
    <row r="16" spans="1:9" x14ac:dyDescent="0.25">
      <c r="A16" s="2" t="s">
        <v>97</v>
      </c>
      <c r="B16" s="2" t="s">
        <v>93</v>
      </c>
      <c r="C16" s="4" t="s">
        <v>22</v>
      </c>
      <c r="D16" s="2" t="s">
        <v>80</v>
      </c>
      <c r="E16" s="3">
        <v>-2.5523048287424799</v>
      </c>
      <c r="F16" s="3">
        <v>0.337993366147119</v>
      </c>
      <c r="G16" s="3">
        <v>1.2359891409914499E-2</v>
      </c>
      <c r="H16" s="3">
        <v>1.2628794084505E-6</v>
      </c>
    </row>
    <row r="17" spans="1:9" x14ac:dyDescent="0.25">
      <c r="A17" s="2" t="s">
        <v>98</v>
      </c>
      <c r="B17" s="2" t="s">
        <v>93</v>
      </c>
      <c r="C17" s="4" t="s">
        <v>19</v>
      </c>
      <c r="D17" s="2" t="s">
        <v>80</v>
      </c>
      <c r="E17" s="3">
        <v>-2.42714168578848</v>
      </c>
      <c r="F17" s="3">
        <v>0.25471224304699203</v>
      </c>
      <c r="G17" s="3">
        <v>1.2220664121366E-2</v>
      </c>
      <c r="H17" s="3">
        <v>1.2495179133308E-6</v>
      </c>
    </row>
    <row r="18" spans="1:9" x14ac:dyDescent="0.25">
      <c r="A18" s="2" t="s">
        <v>94</v>
      </c>
      <c r="B18" s="2" t="s">
        <v>93</v>
      </c>
      <c r="C18" s="4" t="s">
        <v>22</v>
      </c>
      <c r="D18" s="2" t="s">
        <v>80</v>
      </c>
      <c r="E18" s="3">
        <v>-2.8815408308577402</v>
      </c>
      <c r="F18" s="3">
        <v>0.31555640863251</v>
      </c>
      <c r="G18" s="3">
        <v>1.29901605239229E-2</v>
      </c>
      <c r="H18" s="3">
        <v>1.26000726635999E-5</v>
      </c>
    </row>
    <row r="19" spans="1:9" x14ac:dyDescent="0.25">
      <c r="A19" s="2" t="s">
        <v>99</v>
      </c>
      <c r="B19" s="2" t="s">
        <v>93</v>
      </c>
      <c r="C19" s="4" t="s">
        <v>20</v>
      </c>
      <c r="D19" s="2" t="s">
        <v>80</v>
      </c>
      <c r="E19" s="2" t="s">
        <v>86</v>
      </c>
      <c r="F19" s="2" t="s">
        <v>86</v>
      </c>
      <c r="G19" s="2" t="s">
        <v>86</v>
      </c>
      <c r="H19" s="2" t="s">
        <v>86</v>
      </c>
      <c r="I19" s="3" t="s">
        <v>104</v>
      </c>
    </row>
    <row r="20" spans="1:9" x14ac:dyDescent="0.25">
      <c r="A20" s="2" t="s">
        <v>100</v>
      </c>
      <c r="B20" s="2" t="s">
        <v>93</v>
      </c>
      <c r="C20" s="4" t="s">
        <v>22</v>
      </c>
      <c r="D20" s="2" t="s">
        <v>80</v>
      </c>
      <c r="E20" s="2" t="s">
        <v>86</v>
      </c>
      <c r="F20" s="2" t="s">
        <v>86</v>
      </c>
      <c r="G20" s="2" t="s">
        <v>86</v>
      </c>
      <c r="H20" s="2" t="s">
        <v>86</v>
      </c>
      <c r="I20" s="3" t="s">
        <v>104</v>
      </c>
    </row>
    <row r="21" spans="1:9" x14ac:dyDescent="0.25">
      <c r="A21" s="2" t="s">
        <v>102</v>
      </c>
      <c r="B21" s="2" t="s">
        <v>93</v>
      </c>
      <c r="C21" s="4" t="s">
        <v>20</v>
      </c>
      <c r="D21" s="2" t="s">
        <v>80</v>
      </c>
      <c r="E21" s="3">
        <v>-1.8154906327355</v>
      </c>
      <c r="F21" s="3">
        <v>1.55024758218257E-3</v>
      </c>
      <c r="G21" s="3">
        <v>9.0763897848683606E-2</v>
      </c>
      <c r="H21" s="3">
        <v>6.8526187994682902E-7</v>
      </c>
    </row>
    <row r="22" spans="1:9" x14ac:dyDescent="0.25">
      <c r="A22" s="2" t="s">
        <v>103</v>
      </c>
      <c r="B22" s="2" t="s">
        <v>93</v>
      </c>
      <c r="C22" s="4" t="s">
        <v>22</v>
      </c>
      <c r="D22" s="2" t="s">
        <v>80</v>
      </c>
      <c r="E22" s="3">
        <v>-1.08501290214015</v>
      </c>
      <c r="F22" s="3">
        <v>4.0853052492713002E-4</v>
      </c>
      <c r="G22" s="3">
        <v>7.1777350915542104E-2</v>
      </c>
      <c r="H22" s="3">
        <v>7.3255903945126098E-7</v>
      </c>
    </row>
    <row r="23" spans="1:9" x14ac:dyDescent="0.25">
      <c r="A23" s="2" t="s">
        <v>108</v>
      </c>
      <c r="B23" s="2" t="s">
        <v>93</v>
      </c>
      <c r="C23" s="4" t="s">
        <v>22</v>
      </c>
      <c r="D23" s="2" t="s">
        <v>80</v>
      </c>
      <c r="E23" s="3">
        <v>-2.5673445756576201</v>
      </c>
      <c r="F23" s="3">
        <v>4.9031169680968698E-2</v>
      </c>
      <c r="G23" s="3">
        <v>4.3361596075645902E-2</v>
      </c>
      <c r="H23" s="3">
        <v>2.4117809604988999E-5</v>
      </c>
    </row>
    <row r="24" spans="1:9" x14ac:dyDescent="0.25">
      <c r="A24" s="2" t="s">
        <v>109</v>
      </c>
      <c r="B24" s="2" t="s">
        <v>93</v>
      </c>
      <c r="C24" s="4" t="s">
        <v>22</v>
      </c>
      <c r="D24" s="2" t="s">
        <v>80</v>
      </c>
      <c r="E24" s="3">
        <v>-1.1930812504376</v>
      </c>
      <c r="F24" s="3">
        <v>2.3457592030101001E-2</v>
      </c>
      <c r="G24" s="3">
        <v>3.71537523430218E-3</v>
      </c>
      <c r="H24" s="3">
        <v>6.7541020289058995E-8</v>
      </c>
    </row>
    <row r="25" spans="1:9" x14ac:dyDescent="0.25">
      <c r="A25" s="3" t="s">
        <v>110</v>
      </c>
      <c r="B25" s="2" t="s">
        <v>93</v>
      </c>
      <c r="C25" s="4" t="s">
        <v>23</v>
      </c>
      <c r="D25" s="2" t="s">
        <v>80</v>
      </c>
      <c r="E25" s="3">
        <v>-1.4534219533271899</v>
      </c>
      <c r="F25" s="3">
        <v>0.34052736270794798</v>
      </c>
      <c r="G25" s="3">
        <v>5.5273654006693703E-3</v>
      </c>
      <c r="H25" s="3">
        <v>1.34992712422357E-6</v>
      </c>
    </row>
    <row r="26" spans="1:9" x14ac:dyDescent="0.25">
      <c r="A26" s="2" t="s">
        <v>113</v>
      </c>
      <c r="B26" s="2" t="s">
        <v>93</v>
      </c>
      <c r="C26" s="4" t="s">
        <v>114</v>
      </c>
      <c r="D26" s="2" t="s">
        <v>80</v>
      </c>
      <c r="E26" s="2" t="s">
        <v>86</v>
      </c>
      <c r="F26" s="2" t="s">
        <v>86</v>
      </c>
      <c r="G26" s="2" t="s">
        <v>86</v>
      </c>
      <c r="H26" s="2" t="s">
        <v>86</v>
      </c>
      <c r="I26" s="3" t="s">
        <v>104</v>
      </c>
    </row>
    <row r="27" spans="1:9" x14ac:dyDescent="0.25">
      <c r="A27" s="2" t="s">
        <v>115</v>
      </c>
      <c r="B27" s="2" t="s">
        <v>93</v>
      </c>
      <c r="C27" s="4" t="s">
        <v>22</v>
      </c>
      <c r="D27" s="2" t="s">
        <v>80</v>
      </c>
      <c r="E27" s="3">
        <v>-2.2481924172738101</v>
      </c>
      <c r="F27" s="3">
        <v>0.166406600513513</v>
      </c>
      <c r="G27" s="3">
        <v>2.4018718694283299E-2</v>
      </c>
      <c r="H27" s="3">
        <v>1.48950858021204E-6</v>
      </c>
    </row>
    <row r="28" spans="1:9" x14ac:dyDescent="0.25">
      <c r="A28" s="2" t="s">
        <v>118</v>
      </c>
      <c r="B28" s="2" t="s">
        <v>93</v>
      </c>
      <c r="C28" s="4" t="s">
        <v>114</v>
      </c>
      <c r="D28" s="2" t="s">
        <v>80</v>
      </c>
      <c r="E28" s="3">
        <v>-3.3459898280209699</v>
      </c>
      <c r="F28" s="3">
        <v>0.50041585303515801</v>
      </c>
      <c r="G28" s="3">
        <v>5.8273748206374702E-2</v>
      </c>
      <c r="H28" s="3">
        <v>7.6570230668557101E-6</v>
      </c>
    </row>
    <row r="29" spans="1:9" x14ac:dyDescent="0.25">
      <c r="A29" s="2" t="s">
        <v>119</v>
      </c>
      <c r="B29" s="2" t="s">
        <v>93</v>
      </c>
      <c r="C29" s="4" t="s">
        <v>22</v>
      </c>
      <c r="D29" s="2" t="s">
        <v>80</v>
      </c>
      <c r="E29" s="3">
        <v>-2.0186291465319202</v>
      </c>
      <c r="F29" s="3">
        <v>1.25612732977336E-3</v>
      </c>
      <c r="G29" s="3">
        <v>2.7805588264722E-2</v>
      </c>
      <c r="H29" s="3">
        <v>1.55099383151253E-7</v>
      </c>
    </row>
    <row r="30" spans="1:9" x14ac:dyDescent="0.25">
      <c r="A30" s="2" t="s">
        <v>120</v>
      </c>
      <c r="B30" s="2" t="s">
        <v>93</v>
      </c>
      <c r="C30" s="4" t="s">
        <v>22</v>
      </c>
      <c r="D30" s="2" t="s">
        <v>80</v>
      </c>
      <c r="E30" s="3">
        <v>-4.3093062774563</v>
      </c>
      <c r="F30" s="3">
        <v>2.71769501717396E-2</v>
      </c>
      <c r="G30" s="3">
        <v>2.3734664569307701E-2</v>
      </c>
      <c r="H30" s="3">
        <v>9.4659197414090401E-8</v>
      </c>
    </row>
    <row r="31" spans="1:9" x14ac:dyDescent="0.25">
      <c r="A31" s="2" t="s">
        <v>121</v>
      </c>
      <c r="B31" s="2" t="s">
        <v>93</v>
      </c>
      <c r="C31" s="4" t="s">
        <v>20</v>
      </c>
      <c r="D31" s="2" t="s">
        <v>80</v>
      </c>
      <c r="E31" s="3">
        <v>-4.1521177741728303</v>
      </c>
      <c r="F31" s="3">
        <v>4.7684907311822802E-2</v>
      </c>
      <c r="G31" s="3">
        <v>3.2033207671075599E-2</v>
      </c>
      <c r="H31" s="3">
        <v>1.08055580384439E-7</v>
      </c>
    </row>
    <row r="32" spans="1:9" x14ac:dyDescent="0.25">
      <c r="A32" s="2" t="s">
        <v>122</v>
      </c>
      <c r="B32" s="2" t="s">
        <v>93</v>
      </c>
      <c r="C32" s="4" t="s">
        <v>22</v>
      </c>
      <c r="D32" s="2" t="s">
        <v>80</v>
      </c>
      <c r="E32" s="3">
        <v>-3.2602839582214398</v>
      </c>
      <c r="F32" s="3">
        <v>1.3961780864954899E-2</v>
      </c>
      <c r="G32" s="3">
        <v>3.1296175492854503E-2</v>
      </c>
      <c r="H32" s="3">
        <v>1.1722007508349201E-7</v>
      </c>
    </row>
    <row r="33" spans="1:8" x14ac:dyDescent="0.25">
      <c r="A33" s="2" t="s">
        <v>123</v>
      </c>
      <c r="B33" s="2" t="s">
        <v>93</v>
      </c>
      <c r="C33" s="4" t="s">
        <v>114</v>
      </c>
      <c r="D33" s="2" t="s">
        <v>80</v>
      </c>
      <c r="E33" s="3">
        <v>-0.66861200564496004</v>
      </c>
      <c r="F33" s="3">
        <v>3.9701418524264401E-3</v>
      </c>
      <c r="G33" s="3">
        <v>2.2902860704957E-2</v>
      </c>
      <c r="H33" s="3">
        <v>4.4448115792485101E-6</v>
      </c>
    </row>
    <row r="34" spans="1:8" x14ac:dyDescent="0.25">
      <c r="A34" s="2" t="s">
        <v>125</v>
      </c>
      <c r="B34" s="2" t="s">
        <v>93</v>
      </c>
      <c r="C34" s="4" t="s">
        <v>22</v>
      </c>
      <c r="D34" s="2" t="s">
        <v>80</v>
      </c>
      <c r="E34" s="3">
        <v>-1.38016398508786</v>
      </c>
      <c r="F34" s="3">
        <v>0.28765127017786002</v>
      </c>
      <c r="G34" s="3">
        <v>5.9840191162092602E-3</v>
      </c>
      <c r="H34" s="3">
        <v>3.44791372637656E-6</v>
      </c>
    </row>
    <row r="35" spans="1:8" x14ac:dyDescent="0.25">
      <c r="A35" s="2" t="s">
        <v>127</v>
      </c>
      <c r="B35" s="4" t="s">
        <v>93</v>
      </c>
      <c r="C35" s="4" t="s">
        <v>22</v>
      </c>
      <c r="D35" s="2" t="s">
        <v>80</v>
      </c>
      <c r="E35" s="3">
        <v>-3.6582773826830799</v>
      </c>
      <c r="F35" s="3">
        <v>0.171243071112337</v>
      </c>
      <c r="G35" s="3">
        <v>8.3247703248517199E-2</v>
      </c>
      <c r="H35" s="3">
        <v>3.6903169066344999E-5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65B86-367D-447E-8B27-4D1E772F506E}">
  <dimension ref="A1:I35"/>
  <sheetViews>
    <sheetView zoomScale="60" zoomScaleNormal="60" workbookViewId="0">
      <pane ySplit="1" topLeftCell="A2" activePane="bottomLeft" state="frozen"/>
      <selection pane="bottomLeft"/>
    </sheetView>
  </sheetViews>
  <sheetFormatPr defaultRowHeight="15" x14ac:dyDescent="0.25"/>
  <cols>
    <col min="1" max="1" width="16.42578125" style="2" bestFit="1" customWidth="1"/>
    <col min="2" max="2" width="14" style="3" bestFit="1" customWidth="1"/>
    <col min="3" max="3" width="19.140625" style="2" bestFit="1" customWidth="1"/>
    <col min="4" max="4" width="42" style="3" bestFit="1" customWidth="1"/>
    <col min="5" max="5" width="12.140625" style="2" bestFit="1" customWidth="1"/>
    <col min="6" max="6" width="11.140625" style="2" customWidth="1"/>
    <col min="7" max="7" width="12.140625" style="2" bestFit="1" customWidth="1"/>
    <col min="8" max="8" width="14.85546875" style="2" bestFit="1" customWidth="1"/>
    <col min="9" max="9" width="9.140625" style="3"/>
    <col min="11" max="11" width="9.140625" customWidth="1"/>
  </cols>
  <sheetData>
    <row r="1" spans="1:9" x14ac:dyDescent="0.25">
      <c r="A1" s="1" t="s">
        <v>0</v>
      </c>
      <c r="B1" s="1" t="s">
        <v>70</v>
      </c>
      <c r="C1" s="1" t="s">
        <v>18</v>
      </c>
      <c r="D1" s="1" t="s">
        <v>38</v>
      </c>
      <c r="E1" s="1" t="s">
        <v>75</v>
      </c>
      <c r="F1" s="1" t="s">
        <v>76</v>
      </c>
      <c r="G1" s="1" t="s">
        <v>16</v>
      </c>
      <c r="H1" s="1" t="s">
        <v>17</v>
      </c>
      <c r="I1" s="6" t="s">
        <v>48</v>
      </c>
    </row>
    <row r="2" spans="1:9" x14ac:dyDescent="0.25">
      <c r="A2" s="2" t="s">
        <v>9</v>
      </c>
      <c r="B2" s="2" t="s">
        <v>71</v>
      </c>
      <c r="C2" s="2" t="s">
        <v>19</v>
      </c>
      <c r="D2" s="2" t="s">
        <v>84</v>
      </c>
      <c r="E2" s="2">
        <v>-4.1151987317745098</v>
      </c>
      <c r="F2" s="2">
        <v>2.0326450858661098</v>
      </c>
      <c r="G2" s="2">
        <v>2.13174163291409E-3</v>
      </c>
      <c r="H2" s="2">
        <v>1.5115450227560501E-7</v>
      </c>
    </row>
    <row r="3" spans="1:9" x14ac:dyDescent="0.25">
      <c r="A3" s="2" t="s">
        <v>14</v>
      </c>
      <c r="B3" s="2" t="s">
        <v>71</v>
      </c>
      <c r="C3" s="2" t="s">
        <v>20</v>
      </c>
      <c r="D3" s="2" t="s">
        <v>84</v>
      </c>
      <c r="E3" s="2">
        <v>-3.0695374280080499</v>
      </c>
      <c r="F3" s="2">
        <v>2.0950696265564801</v>
      </c>
      <c r="G3" s="2">
        <v>8.5295121119071998E-4</v>
      </c>
      <c r="H3" s="2">
        <v>7.2690522468615498E-8</v>
      </c>
    </row>
    <row r="4" spans="1:9" x14ac:dyDescent="0.25">
      <c r="A4" s="4" t="s">
        <v>10</v>
      </c>
      <c r="B4" s="2" t="s">
        <v>71</v>
      </c>
      <c r="C4" s="4" t="s">
        <v>21</v>
      </c>
      <c r="D4" s="2" t="s">
        <v>84</v>
      </c>
      <c r="E4" s="4">
        <v>-4.8294389453398701</v>
      </c>
      <c r="F4" s="4">
        <v>2.0485097084576802</v>
      </c>
      <c r="G4" s="4">
        <v>4.0799673602611199E-3</v>
      </c>
      <c r="H4" s="4">
        <v>8.2891089893927405E-7</v>
      </c>
    </row>
    <row r="5" spans="1:9" x14ac:dyDescent="0.25">
      <c r="A5" s="4" t="s">
        <v>11</v>
      </c>
      <c r="B5" s="2" t="s">
        <v>71</v>
      </c>
      <c r="C5" s="4" t="s">
        <v>22</v>
      </c>
      <c r="D5" s="2" t="s">
        <v>84</v>
      </c>
      <c r="E5" s="4">
        <v>-2.1964403540230499</v>
      </c>
      <c r="F5" s="4">
        <v>1.1110188495354001</v>
      </c>
      <c r="G5" s="4">
        <v>3.6886541866196302E-4</v>
      </c>
      <c r="H5" s="4">
        <v>2.1259107635172901E-8</v>
      </c>
    </row>
    <row r="6" spans="1:9" x14ac:dyDescent="0.25">
      <c r="A6" s="4" t="s">
        <v>12</v>
      </c>
      <c r="B6" s="2" t="s">
        <v>71</v>
      </c>
      <c r="C6" s="4" t="s">
        <v>20</v>
      </c>
      <c r="D6" s="2" t="s">
        <v>84</v>
      </c>
      <c r="E6" s="4" t="s">
        <v>86</v>
      </c>
      <c r="F6" s="4" t="s">
        <v>86</v>
      </c>
      <c r="G6" s="4" t="s">
        <v>86</v>
      </c>
      <c r="H6" s="4" t="s">
        <v>86</v>
      </c>
      <c r="I6" s="3" t="s">
        <v>87</v>
      </c>
    </row>
    <row r="7" spans="1:9" x14ac:dyDescent="0.25">
      <c r="A7" s="4" t="s">
        <v>13</v>
      </c>
      <c r="B7" s="2" t="s">
        <v>71</v>
      </c>
      <c r="C7" s="4" t="s">
        <v>23</v>
      </c>
      <c r="D7" s="2" t="s">
        <v>84</v>
      </c>
      <c r="E7" s="4">
        <v>-1.45375105533716</v>
      </c>
      <c r="F7" s="4">
        <v>8.7992826236980098E-2</v>
      </c>
      <c r="G7" s="4">
        <v>2.3525622692835801E-3</v>
      </c>
      <c r="H7" s="4">
        <v>1.9333770564209099E-7</v>
      </c>
    </row>
    <row r="8" spans="1:9" x14ac:dyDescent="0.25">
      <c r="A8" s="4" t="s">
        <v>15</v>
      </c>
      <c r="B8" s="2" t="s">
        <v>71</v>
      </c>
      <c r="C8" s="4" t="s">
        <v>20</v>
      </c>
      <c r="D8" s="2" t="s">
        <v>84</v>
      </c>
      <c r="E8" s="4">
        <v>-3.4355144404853699</v>
      </c>
      <c r="F8" s="4">
        <v>2.06434643607738</v>
      </c>
      <c r="G8" s="4">
        <v>1.27377717391304E-3</v>
      </c>
      <c r="H8" s="4">
        <v>1.08029438317278E-7</v>
      </c>
    </row>
    <row r="9" spans="1:9" x14ac:dyDescent="0.25">
      <c r="A9" s="4" t="s">
        <v>95</v>
      </c>
      <c r="B9" s="2" t="s">
        <v>71</v>
      </c>
      <c r="C9" s="4" t="s">
        <v>24</v>
      </c>
      <c r="D9" s="2" t="s">
        <v>84</v>
      </c>
      <c r="E9" s="4">
        <v>-1.6099088330926701</v>
      </c>
      <c r="F9" s="4">
        <v>2.39984302644134</v>
      </c>
      <c r="G9" s="4">
        <v>1.5702284682421301E-4</v>
      </c>
      <c r="H9" s="4">
        <v>1.2326151421040099E-8</v>
      </c>
    </row>
    <row r="10" spans="1:9" x14ac:dyDescent="0.25">
      <c r="A10" s="4" t="s">
        <v>96</v>
      </c>
      <c r="B10" s="2" t="s">
        <v>71</v>
      </c>
      <c r="C10" s="4" t="s">
        <v>25</v>
      </c>
      <c r="D10" s="2" t="s">
        <v>84</v>
      </c>
      <c r="E10" s="4">
        <v>-1.6085739814948401</v>
      </c>
      <c r="F10" s="4">
        <v>2.3998429216278701</v>
      </c>
      <c r="G10" s="4">
        <v>1.5702284682421301E-4</v>
      </c>
      <c r="H10" s="4">
        <v>1.2326151421040099E-8</v>
      </c>
    </row>
    <row r="11" spans="1:9" x14ac:dyDescent="0.25">
      <c r="A11" s="4" t="s">
        <v>91</v>
      </c>
      <c r="B11" s="2" t="s">
        <v>71</v>
      </c>
      <c r="C11" s="4" t="s">
        <v>92</v>
      </c>
      <c r="D11" s="2" t="s">
        <v>84</v>
      </c>
      <c r="E11" s="4">
        <v>-1.12095126675037</v>
      </c>
      <c r="F11" s="4">
        <v>2.6651772775934401</v>
      </c>
      <c r="G11" s="4">
        <v>7.5357950263752805E-4</v>
      </c>
      <c r="H11" s="4">
        <v>5.6745412250997195E-7</v>
      </c>
    </row>
    <row r="12" spans="1:9" x14ac:dyDescent="0.25">
      <c r="A12" s="4" t="s">
        <v>101</v>
      </c>
      <c r="B12" s="2" t="s">
        <v>71</v>
      </c>
      <c r="C12" s="4" t="s">
        <v>20</v>
      </c>
      <c r="D12" s="2" t="s">
        <v>84</v>
      </c>
      <c r="E12" s="4" t="s">
        <v>86</v>
      </c>
      <c r="F12" s="4" t="s">
        <v>86</v>
      </c>
      <c r="G12" s="4" t="s">
        <v>86</v>
      </c>
      <c r="H12" s="4" t="s">
        <v>86</v>
      </c>
      <c r="I12" s="3" t="s">
        <v>87</v>
      </c>
    </row>
    <row r="13" spans="1:9" x14ac:dyDescent="0.25">
      <c r="A13" s="2" t="s">
        <v>74</v>
      </c>
      <c r="B13" s="2" t="s">
        <v>93</v>
      </c>
      <c r="C13" s="4" t="s">
        <v>22</v>
      </c>
      <c r="D13" s="2" t="s">
        <v>84</v>
      </c>
      <c r="E13" s="2">
        <v>-3.1766929539142001</v>
      </c>
      <c r="F13" s="2">
        <v>1.8580547266102601E-3</v>
      </c>
      <c r="G13" s="2">
        <v>2.9032332306976401E-3</v>
      </c>
      <c r="H13" s="2">
        <v>1.68278031711402E-9</v>
      </c>
    </row>
    <row r="14" spans="1:9" x14ac:dyDescent="0.25">
      <c r="A14" s="2" t="s">
        <v>72</v>
      </c>
      <c r="B14" s="2" t="s">
        <v>93</v>
      </c>
      <c r="C14" s="4" t="s">
        <v>22</v>
      </c>
      <c r="D14" s="2" t="s">
        <v>84</v>
      </c>
      <c r="E14" s="2">
        <v>-2.0166036316259599</v>
      </c>
      <c r="F14" s="2">
        <v>0.56664847830406295</v>
      </c>
      <c r="G14" s="2">
        <v>1.1835581504663E-4</v>
      </c>
      <c r="H14" s="2">
        <v>1.40762704343684E-9</v>
      </c>
    </row>
    <row r="15" spans="1:9" x14ac:dyDescent="0.25">
      <c r="A15" s="2" t="s">
        <v>73</v>
      </c>
      <c r="B15" s="2" t="s">
        <v>93</v>
      </c>
      <c r="C15" s="4" t="s">
        <v>77</v>
      </c>
      <c r="D15" s="2" t="s">
        <v>84</v>
      </c>
      <c r="E15" s="4" t="s">
        <v>86</v>
      </c>
      <c r="F15" s="4" t="s">
        <v>86</v>
      </c>
      <c r="G15" s="4" t="s">
        <v>86</v>
      </c>
      <c r="H15" s="4" t="s">
        <v>86</v>
      </c>
      <c r="I15" s="3" t="s">
        <v>104</v>
      </c>
    </row>
    <row r="16" spans="1:9" x14ac:dyDescent="0.25">
      <c r="A16" s="2" t="s">
        <v>97</v>
      </c>
      <c r="B16" s="2" t="s">
        <v>93</v>
      </c>
      <c r="C16" s="4" t="s">
        <v>22</v>
      </c>
      <c r="D16" s="2" t="s">
        <v>84</v>
      </c>
      <c r="E16" s="2">
        <v>-2.2178609903826598</v>
      </c>
      <c r="F16" s="2">
        <v>1.0208604864264901</v>
      </c>
      <c r="G16" s="2">
        <v>2.84986332928521E-3</v>
      </c>
      <c r="H16" s="2">
        <v>3.3800424762665402E-7</v>
      </c>
    </row>
    <row r="17" spans="1:9" x14ac:dyDescent="0.25">
      <c r="A17" s="2" t="s">
        <v>98</v>
      </c>
      <c r="B17" s="2" t="s">
        <v>93</v>
      </c>
      <c r="C17" s="4" t="s">
        <v>19</v>
      </c>
      <c r="D17" s="2" t="s">
        <v>84</v>
      </c>
      <c r="E17" s="2">
        <v>-1.68723273932049</v>
      </c>
      <c r="F17" s="2">
        <v>0.52091269665969298</v>
      </c>
      <c r="G17" s="2">
        <v>2.60621557432524E-3</v>
      </c>
      <c r="H17" s="2">
        <v>3.9185524009788499E-7</v>
      </c>
    </row>
    <row r="18" spans="1:9" x14ac:dyDescent="0.25">
      <c r="A18" s="2" t="s">
        <v>94</v>
      </c>
      <c r="B18" s="2" t="s">
        <v>93</v>
      </c>
      <c r="C18" s="4" t="s">
        <v>22</v>
      </c>
      <c r="D18" s="2" t="s">
        <v>84</v>
      </c>
      <c r="E18" s="4" t="s">
        <v>86</v>
      </c>
      <c r="F18" s="4" t="s">
        <v>86</v>
      </c>
      <c r="G18" s="4" t="s">
        <v>86</v>
      </c>
      <c r="H18" s="4" t="s">
        <v>86</v>
      </c>
      <c r="I18" s="3" t="s">
        <v>104</v>
      </c>
    </row>
    <row r="19" spans="1:9" x14ac:dyDescent="0.25">
      <c r="A19" s="2" t="s">
        <v>99</v>
      </c>
      <c r="B19" s="2" t="s">
        <v>93</v>
      </c>
      <c r="C19" s="4" t="s">
        <v>20</v>
      </c>
      <c r="D19" s="2" t="s">
        <v>84</v>
      </c>
      <c r="E19" s="2">
        <v>-2.41952625618524</v>
      </c>
      <c r="F19" s="2">
        <v>7.3743432509850004E-3</v>
      </c>
      <c r="G19" s="2">
        <v>2.27877840505753E-3</v>
      </c>
      <c r="H19" s="2">
        <v>1.1694562364543699E-9</v>
      </c>
    </row>
    <row r="20" spans="1:9" x14ac:dyDescent="0.25">
      <c r="A20" s="2" t="s">
        <v>100</v>
      </c>
      <c r="B20" s="2" t="s">
        <v>93</v>
      </c>
      <c r="C20" s="4" t="s">
        <v>22</v>
      </c>
      <c r="D20" s="2" t="s">
        <v>84</v>
      </c>
      <c r="E20" s="2">
        <v>-2.2972780634554302</v>
      </c>
      <c r="F20" s="2">
        <v>5.7147663088195199E-3</v>
      </c>
      <c r="G20" s="2">
        <v>2.2498424220596201E-3</v>
      </c>
      <c r="H20" s="2">
        <v>1.16388042976982E-9</v>
      </c>
    </row>
    <row r="21" spans="1:9" x14ac:dyDescent="0.25">
      <c r="A21" s="2" t="s">
        <v>102</v>
      </c>
      <c r="B21" s="2" t="s">
        <v>93</v>
      </c>
      <c r="C21" s="4" t="s">
        <v>20</v>
      </c>
      <c r="D21" s="2" t="s">
        <v>84</v>
      </c>
      <c r="E21" s="4" t="s">
        <v>86</v>
      </c>
      <c r="F21" s="4" t="s">
        <v>86</v>
      </c>
      <c r="G21" s="4" t="s">
        <v>86</v>
      </c>
      <c r="H21" s="4" t="s">
        <v>86</v>
      </c>
      <c r="I21" s="3" t="s">
        <v>104</v>
      </c>
    </row>
    <row r="22" spans="1:9" x14ac:dyDescent="0.25">
      <c r="A22" s="2" t="s">
        <v>103</v>
      </c>
      <c r="B22" s="2" t="s">
        <v>93</v>
      </c>
      <c r="C22" s="4" t="s">
        <v>22</v>
      </c>
      <c r="D22" s="2" t="s">
        <v>84</v>
      </c>
      <c r="E22" s="4" t="s">
        <v>86</v>
      </c>
      <c r="F22" s="4" t="s">
        <v>86</v>
      </c>
      <c r="G22" s="4" t="s">
        <v>86</v>
      </c>
      <c r="H22" s="4" t="s">
        <v>86</v>
      </c>
      <c r="I22" s="3" t="s">
        <v>104</v>
      </c>
    </row>
    <row r="23" spans="1:9" x14ac:dyDescent="0.25">
      <c r="A23" s="2" t="s">
        <v>108</v>
      </c>
      <c r="B23" s="2" t="s">
        <v>93</v>
      </c>
      <c r="C23" s="4" t="s">
        <v>22</v>
      </c>
      <c r="D23" s="2" t="s">
        <v>84</v>
      </c>
      <c r="E23" s="4" t="s">
        <v>86</v>
      </c>
      <c r="F23" s="4" t="s">
        <v>86</v>
      </c>
      <c r="G23" s="4" t="s">
        <v>86</v>
      </c>
      <c r="H23" s="4" t="s">
        <v>86</v>
      </c>
      <c r="I23" s="3" t="s">
        <v>104</v>
      </c>
    </row>
    <row r="24" spans="1:9" x14ac:dyDescent="0.25">
      <c r="A24" s="2" t="s">
        <v>109</v>
      </c>
      <c r="B24" s="2" t="s">
        <v>93</v>
      </c>
      <c r="C24" s="4" t="s">
        <v>22</v>
      </c>
      <c r="D24" s="2" t="s">
        <v>84</v>
      </c>
      <c r="E24" s="4" t="s">
        <v>86</v>
      </c>
      <c r="F24" s="4" t="s">
        <v>86</v>
      </c>
      <c r="G24" s="4" t="s">
        <v>86</v>
      </c>
      <c r="H24" s="4" t="s">
        <v>86</v>
      </c>
      <c r="I24" s="3" t="s">
        <v>104</v>
      </c>
    </row>
    <row r="25" spans="1:9" x14ac:dyDescent="0.25">
      <c r="A25" s="3" t="s">
        <v>110</v>
      </c>
      <c r="B25" s="2" t="s">
        <v>93</v>
      </c>
      <c r="C25" s="4" t="s">
        <v>23</v>
      </c>
      <c r="D25" s="2" t="s">
        <v>84</v>
      </c>
      <c r="E25" s="2">
        <v>1.0926962500579001</v>
      </c>
      <c r="F25" s="2">
        <v>1.05216795801005</v>
      </c>
      <c r="G25" s="2">
        <v>-3.0281950297229003E-4</v>
      </c>
      <c r="H25" s="2">
        <v>2.0868739219513099E-7</v>
      </c>
    </row>
    <row r="26" spans="1:9" x14ac:dyDescent="0.25">
      <c r="A26" s="2" t="s">
        <v>113</v>
      </c>
      <c r="B26" s="2" t="s">
        <v>93</v>
      </c>
      <c r="C26" s="4" t="s">
        <v>114</v>
      </c>
      <c r="D26" s="2" t="s">
        <v>84</v>
      </c>
      <c r="E26" s="4" t="s">
        <v>86</v>
      </c>
      <c r="F26" s="4" t="s">
        <v>86</v>
      </c>
      <c r="G26" s="4" t="s">
        <v>86</v>
      </c>
      <c r="H26" s="4" t="s">
        <v>86</v>
      </c>
      <c r="I26" s="3" t="s">
        <v>104</v>
      </c>
    </row>
    <row r="27" spans="1:9" x14ac:dyDescent="0.25">
      <c r="A27" s="2" t="s">
        <v>115</v>
      </c>
      <c r="B27" s="2" t="s">
        <v>93</v>
      </c>
      <c r="C27" s="4" t="s">
        <v>22</v>
      </c>
      <c r="D27" s="2" t="s">
        <v>84</v>
      </c>
      <c r="E27" s="4" t="s">
        <v>86</v>
      </c>
      <c r="F27" s="4" t="s">
        <v>86</v>
      </c>
      <c r="G27" s="4" t="s">
        <v>86</v>
      </c>
      <c r="H27" s="4" t="s">
        <v>86</v>
      </c>
      <c r="I27" s="3" t="s">
        <v>104</v>
      </c>
    </row>
    <row r="28" spans="1:9" x14ac:dyDescent="0.25">
      <c r="A28" s="2" t="s">
        <v>118</v>
      </c>
      <c r="B28" s="2" t="s">
        <v>93</v>
      </c>
      <c r="C28" s="4" t="s">
        <v>114</v>
      </c>
      <c r="D28" s="2" t="s">
        <v>84</v>
      </c>
      <c r="E28" s="2">
        <v>-1.08298771967247</v>
      </c>
      <c r="F28" s="2">
        <v>2.05944825006975</v>
      </c>
      <c r="G28" s="2">
        <v>1.5219252354228101E-3</v>
      </c>
      <c r="H28" s="2">
        <v>1.4454570331975601E-7</v>
      </c>
    </row>
    <row r="29" spans="1:9" x14ac:dyDescent="0.25">
      <c r="A29" s="2" t="s">
        <v>119</v>
      </c>
      <c r="B29" s="2" t="s">
        <v>93</v>
      </c>
      <c r="C29" s="4" t="s">
        <v>22</v>
      </c>
      <c r="D29" s="2" t="s">
        <v>84</v>
      </c>
      <c r="E29" s="4" t="s">
        <v>86</v>
      </c>
      <c r="F29" s="4" t="s">
        <v>86</v>
      </c>
      <c r="G29" s="4" t="s">
        <v>86</v>
      </c>
      <c r="H29" s="4" t="s">
        <v>86</v>
      </c>
      <c r="I29" s="3" t="s">
        <v>104</v>
      </c>
    </row>
    <row r="30" spans="1:9" x14ac:dyDescent="0.25">
      <c r="A30" s="2" t="s">
        <v>120</v>
      </c>
      <c r="B30" s="2" t="s">
        <v>93</v>
      </c>
      <c r="C30" s="4" t="s">
        <v>22</v>
      </c>
      <c r="D30" s="2" t="s">
        <v>84</v>
      </c>
      <c r="E30" s="4" t="s">
        <v>86</v>
      </c>
      <c r="F30" s="4" t="s">
        <v>86</v>
      </c>
      <c r="G30" s="4" t="s">
        <v>86</v>
      </c>
      <c r="H30" s="4" t="s">
        <v>86</v>
      </c>
      <c r="I30" s="3" t="s">
        <v>104</v>
      </c>
    </row>
    <row r="31" spans="1:9" x14ac:dyDescent="0.25">
      <c r="A31" s="2" t="s">
        <v>121</v>
      </c>
      <c r="B31" s="2" t="s">
        <v>93</v>
      </c>
      <c r="C31" s="4" t="s">
        <v>20</v>
      </c>
      <c r="D31" s="2" t="s">
        <v>84</v>
      </c>
      <c r="E31" s="4" t="s">
        <v>86</v>
      </c>
      <c r="F31" s="4" t="s">
        <v>86</v>
      </c>
      <c r="G31" s="4" t="s">
        <v>86</v>
      </c>
      <c r="H31" s="4" t="s">
        <v>86</v>
      </c>
      <c r="I31" s="3" t="s">
        <v>104</v>
      </c>
    </row>
    <row r="32" spans="1:9" x14ac:dyDescent="0.25">
      <c r="A32" s="2" t="s">
        <v>122</v>
      </c>
      <c r="B32" s="2" t="s">
        <v>93</v>
      </c>
      <c r="C32" s="4" t="s">
        <v>22</v>
      </c>
      <c r="D32" s="2" t="s">
        <v>84</v>
      </c>
      <c r="E32" s="4" t="s">
        <v>86</v>
      </c>
      <c r="F32" s="4" t="s">
        <v>86</v>
      </c>
      <c r="G32" s="4" t="s">
        <v>86</v>
      </c>
      <c r="H32" s="4" t="s">
        <v>86</v>
      </c>
      <c r="I32" s="3" t="s">
        <v>104</v>
      </c>
    </row>
    <row r="33" spans="1:9" x14ac:dyDescent="0.25">
      <c r="A33" s="2" t="s">
        <v>123</v>
      </c>
      <c r="B33" s="2" t="s">
        <v>93</v>
      </c>
      <c r="C33" s="4" t="s">
        <v>114</v>
      </c>
      <c r="D33" s="2" t="s">
        <v>84</v>
      </c>
      <c r="E33" s="4" t="s">
        <v>86</v>
      </c>
      <c r="F33" s="4" t="s">
        <v>86</v>
      </c>
      <c r="G33" s="4" t="s">
        <v>86</v>
      </c>
      <c r="H33" s="4" t="s">
        <v>86</v>
      </c>
      <c r="I33" s="3" t="s">
        <v>104</v>
      </c>
    </row>
    <row r="34" spans="1:9" x14ac:dyDescent="0.25">
      <c r="A34" s="2" t="s">
        <v>125</v>
      </c>
      <c r="B34" s="2" t="s">
        <v>93</v>
      </c>
      <c r="C34" s="4" t="s">
        <v>22</v>
      </c>
      <c r="D34" s="2" t="s">
        <v>84</v>
      </c>
      <c r="E34" s="4" t="s">
        <v>86</v>
      </c>
      <c r="F34" s="4" t="s">
        <v>86</v>
      </c>
      <c r="G34" s="4" t="s">
        <v>86</v>
      </c>
      <c r="H34" s="4" t="s">
        <v>86</v>
      </c>
      <c r="I34" s="3" t="s">
        <v>104</v>
      </c>
    </row>
    <row r="35" spans="1:9" x14ac:dyDescent="0.25">
      <c r="A35" s="2" t="s">
        <v>127</v>
      </c>
      <c r="B35" s="4" t="s">
        <v>93</v>
      </c>
      <c r="C35" s="4" t="s">
        <v>22</v>
      </c>
      <c r="D35" s="2" t="s">
        <v>84</v>
      </c>
      <c r="E35" s="4" t="s">
        <v>86</v>
      </c>
      <c r="F35" s="4" t="s">
        <v>86</v>
      </c>
      <c r="G35" s="4" t="s">
        <v>86</v>
      </c>
      <c r="H35" s="4" t="s">
        <v>86</v>
      </c>
      <c r="I35" s="3" t="s">
        <v>104</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dat_transm</vt:lpstr>
      <vt:lpstr>dat_infx</vt:lpstr>
      <vt:lpstr>dat_hosp.pop</vt:lpstr>
      <vt:lpstr>dat_death.pop</vt:lpstr>
      <vt:lpstr>dat_hosp.infx</vt:lpstr>
      <vt:lpstr>dat_death.infx</vt:lpstr>
      <vt:lpstr>ES_transm</vt:lpstr>
      <vt:lpstr>ES_infx</vt:lpstr>
      <vt:lpstr>ES_hosp.pop</vt:lpstr>
      <vt:lpstr>ES_death.pop</vt:lpstr>
      <vt:lpstr>ES_hosp.infx</vt:lpstr>
      <vt:lpstr>ES_death.infx</vt:lpstr>
      <vt:lpstr>Legend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dc:creator>
  <cp:lastModifiedBy>Aaron</cp:lastModifiedBy>
  <dcterms:created xsi:type="dcterms:W3CDTF">2021-10-06T09:51:30Z</dcterms:created>
  <dcterms:modified xsi:type="dcterms:W3CDTF">2021-11-10T00:46:18Z</dcterms:modified>
</cp:coreProperties>
</file>