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wsSortMap1.xml" ContentType="application/vnd.ms-excel.wsSortMap+xml"/>
  <Override PartName="/xl/comments4.xml" ContentType="application/vnd.openxmlformats-officedocument.spreadsheetml.comments+xml"/>
  <Override PartName="/xl/worksheets/wsSortMap2.xml" ContentType="application/vnd.ms-excel.wsSortMap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Microsoft\Supervisor\NL\Staff\Yearplanning 2013\"/>
    </mc:Choice>
  </mc:AlternateContent>
  <bookViews>
    <workbookView xWindow="101370" yWindow="120" windowWidth="20670" windowHeight="10200" tabRatio="945" firstSheet="5" activeTab="16"/>
  </bookViews>
  <sheets>
    <sheet name="Title" sheetId="1" r:id="rId1"/>
    <sheet name="Employee List" sheetId="2" r:id="rId2"/>
    <sheet name="Overview" sheetId="3" r:id="rId3"/>
    <sheet name="Productivity" sheetId="4" r:id="rId4"/>
    <sheet name="Attrition" sheetId="5" r:id="rId5"/>
    <sheet name="Time for Time" sheetId="6" r:id="rId6"/>
    <sheet name="Holiday Entitlement" sheetId="7" r:id="rId7"/>
    <sheet name="Hours Scheduled" sheetId="8" r:id="rId8"/>
    <sheet name="Team Overview" sheetId="9" r:id="rId9"/>
    <sheet name="Employee Overview" sheetId="10" r:id="rId10"/>
    <sheet name="January" sheetId="11" r:id="rId11"/>
    <sheet name="February" sheetId="12" r:id="rId12"/>
    <sheet name="March" sheetId="13" r:id="rId13"/>
    <sheet name="April" sheetId="14" r:id="rId14"/>
    <sheet name="May" sheetId="15" r:id="rId15"/>
    <sheet name="June" sheetId="16" r:id="rId16"/>
    <sheet name="July" sheetId="17" r:id="rId17"/>
    <sheet name="August" sheetId="18" r:id="rId18"/>
    <sheet name="September" sheetId="19" r:id="rId19"/>
    <sheet name="October" sheetId="20" r:id="rId20"/>
    <sheet name="November" sheetId="21" r:id="rId21"/>
    <sheet name="December" sheetId="22" r:id="rId22"/>
    <sheet name="Wishlist" sheetId="23" r:id="rId23"/>
    <sheet name="Requests for next year!" sheetId="24" r:id="rId24"/>
    <sheet name="Training Hours Overview year" sheetId="25" r:id="rId25"/>
  </sheets>
  <definedNames>
    <definedName name="_xlnm._FilterDatabase" localSheetId="13" hidden="1">April!$B$4:$AJ$164</definedName>
    <definedName name="_xlnm._FilterDatabase" localSheetId="17" hidden="1">August!$B$4:$AJ$164</definedName>
    <definedName name="_xlnm._FilterDatabase" localSheetId="21" hidden="1">December!$B$4:$AJ$184</definedName>
    <definedName name="_xlnm._FilterDatabase" localSheetId="1" hidden="1">'Employee List'!$A$3:$C$25</definedName>
    <definedName name="_xlnm._FilterDatabase" localSheetId="11" hidden="1">February!$B$4:$AJ$149</definedName>
    <definedName name="_xlnm._FilterDatabase" localSheetId="6" hidden="1">'Holiday Entitlement'!$A$4:$L$44</definedName>
    <definedName name="_xlnm._FilterDatabase" localSheetId="10" hidden="1">January!$B$4:$AJ$140</definedName>
    <definedName name="_xlnm._FilterDatabase" localSheetId="16" hidden="1">July!$B$4:$AJ$164</definedName>
    <definedName name="_xlnm._FilterDatabase" localSheetId="15" hidden="1">June!$B$4:$AJ$164</definedName>
    <definedName name="_xlnm._FilterDatabase" localSheetId="12" hidden="1">March!$B$4:$AJ$149</definedName>
    <definedName name="_xlnm._FilterDatabase" localSheetId="14" hidden="1">May!$A$4:$AJ$164</definedName>
    <definedName name="_xlnm._FilterDatabase" localSheetId="20" hidden="1">November!$B$4:$AJ$184</definedName>
    <definedName name="_xlnm._FilterDatabase" localSheetId="19" hidden="1">October!$B$4:$AJ$184</definedName>
    <definedName name="_xlnm._FilterDatabase" localSheetId="18" hidden="1">September!$B$4:$AJ$184</definedName>
    <definedName name="_xlnm._FilterDatabase" localSheetId="5" hidden="1">'Time for Time'!$A$4:$P$43</definedName>
    <definedName name="_xlnm._FilterDatabase" localSheetId="24" hidden="1">'Training Hours Overview year'!$A$2:$O$31</definedName>
    <definedName name="Z_0143FFA3_C24B_4307_9561_75582B9D1597_.wvu.FilterData" localSheetId="21" hidden="1">December!$B$4:$AJ$184</definedName>
    <definedName name="Z_024D204F_C8C1_44D8_B3E5_42CB11FDCC6E_.wvu.FilterData" localSheetId="21" hidden="1">December!$B$4:$AJ$169</definedName>
    <definedName name="Z_0AADEF33_0DB6_4722_BECB_06C4EF494556_.wvu.FilterData" localSheetId="13" hidden="1">April!$B$4:$AJ$140</definedName>
    <definedName name="Z_0B122C03_74FB_4A9F_A739_6E1D9D19A15F_.wvu.FilterData" localSheetId="11" hidden="1">February!$B$4:$AJ$140</definedName>
    <definedName name="Z_0B122C03_74FB_4A9F_A739_6E1D9D19A15F_.wvu.FilterData" localSheetId="5" hidden="1">'Time for Time'!$A$4:$P$40</definedName>
    <definedName name="Z_0EEA90DF_3A46_4E7E_846A_269EE13E334F_.wvu.FilterData" localSheetId="15" hidden="1">June!$B$4:$AJ$164</definedName>
    <definedName name="Z_0F50369D_9C6B_44C7_843A_F3E4EF4E2E72_.wvu.FilterData" localSheetId="5" hidden="1">'Time for Time'!$A$4:$P$42</definedName>
    <definedName name="Z_12C24C8A_D066_4A58_8BCC_26396132360C_.wvu.FilterData" localSheetId="15" hidden="1">June!$B$4:$AJ$164</definedName>
    <definedName name="Z_12C24C8A_D066_4A58_8BCC_26396132360C_.wvu.FilterData" localSheetId="5" hidden="1">'Time for Time'!$A$4:$P$43</definedName>
    <definedName name="Z_1587CBCC_2CC7_4525_8A49_E261AB2E1606_.wvu.Cols" localSheetId="9" hidden="1">'Employee Overview'!$R:$V</definedName>
    <definedName name="Z_1587CBCC_2CC7_4525_8A49_E261AB2E1606_.wvu.Cols" localSheetId="6" hidden="1">'Holiday Entitlement'!$C:$C,'Holiday Entitlement'!$I:$K</definedName>
    <definedName name="Z_1587CBCC_2CC7_4525_8A49_E261AB2E1606_.wvu.Cols" localSheetId="3" hidden="1">Productivity!$E:$E,Productivity!$S:$S</definedName>
    <definedName name="Z_1587CBCC_2CC7_4525_8A49_E261AB2E1606_.wvu.Cols" localSheetId="24" hidden="1">'Training Hours Overview year'!$B:$B</definedName>
    <definedName name="Z_1587CBCC_2CC7_4525_8A49_E261AB2E1606_.wvu.FilterData" localSheetId="13" hidden="1">April!$B$4:$AJ$164</definedName>
    <definedName name="Z_1587CBCC_2CC7_4525_8A49_E261AB2E1606_.wvu.FilterData" localSheetId="17" hidden="1">August!$B$4:$AJ$164</definedName>
    <definedName name="Z_1587CBCC_2CC7_4525_8A49_E261AB2E1606_.wvu.FilterData" localSheetId="21" hidden="1">December!$B$4:$AJ$184</definedName>
    <definedName name="Z_1587CBCC_2CC7_4525_8A49_E261AB2E1606_.wvu.FilterData" localSheetId="1" hidden="1">'Employee List'!$A$3:$C$25</definedName>
    <definedName name="Z_1587CBCC_2CC7_4525_8A49_E261AB2E1606_.wvu.FilterData" localSheetId="11" hidden="1">February!$B$4:$AJ$149</definedName>
    <definedName name="Z_1587CBCC_2CC7_4525_8A49_E261AB2E1606_.wvu.FilterData" localSheetId="6" hidden="1">'Holiday Entitlement'!$A$4:$L$44</definedName>
    <definedName name="Z_1587CBCC_2CC7_4525_8A49_E261AB2E1606_.wvu.FilterData" localSheetId="10" hidden="1">January!$B$4:$AJ$140</definedName>
    <definedName name="Z_1587CBCC_2CC7_4525_8A49_E261AB2E1606_.wvu.FilterData" localSheetId="16" hidden="1">July!$B$4:$AJ$164</definedName>
    <definedName name="Z_1587CBCC_2CC7_4525_8A49_E261AB2E1606_.wvu.FilterData" localSheetId="15" hidden="1">June!$B$4:$AJ$164</definedName>
    <definedName name="Z_1587CBCC_2CC7_4525_8A49_E261AB2E1606_.wvu.FilterData" localSheetId="12" hidden="1">March!$B$4:$AJ$149</definedName>
    <definedName name="Z_1587CBCC_2CC7_4525_8A49_E261AB2E1606_.wvu.FilterData" localSheetId="14" hidden="1">May!$A$4:$AJ$164</definedName>
    <definedName name="Z_1587CBCC_2CC7_4525_8A49_E261AB2E1606_.wvu.FilterData" localSheetId="20" hidden="1">November!$B$4:$AJ$184</definedName>
    <definedName name="Z_1587CBCC_2CC7_4525_8A49_E261AB2E1606_.wvu.FilterData" localSheetId="19" hidden="1">October!$B$4:$AJ$184</definedName>
    <definedName name="Z_1587CBCC_2CC7_4525_8A49_E261AB2E1606_.wvu.FilterData" localSheetId="18" hidden="1">September!$B$4:$AJ$184</definedName>
    <definedName name="Z_1587CBCC_2CC7_4525_8A49_E261AB2E1606_.wvu.FilterData" localSheetId="5" hidden="1">'Time for Time'!$A$4:$P$43</definedName>
    <definedName name="Z_1587CBCC_2CC7_4525_8A49_E261AB2E1606_.wvu.FilterData" localSheetId="24" hidden="1">'Training Hours Overview year'!$A$2:$O$31</definedName>
    <definedName name="Z_1587CBCC_2CC7_4525_8A49_E261AB2E1606_.wvu.Rows" localSheetId="17" hidden="1"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definedName>
    <definedName name="Z_1587CBCC_2CC7_4525_8A49_E261AB2E1606_.wvu.Rows" localSheetId="21" hidden="1"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definedName>
    <definedName name="Z_1587CBCC_2CC7_4525_8A49_E261AB2E1606_.wvu.Rows" localSheetId="9" hidden="1"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definedName>
    <definedName name="Z_1587CBCC_2CC7_4525_8A49_E261AB2E1606_.wvu.Rows" localSheetId="10" hidden="1">January!$1:$1,January!$141:$144,January!$146:$149</definedName>
    <definedName name="Z_1587CBCC_2CC7_4525_8A49_E261AB2E1606_.wvu.Rows" localSheetId="16" hidden="1"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definedName>
    <definedName name="Z_1587CBCC_2CC7_4525_8A49_E261AB2E1606_.wvu.Rows" localSheetId="14" hidden="1"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definedName>
    <definedName name="Z_1587CBCC_2CC7_4525_8A49_E261AB2E1606_.wvu.Rows" localSheetId="20" hidden="1"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definedName>
    <definedName name="Z_1587CBCC_2CC7_4525_8A49_E261AB2E1606_.wvu.Rows" localSheetId="19" hidden="1"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definedName>
    <definedName name="Z_1587CBCC_2CC7_4525_8A49_E261AB2E1606_.wvu.Rows" localSheetId="3" hidden="1">Productivity!$1:$1</definedName>
    <definedName name="Z_1587CBCC_2CC7_4525_8A49_E261AB2E1606_.wvu.Rows" localSheetId="18" hidden="1"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definedName>
    <definedName name="Z_1587CBCC_2CC7_4525_8A49_E261AB2E1606_.wvu.Rows" localSheetId="24" hidden="1">'Training Hours Overview year'!$1:$1</definedName>
    <definedName name="Z_173DFEF1_EB5B_47D9_9A16_0D24E200A32D_.wvu.FilterData" localSheetId="12" hidden="1">March!$B$4:$AJ$140</definedName>
    <definedName name="Z_17990775_CE70_45ED_BE3A_024050987689_.wvu.FilterData" localSheetId="14" hidden="1">May!$A$4:$AJ$140</definedName>
    <definedName name="Z_19ECB3FA_DAE4_47E3_82DE_2D1A29066D3D_.wvu.FilterData" localSheetId="14" hidden="1">May!$A$4:$AJ$140</definedName>
    <definedName name="Z_1B237613_9D4D_47C5_A9EF_D7FC0E29E2D5_.wvu.FilterData" localSheetId="1" hidden="1">'Employee List'!$A$3:$C$25</definedName>
    <definedName name="Z_1B237613_9D4D_47C5_A9EF_D7FC0E29E2D5_.wvu.FilterData" localSheetId="10" hidden="1">January!$B$4:$AJ$140</definedName>
    <definedName name="Z_1BC25061_32D5_45DE_83F9_EFA3A1092E03_.wvu.Cols" localSheetId="9" hidden="1">'Employee Overview'!$R:$V</definedName>
    <definedName name="Z_1BC25061_32D5_45DE_83F9_EFA3A1092E03_.wvu.Cols" localSheetId="6" hidden="1">'Holiday Entitlement'!$C:$C,'Holiday Entitlement'!$I:$K</definedName>
    <definedName name="Z_1BC25061_32D5_45DE_83F9_EFA3A1092E03_.wvu.Cols" localSheetId="3" hidden="1">Productivity!$E:$E,Productivity!$S:$S</definedName>
    <definedName name="Z_1BC25061_32D5_45DE_83F9_EFA3A1092E03_.wvu.Cols" localSheetId="24" hidden="1">'Training Hours Overview year'!$B:$B</definedName>
    <definedName name="Z_1BC25061_32D5_45DE_83F9_EFA3A1092E03_.wvu.FilterData" localSheetId="13" hidden="1">April!$B$4:$AJ$140</definedName>
    <definedName name="Z_1BC25061_32D5_45DE_83F9_EFA3A1092E03_.wvu.FilterData" localSheetId="17" hidden="1">August!$B$4:$AJ$140</definedName>
    <definedName name="Z_1BC25061_32D5_45DE_83F9_EFA3A1092E03_.wvu.FilterData" localSheetId="21" hidden="1">December!$B$4:$AJ$184</definedName>
    <definedName name="Z_1BC25061_32D5_45DE_83F9_EFA3A1092E03_.wvu.FilterData" localSheetId="1" hidden="1">'Employee List'!$A$3:$B$25</definedName>
    <definedName name="Z_1BC25061_32D5_45DE_83F9_EFA3A1092E03_.wvu.FilterData" localSheetId="11" hidden="1">February!$B$4:$AJ$140</definedName>
    <definedName name="Z_1BC25061_32D5_45DE_83F9_EFA3A1092E03_.wvu.FilterData" localSheetId="6" hidden="1">'Holiday Entitlement'!$A$4:$L$44</definedName>
    <definedName name="Z_1BC25061_32D5_45DE_83F9_EFA3A1092E03_.wvu.FilterData" localSheetId="10" hidden="1">January!$B$4:$AJ$140</definedName>
    <definedName name="Z_1BC25061_32D5_45DE_83F9_EFA3A1092E03_.wvu.FilterData" localSheetId="16" hidden="1">July!$B$4:$AJ$140</definedName>
    <definedName name="Z_1BC25061_32D5_45DE_83F9_EFA3A1092E03_.wvu.FilterData" localSheetId="15" hidden="1">June!$B$4:$AJ$140</definedName>
    <definedName name="Z_1BC25061_32D5_45DE_83F9_EFA3A1092E03_.wvu.FilterData" localSheetId="12" hidden="1">March!$B$4:$AJ$140</definedName>
    <definedName name="Z_1BC25061_32D5_45DE_83F9_EFA3A1092E03_.wvu.FilterData" localSheetId="14" hidden="1">May!$A$4:$AJ$140</definedName>
    <definedName name="Z_1BC25061_32D5_45DE_83F9_EFA3A1092E03_.wvu.FilterData" localSheetId="20" hidden="1">November!$B$4:$AJ$184</definedName>
    <definedName name="Z_1BC25061_32D5_45DE_83F9_EFA3A1092E03_.wvu.FilterData" localSheetId="19" hidden="1">October!$B$4:$AJ$184</definedName>
    <definedName name="Z_1BC25061_32D5_45DE_83F9_EFA3A1092E03_.wvu.FilterData" localSheetId="18" hidden="1">September!$B$4:$AJ$184</definedName>
    <definedName name="Z_1BC25061_32D5_45DE_83F9_EFA3A1092E03_.wvu.FilterData" localSheetId="5" hidden="1">'Time for Time'!$A$4:$P$43</definedName>
    <definedName name="Z_1BC25061_32D5_45DE_83F9_EFA3A1092E03_.wvu.FilterData" localSheetId="24" hidden="1">'Training Hours Overview year'!$A$2:$O$31</definedName>
    <definedName name="Z_1BC25061_32D5_45DE_83F9_EFA3A1092E03_.wvu.Rows" localSheetId="13" hidden="1">April!$6:$9,April!$11:$14,April!$16:$19,April!$21:$24,April!$26:$29,April!$31:$34,April!$36:$39,April!$41:$44,April!$46:$49,April!$51:$54,April!$56:$59,April!$61:$64,April!$66:$69,April!#REF!,April!$71:$74,April!$76:$79,April!$81:$84,April!$86:$89,April!$91:$94,April!$96:$99,April!$101:$104,April!$106:$109,April!$111:$114,April!$116:$119,April!$121:$124,April!$126:$129,April!$131:$134,April!$136:$139</definedName>
    <definedName name="Z_1BC25061_32D5_45DE_83F9_EFA3A1092E03_.wvu.Rows" localSheetId="17" hidden="1">August!$6:$9,August!$11:$14,August!$16:$19,August!$21:$24,August!$26:$29,August!$31:$34,August!$36:$39,August!$41:$44,August!$46:$49,August!$51:$54,August!$56:$59,August!$61:$64,August!$66:$69,August!#REF!,August!$71:$74,August!$76:$79,August!$81:$84,August!$86:$89,August!$91:$94,August!$96:$99,August!$101:$104,August!$106:$109,August!$111:$114,August!$116:$119,August!$121:$124,August!$126:$129,August!$131:$134,August!$136:$139</definedName>
    <definedName name="Z_1BC25061_32D5_45DE_83F9_EFA3A1092E03_.wvu.Rows" localSheetId="21" hidden="1">December!$6:$9,December!$11:$14,December!$16:$19,December!$21:$24,December!$26:$29,December!$31:$34,December!$36:$39,December!$41:$44,December!$46:$49,December!$51:$54,December!$56:$59,December!$61:$64,December!$66:$69,December!#REF!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</definedName>
    <definedName name="Z_1BC25061_32D5_45DE_83F9_EFA3A1092E03_.wvu.Rows" localSheetId="11" hidden="1">February!$6:$9,February!$11:$14,February!$16:$19,February!$21:$24,February!$26:$29,February!$31:$34,February!$36:$39,February!$41:$44,February!$46:$49,February!$51:$54,February!$56:$59,February!$61:$64,February!$66:$69,February!#REF!,February!$71:$74,February!$76:$79,February!$81:$84,February!$86:$89,February!$91:$94,February!$96:$99,February!$101:$104,February!$106:$109,February!$111:$114,February!$116:$119,February!$121:$124,February!$126:$129,February!$131:$134,February!$136:$139</definedName>
    <definedName name="Z_1BC25061_32D5_45DE_83F9_EFA3A1092E03_.wvu.Rows" localSheetId="10" hidden="1">January!$1:$1</definedName>
    <definedName name="Z_1BC25061_32D5_45DE_83F9_EFA3A1092E03_.wvu.Rows" localSheetId="16" hidden="1">July!$6:$9,July!$11:$14,July!$16:$19,July!$21:$24,July!$26:$29,July!$31:$34,July!$36:$39,July!$41:$44,July!$46:$49,July!$51:$54,July!$56:$59,July!$61:$64,July!$66:$69,July!#REF!,July!$71:$74,July!$76:$79,July!$81:$84,July!$86:$89,July!$91:$94,July!$96:$99,July!$101:$104,July!$106:$109,July!$111:$114,July!$116:$119,July!$121:$124,July!$126:$129,July!$131:$134,July!$136:$139</definedName>
    <definedName name="Z_1BC25061_32D5_45DE_83F9_EFA3A1092E03_.wvu.Rows" localSheetId="15" hidden="1">June!$6:$9,June!$11:$14,June!$16:$19,June!$21:$24,June!$26:$29,June!$31:$34,June!$36:$39,June!$41:$44,June!$46:$49,June!$51:$54,June!$56:$59,June!$61:$64,June!$66:$69,June!#REF!,June!$71:$74,June!$76:$79,June!$81:$84,June!$86:$89,June!$91:$94,June!$96:$99,June!$101:$104,June!$106:$109,June!$111:$114,June!$116:$119,June!$121:$124,June!$126:$129,June!$131:$134,June!$136:$139</definedName>
    <definedName name="Z_1BC25061_32D5_45DE_83F9_EFA3A1092E03_.wvu.Rows" localSheetId="12" hidden="1">March!$6:$9,March!$11:$14,March!$16:$19,March!$21:$24,March!$26:$29,March!$31:$34,March!$36:$39,March!$41:$44,March!$46:$49,March!$51:$54,March!$56:$59,March!$61:$64,March!$66:$69,March!#REF!,March!$71:$74,March!$76:$79,March!$81:$84,March!$86:$89,March!$91:$94,March!$96:$99,March!$101:$104,March!$106:$109,March!$111:$114,March!$116:$119,March!$121:$124,March!$126:$129,March!$131:$134,March!$136:$139</definedName>
    <definedName name="Z_1BC25061_32D5_45DE_83F9_EFA3A1092E03_.wvu.Rows" localSheetId="14" hidden="1">May!$6:$9,May!$11:$14,May!$16:$19,May!$21:$24,May!$26:$29,May!$31:$34,May!$36:$39,May!$41:$44,May!$46:$49,May!$51:$54,May!$56:$59,May!$61:$64,May!$66:$69,May!#REF!,May!$71:$74,May!$76:$79,May!$81:$84,May!$86:$89,May!$96:$99,May!$101:$104,May!$106:$109,May!$111:$114,May!$116:$119,May!$121:$124,May!$126:$129,May!$131:$134,May!$136:$139</definedName>
    <definedName name="Z_1BC25061_32D5_45DE_83F9_EFA3A1092E03_.wvu.Rows" localSheetId="19" hidden="1">October!$6:$9,October!$11:$14,October!$16:$19,October!$21:$24,October!$26:$29,October!$31:$34,October!$36:$39,October!$41:$44,October!$46:$49,October!$51:$54,October!$56:$59,October!$61:$64,October!$66:$69,October!#REF!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definedName>
    <definedName name="Z_1BC25061_32D5_45DE_83F9_EFA3A1092E03_.wvu.Rows" localSheetId="3" hidden="1">Productivity!$1:$1</definedName>
    <definedName name="Z_1BC25061_32D5_45DE_83F9_EFA3A1092E03_.wvu.Rows" localSheetId="18" hidden="1">September!$6:$9,September!$11:$14,September!$16:$19,September!$21:$24,September!$26:$29,September!$31:$34,September!$36:$39,September!$41:$44,September!$46:$49,September!$51:$54,September!$56:$59,September!$61:$64,September!$66:$69,September!#REF!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</definedName>
    <definedName name="Z_1BC25061_32D5_45DE_83F9_EFA3A1092E03_.wvu.Rows" localSheetId="24" hidden="1">'Training Hours Overview year'!$1:$1</definedName>
    <definedName name="Z_1C7C3451_3CC5_41D1_A41A_EF636A2C8D2A_.wvu.FilterData" localSheetId="10" hidden="1">January!$B$4:$AJ$140</definedName>
    <definedName name="Z_1C818523_9740_4831_8376_8A0F3FF50D47_.wvu.FilterData" localSheetId="15" hidden="1">June!$B$4:$AJ$140</definedName>
    <definedName name="Z_1C818523_9740_4831_8376_8A0F3FF50D47_.wvu.FilterData" localSheetId="14" hidden="1">May!$A$4:$AJ$140</definedName>
    <definedName name="Z_1CDB80E2_41A5_423B_85B5_EF445C3F0E46_.wvu.FilterData" localSheetId="20" hidden="1">November!$B$4:$AJ$184</definedName>
    <definedName name="Z_1DF6628A_4BFB_47B4_A0A6_60F4D49EDCAE_.wvu.FilterData" localSheetId="12" hidden="1">March!$B$4:$AJ$140</definedName>
    <definedName name="Z_1F53E8EB_4634_4570_87B7_316F9119FD05_.wvu.FilterData" localSheetId="15" hidden="1">June!$B$4:$AJ$164</definedName>
    <definedName name="Z_1F599F6A_6DFB_41AE_8822_0A28C59023FF_.wvu.FilterData" localSheetId="21" hidden="1">December!$B$4:$AJ$184</definedName>
    <definedName name="Z_21D06E4E_F4DF_4D19_AB5A_7C173DC3F639_.wvu.FilterData" localSheetId="12" hidden="1">March!$B$4:$AJ$140</definedName>
    <definedName name="Z_21D06E4E_F4DF_4D19_AB5A_7C173DC3F639_.wvu.FilterData" localSheetId="14" hidden="1">May!$A$4:$AJ$140</definedName>
    <definedName name="Z_23170190_EBC8_4B87_AE6A_8FC88F538692_.wvu.FilterData" localSheetId="5" hidden="1">'Time for Time'!$A$4:$P$42</definedName>
    <definedName name="Z_23F4116A_AFCD_4FAB_B898_B9AADD825E97_.wvu.FilterData" localSheetId="12" hidden="1">March!$B$4:$AJ$140</definedName>
    <definedName name="Z_2531BCFA_E885_44BF_B90E_6D1B389483CC_.wvu.FilterData" localSheetId="5" hidden="1">'Time for Time'!$A$4:$P$42</definedName>
    <definedName name="Z_2545B4FD_F9E9_4697_BBFB_0941C042B812_.wvu.FilterData" localSheetId="14" hidden="1">May!$A$4:$AJ$140</definedName>
    <definedName name="Z_2624228F_D249_4D85_8916_3F25D908307D_.wvu.FilterData" localSheetId="20" hidden="1">November!$B$4:$AJ$184</definedName>
    <definedName name="Z_26900ACD_31EE_4DA8_8DF1_D07CFBAF808D_.wvu.FilterData" localSheetId="14" hidden="1">May!$A$4:$AJ$140</definedName>
    <definedName name="Z_26900ACD_31EE_4DA8_8DF1_D07CFBAF808D_.wvu.FilterData" localSheetId="5" hidden="1">'Time for Time'!$A$4:$P$42</definedName>
    <definedName name="Z_26BD1923_48F6_462D_BBDB_DF9F91D02792_.wvu.FilterData" localSheetId="5" hidden="1">'Time for Time'!$A$4:$P$42</definedName>
    <definedName name="Z_272ADFD2_78A6_444E_874C_409932B3DE06_.wvu.FilterData" localSheetId="20" hidden="1">November!$B$4:$AJ$184</definedName>
    <definedName name="Z_293319B3_EA62_478E_9344_12CB51164ABC_.wvu.FilterData" localSheetId="10" hidden="1">January!$B$4:$AJ$140</definedName>
    <definedName name="Z_29621613_5E0B_496F_B029_8A22F12F72AD_.wvu.FilterData" localSheetId="12" hidden="1">March!$B$4:$AJ$140</definedName>
    <definedName name="Z_29621613_5E0B_496F_B029_8A22F12F72AD_.wvu.FilterData" localSheetId="5" hidden="1">'Time for Time'!$A$4:$P$42</definedName>
    <definedName name="Z_2A591353_623D_487E_8D05_97F4B4F6758A_.wvu.FilterData" localSheetId="11" hidden="1">February!$B$4:$AJ$140</definedName>
    <definedName name="Z_32EA9E1C_7E70_448F_8647_C757BDF8422F_.wvu.FilterData" localSheetId="12" hidden="1">March!$B$4:$AJ$140</definedName>
    <definedName name="Z_35AE5773_CE18_4ACF_962A_0980521059A0_.wvu.FilterData" localSheetId="15" hidden="1">June!$B$4:$AJ$164</definedName>
    <definedName name="Z_37E97C67_6050_4588_AFF3_B55AF5C6804F_.wvu.FilterData" localSheetId="10" hidden="1">January!$B$4:$AJ$140</definedName>
    <definedName name="Z_3834EDB2_8F99_46B8_ABA3_50BB61FC65F5_.wvu.FilterData" localSheetId="21" hidden="1">December!$B$4:$AJ$184</definedName>
    <definedName name="Z_39EC04A5_F4C0_4C07_BDA1_BCF1AEC595C0_.wvu.FilterData" localSheetId="15" hidden="1">June!$B$4:$AJ$164</definedName>
    <definedName name="Z_39EC04A5_F4C0_4C07_BDA1_BCF1AEC595C0_.wvu.FilterData" localSheetId="5" hidden="1">'Time for Time'!$A$4:$P$43</definedName>
    <definedName name="Z_3D4393A7_9A79_42F4_9BEE_F67742CCAEEA_.wvu.FilterData" localSheetId="20" hidden="1">November!$B$4:$AJ$184</definedName>
    <definedName name="Z_3E78719A_0C61_4978_96E4_864D0F57831F_.wvu.FilterData" localSheetId="13" hidden="1">April!$B$4:$AJ$140</definedName>
    <definedName name="Z_3EEBDD65_DE28_4A0A_8C7A_299C74767C4D_.wvu.FilterData" localSheetId="15" hidden="1">June!$B$4:$AJ$164</definedName>
    <definedName name="Z_3EEBDD65_DE28_4A0A_8C7A_299C74767C4D_.wvu.FilterData" localSheetId="5" hidden="1">'Time for Time'!$A$4:$P$43</definedName>
    <definedName name="Z_4155806E_C0D0_4CC9_9B31_04245B7DD4C8_.wvu.Cols" localSheetId="9" hidden="1">'Employee Overview'!$R:$V</definedName>
    <definedName name="Z_4155806E_C0D0_4CC9_9B31_04245B7DD4C8_.wvu.Cols" localSheetId="6" hidden="1">'Holiday Entitlement'!$C:$C</definedName>
    <definedName name="Z_4155806E_C0D0_4CC9_9B31_04245B7DD4C8_.wvu.Cols" localSheetId="3" hidden="1">Productivity!$E:$E,Productivity!$S:$S</definedName>
    <definedName name="Z_4155806E_C0D0_4CC9_9B31_04245B7DD4C8_.wvu.Cols" localSheetId="24" hidden="1">'Training Hours Overview year'!$B:$B</definedName>
    <definedName name="Z_4155806E_C0D0_4CC9_9B31_04245B7DD4C8_.wvu.FilterData" localSheetId="13" hidden="1">April!$B$4:$AJ$140</definedName>
    <definedName name="Z_4155806E_C0D0_4CC9_9B31_04245B7DD4C8_.wvu.FilterData" localSheetId="17" hidden="1">August!$B$4:$AJ$140</definedName>
    <definedName name="Z_4155806E_C0D0_4CC9_9B31_04245B7DD4C8_.wvu.FilterData" localSheetId="21" hidden="1">December!$B$4:$AJ$169</definedName>
    <definedName name="Z_4155806E_C0D0_4CC9_9B31_04245B7DD4C8_.wvu.FilterData" localSheetId="1" hidden="1">'Employee List'!$A$3:$C$25</definedName>
    <definedName name="Z_4155806E_C0D0_4CC9_9B31_04245B7DD4C8_.wvu.FilterData" localSheetId="11" hidden="1">February!$B$4:$AJ$140</definedName>
    <definedName name="Z_4155806E_C0D0_4CC9_9B31_04245B7DD4C8_.wvu.FilterData" localSheetId="6" hidden="1">'Holiday Entitlement'!$A$4:$K$44</definedName>
    <definedName name="Z_4155806E_C0D0_4CC9_9B31_04245B7DD4C8_.wvu.FilterData" localSheetId="10" hidden="1">January!$B$4:$AJ$140</definedName>
    <definedName name="Z_4155806E_C0D0_4CC9_9B31_04245B7DD4C8_.wvu.FilterData" localSheetId="16" hidden="1">July!$B$4:$AJ$140</definedName>
    <definedName name="Z_4155806E_C0D0_4CC9_9B31_04245B7DD4C8_.wvu.FilterData" localSheetId="15" hidden="1">June!$B$4:$AJ$140</definedName>
    <definedName name="Z_4155806E_C0D0_4CC9_9B31_04245B7DD4C8_.wvu.FilterData" localSheetId="12" hidden="1">March!$B$4:$AJ$140</definedName>
    <definedName name="Z_4155806E_C0D0_4CC9_9B31_04245B7DD4C8_.wvu.FilterData" localSheetId="14" hidden="1">May!$A$4:$AJ$140</definedName>
    <definedName name="Z_4155806E_C0D0_4CC9_9B31_04245B7DD4C8_.wvu.FilterData" localSheetId="20" hidden="1">November!$B$4:$AJ$169</definedName>
    <definedName name="Z_4155806E_C0D0_4CC9_9B31_04245B7DD4C8_.wvu.FilterData" localSheetId="19" hidden="1">October!$B$4:$AJ$179</definedName>
    <definedName name="Z_4155806E_C0D0_4CC9_9B31_04245B7DD4C8_.wvu.FilterData" localSheetId="18" hidden="1">September!$B$4:$AJ$174</definedName>
    <definedName name="Z_4155806E_C0D0_4CC9_9B31_04245B7DD4C8_.wvu.FilterData" localSheetId="5" hidden="1">'Time for Time'!$A$4:$P$40</definedName>
    <definedName name="Z_4155806E_C0D0_4CC9_9B31_04245B7DD4C8_.wvu.FilterData" localSheetId="24" hidden="1">'Training Hours Overview year'!$A$2:$O$31</definedName>
    <definedName name="Z_4155806E_C0D0_4CC9_9B31_04245B7DD4C8_.wvu.Rows" localSheetId="13" hidden="1">April!$1:$1,April!$6:$9,April!$11:$14,April!$16:$19,April!$21:$24,April!$26:$29,April!$31:$34,April!$36:$39,April!$41:$44,April!$46:$49,April!$51:$54,April!$56:$59,April!$61:$64,April!$66:$69,April!#REF!,April!$71:$74,April!$76:$79,April!$81:$84,April!$86:$89,April!$91:$94,April!$96:$99,April!$101:$104,April!$106:$109,April!$111:$114,April!$116:$119,April!$121:$124,April!$126:$129,April!$131:$134,April!$136:$139</definedName>
    <definedName name="Z_4155806E_C0D0_4CC9_9B31_04245B7DD4C8_.wvu.Rows" localSheetId="17" hidden="1">August!$1:$1,August!$6:$9,August!$11:$14,August!$16:$19,August!$21:$24,August!$26:$29,August!$31:$34,August!$36:$39,August!$41:$44,August!$46:$49,August!$51:$54,August!$56:$59,August!$61:$64,August!$66:$69,August!#REF!,August!$71:$74,August!$76:$79,August!$81:$84,August!$86:$89,August!$91:$94,August!$96:$99,August!$101:$104,August!$106:$109,August!$111:$114,August!$116:$119,August!$121:$124,August!$126:$129,August!$131:$134,August!$136:$139</definedName>
    <definedName name="Z_4155806E_C0D0_4CC9_9B31_04245B7DD4C8_.wvu.Rows" localSheetId="21" hidden="1">December!$1:$1,December!$6:$9,December!$11:$14,December!$16:$19,December!$21:$24,December!$26:$29,December!$31:$34,December!$36:$39,December!$41:$44,December!$46:$49,December!$51:$54,December!$56:$59,December!$61:$64,December!$66:$69,December!#REF!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</definedName>
    <definedName name="Z_4155806E_C0D0_4CC9_9B31_04245B7DD4C8_.wvu.Rows" localSheetId="9" hidden="1"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definedName>
    <definedName name="Z_4155806E_C0D0_4CC9_9B31_04245B7DD4C8_.wvu.Rows" localSheetId="11" hidden="1">February!$1:$1,February!$6:$9,February!$11:$14,February!$16:$19,February!$21:$24,February!$26:$29,February!$31:$34,February!$36:$39,February!$41:$44,February!$46:$49,February!$51:$54,February!$56:$59,February!$61:$64,February!$66:$69,February!#REF!,February!$71:$74,February!$76:$79,February!$81:$84,February!$86:$89,February!$91:$94,February!$96:$99,February!$101:$104,February!$106:$109,February!$111:$114,February!$116:$119,February!$121:$124,February!$126:$129,February!$131:$134,February!$136:$139</definedName>
    <definedName name="Z_4155806E_C0D0_4CC9_9B31_04245B7DD4C8_.wvu.Rows" localSheetId="10" hidden="1">January!$1:$1</definedName>
    <definedName name="Z_4155806E_C0D0_4CC9_9B31_04245B7DD4C8_.wvu.Rows" localSheetId="16" hidden="1">July!$1:$1,July!$6:$9,July!$11:$14,July!$16:$19,July!$21:$24,July!$26:$29,July!$31:$34,July!$36:$39,July!$41:$44,July!$46:$49,July!$51:$54,July!$56:$59,July!$61:$64,July!$66:$69,July!#REF!,July!$71:$74,July!$76:$79,July!$81:$84,July!$86:$89,July!$91:$94,July!$96:$99,July!$101:$104,July!$106:$109,July!$111:$114,July!$116:$119,July!$121:$124,July!$126:$129,July!$131:$134,July!$136:$139</definedName>
    <definedName name="Z_4155806E_C0D0_4CC9_9B31_04245B7DD4C8_.wvu.Rows" localSheetId="15" hidden="1">June!$1:$1,June!$6:$9,June!$11:$14,June!$16:$19,June!$21:$24,June!$26:$29,June!$31:$34,June!$36:$39,June!$41:$44,June!$46:$49,June!$51:$54,June!$56:$59,June!$61:$64,June!$66:$69,June!#REF!,June!$71:$74,June!$76:$79,June!$81:$84,June!$86:$89,June!$91:$94,June!$96:$99,June!$101:$104,June!$106:$109,June!$111:$114,June!$116:$119,June!$121:$124,June!$126:$129,June!$131:$134,June!$136:$139</definedName>
    <definedName name="Z_4155806E_C0D0_4CC9_9B31_04245B7DD4C8_.wvu.Rows" localSheetId="12" hidden="1">March!$1:$1,March!$6:$9,March!$11:$14,March!$16:$19,March!$21:$24,March!$26:$29,March!$31:$34,March!$36:$39,March!$41:$44,March!$46:$49,March!$51:$54,March!$56:$59,March!$61:$64,March!$66:$69,March!#REF!,March!$71:$74,March!$76:$79,March!$81:$84,March!$86:$89,March!$91:$94,March!$96:$99,March!$101:$104,March!$106:$109,March!$111:$114,March!$116:$119,March!$121:$124,March!$126:$129,March!$131:$134,March!$136:$139</definedName>
    <definedName name="Z_4155806E_C0D0_4CC9_9B31_04245B7DD4C8_.wvu.Rows" localSheetId="14" hidden="1">May!$1:$1,May!$6:$9,May!$11:$14,May!$16:$19,May!$21:$24,May!$26:$29,May!$31:$34,May!$36:$39,May!$41:$44,May!$46:$49,May!$51:$54,May!$56:$59,May!$61:$64,May!$66:$69,May!#REF!,May!$71:$74,May!$76:$79,May!$81:$84,May!$86:$89,May!$91:$94,May!$96:$99,May!$101:$104,May!$106:$109,May!$111:$114,May!$116:$119,May!$121:$124,May!$126:$129,May!$131:$134,May!$136:$139</definedName>
    <definedName name="Z_4155806E_C0D0_4CC9_9B31_04245B7DD4C8_.wvu.Rows" localSheetId="20" hidden="1">November!$1:$1,November!$6:$9,November!$11:$14,November!$16:$19,November!$21:$24,November!$26:$29,November!$31:$34,November!$36:$39,November!$41:$44,November!$46:$49,November!$51:$54,November!$56:$59,November!$61:$64,November!$66:$69,November!#REF!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</definedName>
    <definedName name="Z_4155806E_C0D0_4CC9_9B31_04245B7DD4C8_.wvu.Rows" localSheetId="19" hidden="1">October!$1:$1,October!$6:$9,October!$11:$14,October!$16:$19,October!$21:$24,October!$26:$29,October!$31:$34,October!$36:$39,October!$41:$44,October!$46:$49,October!$51:$54,October!$56:$59,October!$61:$64,October!$66:$69,October!#REF!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</definedName>
    <definedName name="Z_4155806E_C0D0_4CC9_9B31_04245B7DD4C8_.wvu.Rows" localSheetId="3" hidden="1">Productivity!$1:$1</definedName>
    <definedName name="Z_4155806E_C0D0_4CC9_9B31_04245B7DD4C8_.wvu.Rows" localSheetId="18" hidden="1">September!$1:$1,September!$6:$9,September!$11:$14,September!$16:$19,September!$21:$24,September!$26:$29,September!$31:$34,September!$36:$39,September!$41:$44,September!$46:$49,September!$51:$54,September!$56:$59,September!$61:$64,September!$66:$69,September!#REF!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</definedName>
    <definedName name="Z_41B4C9F0_1D96_4355_840A_C3FBB0C8DD82_.wvu.FilterData" localSheetId="12" hidden="1">March!$B$4:$AJ$140</definedName>
    <definedName name="Z_41B4C9F0_1D96_4355_840A_C3FBB0C8DD82_.wvu.FilterData" localSheetId="5" hidden="1">'Time for Time'!$A$4:$P$42</definedName>
    <definedName name="Z_4454C010_990A_49F8_95B5_A81BB1006390_.wvu.FilterData" localSheetId="21" hidden="1">December!$B$4:$AJ$184</definedName>
    <definedName name="Z_494D9AB3_749D_4D09_818F_00DE391DD426_.wvu.FilterData" localSheetId="10" hidden="1">January!$B$4:$AJ$140</definedName>
    <definedName name="Z_4EE9CDB3_E2D0_4234_9B9F_D17D298A019F_.wvu.FilterData" localSheetId="5" hidden="1">'Time for Time'!$A$4:$P$43</definedName>
    <definedName name="Z_4F3C8A9B_7D3C_4EBE_8949_057DDB792260_.wvu.FilterData" localSheetId="14" hidden="1">May!$A$4:$AJ$140</definedName>
    <definedName name="Z_50C8E98A_5CD3_45A7_B5D0_D07C2522BD9C_.wvu.FilterData" localSheetId="20" hidden="1">November!$B$4:$AJ$169</definedName>
    <definedName name="Z_550867EC_ED62_492B_8971_63914BBB59B8_.wvu.FilterData" localSheetId="19" hidden="1">October!$B$4:$AJ$184</definedName>
    <definedName name="Z_59675D83_4AB1_4E6C_AC6E_8FCD88B376CF_.wvu.FilterData" localSheetId="13" hidden="1">April!$B$4:$AJ$140</definedName>
    <definedName name="Z_59675D83_4AB1_4E6C_AC6E_8FCD88B376CF_.wvu.FilterData" localSheetId="17" hidden="1">August!$B$4:$AJ$140</definedName>
    <definedName name="Z_59675D83_4AB1_4E6C_AC6E_8FCD88B376CF_.wvu.FilterData" localSheetId="21" hidden="1">December!$B$4:$AJ$169</definedName>
    <definedName name="Z_59675D83_4AB1_4E6C_AC6E_8FCD88B376CF_.wvu.FilterData" localSheetId="16" hidden="1">July!$B$4:$AJ$140</definedName>
    <definedName name="Z_59675D83_4AB1_4E6C_AC6E_8FCD88B376CF_.wvu.FilterData" localSheetId="15" hidden="1">June!$B$4:$AJ$140</definedName>
    <definedName name="Z_59675D83_4AB1_4E6C_AC6E_8FCD88B376CF_.wvu.FilterData" localSheetId="12" hidden="1">March!$B$4:$AJ$140</definedName>
    <definedName name="Z_59675D83_4AB1_4E6C_AC6E_8FCD88B376CF_.wvu.FilterData" localSheetId="14" hidden="1">May!$A$4:$AJ$140</definedName>
    <definedName name="Z_59675D83_4AB1_4E6C_AC6E_8FCD88B376CF_.wvu.FilterData" localSheetId="20" hidden="1">November!$B$4:$AJ$169</definedName>
    <definedName name="Z_59675D83_4AB1_4E6C_AC6E_8FCD88B376CF_.wvu.FilterData" localSheetId="19" hidden="1">October!$B$4:$AJ$179</definedName>
    <definedName name="Z_59675D83_4AB1_4E6C_AC6E_8FCD88B376CF_.wvu.FilterData" localSheetId="18" hidden="1">September!$B$4:$AJ$174</definedName>
    <definedName name="Z_59FD3F95_D8F0_4616_82C2_638C3F2850B2_.wvu.FilterData" localSheetId="21" hidden="1">December!$B$4:$AJ$184</definedName>
    <definedName name="Z_59FD3F95_D8F0_4616_82C2_638C3F2850B2_.wvu.FilterData" localSheetId="20" hidden="1">November!$B$4:$AJ$184</definedName>
    <definedName name="Z_5A5E60A5_AEB6_47FB_A740_261A44DAC1E9_.wvu.FilterData" localSheetId="13" hidden="1">April!$B$4:$AJ$140</definedName>
    <definedName name="Z_62F531BC_93C7_4804_813E_6E5CC88648B4_.wvu.FilterData" localSheetId="14" hidden="1">May!$A$4:$AJ$140</definedName>
    <definedName name="Z_698BD404_04DA_462C_826E_F6617B7F5D66_.wvu.FilterData" localSheetId="20" hidden="1">November!$B$4:$AJ$169</definedName>
    <definedName name="Z_698BD404_04DA_462C_826E_F6617B7F5D66_.wvu.FilterData" localSheetId="5" hidden="1">'Time for Time'!$A$4:$P$40</definedName>
    <definedName name="Z_6E8FE543_2E70_4DDF_9A28_F07A5106AAAF_.wvu.FilterData" localSheetId="13" hidden="1">April!$B$4:$AJ$140</definedName>
    <definedName name="Z_7183DB1A_B1C2_44C7_9967_FBF999EE619A_.wvu.FilterData" localSheetId="20" hidden="1">November!$B$4:$AJ$169</definedName>
    <definedName name="Z_7908F80B_83A4_4894_9B72_25B4328BB7F8_.wvu.FilterData" localSheetId="12" hidden="1">March!$B$4:$AJ$140</definedName>
    <definedName name="Z_798570CB_67CD_4561_8A41_803702A647EF_.wvu.FilterData" localSheetId="20" hidden="1">November!$B$4:$AJ$184</definedName>
    <definedName name="Z_7CCBC50F_8E3A_4A22_BD88_53E4C6F47954_.wvu.FilterData" localSheetId="10" hidden="1">January!$B$4:$AJ$140</definedName>
    <definedName name="Z_7D9A0C3E_2B7D_465C_ACAB_93BBF3170CA3_.wvu.FilterData" localSheetId="11" hidden="1">February!$B$4:$AJ$140</definedName>
    <definedName name="Z_7D9A0C3E_2B7D_465C_ACAB_93BBF3170CA3_.wvu.FilterData" localSheetId="5" hidden="1">'Time for Time'!$A$4:$P$40</definedName>
    <definedName name="Z_7E17901A_9A07_4B35_A2D5_063E76810937_.wvu.FilterData" localSheetId="15" hidden="1">June!$B$4:$AJ$164</definedName>
    <definedName name="Z_7E17901A_9A07_4B35_A2D5_063E76810937_.wvu.FilterData" localSheetId="5" hidden="1">'Time for Time'!$A$4:$P$43</definedName>
    <definedName name="Z_7EE5054C_8B12_4B80_81B4_FF46FE1D8381_.wvu.FilterData" localSheetId="13" hidden="1">April!$B$4:$AJ$140</definedName>
    <definedName name="Z_80E00214_2A9F_4275_BBEF_4AC94663A0AF_.wvu.FilterData" localSheetId="13" hidden="1">April!$B$4:$AJ$140</definedName>
    <definedName name="Z_80E00214_2A9F_4275_BBEF_4AC94663A0AF_.wvu.FilterData" localSheetId="12" hidden="1">March!$B$4:$AJ$140</definedName>
    <definedName name="Z_8629DF19_76C7_46AA_8AB5_9FF5E714F1E2_.wvu.FilterData" localSheetId="20" hidden="1">November!$B$4:$AJ$169</definedName>
    <definedName name="Z_8CF66B10_CE37_4367_B30F_5C5F065822FE_.wvu.FilterData" localSheetId="12" hidden="1">March!$B$4:$AJ$140</definedName>
    <definedName name="Z_9053507E_3A01_46F1_BE54_AF3196747A5E_.wvu.FilterData" localSheetId="13" hidden="1">April!$B$4:$AJ$140</definedName>
    <definedName name="Z_9053507E_3A01_46F1_BE54_AF3196747A5E_.wvu.FilterData" localSheetId="5" hidden="1">'Time for Time'!$A$4:$P$42</definedName>
    <definedName name="Z_951DE03D_E265_4438_9B9C_BD6002F62B59_.wvu.FilterData" localSheetId="21" hidden="1">December!$B$4:$AJ$184</definedName>
    <definedName name="Z_956B61C6_4C2D_44EF_A113_945C7A64A935_.wvu.FilterData" localSheetId="21" hidden="1">December!$B$4:$AJ$184</definedName>
    <definedName name="Z_956B61C6_4C2D_44EF_A113_945C7A64A935_.wvu.FilterData" localSheetId="5" hidden="1">'Time for Time'!$A$4:$P$43</definedName>
    <definedName name="Z_9890D938_FBF6_49DC_97D6_1867834C8E7B_.wvu.FilterData" localSheetId="21" hidden="1">December!$B$4:$AJ$184</definedName>
    <definedName name="Z_98CBC5BF_8C89_48A4_860E_9C56014CD200_.wvu.Cols" localSheetId="9" hidden="1">'Employee Overview'!$R:$V</definedName>
    <definedName name="Z_98CBC5BF_8C89_48A4_860E_9C56014CD200_.wvu.Cols" localSheetId="6" hidden="1">'Holiday Entitlement'!$I:$K</definedName>
    <definedName name="Z_98CBC5BF_8C89_48A4_860E_9C56014CD200_.wvu.Cols" localSheetId="3" hidden="1">Productivity!$E:$E,Productivity!$S:$S</definedName>
    <definedName name="Z_98CBC5BF_8C89_48A4_860E_9C56014CD200_.wvu.FilterData" localSheetId="13" hidden="1">April!$B$4:$AJ$164</definedName>
    <definedName name="Z_98CBC5BF_8C89_48A4_860E_9C56014CD200_.wvu.FilterData" localSheetId="17" hidden="1">August!$B$4:$AJ$164</definedName>
    <definedName name="Z_98CBC5BF_8C89_48A4_860E_9C56014CD200_.wvu.FilterData" localSheetId="21" hidden="1">December!$B$4:$AJ$184</definedName>
    <definedName name="Z_98CBC5BF_8C89_48A4_860E_9C56014CD200_.wvu.FilterData" localSheetId="1" hidden="1">'Employee List'!$A$3:$C$25</definedName>
    <definedName name="Z_98CBC5BF_8C89_48A4_860E_9C56014CD200_.wvu.FilterData" localSheetId="11" hidden="1">February!$B$4:$AJ$149</definedName>
    <definedName name="Z_98CBC5BF_8C89_48A4_860E_9C56014CD200_.wvu.FilterData" localSheetId="6" hidden="1">'Holiday Entitlement'!$A$4:$L$44</definedName>
    <definedName name="Z_98CBC5BF_8C89_48A4_860E_9C56014CD200_.wvu.FilterData" localSheetId="10" hidden="1">January!$B$4:$AJ$140</definedName>
    <definedName name="Z_98CBC5BF_8C89_48A4_860E_9C56014CD200_.wvu.FilterData" localSheetId="16" hidden="1">July!$B$4:$AJ$164</definedName>
    <definedName name="Z_98CBC5BF_8C89_48A4_860E_9C56014CD200_.wvu.FilterData" localSheetId="15" hidden="1">June!$B$4:$AJ$164</definedName>
    <definedName name="Z_98CBC5BF_8C89_48A4_860E_9C56014CD200_.wvu.FilterData" localSheetId="12" hidden="1">March!$B$4:$AJ$149</definedName>
    <definedName name="Z_98CBC5BF_8C89_48A4_860E_9C56014CD200_.wvu.FilterData" localSheetId="14" hidden="1">May!$A$4:$AJ$164</definedName>
    <definedName name="Z_98CBC5BF_8C89_48A4_860E_9C56014CD200_.wvu.FilterData" localSheetId="20" hidden="1">November!$B$4:$AJ$184</definedName>
    <definedName name="Z_98CBC5BF_8C89_48A4_860E_9C56014CD200_.wvu.FilterData" localSheetId="19" hidden="1">October!$B$4:$AJ$184</definedName>
    <definedName name="Z_98CBC5BF_8C89_48A4_860E_9C56014CD200_.wvu.FilterData" localSheetId="18" hidden="1">September!$B$4:$AJ$184</definedName>
    <definedName name="Z_98CBC5BF_8C89_48A4_860E_9C56014CD200_.wvu.FilterData" localSheetId="5" hidden="1">'Time for Time'!$A$4:$P$43</definedName>
    <definedName name="Z_98CBC5BF_8C89_48A4_860E_9C56014CD200_.wvu.FilterData" localSheetId="24" hidden="1">'Training Hours Overview year'!$A$2:$O$31</definedName>
    <definedName name="Z_98CBC5BF_8C89_48A4_860E_9C56014CD200_.wvu.Rows" localSheetId="13" hidden="1"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definedName>
    <definedName name="Z_98CBC5BF_8C89_48A4_860E_9C56014CD200_.wvu.Rows" localSheetId="17" hidden="1"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definedName>
    <definedName name="Z_98CBC5BF_8C89_48A4_860E_9C56014CD200_.wvu.Rows" localSheetId="21" hidden="1"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definedName>
    <definedName name="Z_98CBC5BF_8C89_48A4_860E_9C56014CD200_.wvu.Rows" localSheetId="9" hidden="1"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definedName>
    <definedName name="Z_98CBC5BF_8C89_48A4_860E_9C56014CD200_.wvu.Rows" localSheetId="11" hidden="1"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definedName>
    <definedName name="Z_98CBC5BF_8C89_48A4_860E_9C56014CD200_.wvu.Rows" localSheetId="10" hidden="1"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definedName>
    <definedName name="Z_98CBC5BF_8C89_48A4_860E_9C56014CD200_.wvu.Rows" localSheetId="16" hidden="1"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definedName>
    <definedName name="Z_98CBC5BF_8C89_48A4_860E_9C56014CD200_.wvu.Rows" localSheetId="12" hidden="1">March!$150:$164</definedName>
    <definedName name="Z_98CBC5BF_8C89_48A4_860E_9C56014CD200_.wvu.Rows" localSheetId="14" hidden="1"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definedName>
    <definedName name="Z_98CBC5BF_8C89_48A4_860E_9C56014CD200_.wvu.Rows" localSheetId="20" hidden="1"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definedName>
    <definedName name="Z_98CBC5BF_8C89_48A4_860E_9C56014CD200_.wvu.Rows" localSheetId="19" hidden="1"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definedName>
    <definedName name="Z_98CBC5BF_8C89_48A4_860E_9C56014CD200_.wvu.Rows" localSheetId="3" hidden="1">Productivity!$1:$1</definedName>
    <definedName name="Z_98CBC5BF_8C89_48A4_860E_9C56014CD200_.wvu.Rows" localSheetId="18" hidden="1"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definedName>
    <definedName name="Z_98CBC5BF_8C89_48A4_860E_9C56014CD200_.wvu.Rows" localSheetId="24" hidden="1">'Training Hours Overview year'!$1:$1</definedName>
    <definedName name="Z_9B88D6B1_97D9_458A_B8A2_5874606BD61B_.wvu.FilterData" localSheetId="10" hidden="1">January!$B$4:$AJ$140</definedName>
    <definedName name="Z_9B88D6B1_97D9_458A_B8A2_5874606BD61B_.wvu.FilterData" localSheetId="5" hidden="1">'Time for Time'!$A$4:$P$40</definedName>
    <definedName name="Z_9C57DECF_2233_4F8E_8912_D66A87229641_.wvu.FilterData" localSheetId="21" hidden="1">December!$B$4:$AJ$184</definedName>
    <definedName name="Z_9C57DECF_2233_4F8E_8912_D66A87229641_.wvu.FilterData" localSheetId="20" hidden="1">November!$B$4:$AJ$184</definedName>
    <definedName name="Z_9DC667BC_3572_4BF8_946C_8E08F24D2173_.wvu.FilterData" localSheetId="20" hidden="1">November!$B$4:$AJ$184</definedName>
    <definedName name="Z_A182D623_47B2_45C2_9237_B7EA704ABA44_.wvu.FilterData" localSheetId="20" hidden="1">November!$B$4:$AJ$184</definedName>
    <definedName name="Z_A32AE0CD_4856_451D_BEAC_F9CA234D710A_.wvu.FilterData" localSheetId="17" hidden="1">August!$B$4:$AJ$140</definedName>
    <definedName name="Z_A32AE0CD_4856_451D_BEAC_F9CA234D710A_.wvu.FilterData" localSheetId="16" hidden="1">July!$B$4:$AJ$140</definedName>
    <definedName name="Z_A3CFBE05_2D20_4DB6_BFA8_C896747184C5_.wvu.FilterData" localSheetId="21" hidden="1">December!$B$4:$AJ$184</definedName>
    <definedName name="Z_A3CFBE05_2D20_4DB6_BFA8_C896747184C5_.wvu.FilterData" localSheetId="5" hidden="1">'Time for Time'!$A$4:$P$43</definedName>
    <definedName name="Z_A44B2683_BEB0_424D_B683_C36B33A69E0E_.wvu.FilterData" localSheetId="20" hidden="1">November!$B$4:$AJ$169</definedName>
    <definedName name="Z_A44B2683_BEB0_424D_B683_C36B33A69E0E_.wvu.FilterData" localSheetId="19" hidden="1">October!$B$4:$AJ$184</definedName>
    <definedName name="Z_A5BDBAE7_5F2B_43DB_A3BD_B713E0D5223A_.wvu.FilterData" localSheetId="14" hidden="1">May!$A$4:$AJ$140</definedName>
    <definedName name="Z_A5BDBAE7_5F2B_43DB_A3BD_B713E0D5223A_.wvu.FilterData" localSheetId="5" hidden="1">'Time for Time'!$A$4:$P$42</definedName>
    <definedName name="Z_A851E5F1_7A5C_4413_8112_691567ABC498_.wvu.FilterData" localSheetId="21" hidden="1">December!$B$4:$AJ$184</definedName>
    <definedName name="Z_A851E5F1_7A5C_4413_8112_691567ABC498_.wvu.FilterData" localSheetId="5" hidden="1">'Time for Time'!$A$4:$P$43</definedName>
    <definedName name="Z_AAFC2AB7_784E_44AC_9F10_5AD4EAE793D7_.wvu.FilterData" localSheetId="5" hidden="1">'Time for Time'!$A$4:$P$40</definedName>
    <definedName name="Z_AF5C8ED6_F212_401B_97FB_7E03CFC488F2_.wvu.FilterData" localSheetId="17" hidden="1">August!$B$4:$AJ$140</definedName>
    <definedName name="Z_AF5C8ED6_F212_401B_97FB_7E03CFC488F2_.wvu.FilterData" localSheetId="15" hidden="1">June!$B$4:$AJ$164</definedName>
    <definedName name="Z_AF5C8ED6_F212_401B_97FB_7E03CFC488F2_.wvu.FilterData" localSheetId="18" hidden="1">September!$B$4:$AJ$184</definedName>
    <definedName name="Z_AFDA0F90_A31B_4B39_AAFB_8A3A051B0782_.wvu.FilterData" localSheetId="13" hidden="1">April!$B$4:$AJ$140</definedName>
    <definedName name="Z_B8296FA1_28C5_4A04_ACA4_B1ACBAAD906E_.wvu.FilterData" localSheetId="12" hidden="1">March!$B$4:$AJ$140</definedName>
    <definedName name="Z_B8FBFF6E_3C61_43FF_AF74_A68D1570ACE0_.wvu.FilterData" localSheetId="10" hidden="1">January!$B$4:$AJ$140</definedName>
    <definedName name="Z_B8FBFF6E_3C61_43FF_AF74_A68D1570ACE0_.wvu.FilterData" localSheetId="5" hidden="1">'Time for Time'!$A$4:$P$40</definedName>
    <definedName name="Z_BAC182AF_5C52_49E9_AA77_074536AB512D_.wvu.FilterData" localSheetId="12" hidden="1">March!$B$4:$AJ$140</definedName>
    <definedName name="Z_BF21968F_33B1_4F0D_AEFC_74E4D6E6C0F0_.wvu.FilterData" localSheetId="12" hidden="1">March!$B$4:$AJ$140</definedName>
    <definedName name="Z_BF21968F_33B1_4F0D_AEFC_74E4D6E6C0F0_.wvu.FilterData" localSheetId="5" hidden="1">'Time for Time'!$A$4:$P$42</definedName>
    <definedName name="Z_C0599907_4B03_415B_9FB2_C8B49C731E3B_.wvu.FilterData" localSheetId="13" hidden="1">April!$B$4:$AJ$140</definedName>
    <definedName name="Z_C17C6744_3708_4867_8E91_D017542377A7_.wvu.FilterData" localSheetId="21" hidden="1">December!$B$4:$AJ$184</definedName>
    <definedName name="Z_C5D9000A_81ED_4920_B6AF_4B234775AEC9_.wvu.Cols" localSheetId="9" hidden="1">'Employee Overview'!$R:$V</definedName>
    <definedName name="Z_C5D9000A_81ED_4920_B6AF_4B234775AEC9_.wvu.Cols" localSheetId="6" hidden="1">'Holiday Entitlement'!$C:$C,'Holiday Entitlement'!$I:$K</definedName>
    <definedName name="Z_C5D9000A_81ED_4920_B6AF_4B234775AEC9_.wvu.Cols" localSheetId="3" hidden="1">Productivity!$E:$E,Productivity!$S:$S</definedName>
    <definedName name="Z_C5D9000A_81ED_4920_B6AF_4B234775AEC9_.wvu.Cols" localSheetId="24" hidden="1">'Training Hours Overview year'!$B:$B</definedName>
    <definedName name="Z_C5D9000A_81ED_4920_B6AF_4B234775AEC9_.wvu.FilterData" localSheetId="13" hidden="1">April!$B$4:$AJ$164</definedName>
    <definedName name="Z_C5D9000A_81ED_4920_B6AF_4B234775AEC9_.wvu.FilterData" localSheetId="17" hidden="1">August!$B$4:$AJ$164</definedName>
    <definedName name="Z_C5D9000A_81ED_4920_B6AF_4B234775AEC9_.wvu.FilterData" localSheetId="21" hidden="1">December!$B$4:$AJ$184</definedName>
    <definedName name="Z_C5D9000A_81ED_4920_B6AF_4B234775AEC9_.wvu.FilterData" localSheetId="1" hidden="1">'Employee List'!$A$3:$C$25</definedName>
    <definedName name="Z_C5D9000A_81ED_4920_B6AF_4B234775AEC9_.wvu.FilterData" localSheetId="11" hidden="1">February!$B$4:$AJ$149</definedName>
    <definedName name="Z_C5D9000A_81ED_4920_B6AF_4B234775AEC9_.wvu.FilterData" localSheetId="6" hidden="1">'Holiday Entitlement'!$A$4:$L$44</definedName>
    <definedName name="Z_C5D9000A_81ED_4920_B6AF_4B234775AEC9_.wvu.FilterData" localSheetId="10" hidden="1">January!$B$4:$AJ$140</definedName>
    <definedName name="Z_C5D9000A_81ED_4920_B6AF_4B234775AEC9_.wvu.FilterData" localSheetId="16" hidden="1">July!$B$4:$AJ$164</definedName>
    <definedName name="Z_C5D9000A_81ED_4920_B6AF_4B234775AEC9_.wvu.FilterData" localSheetId="15" hidden="1">June!$B$4:$AJ$164</definedName>
    <definedName name="Z_C5D9000A_81ED_4920_B6AF_4B234775AEC9_.wvu.FilterData" localSheetId="12" hidden="1">March!$B$4:$AJ$149</definedName>
    <definedName name="Z_C5D9000A_81ED_4920_B6AF_4B234775AEC9_.wvu.FilterData" localSheetId="14" hidden="1">May!$A$4:$AJ$164</definedName>
    <definedName name="Z_C5D9000A_81ED_4920_B6AF_4B234775AEC9_.wvu.FilterData" localSheetId="20" hidden="1">November!$B$4:$AJ$184</definedName>
    <definedName name="Z_C5D9000A_81ED_4920_B6AF_4B234775AEC9_.wvu.FilterData" localSheetId="19" hidden="1">October!$B$4:$AJ$184</definedName>
    <definedName name="Z_C5D9000A_81ED_4920_B6AF_4B234775AEC9_.wvu.FilterData" localSheetId="18" hidden="1">September!$B$4:$AJ$184</definedName>
    <definedName name="Z_C5D9000A_81ED_4920_B6AF_4B234775AEC9_.wvu.FilterData" localSheetId="5" hidden="1">'Time for Time'!$A$4:$P$43</definedName>
    <definedName name="Z_C5D9000A_81ED_4920_B6AF_4B234775AEC9_.wvu.FilterData" localSheetId="24" hidden="1">'Training Hours Overview year'!$A$2:$O$31</definedName>
    <definedName name="Z_C5D9000A_81ED_4920_B6AF_4B234775AEC9_.wvu.Rows" localSheetId="13" hidden="1"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definedName>
    <definedName name="Z_C5D9000A_81ED_4920_B6AF_4B234775AEC9_.wvu.Rows" localSheetId="17" hidden="1"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definedName>
    <definedName name="Z_C5D9000A_81ED_4920_B6AF_4B234775AEC9_.wvu.Rows" localSheetId="21" hidden="1"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definedName>
    <definedName name="Z_C5D9000A_81ED_4920_B6AF_4B234775AEC9_.wvu.Rows" localSheetId="10" hidden="1">January!$1:$1,January!$141:$144,January!$146:$149</definedName>
    <definedName name="Z_C5D9000A_81ED_4920_B6AF_4B234775AEC9_.wvu.Rows" localSheetId="16" hidden="1"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definedName>
    <definedName name="Z_C5D9000A_81ED_4920_B6AF_4B234775AEC9_.wvu.Rows" localSheetId="15" hidden="1"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definedName>
    <definedName name="Z_C5D9000A_81ED_4920_B6AF_4B234775AEC9_.wvu.Rows" localSheetId="12" hidden="1">March!$6:$9,March!$11:$14,March!$16:$19,March!$21:$24,March!$26:$29,March!$31:$34,March!$36:$39,March!$41:$44,March!$46:$49,March!$51:$54,March!$56:$59,March!$61:$64,March!$66:$69,March!$71:$74,March!$76:$79,March!$81:$84,March!$86:$89,March!$91:$94,March!$96:$99,March!$101:$104,March!$106:$109,March!$111:$114,March!$116:$119,March!$121:$124,March!$126:$129,March!$131:$134,March!$136:$139,March!$141:$144,March!$146:$149,March!$151:$154,March!$156:$159,March!$161:$164</definedName>
    <definedName name="Z_C5D9000A_81ED_4920_B6AF_4B234775AEC9_.wvu.Rows" localSheetId="14" hidden="1"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definedName>
    <definedName name="Z_C5D9000A_81ED_4920_B6AF_4B234775AEC9_.wvu.Rows" localSheetId="20" hidden="1"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definedName>
    <definedName name="Z_C5D9000A_81ED_4920_B6AF_4B234775AEC9_.wvu.Rows" localSheetId="19" hidden="1"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definedName>
    <definedName name="Z_C5D9000A_81ED_4920_B6AF_4B234775AEC9_.wvu.Rows" localSheetId="3" hidden="1">Productivity!$1:$1</definedName>
    <definedName name="Z_C5D9000A_81ED_4920_B6AF_4B234775AEC9_.wvu.Rows" localSheetId="18" hidden="1"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definedName>
    <definedName name="Z_C5D9000A_81ED_4920_B6AF_4B234775AEC9_.wvu.Rows" localSheetId="24" hidden="1">'Training Hours Overview year'!$1:$1</definedName>
    <definedName name="Z_C751B2EE_9ED5_45C6_A06E_BBDB7C946818_.wvu.FilterData" localSheetId="13" hidden="1">April!$B$4:$AJ$140</definedName>
    <definedName name="Z_C751B2EE_9ED5_45C6_A06E_BBDB7C946818_.wvu.FilterData" localSheetId="12" hidden="1">March!$B$4:$AJ$140</definedName>
    <definedName name="Z_C751B2EE_9ED5_45C6_A06E_BBDB7C946818_.wvu.FilterData" localSheetId="14" hidden="1">May!$A$4:$AJ$140</definedName>
    <definedName name="Z_C96755CA_DCF0_4CAA_B910_DAA9AB17231B_.wvu.FilterData" localSheetId="21" hidden="1">December!$B$4:$AJ$184</definedName>
    <definedName name="Z_CC566DB1_2459_41BF_8C36_CBA362C3F857_.wvu.FilterData" localSheetId="20" hidden="1">November!$B$4:$AJ$184</definedName>
    <definedName name="Z_CC566DB1_2459_41BF_8C36_CBA362C3F857_.wvu.FilterData" localSheetId="5" hidden="1">'Time for Time'!$A$4:$P$43</definedName>
    <definedName name="Z_CC6CD70B_23D4_486A_8581_F95D424C6636_.wvu.FilterData" localSheetId="12" hidden="1">March!$B$4:$AJ$140</definedName>
    <definedName name="Z_CE527572_7479_4798_BC95_053C8B49D614_.wvu.FilterData" localSheetId="12" hidden="1">March!$B$4:$AJ$140</definedName>
    <definedName name="Z_CE527572_7479_4798_BC95_053C8B49D614_.wvu.FilterData" localSheetId="5" hidden="1">'Time for Time'!$A$4:$P$40</definedName>
    <definedName name="Z_CF917189_7AB9_4E55_816F_ACFC7FA45C05_.wvu.Cols" localSheetId="9" hidden="1">'Employee Overview'!$R:$V</definedName>
    <definedName name="Z_CF917189_7AB9_4E55_816F_ACFC7FA45C05_.wvu.Cols" localSheetId="6" hidden="1">'Holiday Entitlement'!$C:$C,'Holiday Entitlement'!$I:$K</definedName>
    <definedName name="Z_CF917189_7AB9_4E55_816F_ACFC7FA45C05_.wvu.Cols" localSheetId="3" hidden="1">Productivity!$E:$E,Productivity!$S:$S</definedName>
    <definedName name="Z_CF917189_7AB9_4E55_816F_ACFC7FA45C05_.wvu.Cols" localSheetId="24" hidden="1">'Training Hours Overview year'!$B:$B</definedName>
    <definedName name="Z_CF917189_7AB9_4E55_816F_ACFC7FA45C05_.wvu.FilterData" localSheetId="13" hidden="1">April!$B$4:$AJ$140</definedName>
    <definedName name="Z_CF917189_7AB9_4E55_816F_ACFC7FA45C05_.wvu.FilterData" localSheetId="17" hidden="1">August!$B$4:$AJ$140</definedName>
    <definedName name="Z_CF917189_7AB9_4E55_816F_ACFC7FA45C05_.wvu.FilterData" localSheetId="21" hidden="1">December!$B$4:$AJ$169</definedName>
    <definedName name="Z_CF917189_7AB9_4E55_816F_ACFC7FA45C05_.wvu.FilterData" localSheetId="1" hidden="1">'Employee List'!$A$3:$C$25</definedName>
    <definedName name="Z_CF917189_7AB9_4E55_816F_ACFC7FA45C05_.wvu.FilterData" localSheetId="11" hidden="1">February!$B$4:$AJ$140</definedName>
    <definedName name="Z_CF917189_7AB9_4E55_816F_ACFC7FA45C05_.wvu.FilterData" localSheetId="6" hidden="1">'Holiday Entitlement'!$A$4:$L$44</definedName>
    <definedName name="Z_CF917189_7AB9_4E55_816F_ACFC7FA45C05_.wvu.FilterData" localSheetId="10" hidden="1">January!$B$4:$AJ$140</definedName>
    <definedName name="Z_CF917189_7AB9_4E55_816F_ACFC7FA45C05_.wvu.FilterData" localSheetId="16" hidden="1">July!$B$4:$AJ$140</definedName>
    <definedName name="Z_CF917189_7AB9_4E55_816F_ACFC7FA45C05_.wvu.FilterData" localSheetId="15" hidden="1">June!$B$4:$AJ$140</definedName>
    <definedName name="Z_CF917189_7AB9_4E55_816F_ACFC7FA45C05_.wvu.FilterData" localSheetId="12" hidden="1">March!$B$4:$AJ$140</definedName>
    <definedName name="Z_CF917189_7AB9_4E55_816F_ACFC7FA45C05_.wvu.FilterData" localSheetId="14" hidden="1">May!$A$4:$AJ$140</definedName>
    <definedName name="Z_CF917189_7AB9_4E55_816F_ACFC7FA45C05_.wvu.FilterData" localSheetId="20" hidden="1">November!$B$4:$AJ$184</definedName>
    <definedName name="Z_CF917189_7AB9_4E55_816F_ACFC7FA45C05_.wvu.FilterData" localSheetId="19" hidden="1">October!$B$4:$AJ$184</definedName>
    <definedName name="Z_CF917189_7AB9_4E55_816F_ACFC7FA45C05_.wvu.FilterData" localSheetId="18" hidden="1">September!$B$4:$AJ$184</definedName>
    <definedName name="Z_CF917189_7AB9_4E55_816F_ACFC7FA45C05_.wvu.FilterData" localSheetId="5" hidden="1">'Time for Time'!$A$4:$P$43</definedName>
    <definedName name="Z_CF917189_7AB9_4E55_816F_ACFC7FA45C05_.wvu.FilterData" localSheetId="24" hidden="1">'Training Hours Overview year'!$A$2:$O$31</definedName>
    <definedName name="Z_CF917189_7AB9_4E55_816F_ACFC7FA45C05_.wvu.Rows" localSheetId="13" hidden="1">April!$6:$9,April!$11:$14,April!$16:$19,April!$21:$24,April!$26:$29,April!$31:$34,April!$36:$39,April!$41:$44,April!$46:$49,April!$51:$54,April!$56:$59,April!$61:$64,April!$66:$69,April!#REF!,April!$71:$74,April!$76:$79,April!$81:$84,April!$86:$89,April!$91:$94,April!$96:$99,April!$101:$104,April!$106:$109,April!$111:$114,April!$116:$119,April!$121:$124,April!$126:$129,April!$131:$134,April!$136:$139</definedName>
    <definedName name="Z_CF917189_7AB9_4E55_816F_ACFC7FA45C05_.wvu.Rows" localSheetId="17" hidden="1">August!$6:$9,August!$11:$14,August!$16:$19,August!$21:$24,August!$26:$29,August!$31:$34,August!$36:$39,August!$41:$44,August!$46:$49,August!$51:$54,August!$56:$59,August!$61:$64,August!$66:$69,August!#REF!,August!$71:$74,August!$76:$79,August!$81:$84,August!$86:$89,August!$91:$94,August!$96:$99,August!$101:$104,August!$106:$109,August!$111:$114,August!$116:$119,August!$121:$124,August!$126:$129,August!$131:$134,August!$136:$139</definedName>
    <definedName name="Z_CF917189_7AB9_4E55_816F_ACFC7FA45C05_.wvu.Rows" localSheetId="21" hidden="1">December!$6:$9,December!$11:$14,December!$16:$19,December!$21:$24,December!$26:$29,December!$31:$34,December!$36:$39,December!$41:$44,December!$46:$49,December!$51:$54,December!$56:$59,December!$61:$64,December!$66:$69,December!#REF!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definedName>
    <definedName name="Z_CF917189_7AB9_4E55_816F_ACFC7FA45C05_.wvu.Rows" localSheetId="11" hidden="1">February!$6:$9,February!$11:$14,February!$16:$19,February!$21:$24,February!$26:$29,February!$31:$34,February!$36:$39,February!$41:$44,February!$46:$49,February!$51:$54,February!$56:$59,February!$61:$64,February!$66:$69,February!#REF!,February!$71:$74,February!$76:$79,February!$81:$84,February!$86:$89,February!$91:$94,February!$96:$99,February!$101:$104,February!$106:$109,February!$111:$114,February!$116:$119,February!$121:$124,February!$126:$129,February!$131:$134,February!$136:$139</definedName>
    <definedName name="Z_CF917189_7AB9_4E55_816F_ACFC7FA45C05_.wvu.Rows" localSheetId="10" hidden="1">January!$1:$1</definedName>
    <definedName name="Z_CF917189_7AB9_4E55_816F_ACFC7FA45C05_.wvu.Rows" localSheetId="16" hidden="1">July!$6:$9,July!$11:$14,July!$16:$19,July!$21:$24,July!$26:$29,July!$31:$34,July!$36:$39,July!$41:$44,July!$46:$49,July!$51:$54,July!$56:$59,July!$61:$64,July!$66:$69,July!#REF!,July!$71:$74,July!$76:$79,July!$81:$84,July!$86:$89,July!$91:$94,July!$96:$99,July!$101:$104,July!$106:$109,July!$111:$114,July!$116:$119,July!$121:$124,July!$126:$129,July!$131:$134,July!$136:$139</definedName>
    <definedName name="Z_CF917189_7AB9_4E55_816F_ACFC7FA45C05_.wvu.Rows" localSheetId="15" hidden="1">June!$6:$9,June!$11:$14,June!$16:$19,June!$21:$24,June!$26:$29,June!$31:$34,June!$36:$39,June!$41:$44,June!$46:$49,June!$51:$54,June!$56:$59,June!$61:$64,June!$66:$69,June!#REF!,June!$71:$74,June!$76:$79,June!$81:$84,June!$86:$89,June!$91:$94,June!$96:$99,June!$101:$104,June!$106:$109,June!$111:$114,June!$116:$119,June!$121:$124,June!$126:$129,June!$131:$134,June!$136:$139</definedName>
    <definedName name="Z_CF917189_7AB9_4E55_816F_ACFC7FA45C05_.wvu.Rows" localSheetId="12" hidden="1">March!$6:$9,March!$11:$14,March!$16:$19,March!$21:$24,March!$26:$29,March!$31:$34,March!$36:$39,March!$41:$44,March!$46:$49,March!$51:$54,March!$56:$59,March!$61:$64,March!$66:$69,March!#REF!,March!$71:$74,March!$76:$79,March!$81:$84,March!$86:$89,March!$91:$94,March!$96:$99,March!$101:$104,March!$106:$109,March!$111:$114,March!$116:$119,March!$121:$124,March!$126:$129,March!$131:$134,March!$136:$139</definedName>
    <definedName name="Z_CF917189_7AB9_4E55_816F_ACFC7FA45C05_.wvu.Rows" localSheetId="14" hidden="1">May!$6:$9,May!$11:$14,May!$16:$19,May!$21:$24,May!$26:$29,May!$31:$34,May!$36:$39,May!$41:$44,May!$46:$49,May!$51:$54,May!$56:$59,May!$61:$64,May!$66:$69,May!#REF!,May!$71:$74,May!$76:$79,May!$81:$84,May!$86:$89,May!$96:$99,May!$101:$104,May!$106:$109,May!$111:$114,May!$116:$119,May!$121:$124,May!$126:$129,May!$131:$134,May!$136:$139</definedName>
    <definedName name="Z_CF917189_7AB9_4E55_816F_ACFC7FA45C05_.wvu.Rows" localSheetId="20" hidden="1">November!$6:$9,November!$11:$14,November!$16:$19,November!$21:$24,November!$26:$29,November!$31:$34,November!$36:$39,November!$41:$44,November!$46:$49,November!$51:$54,November!$56:$59,November!$61:$64,November!$66:$69,November!#REF!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definedName>
    <definedName name="Z_CF917189_7AB9_4E55_816F_ACFC7FA45C05_.wvu.Rows" localSheetId="19" hidden="1">October!$6:$9,October!$11:$14,October!$16:$19,October!$21:$24,October!$26:$29,October!$31:$34,October!$36:$39,October!$41:$44,October!$46:$49,October!$51:$54,October!$56:$59,October!$61:$64,October!$66:$69,October!#REF!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definedName>
    <definedName name="Z_CF917189_7AB9_4E55_816F_ACFC7FA45C05_.wvu.Rows" localSheetId="3" hidden="1">Productivity!$1:$1</definedName>
    <definedName name="Z_CF917189_7AB9_4E55_816F_ACFC7FA45C05_.wvu.Rows" localSheetId="18" hidden="1">September!$6:$9,September!$11:$14,September!$16:$19,September!$21:$24,September!$26:$29,September!$31:$34,September!$36:$39,September!$41:$44,September!$46:$49,September!$51:$54,September!$56:$59,September!$61:$64,September!$66:$69,September!#REF!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</definedName>
    <definedName name="Z_CF917189_7AB9_4E55_816F_ACFC7FA45C05_.wvu.Rows" localSheetId="24" hidden="1">'Training Hours Overview year'!$1:$1</definedName>
    <definedName name="Z_D151CB89_245C_4B45_83F3_0B06F56EB50F_.wvu.FilterData" localSheetId="20" hidden="1">November!$B$4:$AJ$184</definedName>
    <definedName name="Z_D151CB89_245C_4B45_83F3_0B06F56EB50F_.wvu.FilterData" localSheetId="5" hidden="1">'Time for Time'!$A$4:$P$43</definedName>
    <definedName name="Z_D2A5CC0D_2D9D_4656_A811_B7C7F66A70C9_.wvu.FilterData" localSheetId="13" hidden="1">April!$B$4:$AJ$140</definedName>
    <definedName name="Z_D2A5CC0D_2D9D_4656_A811_B7C7F66A70C9_.wvu.FilterData" localSheetId="14" hidden="1">May!$A$4:$AJ$140</definedName>
    <definedName name="Z_D4AA9A6A_929B_4003_AED4_D08CD924890D_.wvu.FilterData" localSheetId="21" hidden="1">December!$B$4:$AJ$169</definedName>
    <definedName name="Z_D4AA9A6A_929B_4003_AED4_D08CD924890D_.wvu.FilterData" localSheetId="20" hidden="1">November!$B$4:$AJ$169</definedName>
    <definedName name="Z_D4AA9A6A_929B_4003_AED4_D08CD924890D_.wvu.FilterData" localSheetId="19" hidden="1">October!$B$4:$AJ$179</definedName>
    <definedName name="Z_D936792C_4567_4328_AA96_EFACF5F43927_.wvu.FilterData" localSheetId="20" hidden="1">November!$B$4:$AJ$184</definedName>
    <definedName name="Z_DB5D284C_E583_4A34_856A_2A4898BA1679_.wvu.FilterData" localSheetId="14" hidden="1">May!$A$4:$AJ$140</definedName>
    <definedName name="Z_DB865B84_88D6_409E_BED6_26B367A6E632_.wvu.FilterData" localSheetId="21" hidden="1">December!$B$4:$AJ$184</definedName>
    <definedName name="Z_DF6D6D30_3534_4775_9B36_5C3423EB3746_.wvu.FilterData" localSheetId="5" hidden="1">'Time for Time'!$A$4:$P$43</definedName>
    <definedName name="Z_DFCB4EB5_FED2_48C0_95EF_E323195018E7_.wvu.FilterData" localSheetId="13" hidden="1">April!$B$4:$AJ$140</definedName>
    <definedName name="Z_EAA02C81_81A3_404B_A4F3_D8A8E0D99B7D_.wvu.FilterData" localSheetId="11" hidden="1">February!$B$4:$AJ$140</definedName>
    <definedName name="Z_EC324E53_08A2_4578_87A4_A1A186D798F8_.wvu.FilterData" localSheetId="10" hidden="1">January!$B$4:$AJ$140</definedName>
    <definedName name="Z_EC324E53_08A2_4578_87A4_A1A186D798F8_.wvu.FilterData" localSheetId="5" hidden="1">'Time for Time'!$A$4:$P$40</definedName>
    <definedName name="Z_ED6D6ED1_EB91_4F08_AF13_C1F28D864E0E_.wvu.FilterData" localSheetId="21" hidden="1">December!$B$4:$AJ$184</definedName>
    <definedName name="Z_EDDA6A4E_99AA_4BD8_BCE8_19C970DC50F4_.wvu.FilterData" localSheetId="20" hidden="1">November!$B$4:$AJ$169</definedName>
    <definedName name="Z_EDDA6A4E_99AA_4BD8_BCE8_19C970DC50F4_.wvu.FilterData" localSheetId="19" hidden="1">October!$B$4:$AJ$179</definedName>
    <definedName name="Z_F53644A7_386D_4B35_B004_446C83C148DD_.wvu.FilterData" localSheetId="11" hidden="1">February!$B$4:$AJ$140</definedName>
    <definedName name="Z_FB764613_6EFE_4FB2_AAE0_A964DF225646_.wvu.FilterData" localSheetId="21" hidden="1">December!$B$4:$AJ$184</definedName>
    <definedName name="Z_FB764613_6EFE_4FB2_AAE0_A964DF225646_.wvu.FilterData" localSheetId="5" hidden="1">'Time for Time'!$A$4:$P$43</definedName>
    <definedName name="Z_FC082932_2EF8_4EB6_850D_5CF4EEB2A4ED_.wvu.FilterData" localSheetId="5" hidden="1">'Time for Time'!$A$4:$P$42</definedName>
  </definedNames>
  <calcPr calcId="152511"/>
  <customWorkbookViews>
    <customWorkbookView name="Patrick Ziesen - Personal View" guid="{98CBC5BF-8C89-48A4-860E-9C56014CD200}" mergeInterval="0" personalView="1" maximized="1" xWindow="54" yWindow="-8" windowWidth="1394" windowHeight="916" tabRatio="945" activeSheetId="17"/>
    <customWorkbookView name="Roy Timmermans - Personal View" guid="{1BC25061-32D5-45DE-83F9-EFA3A1092E03}" mergeInterval="0" personalView="1" maximized="1" xWindow="1432" yWindow="-8" windowWidth="1456" windowHeight="876" tabRatio="945" activeSheetId="22"/>
    <customWorkbookView name="Patrick Janssen - Persoonlijke weergave" guid="{CF917189-7AB9-4E55-816F-ACFC7FA45C05}" mergeInterval="0" personalView="1" maximized="1" windowWidth="1440" windowHeight="674" tabRatio="945" activeSheetId="21"/>
    <customWorkbookView name="Patrick Ziesen - Persoonlijke weergave" guid="{4155806E-C0D0-4CC9-9B31-04245B7DD4C8}" mergeInterval="0" personalView="1" maximized="1" windowWidth="1366" windowHeight="714" tabRatio="945" activeSheetId="12"/>
    <customWorkbookView name="Patrick Janssen - Personal View" guid="{1587CBCC-2CC7-4525-8A49-E261AB2E1606}" mergeInterval="0" personalView="1" maximized="1" xWindow="1432" yWindow="-18" windowWidth="1456" windowHeight="876" tabRatio="945" activeSheetId="6"/>
    <customWorkbookView name="Frido Meijer - Personal View" guid="{C5D9000A-81ED-4920-B6AF-4B234775AEC9}" mergeInterval="0" personalView="1" maximized="1" windowWidth="1440" windowHeight="675" tabRatio="945" activeSheetId="17"/>
  </customWorkbookViews>
</workbook>
</file>

<file path=xl/calcChain.xml><?xml version="1.0" encoding="utf-8"?>
<calcChain xmlns="http://schemas.openxmlformats.org/spreadsheetml/2006/main">
  <c r="I13" i="6" l="1"/>
  <c r="I26" i="6" l="1"/>
  <c r="I21" i="6" l="1"/>
  <c r="H21" i="6"/>
  <c r="I17" i="6" l="1"/>
  <c r="I12" i="6" l="1"/>
  <c r="H17" i="6" l="1"/>
  <c r="H10" i="6"/>
  <c r="H24" i="6" l="1"/>
  <c r="H15" i="6" l="1"/>
  <c r="H13" i="6" l="1"/>
  <c r="H5" i="6" l="1"/>
  <c r="G13" i="6" l="1"/>
  <c r="H14" i="6" l="1"/>
  <c r="G24" i="6" l="1"/>
  <c r="G14" i="6" l="1"/>
  <c r="H26" i="6" l="1"/>
  <c r="G5" i="6" l="1"/>
  <c r="G15" i="6" l="1"/>
  <c r="G10" i="6" l="1"/>
  <c r="G17" i="6"/>
  <c r="G21" i="6" l="1"/>
  <c r="G23" i="6" l="1"/>
  <c r="G12" i="6" l="1"/>
  <c r="O29" i="8" l="1"/>
  <c r="N29" i="8"/>
  <c r="M29" i="8"/>
  <c r="L29" i="8"/>
  <c r="K29" i="8"/>
  <c r="J29" i="8"/>
  <c r="I29" i="8"/>
  <c r="H29" i="8"/>
  <c r="G31" i="6" l="1"/>
  <c r="G8" i="6" l="1"/>
  <c r="F14" i="6" l="1"/>
  <c r="AJ135" i="19" l="1"/>
  <c r="F17" i="6" l="1"/>
  <c r="F10" i="6"/>
  <c r="F21" i="6" l="1"/>
  <c r="F6" i="6" l="1"/>
  <c r="AF64" i="14" l="1"/>
  <c r="F8" i="6" l="1"/>
  <c r="F31" i="6" l="1"/>
  <c r="F5" i="6" l="1"/>
  <c r="F13" i="6" l="1"/>
  <c r="F23" i="6" l="1"/>
  <c r="F26" i="6"/>
  <c r="F25" i="6"/>
  <c r="F11" i="6" l="1"/>
  <c r="F22" i="6"/>
  <c r="F16" i="6"/>
  <c r="F15" i="6" l="1"/>
  <c r="F20" i="6"/>
  <c r="E13" i="6" l="1"/>
  <c r="E5" i="6"/>
  <c r="E17" i="6" l="1"/>
  <c r="E26" i="6" l="1"/>
  <c r="E21" i="6" l="1"/>
  <c r="E16" i="6" l="1"/>
  <c r="O15" i="8" l="1"/>
  <c r="N15" i="8"/>
  <c r="M15" i="8"/>
  <c r="L15" i="8"/>
  <c r="K15" i="8"/>
  <c r="J15" i="8"/>
  <c r="I15" i="8"/>
  <c r="H15" i="8"/>
  <c r="G15" i="8"/>
  <c r="D31" i="8"/>
  <c r="E15" i="8"/>
  <c r="F15" i="8"/>
  <c r="E8" i="6" l="1"/>
  <c r="E11" i="6" l="1"/>
  <c r="E31" i="6"/>
  <c r="E14" i="6" l="1"/>
  <c r="E36" i="6" l="1"/>
  <c r="E19" i="6" l="1"/>
  <c r="E20" i="6"/>
  <c r="E6" i="6" l="1"/>
  <c r="E24" i="6" l="1"/>
  <c r="E9" i="6" l="1"/>
  <c r="E18" i="6" l="1"/>
  <c r="C14" i="6" l="1"/>
  <c r="AJ164" i="15" l="1"/>
  <c r="AJ163" i="15"/>
  <c r="AJ162" i="15"/>
  <c r="AJ161" i="15"/>
  <c r="AJ160" i="15"/>
  <c r="AJ164" i="16"/>
  <c r="AJ163" i="16"/>
  <c r="AJ162" i="16"/>
  <c r="AJ161" i="16"/>
  <c r="AJ160" i="16"/>
  <c r="AJ164" i="17"/>
  <c r="AJ163" i="17"/>
  <c r="AJ162" i="17"/>
  <c r="AJ161" i="17"/>
  <c r="AJ160" i="17"/>
  <c r="AJ164" i="18"/>
  <c r="AJ163" i="18"/>
  <c r="AJ162" i="18"/>
  <c r="AJ161" i="18"/>
  <c r="AJ160" i="18"/>
  <c r="AJ164" i="19"/>
  <c r="AJ163" i="19"/>
  <c r="AJ162" i="19"/>
  <c r="AJ161" i="19"/>
  <c r="AJ160" i="19"/>
  <c r="AJ164" i="20"/>
  <c r="AJ163" i="20"/>
  <c r="AJ162" i="20"/>
  <c r="AJ161" i="20"/>
  <c r="AJ160" i="20"/>
  <c r="AJ164" i="21"/>
  <c r="AJ163" i="21"/>
  <c r="AJ162" i="21"/>
  <c r="AJ161" i="21"/>
  <c r="AJ160" i="21"/>
  <c r="AJ164" i="22"/>
  <c r="AJ163" i="22"/>
  <c r="AJ162" i="22"/>
  <c r="AJ161" i="22"/>
  <c r="AJ160" i="22"/>
  <c r="AJ164" i="14"/>
  <c r="AJ163" i="14"/>
  <c r="AJ162" i="14"/>
  <c r="AJ161" i="14"/>
  <c r="AJ160" i="14"/>
  <c r="AJ159" i="15"/>
  <c r="AJ158" i="15"/>
  <c r="AJ157" i="15"/>
  <c r="AJ156" i="15"/>
  <c r="AJ155" i="15"/>
  <c r="AJ159" i="16"/>
  <c r="AJ158" i="16"/>
  <c r="AJ157" i="16"/>
  <c r="AJ156" i="16"/>
  <c r="AJ155" i="16"/>
  <c r="AJ159" i="17"/>
  <c r="AJ158" i="17"/>
  <c r="AJ157" i="17"/>
  <c r="AJ156" i="17"/>
  <c r="AJ155" i="17"/>
  <c r="AJ159" i="18"/>
  <c r="AJ158" i="18"/>
  <c r="AJ157" i="18"/>
  <c r="AJ156" i="18"/>
  <c r="AJ155" i="18"/>
  <c r="AJ159" i="19"/>
  <c r="AJ158" i="19"/>
  <c r="AJ157" i="19"/>
  <c r="AJ156" i="19"/>
  <c r="AJ155" i="19"/>
  <c r="AJ159" i="20"/>
  <c r="AJ158" i="20"/>
  <c r="AJ157" i="20"/>
  <c r="AJ156" i="20"/>
  <c r="AJ155" i="20"/>
  <c r="AJ159" i="21"/>
  <c r="AJ158" i="21"/>
  <c r="AJ157" i="21"/>
  <c r="AJ156" i="21"/>
  <c r="AJ155" i="21"/>
  <c r="AJ159" i="22"/>
  <c r="AJ158" i="22"/>
  <c r="AJ157" i="22"/>
  <c r="AJ156" i="22"/>
  <c r="AJ155" i="22"/>
  <c r="AJ159" i="14"/>
  <c r="AJ158" i="14"/>
  <c r="AJ157" i="14"/>
  <c r="AJ156" i="14"/>
  <c r="AJ155" i="14"/>
  <c r="AJ154" i="15"/>
  <c r="AJ153" i="15"/>
  <c r="AJ152" i="15"/>
  <c r="AJ151" i="15"/>
  <c r="AJ150" i="15"/>
  <c r="AJ154" i="16"/>
  <c r="AJ153" i="16"/>
  <c r="AJ152" i="16"/>
  <c r="AJ151" i="16"/>
  <c r="AJ150" i="16"/>
  <c r="AJ154" i="17"/>
  <c r="AJ153" i="17"/>
  <c r="AJ152" i="17"/>
  <c r="AJ151" i="17"/>
  <c r="AJ150" i="17"/>
  <c r="AJ154" i="18"/>
  <c r="AJ153" i="18"/>
  <c r="AJ152" i="18"/>
  <c r="AJ151" i="18"/>
  <c r="AJ150" i="18"/>
  <c r="AJ154" i="19"/>
  <c r="AJ153" i="19"/>
  <c r="AJ152" i="19"/>
  <c r="AJ151" i="19"/>
  <c r="AJ150" i="19"/>
  <c r="AJ154" i="20"/>
  <c r="AJ153" i="20"/>
  <c r="AJ152" i="20"/>
  <c r="AJ151" i="20"/>
  <c r="AJ150" i="20"/>
  <c r="AJ154" i="21"/>
  <c r="AJ153" i="21"/>
  <c r="AJ152" i="21"/>
  <c r="AJ151" i="21"/>
  <c r="AJ150" i="21"/>
  <c r="AJ154" i="22"/>
  <c r="AJ153" i="22"/>
  <c r="AJ152" i="22"/>
  <c r="AJ151" i="22"/>
  <c r="AJ150" i="22"/>
  <c r="AJ154" i="14"/>
  <c r="AJ153" i="14"/>
  <c r="AJ152" i="14"/>
  <c r="AJ151" i="14"/>
  <c r="AJ150" i="14"/>
  <c r="B160" i="10"/>
  <c r="B155" i="10"/>
  <c r="B150" i="10"/>
  <c r="AJ164" i="13"/>
  <c r="AJ163" i="13"/>
  <c r="AJ162" i="13"/>
  <c r="AJ161" i="13"/>
  <c r="AJ160" i="13"/>
  <c r="AJ159" i="13"/>
  <c r="AJ158" i="13"/>
  <c r="AJ157" i="13"/>
  <c r="AJ156" i="13"/>
  <c r="AJ155" i="13"/>
  <c r="AJ154" i="13"/>
  <c r="AJ153" i="13"/>
  <c r="AJ152" i="13"/>
  <c r="AJ151" i="13"/>
  <c r="AJ150" i="13"/>
  <c r="F33" i="8" l="1"/>
  <c r="F35" i="8"/>
  <c r="F34" i="8"/>
  <c r="D16" i="6" l="1"/>
  <c r="D21" i="6" l="1"/>
  <c r="D19" i="6"/>
  <c r="D13" i="6" l="1"/>
  <c r="D31" i="6"/>
  <c r="D11" i="6"/>
  <c r="D10" i="6"/>
  <c r="D18" i="6"/>
  <c r="D28" i="6" l="1"/>
  <c r="E28" i="6"/>
  <c r="D26" i="6" l="1"/>
  <c r="D15" i="6" l="1"/>
  <c r="D5" i="6" l="1"/>
  <c r="D20" i="6" l="1"/>
  <c r="D17" i="6" l="1"/>
  <c r="C15" i="6" l="1"/>
  <c r="C13" i="6" l="1"/>
  <c r="C17" i="6" l="1"/>
  <c r="C26" i="6" l="1"/>
  <c r="C5" i="6" l="1"/>
  <c r="C16" i="6" l="1"/>
  <c r="C10" i="6" l="1"/>
  <c r="C8" i="6" l="1"/>
  <c r="C19" i="6" l="1"/>
  <c r="C31" i="6" l="1"/>
  <c r="AJ149" i="18" l="1"/>
  <c r="AJ148" i="18"/>
  <c r="AJ147" i="18"/>
  <c r="AJ146" i="18"/>
  <c r="AJ145" i="18"/>
  <c r="AJ144" i="18"/>
  <c r="AJ143" i="18"/>
  <c r="AJ142" i="18"/>
  <c r="AJ141" i="18"/>
  <c r="AJ140" i="18"/>
  <c r="AJ149" i="17"/>
  <c r="AJ148" i="17"/>
  <c r="AJ147" i="17"/>
  <c r="AJ146" i="17"/>
  <c r="AJ145" i="17"/>
  <c r="AJ144" i="17"/>
  <c r="AJ143" i="17"/>
  <c r="AJ142" i="17"/>
  <c r="AJ141" i="17"/>
  <c r="AJ140" i="17"/>
  <c r="AJ149" i="16"/>
  <c r="AJ148" i="16"/>
  <c r="AJ147" i="16"/>
  <c r="AJ146" i="16"/>
  <c r="AJ145" i="16"/>
  <c r="AJ144" i="16"/>
  <c r="AJ143" i="16"/>
  <c r="AJ142" i="16"/>
  <c r="AJ141" i="16"/>
  <c r="AJ140" i="16"/>
  <c r="AJ149" i="15"/>
  <c r="AJ148" i="15"/>
  <c r="AJ147" i="15"/>
  <c r="AJ146" i="15"/>
  <c r="AJ145" i="15"/>
  <c r="AJ144" i="15"/>
  <c r="AJ143" i="15"/>
  <c r="AJ142" i="15"/>
  <c r="AJ141" i="15"/>
  <c r="AJ140" i="15"/>
  <c r="AJ149" i="14"/>
  <c r="AJ148" i="14"/>
  <c r="AJ147" i="14"/>
  <c r="AJ146" i="14"/>
  <c r="AJ145" i="14"/>
  <c r="AJ144" i="14"/>
  <c r="AJ143" i="14"/>
  <c r="AJ142" i="14"/>
  <c r="AJ141" i="14"/>
  <c r="AJ140" i="14"/>
  <c r="AJ149" i="13"/>
  <c r="AJ148" i="13"/>
  <c r="AJ147" i="13"/>
  <c r="AJ146" i="13"/>
  <c r="AJ145" i="13"/>
  <c r="AJ144" i="13"/>
  <c r="AJ143" i="13"/>
  <c r="AJ142" i="13"/>
  <c r="AJ141" i="13"/>
  <c r="AJ140" i="13"/>
  <c r="AJ149" i="12"/>
  <c r="AJ148" i="12"/>
  <c r="AJ147" i="12"/>
  <c r="AJ146" i="12"/>
  <c r="AJ145" i="12"/>
  <c r="AJ144" i="12"/>
  <c r="AJ143" i="12"/>
  <c r="AJ142" i="12"/>
  <c r="AJ141" i="12"/>
  <c r="AJ140" i="12"/>
  <c r="AJ149" i="11"/>
  <c r="AJ148" i="11"/>
  <c r="AJ147" i="11"/>
  <c r="AJ146" i="11"/>
  <c r="AJ145" i="11"/>
  <c r="AJ144" i="11"/>
  <c r="AJ143" i="11"/>
  <c r="AJ142" i="11"/>
  <c r="AJ141" i="11"/>
  <c r="AJ140" i="11"/>
  <c r="C12" i="6" l="1"/>
  <c r="D15" i="8" l="1"/>
  <c r="D44" i="8" l="1"/>
  <c r="E46" i="8"/>
  <c r="F46" i="8"/>
  <c r="G46" i="8"/>
  <c r="H46" i="8"/>
  <c r="I46" i="8"/>
  <c r="J46" i="8"/>
  <c r="K46" i="8"/>
  <c r="L46" i="8"/>
  <c r="M46" i="8"/>
  <c r="N46" i="8"/>
  <c r="O46" i="8"/>
  <c r="E47" i="8"/>
  <c r="F47" i="8"/>
  <c r="G47" i="8"/>
  <c r="H47" i="8"/>
  <c r="I47" i="8"/>
  <c r="J47" i="8"/>
  <c r="K47" i="8"/>
  <c r="L47" i="8"/>
  <c r="M47" i="8"/>
  <c r="N47" i="8"/>
  <c r="O47" i="8"/>
  <c r="D46" i="8"/>
  <c r="D47" i="8"/>
  <c r="D140" i="10" l="1"/>
  <c r="E140" i="10"/>
  <c r="F140" i="10"/>
  <c r="G140" i="10"/>
  <c r="H140" i="10"/>
  <c r="I140" i="10"/>
  <c r="J140" i="10"/>
  <c r="K140" i="10"/>
  <c r="D141" i="10"/>
  <c r="E141" i="10"/>
  <c r="F141" i="10"/>
  <c r="G141" i="10"/>
  <c r="H141" i="10"/>
  <c r="I141" i="10"/>
  <c r="J141" i="10"/>
  <c r="K141" i="10"/>
  <c r="D142" i="10"/>
  <c r="E142" i="10"/>
  <c r="F142" i="10"/>
  <c r="G142" i="10"/>
  <c r="H142" i="10"/>
  <c r="I142" i="10"/>
  <c r="J142" i="10"/>
  <c r="K142" i="10"/>
  <c r="D143" i="10"/>
  <c r="E143" i="10"/>
  <c r="F143" i="10"/>
  <c r="G143" i="10"/>
  <c r="H143" i="10"/>
  <c r="I143" i="10"/>
  <c r="J143" i="10"/>
  <c r="K143" i="10"/>
  <c r="D144" i="10"/>
  <c r="E144" i="10"/>
  <c r="F144" i="10"/>
  <c r="G144" i="10"/>
  <c r="H144" i="10"/>
  <c r="I144" i="10"/>
  <c r="J144" i="10"/>
  <c r="K144" i="10"/>
  <c r="D145" i="10"/>
  <c r="E145" i="10"/>
  <c r="F145" i="10"/>
  <c r="G145" i="10"/>
  <c r="H145" i="10"/>
  <c r="I145" i="10"/>
  <c r="J145" i="10"/>
  <c r="K145" i="10"/>
  <c r="D146" i="10"/>
  <c r="E146" i="10"/>
  <c r="F146" i="10"/>
  <c r="G146" i="10"/>
  <c r="H146" i="10"/>
  <c r="I146" i="10"/>
  <c r="J146" i="10"/>
  <c r="K146" i="10"/>
  <c r="D147" i="10"/>
  <c r="E147" i="10"/>
  <c r="F147" i="10"/>
  <c r="G147" i="10"/>
  <c r="H147" i="10"/>
  <c r="I147" i="10"/>
  <c r="J147" i="10"/>
  <c r="K147" i="10"/>
  <c r="D148" i="10"/>
  <c r="E148" i="10"/>
  <c r="F148" i="10"/>
  <c r="G148" i="10"/>
  <c r="H148" i="10"/>
  <c r="I148" i="10"/>
  <c r="J148" i="10"/>
  <c r="K148" i="10"/>
  <c r="D149" i="10"/>
  <c r="E149" i="10"/>
  <c r="F149" i="10"/>
  <c r="G149" i="10"/>
  <c r="H149" i="10"/>
  <c r="I149" i="10"/>
  <c r="J149" i="10"/>
  <c r="K149" i="10"/>
  <c r="D150" i="10"/>
  <c r="E150" i="10"/>
  <c r="F150" i="10"/>
  <c r="G150" i="10"/>
  <c r="H150" i="10"/>
  <c r="I150" i="10"/>
  <c r="J150" i="10"/>
  <c r="K150" i="10"/>
  <c r="D151" i="10"/>
  <c r="E151" i="10"/>
  <c r="F151" i="10"/>
  <c r="G151" i="10"/>
  <c r="H151" i="10"/>
  <c r="I151" i="10"/>
  <c r="J151" i="10"/>
  <c r="K151" i="10"/>
  <c r="D152" i="10"/>
  <c r="E152" i="10"/>
  <c r="F152" i="10"/>
  <c r="G152" i="10"/>
  <c r="H152" i="10"/>
  <c r="I152" i="10"/>
  <c r="J152" i="10"/>
  <c r="K152" i="10"/>
  <c r="D153" i="10"/>
  <c r="E153" i="10"/>
  <c r="F153" i="10"/>
  <c r="G153" i="10"/>
  <c r="H153" i="10"/>
  <c r="I153" i="10"/>
  <c r="J153" i="10"/>
  <c r="K153" i="10"/>
  <c r="D154" i="10"/>
  <c r="E154" i="10"/>
  <c r="F154" i="10"/>
  <c r="G154" i="10"/>
  <c r="H154" i="10"/>
  <c r="I154" i="10"/>
  <c r="J154" i="10"/>
  <c r="K154" i="10"/>
  <c r="D155" i="10"/>
  <c r="E155" i="10"/>
  <c r="F155" i="10"/>
  <c r="G155" i="10"/>
  <c r="H155" i="10"/>
  <c r="I155" i="10"/>
  <c r="J155" i="10"/>
  <c r="K155" i="10"/>
  <c r="D156" i="10"/>
  <c r="E156" i="10"/>
  <c r="F156" i="10"/>
  <c r="G156" i="10"/>
  <c r="H156" i="10"/>
  <c r="I156" i="10"/>
  <c r="J156" i="10"/>
  <c r="K156" i="10"/>
  <c r="D157" i="10"/>
  <c r="E157" i="10"/>
  <c r="F157" i="10"/>
  <c r="G157" i="10"/>
  <c r="H157" i="10"/>
  <c r="I157" i="10"/>
  <c r="J157" i="10"/>
  <c r="K157" i="10"/>
  <c r="D158" i="10"/>
  <c r="E158" i="10"/>
  <c r="F158" i="10"/>
  <c r="G158" i="10"/>
  <c r="H158" i="10"/>
  <c r="I158" i="10"/>
  <c r="J158" i="10"/>
  <c r="K158" i="10"/>
  <c r="D159" i="10"/>
  <c r="E159" i="10"/>
  <c r="F159" i="10"/>
  <c r="G159" i="10"/>
  <c r="H159" i="10"/>
  <c r="I159" i="10"/>
  <c r="J159" i="10"/>
  <c r="K159" i="10"/>
  <c r="D160" i="10"/>
  <c r="E160" i="10"/>
  <c r="F160" i="10"/>
  <c r="G160" i="10"/>
  <c r="H160" i="10"/>
  <c r="I160" i="10"/>
  <c r="J160" i="10"/>
  <c r="K160" i="10"/>
  <c r="D161" i="10"/>
  <c r="E161" i="10"/>
  <c r="F161" i="10"/>
  <c r="G161" i="10"/>
  <c r="H161" i="10"/>
  <c r="I161" i="10"/>
  <c r="J161" i="10"/>
  <c r="K161" i="10"/>
  <c r="D162" i="10"/>
  <c r="E162" i="10"/>
  <c r="F162" i="10"/>
  <c r="G162" i="10"/>
  <c r="H162" i="10"/>
  <c r="I162" i="10"/>
  <c r="J162" i="10"/>
  <c r="K162" i="10"/>
  <c r="D163" i="10"/>
  <c r="E163" i="10"/>
  <c r="F163" i="10"/>
  <c r="G163" i="10"/>
  <c r="H163" i="10"/>
  <c r="I163" i="10"/>
  <c r="J163" i="10"/>
  <c r="K163" i="10"/>
  <c r="D164" i="10"/>
  <c r="E164" i="10"/>
  <c r="F164" i="10"/>
  <c r="G164" i="10"/>
  <c r="H164" i="10"/>
  <c r="I164" i="10"/>
  <c r="J164" i="10"/>
  <c r="K164" i="10"/>
  <c r="D165" i="10"/>
  <c r="E165" i="10"/>
  <c r="F165" i="10"/>
  <c r="G165" i="10"/>
  <c r="H165" i="10"/>
  <c r="I165" i="10"/>
  <c r="J165" i="10"/>
  <c r="K165" i="10"/>
  <c r="D166" i="10"/>
  <c r="E166" i="10"/>
  <c r="F166" i="10"/>
  <c r="G166" i="10"/>
  <c r="H166" i="10"/>
  <c r="I166" i="10"/>
  <c r="J166" i="10"/>
  <c r="K166" i="10"/>
  <c r="D167" i="10"/>
  <c r="E167" i="10"/>
  <c r="F167" i="10"/>
  <c r="G167" i="10"/>
  <c r="H167" i="10"/>
  <c r="I167" i="10"/>
  <c r="J167" i="10"/>
  <c r="K167" i="10"/>
  <c r="D168" i="10"/>
  <c r="E168" i="10"/>
  <c r="F168" i="10"/>
  <c r="G168" i="10"/>
  <c r="H168" i="10"/>
  <c r="I168" i="10"/>
  <c r="J168" i="10"/>
  <c r="K168" i="10"/>
  <c r="D169" i="10"/>
  <c r="E169" i="10"/>
  <c r="F169" i="10"/>
  <c r="G169" i="10"/>
  <c r="H169" i="10"/>
  <c r="I169" i="10"/>
  <c r="J169" i="10"/>
  <c r="K169" i="10"/>
  <c r="D170" i="10"/>
  <c r="E170" i="10"/>
  <c r="F170" i="10"/>
  <c r="G170" i="10"/>
  <c r="H170" i="10"/>
  <c r="I170" i="10"/>
  <c r="J170" i="10"/>
  <c r="K170" i="10"/>
  <c r="D171" i="10"/>
  <c r="E171" i="10"/>
  <c r="F171" i="10"/>
  <c r="G171" i="10"/>
  <c r="H171" i="10"/>
  <c r="I171" i="10"/>
  <c r="J171" i="10"/>
  <c r="K171" i="10"/>
  <c r="D172" i="10"/>
  <c r="E172" i="10"/>
  <c r="F172" i="10"/>
  <c r="G172" i="10"/>
  <c r="H172" i="10"/>
  <c r="I172" i="10"/>
  <c r="J172" i="10"/>
  <c r="K172" i="10"/>
  <c r="D173" i="10"/>
  <c r="E173" i="10"/>
  <c r="F173" i="10"/>
  <c r="G173" i="10"/>
  <c r="H173" i="10"/>
  <c r="I173" i="10"/>
  <c r="J173" i="10"/>
  <c r="K173" i="10"/>
  <c r="D174" i="10"/>
  <c r="E174" i="10"/>
  <c r="F174" i="10"/>
  <c r="G174" i="10"/>
  <c r="H174" i="10"/>
  <c r="I174" i="10"/>
  <c r="J174" i="10"/>
  <c r="K174" i="10"/>
  <c r="D175" i="10"/>
  <c r="E175" i="10"/>
  <c r="F175" i="10"/>
  <c r="G175" i="10"/>
  <c r="H175" i="10"/>
  <c r="I175" i="10"/>
  <c r="J175" i="10"/>
  <c r="K175" i="10"/>
  <c r="D176" i="10"/>
  <c r="E176" i="10"/>
  <c r="F176" i="10"/>
  <c r="G176" i="10"/>
  <c r="H176" i="10"/>
  <c r="I176" i="10"/>
  <c r="J176" i="10"/>
  <c r="K176" i="10"/>
  <c r="D177" i="10"/>
  <c r="E177" i="10"/>
  <c r="F177" i="10"/>
  <c r="G177" i="10"/>
  <c r="H177" i="10"/>
  <c r="I177" i="10"/>
  <c r="J177" i="10"/>
  <c r="K177" i="10"/>
  <c r="D178" i="10"/>
  <c r="E178" i="10"/>
  <c r="F178" i="10"/>
  <c r="G178" i="10"/>
  <c r="H178" i="10"/>
  <c r="I178" i="10"/>
  <c r="J178" i="10"/>
  <c r="K178" i="10"/>
  <c r="D179" i="10"/>
  <c r="E179" i="10"/>
  <c r="F179" i="10"/>
  <c r="G179" i="10"/>
  <c r="H179" i="10"/>
  <c r="I179" i="10"/>
  <c r="J179" i="10"/>
  <c r="K179" i="10"/>
  <c r="D180" i="10"/>
  <c r="E180" i="10"/>
  <c r="F180" i="10"/>
  <c r="G180" i="10"/>
  <c r="H180" i="10"/>
  <c r="I180" i="10"/>
  <c r="J180" i="10"/>
  <c r="K180" i="10"/>
  <c r="D181" i="10"/>
  <c r="E181" i="10"/>
  <c r="F181" i="10"/>
  <c r="G181" i="10"/>
  <c r="H181" i="10"/>
  <c r="I181" i="10"/>
  <c r="J181" i="10"/>
  <c r="K181" i="10"/>
  <c r="D182" i="10"/>
  <c r="E182" i="10"/>
  <c r="F182" i="10"/>
  <c r="G182" i="10"/>
  <c r="H182" i="10"/>
  <c r="I182" i="10"/>
  <c r="J182" i="10"/>
  <c r="K182" i="10"/>
  <c r="D183" i="10"/>
  <c r="E183" i="10"/>
  <c r="F183" i="10"/>
  <c r="G183" i="10"/>
  <c r="H183" i="10"/>
  <c r="I183" i="10"/>
  <c r="J183" i="10"/>
  <c r="K183" i="10"/>
  <c r="D184" i="10"/>
  <c r="E184" i="10"/>
  <c r="F184" i="10"/>
  <c r="G184" i="10"/>
  <c r="H184" i="10"/>
  <c r="I184" i="10"/>
  <c r="J184" i="10"/>
  <c r="K184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A22" i="7" l="1"/>
  <c r="B145" i="10"/>
  <c r="B140" i="10"/>
  <c r="A26" i="7" l="1"/>
  <c r="D3" i="13" l="1"/>
  <c r="AJ130" i="13"/>
  <c r="F130" i="10" s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A19" i="7"/>
  <c r="A13" i="7"/>
  <c r="A17" i="7"/>
  <c r="A32" i="7"/>
  <c r="A35" i="7"/>
  <c r="A8" i="7"/>
  <c r="A6" i="7"/>
  <c r="A31" i="7"/>
  <c r="A25" i="7"/>
  <c r="A28" i="7"/>
  <c r="A36" i="7"/>
  <c r="A7" i="7"/>
  <c r="A18" i="7"/>
  <c r="A9" i="7"/>
  <c r="A21" i="7"/>
  <c r="A5" i="7"/>
  <c r="A20" i="7"/>
  <c r="A16" i="7"/>
  <c r="A23" i="7"/>
  <c r="A27" i="7"/>
  <c r="A34" i="7"/>
  <c r="A15" i="7"/>
  <c r="A33" i="7"/>
  <c r="A10" i="7"/>
  <c r="A30" i="7"/>
  <c r="A14" i="7"/>
  <c r="A29" i="7"/>
  <c r="A11" i="7"/>
  <c r="A12" i="7"/>
  <c r="A37" i="7"/>
  <c r="A38" i="7"/>
  <c r="A39" i="7"/>
  <c r="A40" i="7"/>
  <c r="A41" i="7"/>
  <c r="A42" i="7"/>
  <c r="A43" i="7"/>
  <c r="A44" i="7"/>
  <c r="A24" i="7"/>
  <c r="B44" i="7"/>
  <c r="B43" i="6"/>
  <c r="B155" i="16" l="1"/>
  <c r="B155" i="18"/>
  <c r="B155" i="20"/>
  <c r="B155" i="22"/>
  <c r="B155" i="15"/>
  <c r="B155" i="17"/>
  <c r="B155" i="19"/>
  <c r="B155" i="21"/>
  <c r="B155" i="14"/>
  <c r="B155" i="13"/>
  <c r="B160" i="15"/>
  <c r="B160" i="17"/>
  <c r="B160" i="19"/>
  <c r="B160" i="21"/>
  <c r="B160" i="14"/>
  <c r="B160" i="16"/>
  <c r="B160" i="18"/>
  <c r="B160" i="20"/>
  <c r="B160" i="22"/>
  <c r="B160" i="13"/>
  <c r="B150" i="15"/>
  <c r="B150" i="17"/>
  <c r="B150" i="19"/>
  <c r="B150" i="21"/>
  <c r="B150" i="14"/>
  <c r="B150" i="16"/>
  <c r="B150" i="18"/>
  <c r="B150" i="20"/>
  <c r="B150" i="22"/>
  <c r="B150" i="13"/>
  <c r="B140" i="22"/>
  <c r="B140" i="20"/>
  <c r="B140" i="18"/>
  <c r="B140" i="21"/>
  <c r="B140" i="17"/>
  <c r="B140" i="15"/>
  <c r="B140" i="13"/>
  <c r="B140" i="11"/>
  <c r="B140" i="19"/>
  <c r="B140" i="16"/>
  <c r="B140" i="14"/>
  <c r="B140" i="12"/>
  <c r="B10" i="7"/>
  <c r="B130" i="22"/>
  <c r="B130" i="20"/>
  <c r="B130" i="18"/>
  <c r="B130" i="19"/>
  <c r="B130" i="15"/>
  <c r="B130" i="13"/>
  <c r="B130" i="21"/>
  <c r="B130" i="17"/>
  <c r="B130" i="16"/>
  <c r="B130" i="12"/>
  <c r="B130" i="14"/>
  <c r="B15" i="7"/>
  <c r="B120" i="22"/>
  <c r="B120" i="20"/>
  <c r="B120" i="18"/>
  <c r="B120" i="21"/>
  <c r="B120" i="17"/>
  <c r="B120" i="15"/>
  <c r="B120" i="13"/>
  <c r="B120" i="19"/>
  <c r="B120" i="16"/>
  <c r="B120" i="14"/>
  <c r="B120" i="12"/>
  <c r="B110" i="22"/>
  <c r="B110" i="20"/>
  <c r="B110" i="18"/>
  <c r="B110" i="19"/>
  <c r="B110" i="15"/>
  <c r="B110" i="13"/>
  <c r="B110" i="21"/>
  <c r="B110" i="17"/>
  <c r="B110" i="16"/>
  <c r="B110" i="12"/>
  <c r="B110" i="14"/>
  <c r="B16" i="7"/>
  <c r="B100" i="22"/>
  <c r="B100" i="20"/>
  <c r="B100" i="18"/>
  <c r="B100" i="21"/>
  <c r="B100" i="17"/>
  <c r="B100" i="15"/>
  <c r="B100" i="13"/>
  <c r="B100" i="19"/>
  <c r="B100" i="16"/>
  <c r="B100" i="14"/>
  <c r="B100" i="12"/>
  <c r="B5" i="7"/>
  <c r="B90" i="22"/>
  <c r="B90" i="20"/>
  <c r="B90" i="18"/>
  <c r="B90" i="19"/>
  <c r="B90" i="15"/>
  <c r="B90" i="13"/>
  <c r="B90" i="21"/>
  <c r="B90" i="17"/>
  <c r="B90" i="16"/>
  <c r="B90" i="12"/>
  <c r="B90" i="14"/>
  <c r="B9" i="7"/>
  <c r="B80" i="22"/>
  <c r="B80" i="20"/>
  <c r="B80" i="18"/>
  <c r="B80" i="21"/>
  <c r="B80" i="17"/>
  <c r="B80" i="15"/>
  <c r="B80" i="13"/>
  <c r="B80" i="19"/>
  <c r="B80" i="14"/>
  <c r="B80" i="16"/>
  <c r="B80" i="12"/>
  <c r="B26" i="7"/>
  <c r="B70" i="22"/>
  <c r="B70" i="20"/>
  <c r="B70" i="18"/>
  <c r="B70" i="19"/>
  <c r="B70" i="15"/>
  <c r="B70" i="13"/>
  <c r="B70" i="21"/>
  <c r="B70" i="17"/>
  <c r="B70" i="16"/>
  <c r="B70" i="12"/>
  <c r="B70" i="14"/>
  <c r="B60" i="22"/>
  <c r="B60" i="20"/>
  <c r="B60" i="18"/>
  <c r="B60" i="21"/>
  <c r="B60" i="17"/>
  <c r="B60" i="15"/>
  <c r="B60" i="13"/>
  <c r="B60" i="19"/>
  <c r="B60" i="14"/>
  <c r="B60" i="16"/>
  <c r="B60" i="12"/>
  <c r="B50" i="22"/>
  <c r="B50" i="20"/>
  <c r="B50" i="18"/>
  <c r="B50" i="19"/>
  <c r="B50" i="15"/>
  <c r="B50" i="13"/>
  <c r="B50" i="21"/>
  <c r="B50" i="17"/>
  <c r="B50" i="16"/>
  <c r="B50" i="12"/>
  <c r="B50" i="14"/>
  <c r="B40" i="22"/>
  <c r="B40" i="20"/>
  <c r="B40" i="18"/>
  <c r="B40" i="21"/>
  <c r="B40" i="17"/>
  <c r="B40" i="15"/>
  <c r="B40" i="13"/>
  <c r="B40" i="19"/>
  <c r="B40" i="14"/>
  <c r="B40" i="16"/>
  <c r="B40" i="12"/>
  <c r="B30" i="22"/>
  <c r="B30" i="20"/>
  <c r="B30" i="18"/>
  <c r="B30" i="19"/>
  <c r="B30" i="15"/>
  <c r="B30" i="13"/>
  <c r="B30" i="21"/>
  <c r="B30" i="17"/>
  <c r="B30" i="16"/>
  <c r="B30" i="12"/>
  <c r="B30" i="14"/>
  <c r="B20" i="22"/>
  <c r="B20" i="20"/>
  <c r="B20" i="18"/>
  <c r="B20" i="21"/>
  <c r="B20" i="17"/>
  <c r="B20" i="15"/>
  <c r="B20" i="13"/>
  <c r="B20" i="19"/>
  <c r="B20" i="14"/>
  <c r="B20" i="16"/>
  <c r="B20" i="12"/>
  <c r="B10" i="22"/>
  <c r="B10" i="20"/>
  <c r="B10" i="18"/>
  <c r="B10" i="19"/>
  <c r="B10" i="17"/>
  <c r="B10" i="15"/>
  <c r="B10" i="13"/>
  <c r="B10" i="21"/>
  <c r="B10" i="16"/>
  <c r="B10" i="12"/>
  <c r="B10" i="14"/>
  <c r="B145" i="21"/>
  <c r="B145" i="19"/>
  <c r="B145" i="17"/>
  <c r="B145" i="20"/>
  <c r="B145" i="16"/>
  <c r="B145" i="14"/>
  <c r="B145" i="12"/>
  <c r="B145" i="22"/>
  <c r="B145" i="18"/>
  <c r="B145" i="13"/>
  <c r="B145" i="15"/>
  <c r="B145" i="11"/>
  <c r="B30" i="7"/>
  <c r="B135" i="21"/>
  <c r="B135" i="19"/>
  <c r="B135" i="17"/>
  <c r="B135" i="22"/>
  <c r="B135" i="18"/>
  <c r="B135" i="16"/>
  <c r="B135" i="14"/>
  <c r="B135" i="12"/>
  <c r="B135" i="20"/>
  <c r="B135" i="15"/>
  <c r="B135" i="11"/>
  <c r="B135" i="13"/>
  <c r="B33" i="7"/>
  <c r="B125" i="21"/>
  <c r="B125" i="19"/>
  <c r="B125" i="17"/>
  <c r="B125" i="20"/>
  <c r="B125" i="16"/>
  <c r="B125" i="14"/>
  <c r="B125" i="12"/>
  <c r="B125" i="22"/>
  <c r="B125" i="18"/>
  <c r="B125" i="13"/>
  <c r="B125" i="15"/>
  <c r="B34" i="7"/>
  <c r="B115" i="21"/>
  <c r="B115" i="19"/>
  <c r="B115" i="17"/>
  <c r="B115" i="22"/>
  <c r="B115" i="18"/>
  <c r="B115" i="16"/>
  <c r="B115" i="14"/>
  <c r="B115" i="12"/>
  <c r="B115" i="20"/>
  <c r="B115" i="15"/>
  <c r="B115" i="13"/>
  <c r="B23" i="7"/>
  <c r="B105" i="21"/>
  <c r="B105" i="19"/>
  <c r="B105" i="17"/>
  <c r="B105" i="20"/>
  <c r="B105" i="16"/>
  <c r="B105" i="14"/>
  <c r="B105" i="12"/>
  <c r="B105" i="22"/>
  <c r="B105" i="18"/>
  <c r="B105" i="13"/>
  <c r="B105" i="15"/>
  <c r="B20" i="7"/>
  <c r="B95" i="21"/>
  <c r="B95" i="19"/>
  <c r="B95" i="17"/>
  <c r="B95" i="22"/>
  <c r="B95" i="18"/>
  <c r="B95" i="16"/>
  <c r="B95" i="14"/>
  <c r="B95" i="12"/>
  <c r="B95" i="20"/>
  <c r="B95" i="15"/>
  <c r="B95" i="13"/>
  <c r="B21" i="7"/>
  <c r="B85" i="21"/>
  <c r="B85" i="19"/>
  <c r="B85" i="17"/>
  <c r="B85" i="20"/>
  <c r="B85" i="16"/>
  <c r="B85" i="14"/>
  <c r="B85" i="12"/>
  <c r="B85" i="22"/>
  <c r="B85" i="18"/>
  <c r="B85" i="13"/>
  <c r="B85" i="15"/>
  <c r="B18" i="7"/>
  <c r="B75" i="21"/>
  <c r="B75" i="19"/>
  <c r="B75" i="17"/>
  <c r="B75" i="22"/>
  <c r="B75" i="18"/>
  <c r="B75" i="16"/>
  <c r="B75" i="14"/>
  <c r="B75" i="12"/>
  <c r="B75" i="20"/>
  <c r="B75" i="15"/>
  <c r="B75" i="13"/>
  <c r="B65" i="21"/>
  <c r="B65" i="19"/>
  <c r="B65" i="17"/>
  <c r="B65" i="20"/>
  <c r="B65" i="16"/>
  <c r="B65" i="14"/>
  <c r="B65" i="12"/>
  <c r="B65" i="11"/>
  <c r="B65" i="22"/>
  <c r="B65" i="18"/>
  <c r="B65" i="13"/>
  <c r="B65" i="15"/>
  <c r="B55" i="21"/>
  <c r="B55" i="19"/>
  <c r="B55" i="17"/>
  <c r="B55" i="22"/>
  <c r="B55" i="18"/>
  <c r="B55" i="16"/>
  <c r="B55" i="14"/>
  <c r="B55" i="12"/>
  <c r="B55" i="20"/>
  <c r="B55" i="15"/>
  <c r="B55" i="13"/>
  <c r="B45" i="21"/>
  <c r="B45" i="19"/>
  <c r="B45" i="17"/>
  <c r="B45" i="20"/>
  <c r="B45" i="16"/>
  <c r="B45" i="14"/>
  <c r="B45" i="12"/>
  <c r="B45" i="22"/>
  <c r="B45" i="18"/>
  <c r="B45" i="13"/>
  <c r="B45" i="15"/>
  <c r="B35" i="21"/>
  <c r="B35" i="19"/>
  <c r="B35" i="17"/>
  <c r="B35" i="22"/>
  <c r="B35" i="18"/>
  <c r="B35" i="16"/>
  <c r="B35" i="14"/>
  <c r="B35" i="12"/>
  <c r="B35" i="20"/>
  <c r="B35" i="15"/>
  <c r="B35" i="13"/>
  <c r="B25" i="21"/>
  <c r="B25" i="19"/>
  <c r="B25" i="17"/>
  <c r="B25" i="20"/>
  <c r="B25" i="16"/>
  <c r="B25" i="14"/>
  <c r="B25" i="12"/>
  <c r="B25" i="22"/>
  <c r="B25" i="18"/>
  <c r="B25" i="13"/>
  <c r="B25" i="15"/>
  <c r="B15" i="21"/>
  <c r="B15" i="19"/>
  <c r="B15" i="22"/>
  <c r="B15" i="18"/>
  <c r="B15" i="16"/>
  <c r="B15" i="14"/>
  <c r="B15" i="12"/>
  <c r="B15" i="20"/>
  <c r="B15" i="17"/>
  <c r="B15" i="15"/>
  <c r="B15" i="13"/>
  <c r="B27" i="7"/>
  <c r="B29" i="7"/>
  <c r="B22" i="7"/>
  <c r="B14" i="7"/>
  <c r="B8" i="7"/>
  <c r="B29" i="6"/>
  <c r="B12" i="5"/>
  <c r="B32" i="7"/>
  <c r="B36" i="6"/>
  <c r="B10" i="5"/>
  <c r="B13" i="7"/>
  <c r="B19" i="6"/>
  <c r="B8" i="5"/>
  <c r="B6" i="7"/>
  <c r="B7" i="6"/>
  <c r="B13" i="5"/>
  <c r="B5" i="6"/>
  <c r="B32" i="5"/>
  <c r="B14" i="6"/>
  <c r="B30" i="5"/>
  <c r="B21" i="6"/>
  <c r="B28" i="5"/>
  <c r="B24" i="6"/>
  <c r="B26" i="5"/>
  <c r="B27" i="6"/>
  <c r="B24" i="5"/>
  <c r="B12" i="6"/>
  <c r="B22" i="5"/>
  <c r="B31" i="6"/>
  <c r="B20" i="5"/>
  <c r="B7" i="7"/>
  <c r="B34" i="6"/>
  <c r="B18" i="5"/>
  <c r="B28" i="7"/>
  <c r="B13" i="6"/>
  <c r="B16" i="5"/>
  <c r="B31" i="7"/>
  <c r="B9" i="6"/>
  <c r="B14" i="5"/>
  <c r="B35" i="7"/>
  <c r="B11" i="6"/>
  <c r="B11" i="5"/>
  <c r="B17" i="7"/>
  <c r="B6" i="6"/>
  <c r="B9" i="5"/>
  <c r="B19" i="7"/>
  <c r="B32" i="6"/>
  <c r="B7" i="5"/>
  <c r="B18" i="6"/>
  <c r="B33" i="5"/>
  <c r="B26" i="6"/>
  <c r="B31" i="5"/>
  <c r="B16" i="6"/>
  <c r="B29" i="5"/>
  <c r="B8" i="6"/>
  <c r="B27" i="5"/>
  <c r="B20" i="6"/>
  <c r="B25" i="5"/>
  <c r="B30" i="6"/>
  <c r="B23" i="5"/>
  <c r="B28" i="6"/>
  <c r="B21" i="5"/>
  <c r="B10" i="6"/>
  <c r="B19" i="5"/>
  <c r="B36" i="7"/>
  <c r="B15" i="6"/>
  <c r="B17" i="5"/>
  <c r="B25" i="7"/>
  <c r="B33" i="6"/>
  <c r="B15" i="5"/>
  <c r="AA3" i="22"/>
  <c r="P33" i="6" l="1"/>
  <c r="P37" i="6" l="1"/>
  <c r="P20" i="6"/>
  <c r="N45" i="6" l="1"/>
  <c r="M45" i="6" l="1"/>
  <c r="P17" i="6" l="1"/>
  <c r="B298" i="4" l="1"/>
  <c r="B299" i="4"/>
  <c r="B300" i="4"/>
  <c r="B301" i="4"/>
  <c r="B302" i="4"/>
  <c r="C302" i="4" s="1"/>
  <c r="D302" i="4" s="1"/>
  <c r="B303" i="4"/>
  <c r="B304" i="4"/>
  <c r="B305" i="4"/>
  <c r="B306" i="4"/>
  <c r="B307" i="4"/>
  <c r="B308" i="4"/>
  <c r="B309" i="4"/>
  <c r="C309" i="4" s="1"/>
  <c r="D309" i="4" s="1"/>
  <c r="B310" i="4"/>
  <c r="B311" i="4"/>
  <c r="B312" i="4"/>
  <c r="B313" i="4"/>
  <c r="B314" i="4"/>
  <c r="B315" i="4"/>
  <c r="B316" i="4"/>
  <c r="C316" i="4" s="1"/>
  <c r="D316" i="4" s="1"/>
  <c r="B317" i="4"/>
  <c r="B318" i="4"/>
  <c r="B319" i="4"/>
  <c r="B320" i="4"/>
  <c r="B321" i="4"/>
  <c r="B322" i="4"/>
  <c r="B323" i="4"/>
  <c r="C323" i="4" s="1"/>
  <c r="D323" i="4" s="1"/>
  <c r="B324" i="4"/>
  <c r="B325" i="4"/>
  <c r="B326" i="4"/>
  <c r="B327" i="4"/>
  <c r="B297" i="4"/>
  <c r="B266" i="4"/>
  <c r="B267" i="4"/>
  <c r="B268" i="4"/>
  <c r="B269" i="4"/>
  <c r="B270" i="4"/>
  <c r="B271" i="4"/>
  <c r="B272" i="4"/>
  <c r="C272" i="4" s="1"/>
  <c r="B273" i="4"/>
  <c r="B274" i="4"/>
  <c r="B275" i="4"/>
  <c r="B276" i="4"/>
  <c r="B277" i="4"/>
  <c r="B278" i="4"/>
  <c r="B279" i="4"/>
  <c r="C279" i="4" s="1"/>
  <c r="D279" i="4" s="1"/>
  <c r="B280" i="4"/>
  <c r="B281" i="4"/>
  <c r="B282" i="4"/>
  <c r="B283" i="4"/>
  <c r="B284" i="4"/>
  <c r="B285" i="4"/>
  <c r="B286" i="4"/>
  <c r="C286" i="4" s="1"/>
  <c r="D286" i="4" s="1"/>
  <c r="B287" i="4"/>
  <c r="B288" i="4"/>
  <c r="B289" i="4"/>
  <c r="B290" i="4"/>
  <c r="B291" i="4"/>
  <c r="B292" i="4"/>
  <c r="B293" i="4"/>
  <c r="C293" i="4" s="1"/>
  <c r="D293" i="4" s="1"/>
  <c r="B294" i="4"/>
  <c r="B265" i="4"/>
  <c r="C265" i="4" s="1"/>
  <c r="D265" i="4" s="1"/>
  <c r="N251" i="4"/>
  <c r="B251" i="4"/>
  <c r="S3" i="18"/>
  <c r="AA3" i="18"/>
  <c r="W3" i="18"/>
  <c r="X3" i="18"/>
  <c r="B4" i="8"/>
  <c r="P39" i="6"/>
  <c r="AJ184" i="22"/>
  <c r="O184" i="10" s="1"/>
  <c r="AJ183" i="22"/>
  <c r="O183" i="10" s="1"/>
  <c r="AJ182" i="22"/>
  <c r="O182" i="10" s="1"/>
  <c r="AJ181" i="22"/>
  <c r="O181" i="10" s="1"/>
  <c r="AJ180" i="22"/>
  <c r="O180" i="10" s="1"/>
  <c r="AJ179" i="22"/>
  <c r="O179" i="10" s="1"/>
  <c r="AJ178" i="22"/>
  <c r="O178" i="10" s="1"/>
  <c r="AJ177" i="22"/>
  <c r="O177" i="10" s="1"/>
  <c r="AJ176" i="22"/>
  <c r="O176" i="10" s="1"/>
  <c r="AJ175" i="22"/>
  <c r="O175" i="10" s="1"/>
  <c r="AJ174" i="22"/>
  <c r="O174" i="10" s="1"/>
  <c r="AJ173" i="22"/>
  <c r="O173" i="10" s="1"/>
  <c r="AJ172" i="22"/>
  <c r="O172" i="10" s="1"/>
  <c r="AJ171" i="22"/>
  <c r="O171" i="10" s="1"/>
  <c r="AJ170" i="22"/>
  <c r="O170" i="10" s="1"/>
  <c r="AJ184" i="21"/>
  <c r="N184" i="10" s="1"/>
  <c r="AJ183" i="21"/>
  <c r="N183" i="10" s="1"/>
  <c r="AJ182" i="21"/>
  <c r="N182" i="10" s="1"/>
  <c r="AJ181" i="21"/>
  <c r="N181" i="10" s="1"/>
  <c r="AJ180" i="21"/>
  <c r="N180" i="10" s="1"/>
  <c r="AJ179" i="21"/>
  <c r="N179" i="10" s="1"/>
  <c r="AJ178" i="21"/>
  <c r="N178" i="10" s="1"/>
  <c r="AJ177" i="21"/>
  <c r="N177" i="10" s="1"/>
  <c r="AJ176" i="21"/>
  <c r="N176" i="10" s="1"/>
  <c r="AJ175" i="21"/>
  <c r="N175" i="10" s="1"/>
  <c r="AJ174" i="21"/>
  <c r="N174" i="10" s="1"/>
  <c r="AJ173" i="21"/>
  <c r="N173" i="10" s="1"/>
  <c r="AJ172" i="21"/>
  <c r="N172" i="10" s="1"/>
  <c r="AJ171" i="21"/>
  <c r="N171" i="10" s="1"/>
  <c r="AJ170" i="21"/>
  <c r="N170" i="10" s="1"/>
  <c r="AJ184" i="20"/>
  <c r="M184" i="10" s="1"/>
  <c r="AJ183" i="20"/>
  <c r="M183" i="10" s="1"/>
  <c r="AJ182" i="20"/>
  <c r="M182" i="10" s="1"/>
  <c r="AJ181" i="20"/>
  <c r="M181" i="10" s="1"/>
  <c r="AJ180" i="20"/>
  <c r="M180" i="10" s="1"/>
  <c r="AJ184" i="19"/>
  <c r="L184" i="10" s="1"/>
  <c r="AJ183" i="19"/>
  <c r="L183" i="10" s="1"/>
  <c r="AJ182" i="19"/>
  <c r="L182" i="10" s="1"/>
  <c r="AJ181" i="19"/>
  <c r="L181" i="10" s="1"/>
  <c r="AJ180" i="19"/>
  <c r="L180" i="10" s="1"/>
  <c r="AJ179" i="19"/>
  <c r="L179" i="10" s="1"/>
  <c r="AJ178" i="19"/>
  <c r="L178" i="10" s="1"/>
  <c r="AJ177" i="19"/>
  <c r="L177" i="10" s="1"/>
  <c r="AJ176" i="19"/>
  <c r="L176" i="10" s="1"/>
  <c r="AJ175" i="19"/>
  <c r="L175" i="10" s="1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2" i="4"/>
  <c r="N261" i="4"/>
  <c r="N260" i="4"/>
  <c r="N259" i="4"/>
  <c r="N258" i="4"/>
  <c r="N257" i="4"/>
  <c r="N256" i="4"/>
  <c r="N255" i="4"/>
  <c r="N254" i="4"/>
  <c r="N253" i="4"/>
  <c r="N252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199" i="4"/>
  <c r="AJ17" i="16"/>
  <c r="N167" i="4"/>
  <c r="N168" i="4"/>
  <c r="N169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71" i="4"/>
  <c r="N172" i="4"/>
  <c r="N173" i="4"/>
  <c r="N170" i="4"/>
  <c r="N147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34" i="4"/>
  <c r="N124" i="4"/>
  <c r="B135" i="10"/>
  <c r="B130" i="10"/>
  <c r="B125" i="10"/>
  <c r="B120" i="10"/>
  <c r="B115" i="10"/>
  <c r="B110" i="10"/>
  <c r="B105" i="10"/>
  <c r="B100" i="10"/>
  <c r="B95" i="10"/>
  <c r="B90" i="10"/>
  <c r="B85" i="10"/>
  <c r="B80" i="10"/>
  <c r="B75" i="10"/>
  <c r="B70" i="10"/>
  <c r="B65" i="10"/>
  <c r="B60" i="10"/>
  <c r="B55" i="10"/>
  <c r="B50" i="10"/>
  <c r="B45" i="10"/>
  <c r="B40" i="10"/>
  <c r="B35" i="10"/>
  <c r="B30" i="10"/>
  <c r="B25" i="10"/>
  <c r="B20" i="10"/>
  <c r="B15" i="10"/>
  <c r="B10" i="10"/>
  <c r="B5" i="10"/>
  <c r="W3" i="13"/>
  <c r="L67" i="4"/>
  <c r="N66" i="4"/>
  <c r="B66" i="4"/>
  <c r="N50" i="4"/>
  <c r="N20" i="4"/>
  <c r="B100" i="11"/>
  <c r="P30" i="6"/>
  <c r="P38" i="6"/>
  <c r="P40" i="6"/>
  <c r="P41" i="6"/>
  <c r="P42" i="6"/>
  <c r="P43" i="6"/>
  <c r="P19" i="6"/>
  <c r="P6" i="6"/>
  <c r="P36" i="6"/>
  <c r="P11" i="6"/>
  <c r="P29" i="6"/>
  <c r="P32" i="6"/>
  <c r="P7" i="6"/>
  <c r="P9" i="6"/>
  <c r="P13" i="6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R210" i="10"/>
  <c r="S210" i="10"/>
  <c r="T210" i="10"/>
  <c r="U210" i="10"/>
  <c r="V210" i="10"/>
  <c r="R209" i="10"/>
  <c r="S209" i="10"/>
  <c r="T209" i="10"/>
  <c r="U209" i="10"/>
  <c r="V209" i="10"/>
  <c r="R208" i="10"/>
  <c r="S208" i="10"/>
  <c r="T208" i="10"/>
  <c r="U208" i="10"/>
  <c r="V208" i="10"/>
  <c r="R207" i="10"/>
  <c r="S207" i="10"/>
  <c r="T207" i="10"/>
  <c r="U207" i="10"/>
  <c r="V207" i="10"/>
  <c r="D7" i="7"/>
  <c r="D26" i="7"/>
  <c r="D18" i="7"/>
  <c r="D9" i="7"/>
  <c r="D21" i="7"/>
  <c r="D5" i="7"/>
  <c r="D20" i="7"/>
  <c r="D16" i="7"/>
  <c r="D23" i="7"/>
  <c r="D27" i="7"/>
  <c r="D34" i="7"/>
  <c r="D15" i="7"/>
  <c r="D33" i="7"/>
  <c r="D10" i="7"/>
  <c r="D30" i="7"/>
  <c r="D14" i="7"/>
  <c r="D29" i="7"/>
  <c r="D22" i="7"/>
  <c r="D11" i="7"/>
  <c r="D38" i="7"/>
  <c r="D39" i="7"/>
  <c r="D40" i="7"/>
  <c r="D41" i="7"/>
  <c r="D42" i="7"/>
  <c r="D43" i="7"/>
  <c r="D44" i="7"/>
  <c r="D24" i="7"/>
  <c r="D19" i="7"/>
  <c r="D13" i="7"/>
  <c r="D17" i="7"/>
  <c r="D32" i="7"/>
  <c r="D35" i="7"/>
  <c r="D8" i="7"/>
  <c r="D31" i="7"/>
  <c r="D25" i="7"/>
  <c r="D28" i="7"/>
  <c r="D36" i="7"/>
  <c r="O26" i="25"/>
  <c r="O27" i="25"/>
  <c r="O28" i="25"/>
  <c r="O29" i="25"/>
  <c r="O30" i="25"/>
  <c r="A3" i="25"/>
  <c r="L100" i="4"/>
  <c r="N70" i="4"/>
  <c r="N112" i="4"/>
  <c r="N14" i="4"/>
  <c r="N5" i="4"/>
  <c r="AJ75" i="13"/>
  <c r="F75" i="10" s="1"/>
  <c r="AJ5" i="14"/>
  <c r="G5" i="10" s="1"/>
  <c r="AJ55" i="12"/>
  <c r="E55" i="10" s="1"/>
  <c r="AJ56" i="12"/>
  <c r="E56" i="10" s="1"/>
  <c r="AJ57" i="12"/>
  <c r="E57" i="10" s="1"/>
  <c r="AJ58" i="12"/>
  <c r="E58" i="10" s="1"/>
  <c r="AJ59" i="12"/>
  <c r="E59" i="10" s="1"/>
  <c r="AJ60" i="12"/>
  <c r="E60" i="10" s="1"/>
  <c r="AE3" i="14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A31" i="25"/>
  <c r="N2" i="25"/>
  <c r="M2" i="25"/>
  <c r="L2" i="25"/>
  <c r="K2" i="25"/>
  <c r="J2" i="25"/>
  <c r="I2" i="25"/>
  <c r="H2" i="25"/>
  <c r="G2" i="25"/>
  <c r="F2" i="25"/>
  <c r="E2" i="25"/>
  <c r="D2" i="25"/>
  <c r="C2" i="25"/>
  <c r="A44" i="24"/>
  <c r="B4" i="24"/>
  <c r="A4" i="24"/>
  <c r="AJ169" i="22"/>
  <c r="O169" i="10" s="1"/>
  <c r="AJ168" i="22"/>
  <c r="O168" i="10" s="1"/>
  <c r="AJ167" i="22"/>
  <c r="O167" i="10" s="1"/>
  <c r="AJ166" i="22"/>
  <c r="O166" i="10" s="1"/>
  <c r="AJ165" i="22"/>
  <c r="O165" i="10" s="1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AJ149" i="22"/>
  <c r="O149" i="10" s="1"/>
  <c r="AJ148" i="22"/>
  <c r="O148" i="10" s="1"/>
  <c r="AJ147" i="22"/>
  <c r="O147" i="10" s="1"/>
  <c r="AJ146" i="22"/>
  <c r="O146" i="10" s="1"/>
  <c r="AJ145" i="22"/>
  <c r="O145" i="10" s="1"/>
  <c r="AJ144" i="22"/>
  <c r="O144" i="10" s="1"/>
  <c r="AJ143" i="22"/>
  <c r="O143" i="10" s="1"/>
  <c r="AJ142" i="22"/>
  <c r="O142" i="10" s="1"/>
  <c r="AJ141" i="22"/>
  <c r="O141" i="10" s="1"/>
  <c r="AJ140" i="22"/>
  <c r="O140" i="10" s="1"/>
  <c r="AJ139" i="22"/>
  <c r="O139" i="10" s="1"/>
  <c r="AJ138" i="22"/>
  <c r="O138" i="10" s="1"/>
  <c r="AJ137" i="22"/>
  <c r="O137" i="10" s="1"/>
  <c r="AJ136" i="22"/>
  <c r="O136" i="10" s="1"/>
  <c r="AJ135" i="22"/>
  <c r="O135" i="10" s="1"/>
  <c r="AJ134" i="22"/>
  <c r="O134" i="10" s="1"/>
  <c r="AJ133" i="22"/>
  <c r="O133" i="10" s="1"/>
  <c r="AJ132" i="22"/>
  <c r="O132" i="10" s="1"/>
  <c r="AJ131" i="22"/>
  <c r="O131" i="10" s="1"/>
  <c r="AJ130" i="22"/>
  <c r="O130" i="10" s="1"/>
  <c r="AJ129" i="22"/>
  <c r="O129" i="10" s="1"/>
  <c r="AJ128" i="22"/>
  <c r="O128" i="10" s="1"/>
  <c r="AJ127" i="22"/>
  <c r="O127" i="10" s="1"/>
  <c r="AJ126" i="22"/>
  <c r="O126" i="10" s="1"/>
  <c r="AJ125" i="22"/>
  <c r="O125" i="10" s="1"/>
  <c r="AJ124" i="22"/>
  <c r="O124" i="10" s="1"/>
  <c r="AJ123" i="22"/>
  <c r="O123" i="10" s="1"/>
  <c r="AJ122" i="22"/>
  <c r="O122" i="10" s="1"/>
  <c r="AJ121" i="22"/>
  <c r="O121" i="10" s="1"/>
  <c r="AJ120" i="22"/>
  <c r="O120" i="10" s="1"/>
  <c r="AJ119" i="22"/>
  <c r="O119" i="10" s="1"/>
  <c r="AJ118" i="22"/>
  <c r="O118" i="10" s="1"/>
  <c r="AJ117" i="22"/>
  <c r="O117" i="10" s="1"/>
  <c r="AJ116" i="22"/>
  <c r="O116" i="10" s="1"/>
  <c r="AJ115" i="22"/>
  <c r="O115" i="10" s="1"/>
  <c r="AJ114" i="22"/>
  <c r="O114" i="10" s="1"/>
  <c r="AJ113" i="22"/>
  <c r="O113" i="10" s="1"/>
  <c r="AJ112" i="22"/>
  <c r="O112" i="10" s="1"/>
  <c r="AJ111" i="22"/>
  <c r="O111" i="10" s="1"/>
  <c r="AJ110" i="22"/>
  <c r="O110" i="10" s="1"/>
  <c r="AJ109" i="22"/>
  <c r="O109" i="10" s="1"/>
  <c r="AJ108" i="22"/>
  <c r="O108" i="10" s="1"/>
  <c r="AJ107" i="22"/>
  <c r="O107" i="10" s="1"/>
  <c r="AJ106" i="22"/>
  <c r="O106" i="10" s="1"/>
  <c r="AJ105" i="22"/>
  <c r="O105" i="10" s="1"/>
  <c r="AJ104" i="22"/>
  <c r="O104" i="10" s="1"/>
  <c r="AJ103" i="22"/>
  <c r="O103" i="10" s="1"/>
  <c r="AJ102" i="22"/>
  <c r="O102" i="10" s="1"/>
  <c r="AJ101" i="22"/>
  <c r="O101" i="10" s="1"/>
  <c r="AJ100" i="22"/>
  <c r="O100" i="10" s="1"/>
  <c r="AJ99" i="22"/>
  <c r="O99" i="10" s="1"/>
  <c r="AJ98" i="22"/>
  <c r="O98" i="10" s="1"/>
  <c r="AJ97" i="22"/>
  <c r="O97" i="10" s="1"/>
  <c r="AJ96" i="22"/>
  <c r="O96" i="10" s="1"/>
  <c r="AJ95" i="22"/>
  <c r="O95" i="10" s="1"/>
  <c r="AJ94" i="22"/>
  <c r="O94" i="10" s="1"/>
  <c r="AJ93" i="22"/>
  <c r="O93" i="10" s="1"/>
  <c r="AJ92" i="22"/>
  <c r="O92" i="10" s="1"/>
  <c r="AJ91" i="22"/>
  <c r="O91" i="10" s="1"/>
  <c r="AJ90" i="22"/>
  <c r="O90" i="10" s="1"/>
  <c r="AJ89" i="22"/>
  <c r="O89" i="10" s="1"/>
  <c r="AJ88" i="22"/>
  <c r="O88" i="10" s="1"/>
  <c r="AJ87" i="22"/>
  <c r="O87" i="10" s="1"/>
  <c r="AJ86" i="22"/>
  <c r="O86" i="10" s="1"/>
  <c r="AJ85" i="22"/>
  <c r="O85" i="10" s="1"/>
  <c r="AJ84" i="22"/>
  <c r="O84" i="10" s="1"/>
  <c r="AJ83" i="22"/>
  <c r="O83" i="10" s="1"/>
  <c r="AJ82" i="22"/>
  <c r="O82" i="10" s="1"/>
  <c r="AJ81" i="22"/>
  <c r="O81" i="10" s="1"/>
  <c r="AJ80" i="22"/>
  <c r="O80" i="10" s="1"/>
  <c r="AJ79" i="22"/>
  <c r="O79" i="10" s="1"/>
  <c r="AJ78" i="22"/>
  <c r="O78" i="10" s="1"/>
  <c r="AJ77" i="22"/>
  <c r="O77" i="10" s="1"/>
  <c r="AJ76" i="22"/>
  <c r="O76" i="10" s="1"/>
  <c r="AJ75" i="22"/>
  <c r="O75" i="10" s="1"/>
  <c r="AJ74" i="22"/>
  <c r="O74" i="10" s="1"/>
  <c r="AJ73" i="22"/>
  <c r="O73" i="10" s="1"/>
  <c r="AJ72" i="22"/>
  <c r="O72" i="10" s="1"/>
  <c r="AJ71" i="22"/>
  <c r="O71" i="10" s="1"/>
  <c r="AJ70" i="22"/>
  <c r="AJ69" i="22"/>
  <c r="O69" i="10" s="1"/>
  <c r="AJ68" i="22"/>
  <c r="O68" i="10" s="1"/>
  <c r="AJ67" i="22"/>
  <c r="O67" i="10" s="1"/>
  <c r="AJ66" i="22"/>
  <c r="O66" i="10" s="1"/>
  <c r="AJ65" i="22"/>
  <c r="O65" i="10" s="1"/>
  <c r="AJ64" i="22"/>
  <c r="O64" i="10" s="1"/>
  <c r="AJ63" i="22"/>
  <c r="O63" i="10" s="1"/>
  <c r="AJ62" i="22"/>
  <c r="O62" i="10" s="1"/>
  <c r="AJ61" i="22"/>
  <c r="O61" i="10" s="1"/>
  <c r="AJ60" i="22"/>
  <c r="O60" i="10" s="1"/>
  <c r="AJ59" i="22"/>
  <c r="O59" i="10" s="1"/>
  <c r="AJ58" i="22"/>
  <c r="O58" i="10" s="1"/>
  <c r="AJ57" i="22"/>
  <c r="O57" i="10" s="1"/>
  <c r="AJ56" i="22"/>
  <c r="O56" i="10" s="1"/>
  <c r="AJ55" i="22"/>
  <c r="O55" i="10" s="1"/>
  <c r="AJ54" i="22"/>
  <c r="O54" i="10" s="1"/>
  <c r="AJ53" i="22"/>
  <c r="O53" i="10" s="1"/>
  <c r="AJ52" i="22"/>
  <c r="O52" i="10" s="1"/>
  <c r="AJ51" i="22"/>
  <c r="O51" i="10" s="1"/>
  <c r="AJ50" i="22"/>
  <c r="O50" i="10" s="1"/>
  <c r="AJ49" i="22"/>
  <c r="O49" i="10" s="1"/>
  <c r="AJ48" i="22"/>
  <c r="O48" i="10" s="1"/>
  <c r="AJ47" i="22"/>
  <c r="O47" i="10" s="1"/>
  <c r="AJ46" i="22"/>
  <c r="O46" i="10" s="1"/>
  <c r="AJ45" i="22"/>
  <c r="O45" i="10" s="1"/>
  <c r="AJ44" i="22"/>
  <c r="O44" i="10" s="1"/>
  <c r="AJ43" i="22"/>
  <c r="O43" i="10" s="1"/>
  <c r="AJ42" i="22"/>
  <c r="O42" i="10" s="1"/>
  <c r="AJ41" i="22"/>
  <c r="O41" i="10" s="1"/>
  <c r="AJ40" i="22"/>
  <c r="O40" i="10" s="1"/>
  <c r="AJ39" i="22"/>
  <c r="O39" i="10" s="1"/>
  <c r="AJ38" i="22"/>
  <c r="O38" i="10" s="1"/>
  <c r="AJ37" i="22"/>
  <c r="O37" i="10" s="1"/>
  <c r="AJ36" i="22"/>
  <c r="O36" i="10" s="1"/>
  <c r="AJ35" i="22"/>
  <c r="O35" i="10" s="1"/>
  <c r="AJ34" i="22"/>
  <c r="O34" i="10" s="1"/>
  <c r="AJ33" i="22"/>
  <c r="O33" i="10" s="1"/>
  <c r="AJ32" i="22"/>
  <c r="O32" i="10" s="1"/>
  <c r="AJ31" i="22"/>
  <c r="O31" i="10" s="1"/>
  <c r="AJ30" i="22"/>
  <c r="O30" i="10" s="1"/>
  <c r="AJ29" i="22"/>
  <c r="O29" i="10" s="1"/>
  <c r="AJ28" i="22"/>
  <c r="O28" i="10" s="1"/>
  <c r="AJ27" i="22"/>
  <c r="O27" i="10" s="1"/>
  <c r="AJ26" i="22"/>
  <c r="O26" i="10" s="1"/>
  <c r="AJ25" i="22"/>
  <c r="O25" i="10" s="1"/>
  <c r="AJ24" i="22"/>
  <c r="O24" i="10" s="1"/>
  <c r="AJ23" i="22"/>
  <c r="O23" i="10" s="1"/>
  <c r="AJ22" i="22"/>
  <c r="O22" i="10" s="1"/>
  <c r="AJ21" i="22"/>
  <c r="O21" i="10" s="1"/>
  <c r="AJ20" i="22"/>
  <c r="O20" i="10" s="1"/>
  <c r="AJ19" i="22"/>
  <c r="O19" i="10" s="1"/>
  <c r="AJ18" i="22"/>
  <c r="O18" i="10" s="1"/>
  <c r="AJ17" i="22"/>
  <c r="O17" i="10" s="1"/>
  <c r="AJ16" i="22"/>
  <c r="O16" i="10" s="1"/>
  <c r="AJ15" i="22"/>
  <c r="O15" i="10" s="1"/>
  <c r="AJ14" i="22"/>
  <c r="O14" i="10" s="1"/>
  <c r="AJ13" i="22"/>
  <c r="O13" i="10" s="1"/>
  <c r="AJ12" i="22"/>
  <c r="O12" i="10" s="1"/>
  <c r="AJ11" i="22"/>
  <c r="O11" i="10" s="1"/>
  <c r="AJ10" i="22"/>
  <c r="O10" i="10" s="1"/>
  <c r="AJ9" i="22"/>
  <c r="O9" i="10" s="1"/>
  <c r="AJ8" i="22"/>
  <c r="O8" i="10" s="1"/>
  <c r="AJ7" i="22"/>
  <c r="O7" i="10" s="1"/>
  <c r="AJ6" i="22"/>
  <c r="O6" i="10" s="1"/>
  <c r="AJ5" i="22"/>
  <c r="O5" i="10" s="1"/>
  <c r="AH3" i="22"/>
  <c r="AG3" i="22"/>
  <c r="AF3" i="22"/>
  <c r="AE3" i="22"/>
  <c r="AD3" i="22"/>
  <c r="AC3" i="22"/>
  <c r="AB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AJ169" i="21"/>
  <c r="N169" i="10" s="1"/>
  <c r="AJ168" i="21"/>
  <c r="N168" i="10" s="1"/>
  <c r="AJ167" i="21"/>
  <c r="N167" i="10" s="1"/>
  <c r="AJ166" i="21"/>
  <c r="N166" i="10" s="1"/>
  <c r="AJ165" i="21"/>
  <c r="N165" i="10" s="1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AJ149" i="21"/>
  <c r="N149" i="10" s="1"/>
  <c r="AJ148" i="21"/>
  <c r="N148" i="10" s="1"/>
  <c r="AJ147" i="21"/>
  <c r="N147" i="10" s="1"/>
  <c r="AJ146" i="21"/>
  <c r="N146" i="10" s="1"/>
  <c r="AJ145" i="21"/>
  <c r="N145" i="10" s="1"/>
  <c r="AJ144" i="21"/>
  <c r="N144" i="10" s="1"/>
  <c r="AJ143" i="21"/>
  <c r="N143" i="10" s="1"/>
  <c r="AJ142" i="21"/>
  <c r="N142" i="10" s="1"/>
  <c r="AJ141" i="21"/>
  <c r="N141" i="10" s="1"/>
  <c r="AJ140" i="21"/>
  <c r="N140" i="10" s="1"/>
  <c r="AJ139" i="21"/>
  <c r="N139" i="10" s="1"/>
  <c r="AJ138" i="21"/>
  <c r="N138" i="10" s="1"/>
  <c r="AJ137" i="21"/>
  <c r="N137" i="10" s="1"/>
  <c r="AJ136" i="21"/>
  <c r="N136" i="10" s="1"/>
  <c r="AJ135" i="21"/>
  <c r="N135" i="10" s="1"/>
  <c r="AJ134" i="21"/>
  <c r="N134" i="10" s="1"/>
  <c r="AJ133" i="21"/>
  <c r="N133" i="10" s="1"/>
  <c r="AJ132" i="21"/>
  <c r="N132" i="10" s="1"/>
  <c r="AJ131" i="21"/>
  <c r="N131" i="10" s="1"/>
  <c r="AJ130" i="21"/>
  <c r="N130" i="10" s="1"/>
  <c r="AJ129" i="21"/>
  <c r="N129" i="10" s="1"/>
  <c r="AJ128" i="21"/>
  <c r="N128" i="10" s="1"/>
  <c r="AJ127" i="21"/>
  <c r="N127" i="10" s="1"/>
  <c r="AJ126" i="21"/>
  <c r="N126" i="10" s="1"/>
  <c r="AJ125" i="21"/>
  <c r="N125" i="10" s="1"/>
  <c r="AJ124" i="21"/>
  <c r="N124" i="10" s="1"/>
  <c r="AJ123" i="21"/>
  <c r="N123" i="10" s="1"/>
  <c r="AJ122" i="21"/>
  <c r="N122" i="10" s="1"/>
  <c r="AJ121" i="21"/>
  <c r="N121" i="10" s="1"/>
  <c r="AJ120" i="21"/>
  <c r="N120" i="10" s="1"/>
  <c r="AJ119" i="21"/>
  <c r="N119" i="10" s="1"/>
  <c r="AJ118" i="21"/>
  <c r="N118" i="10" s="1"/>
  <c r="AJ117" i="21"/>
  <c r="N117" i="10" s="1"/>
  <c r="AJ116" i="21"/>
  <c r="N116" i="10" s="1"/>
  <c r="AJ115" i="21"/>
  <c r="N115" i="10" s="1"/>
  <c r="AJ114" i="21"/>
  <c r="N114" i="10" s="1"/>
  <c r="AJ113" i="21"/>
  <c r="N113" i="10" s="1"/>
  <c r="AJ112" i="21"/>
  <c r="N112" i="10" s="1"/>
  <c r="AJ111" i="21"/>
  <c r="N111" i="10" s="1"/>
  <c r="AJ110" i="21"/>
  <c r="N110" i="10" s="1"/>
  <c r="AJ109" i="21"/>
  <c r="N109" i="10" s="1"/>
  <c r="AJ108" i="21"/>
  <c r="N108" i="10" s="1"/>
  <c r="AJ107" i="21"/>
  <c r="N107" i="10" s="1"/>
  <c r="AJ106" i="21"/>
  <c r="N106" i="10" s="1"/>
  <c r="AJ105" i="21"/>
  <c r="N105" i="10" s="1"/>
  <c r="AJ104" i="21"/>
  <c r="N104" i="10" s="1"/>
  <c r="AJ103" i="21"/>
  <c r="N103" i="10" s="1"/>
  <c r="AJ102" i="21"/>
  <c r="N102" i="10" s="1"/>
  <c r="AJ101" i="21"/>
  <c r="N101" i="10" s="1"/>
  <c r="AJ100" i="21"/>
  <c r="N100" i="10" s="1"/>
  <c r="AJ99" i="21"/>
  <c r="N99" i="10" s="1"/>
  <c r="AJ98" i="21"/>
  <c r="N98" i="10" s="1"/>
  <c r="AJ97" i="21"/>
  <c r="N97" i="10" s="1"/>
  <c r="AJ96" i="21"/>
  <c r="N96" i="10" s="1"/>
  <c r="AJ95" i="21"/>
  <c r="N95" i="10" s="1"/>
  <c r="AJ94" i="21"/>
  <c r="N94" i="10" s="1"/>
  <c r="AJ93" i="21"/>
  <c r="N93" i="10" s="1"/>
  <c r="AJ92" i="21"/>
  <c r="N92" i="10" s="1"/>
  <c r="AJ91" i="21"/>
  <c r="N91" i="10" s="1"/>
  <c r="AJ90" i="21"/>
  <c r="N90" i="10" s="1"/>
  <c r="AJ89" i="21"/>
  <c r="N89" i="10" s="1"/>
  <c r="AJ88" i="21"/>
  <c r="N88" i="10" s="1"/>
  <c r="AJ87" i="21"/>
  <c r="N87" i="10" s="1"/>
  <c r="AJ86" i="21"/>
  <c r="N86" i="10" s="1"/>
  <c r="AJ85" i="21"/>
  <c r="N85" i="10" s="1"/>
  <c r="AJ84" i="21"/>
  <c r="N84" i="10" s="1"/>
  <c r="AJ83" i="21"/>
  <c r="N83" i="10" s="1"/>
  <c r="AJ82" i="21"/>
  <c r="N82" i="10" s="1"/>
  <c r="AJ81" i="21"/>
  <c r="N81" i="10" s="1"/>
  <c r="AJ80" i="21"/>
  <c r="N80" i="10" s="1"/>
  <c r="AJ79" i="21"/>
  <c r="N79" i="10" s="1"/>
  <c r="AJ78" i="21"/>
  <c r="N78" i="10" s="1"/>
  <c r="AJ77" i="21"/>
  <c r="N77" i="10" s="1"/>
  <c r="AJ76" i="21"/>
  <c r="N76" i="10" s="1"/>
  <c r="AJ75" i="21"/>
  <c r="N75" i="10" s="1"/>
  <c r="AJ74" i="21"/>
  <c r="N74" i="10" s="1"/>
  <c r="AJ73" i="21"/>
  <c r="N73" i="10" s="1"/>
  <c r="AJ72" i="21"/>
  <c r="N72" i="10" s="1"/>
  <c r="AJ71" i="21"/>
  <c r="N71" i="10" s="1"/>
  <c r="AJ70" i="21"/>
  <c r="AJ69" i="21"/>
  <c r="N69" i="10" s="1"/>
  <c r="AJ68" i="21"/>
  <c r="N68" i="10" s="1"/>
  <c r="AJ67" i="21"/>
  <c r="N67" i="10" s="1"/>
  <c r="AJ66" i="21"/>
  <c r="N66" i="10" s="1"/>
  <c r="AJ65" i="21"/>
  <c r="N65" i="10" s="1"/>
  <c r="AJ64" i="21"/>
  <c r="N64" i="10" s="1"/>
  <c r="AJ63" i="21"/>
  <c r="N63" i="10" s="1"/>
  <c r="AJ62" i="21"/>
  <c r="N62" i="10" s="1"/>
  <c r="AJ61" i="21"/>
  <c r="N61" i="10" s="1"/>
  <c r="AJ60" i="21"/>
  <c r="N60" i="10" s="1"/>
  <c r="AJ59" i="21"/>
  <c r="N59" i="10" s="1"/>
  <c r="AJ58" i="21"/>
  <c r="N58" i="10" s="1"/>
  <c r="AJ57" i="21"/>
  <c r="N57" i="10" s="1"/>
  <c r="AJ56" i="21"/>
  <c r="N56" i="10" s="1"/>
  <c r="AJ55" i="21"/>
  <c r="N55" i="10" s="1"/>
  <c r="AJ54" i="21"/>
  <c r="N54" i="10" s="1"/>
  <c r="AJ53" i="21"/>
  <c r="N53" i="10" s="1"/>
  <c r="AJ52" i="21"/>
  <c r="N52" i="10" s="1"/>
  <c r="AJ51" i="21"/>
  <c r="N51" i="10" s="1"/>
  <c r="AJ50" i="21"/>
  <c r="N50" i="10" s="1"/>
  <c r="AJ49" i="21"/>
  <c r="N49" i="10" s="1"/>
  <c r="AJ48" i="21"/>
  <c r="N48" i="10" s="1"/>
  <c r="AJ47" i="21"/>
  <c r="N47" i="10" s="1"/>
  <c r="AJ46" i="21"/>
  <c r="N46" i="10" s="1"/>
  <c r="AJ45" i="21"/>
  <c r="N45" i="10" s="1"/>
  <c r="AJ44" i="21"/>
  <c r="N44" i="10" s="1"/>
  <c r="AJ43" i="21"/>
  <c r="N43" i="10" s="1"/>
  <c r="AJ42" i="21"/>
  <c r="N42" i="10" s="1"/>
  <c r="AJ41" i="21"/>
  <c r="N41" i="10" s="1"/>
  <c r="AJ40" i="21"/>
  <c r="N40" i="10" s="1"/>
  <c r="AJ39" i="21"/>
  <c r="N39" i="10" s="1"/>
  <c r="AJ38" i="21"/>
  <c r="N38" i="10" s="1"/>
  <c r="AJ37" i="21"/>
  <c r="N37" i="10" s="1"/>
  <c r="AJ36" i="21"/>
  <c r="N36" i="10" s="1"/>
  <c r="AJ35" i="21"/>
  <c r="N35" i="10" s="1"/>
  <c r="AJ34" i="21"/>
  <c r="N34" i="10" s="1"/>
  <c r="AJ33" i="21"/>
  <c r="N33" i="10" s="1"/>
  <c r="AJ32" i="21"/>
  <c r="N32" i="10" s="1"/>
  <c r="AJ31" i="21"/>
  <c r="N31" i="10" s="1"/>
  <c r="AJ30" i="21"/>
  <c r="N30" i="10" s="1"/>
  <c r="AJ29" i="21"/>
  <c r="N29" i="10" s="1"/>
  <c r="AJ28" i="21"/>
  <c r="N28" i="10" s="1"/>
  <c r="AJ27" i="21"/>
  <c r="N27" i="10" s="1"/>
  <c r="AJ26" i="21"/>
  <c r="N26" i="10" s="1"/>
  <c r="AJ25" i="21"/>
  <c r="N25" i="10" s="1"/>
  <c r="AJ24" i="21"/>
  <c r="N24" i="10" s="1"/>
  <c r="AJ23" i="21"/>
  <c r="N23" i="10" s="1"/>
  <c r="AJ22" i="21"/>
  <c r="N22" i="10" s="1"/>
  <c r="AJ21" i="21"/>
  <c r="N21" i="10" s="1"/>
  <c r="AJ20" i="21"/>
  <c r="N20" i="10" s="1"/>
  <c r="AJ19" i="21"/>
  <c r="N19" i="10" s="1"/>
  <c r="AJ18" i="21"/>
  <c r="N18" i="10" s="1"/>
  <c r="AJ17" i="21"/>
  <c r="N17" i="10" s="1"/>
  <c r="AJ16" i="21"/>
  <c r="N16" i="10" s="1"/>
  <c r="AJ15" i="21"/>
  <c r="N15" i="10" s="1"/>
  <c r="AJ14" i="21"/>
  <c r="N14" i="10" s="1"/>
  <c r="AJ13" i="21"/>
  <c r="N13" i="10" s="1"/>
  <c r="AJ12" i="21"/>
  <c r="N12" i="10" s="1"/>
  <c r="AJ11" i="21"/>
  <c r="N11" i="10" s="1"/>
  <c r="AJ10" i="21"/>
  <c r="N10" i="10" s="1"/>
  <c r="AJ9" i="21"/>
  <c r="N9" i="10" s="1"/>
  <c r="AJ8" i="21"/>
  <c r="N8" i="10" s="1"/>
  <c r="AJ7" i="21"/>
  <c r="N7" i="10" s="1"/>
  <c r="AJ6" i="21"/>
  <c r="N6" i="10" s="1"/>
  <c r="AJ5" i="21"/>
  <c r="N5" i="10" s="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AJ179" i="20"/>
  <c r="M179" i="10" s="1"/>
  <c r="AJ178" i="20"/>
  <c r="M178" i="10" s="1"/>
  <c r="AJ177" i="20"/>
  <c r="M177" i="10" s="1"/>
  <c r="AJ176" i="20"/>
  <c r="M176" i="10" s="1"/>
  <c r="AJ175" i="20"/>
  <c r="M175" i="10" s="1"/>
  <c r="AJ174" i="20"/>
  <c r="M174" i="10" s="1"/>
  <c r="AJ173" i="20"/>
  <c r="M173" i="10" s="1"/>
  <c r="AJ172" i="20"/>
  <c r="M172" i="10" s="1"/>
  <c r="AJ171" i="20"/>
  <c r="M171" i="10" s="1"/>
  <c r="AJ170" i="20"/>
  <c r="M170" i="10" s="1"/>
  <c r="AJ169" i="20"/>
  <c r="M169" i="10" s="1"/>
  <c r="AJ168" i="20"/>
  <c r="M168" i="10" s="1"/>
  <c r="AJ167" i="20"/>
  <c r="M167" i="10" s="1"/>
  <c r="AJ166" i="20"/>
  <c r="M166" i="10" s="1"/>
  <c r="AJ165" i="20"/>
  <c r="M165" i="10" s="1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AJ149" i="20"/>
  <c r="M149" i="10" s="1"/>
  <c r="AJ148" i="20"/>
  <c r="M148" i="10" s="1"/>
  <c r="AJ147" i="20"/>
  <c r="M147" i="10" s="1"/>
  <c r="AJ146" i="20"/>
  <c r="M146" i="10" s="1"/>
  <c r="AJ145" i="20"/>
  <c r="M145" i="10" s="1"/>
  <c r="AJ144" i="20"/>
  <c r="M144" i="10" s="1"/>
  <c r="AJ143" i="20"/>
  <c r="M143" i="10" s="1"/>
  <c r="AJ142" i="20"/>
  <c r="M142" i="10" s="1"/>
  <c r="AJ141" i="20"/>
  <c r="M141" i="10" s="1"/>
  <c r="AJ140" i="20"/>
  <c r="M140" i="10" s="1"/>
  <c r="AJ139" i="20"/>
  <c r="M139" i="10" s="1"/>
  <c r="AJ138" i="20"/>
  <c r="M138" i="10" s="1"/>
  <c r="AJ137" i="20"/>
  <c r="M137" i="10" s="1"/>
  <c r="AJ136" i="20"/>
  <c r="M136" i="10" s="1"/>
  <c r="AJ135" i="20"/>
  <c r="M135" i="10" s="1"/>
  <c r="AJ134" i="20"/>
  <c r="M134" i="10" s="1"/>
  <c r="AJ133" i="20"/>
  <c r="M133" i="10" s="1"/>
  <c r="AJ132" i="20"/>
  <c r="M132" i="10" s="1"/>
  <c r="AJ131" i="20"/>
  <c r="M131" i="10" s="1"/>
  <c r="AJ130" i="20"/>
  <c r="M130" i="10" s="1"/>
  <c r="AJ129" i="20"/>
  <c r="M129" i="10" s="1"/>
  <c r="AJ128" i="20"/>
  <c r="M128" i="10" s="1"/>
  <c r="AJ127" i="20"/>
  <c r="M127" i="10" s="1"/>
  <c r="AJ126" i="20"/>
  <c r="M126" i="10" s="1"/>
  <c r="AJ125" i="20"/>
  <c r="M125" i="10" s="1"/>
  <c r="AJ124" i="20"/>
  <c r="M124" i="10" s="1"/>
  <c r="AJ123" i="20"/>
  <c r="M123" i="10" s="1"/>
  <c r="AJ122" i="20"/>
  <c r="M122" i="10" s="1"/>
  <c r="AJ121" i="20"/>
  <c r="M121" i="10" s="1"/>
  <c r="AJ120" i="20"/>
  <c r="M120" i="10" s="1"/>
  <c r="AJ119" i="20"/>
  <c r="M119" i="10" s="1"/>
  <c r="AJ118" i="20"/>
  <c r="M118" i="10" s="1"/>
  <c r="AJ117" i="20"/>
  <c r="M117" i="10" s="1"/>
  <c r="AJ116" i="20"/>
  <c r="M116" i="10" s="1"/>
  <c r="AJ115" i="20"/>
  <c r="M115" i="10" s="1"/>
  <c r="AJ114" i="20"/>
  <c r="M114" i="10" s="1"/>
  <c r="AJ113" i="20"/>
  <c r="M113" i="10" s="1"/>
  <c r="AJ112" i="20"/>
  <c r="M112" i="10" s="1"/>
  <c r="AJ111" i="20"/>
  <c r="M111" i="10" s="1"/>
  <c r="AJ110" i="20"/>
  <c r="M110" i="10" s="1"/>
  <c r="AJ109" i="20"/>
  <c r="M109" i="10" s="1"/>
  <c r="AJ108" i="20"/>
  <c r="M108" i="10" s="1"/>
  <c r="AJ107" i="20"/>
  <c r="M107" i="10" s="1"/>
  <c r="AJ106" i="20"/>
  <c r="M106" i="10" s="1"/>
  <c r="AJ105" i="20"/>
  <c r="M105" i="10" s="1"/>
  <c r="AJ104" i="20"/>
  <c r="M104" i="10" s="1"/>
  <c r="AJ103" i="20"/>
  <c r="M103" i="10" s="1"/>
  <c r="AJ102" i="20"/>
  <c r="M102" i="10" s="1"/>
  <c r="AJ101" i="20"/>
  <c r="M101" i="10" s="1"/>
  <c r="AJ100" i="20"/>
  <c r="M100" i="10" s="1"/>
  <c r="AJ99" i="20"/>
  <c r="M99" i="10" s="1"/>
  <c r="AJ98" i="20"/>
  <c r="M98" i="10" s="1"/>
  <c r="AJ97" i="20"/>
  <c r="M97" i="10" s="1"/>
  <c r="AJ96" i="20"/>
  <c r="M96" i="10" s="1"/>
  <c r="AJ95" i="20"/>
  <c r="M95" i="10" s="1"/>
  <c r="AJ94" i="20"/>
  <c r="M94" i="10" s="1"/>
  <c r="AJ93" i="20"/>
  <c r="M93" i="10" s="1"/>
  <c r="AJ92" i="20"/>
  <c r="M92" i="10" s="1"/>
  <c r="AJ91" i="20"/>
  <c r="M91" i="10" s="1"/>
  <c r="AJ90" i="20"/>
  <c r="M90" i="10" s="1"/>
  <c r="AJ89" i="20"/>
  <c r="M89" i="10" s="1"/>
  <c r="AJ88" i="20"/>
  <c r="M88" i="10" s="1"/>
  <c r="AJ87" i="20"/>
  <c r="M87" i="10" s="1"/>
  <c r="AJ86" i="20"/>
  <c r="M86" i="10" s="1"/>
  <c r="AJ85" i="20"/>
  <c r="M85" i="10" s="1"/>
  <c r="AJ84" i="20"/>
  <c r="M84" i="10" s="1"/>
  <c r="AJ83" i="20"/>
  <c r="M83" i="10" s="1"/>
  <c r="AJ82" i="20"/>
  <c r="M82" i="10" s="1"/>
  <c r="AJ81" i="20"/>
  <c r="M81" i="10" s="1"/>
  <c r="AJ80" i="20"/>
  <c r="M80" i="10" s="1"/>
  <c r="AJ79" i="20"/>
  <c r="M79" i="10" s="1"/>
  <c r="AJ78" i="20"/>
  <c r="M78" i="10" s="1"/>
  <c r="AJ77" i="20"/>
  <c r="M77" i="10" s="1"/>
  <c r="AJ76" i="20"/>
  <c r="M76" i="10" s="1"/>
  <c r="AJ75" i="20"/>
  <c r="M75" i="10" s="1"/>
  <c r="AJ74" i="20"/>
  <c r="M74" i="10" s="1"/>
  <c r="AJ73" i="20"/>
  <c r="M73" i="10" s="1"/>
  <c r="AJ72" i="20"/>
  <c r="M72" i="10" s="1"/>
  <c r="AJ71" i="20"/>
  <c r="M71" i="10" s="1"/>
  <c r="AJ70" i="20"/>
  <c r="AJ69" i="20"/>
  <c r="M69" i="10" s="1"/>
  <c r="AJ68" i="20"/>
  <c r="M68" i="10" s="1"/>
  <c r="AJ67" i="20"/>
  <c r="M67" i="10" s="1"/>
  <c r="AJ66" i="20"/>
  <c r="M66" i="10" s="1"/>
  <c r="AJ65" i="20"/>
  <c r="M65" i="10" s="1"/>
  <c r="AJ64" i="20"/>
  <c r="M64" i="10" s="1"/>
  <c r="AJ63" i="20"/>
  <c r="M63" i="10" s="1"/>
  <c r="AJ62" i="20"/>
  <c r="M62" i="10" s="1"/>
  <c r="AJ61" i="20"/>
  <c r="M61" i="10" s="1"/>
  <c r="AJ60" i="20"/>
  <c r="M60" i="10" s="1"/>
  <c r="AJ59" i="20"/>
  <c r="M59" i="10" s="1"/>
  <c r="AJ58" i="20"/>
  <c r="M58" i="10" s="1"/>
  <c r="AJ57" i="20"/>
  <c r="M57" i="10" s="1"/>
  <c r="AJ56" i="20"/>
  <c r="M56" i="10" s="1"/>
  <c r="AJ55" i="20"/>
  <c r="M55" i="10" s="1"/>
  <c r="AJ54" i="20"/>
  <c r="M54" i="10" s="1"/>
  <c r="AJ53" i="20"/>
  <c r="M53" i="10" s="1"/>
  <c r="AJ52" i="20"/>
  <c r="M52" i="10" s="1"/>
  <c r="AJ51" i="20"/>
  <c r="M51" i="10" s="1"/>
  <c r="AJ50" i="20"/>
  <c r="M50" i="10" s="1"/>
  <c r="AJ49" i="20"/>
  <c r="M49" i="10" s="1"/>
  <c r="AJ48" i="20"/>
  <c r="M48" i="10" s="1"/>
  <c r="AJ47" i="20"/>
  <c r="M47" i="10" s="1"/>
  <c r="AJ46" i="20"/>
  <c r="M46" i="10" s="1"/>
  <c r="AJ45" i="20"/>
  <c r="M45" i="10" s="1"/>
  <c r="AJ44" i="20"/>
  <c r="M44" i="10" s="1"/>
  <c r="AJ43" i="20"/>
  <c r="M43" i="10" s="1"/>
  <c r="AJ42" i="20"/>
  <c r="M42" i="10" s="1"/>
  <c r="AJ41" i="20"/>
  <c r="M41" i="10" s="1"/>
  <c r="AJ40" i="20"/>
  <c r="M40" i="10" s="1"/>
  <c r="AJ39" i="20"/>
  <c r="M39" i="10" s="1"/>
  <c r="AJ38" i="20"/>
  <c r="M38" i="10" s="1"/>
  <c r="AJ37" i="20"/>
  <c r="M37" i="10" s="1"/>
  <c r="AJ36" i="20"/>
  <c r="M36" i="10" s="1"/>
  <c r="AJ35" i="20"/>
  <c r="M35" i="10" s="1"/>
  <c r="AJ34" i="20"/>
  <c r="M34" i="10" s="1"/>
  <c r="AJ33" i="20"/>
  <c r="M33" i="10" s="1"/>
  <c r="AJ32" i="20"/>
  <c r="M32" i="10" s="1"/>
  <c r="AJ31" i="20"/>
  <c r="M31" i="10" s="1"/>
  <c r="AJ30" i="20"/>
  <c r="M30" i="10" s="1"/>
  <c r="AJ29" i="20"/>
  <c r="M29" i="10" s="1"/>
  <c r="AJ28" i="20"/>
  <c r="M28" i="10" s="1"/>
  <c r="AJ27" i="20"/>
  <c r="M27" i="10" s="1"/>
  <c r="AJ26" i="20"/>
  <c r="M26" i="10" s="1"/>
  <c r="AJ25" i="20"/>
  <c r="M25" i="10" s="1"/>
  <c r="AJ24" i="20"/>
  <c r="M24" i="10" s="1"/>
  <c r="AJ23" i="20"/>
  <c r="M23" i="10" s="1"/>
  <c r="AJ22" i="20"/>
  <c r="M22" i="10" s="1"/>
  <c r="AJ21" i="20"/>
  <c r="M21" i="10" s="1"/>
  <c r="AJ20" i="20"/>
  <c r="M20" i="10" s="1"/>
  <c r="AJ19" i="20"/>
  <c r="M19" i="10" s="1"/>
  <c r="AJ18" i="20"/>
  <c r="M18" i="10" s="1"/>
  <c r="AJ17" i="20"/>
  <c r="M17" i="10" s="1"/>
  <c r="AJ16" i="20"/>
  <c r="M16" i="10" s="1"/>
  <c r="AJ15" i="20"/>
  <c r="M15" i="10" s="1"/>
  <c r="AJ14" i="20"/>
  <c r="M14" i="10" s="1"/>
  <c r="AJ13" i="20"/>
  <c r="M13" i="10" s="1"/>
  <c r="AJ12" i="20"/>
  <c r="M12" i="10" s="1"/>
  <c r="AJ11" i="20"/>
  <c r="M11" i="10" s="1"/>
  <c r="AJ10" i="20"/>
  <c r="M10" i="10" s="1"/>
  <c r="AJ9" i="20"/>
  <c r="M9" i="10" s="1"/>
  <c r="AJ8" i="20"/>
  <c r="M8" i="10" s="1"/>
  <c r="AJ7" i="20"/>
  <c r="M7" i="10" s="1"/>
  <c r="AJ6" i="20"/>
  <c r="M6" i="10" s="1"/>
  <c r="AJ5" i="20"/>
  <c r="M5" i="10" s="1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AJ174" i="19"/>
  <c r="L174" i="10" s="1"/>
  <c r="AJ173" i="19"/>
  <c r="L173" i="10" s="1"/>
  <c r="AJ172" i="19"/>
  <c r="L172" i="10" s="1"/>
  <c r="AJ171" i="19"/>
  <c r="L171" i="10" s="1"/>
  <c r="AJ170" i="19"/>
  <c r="L170" i="10" s="1"/>
  <c r="AJ169" i="19"/>
  <c r="L169" i="10" s="1"/>
  <c r="AJ168" i="19"/>
  <c r="L168" i="10" s="1"/>
  <c r="AJ167" i="19"/>
  <c r="L167" i="10" s="1"/>
  <c r="AJ166" i="19"/>
  <c r="L166" i="10" s="1"/>
  <c r="AJ165" i="19"/>
  <c r="L165" i="10" s="1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AJ149" i="19"/>
  <c r="L149" i="10" s="1"/>
  <c r="AJ148" i="19"/>
  <c r="L148" i="10" s="1"/>
  <c r="AJ147" i="19"/>
  <c r="L147" i="10" s="1"/>
  <c r="AJ146" i="19"/>
  <c r="L146" i="10" s="1"/>
  <c r="AJ145" i="19"/>
  <c r="L145" i="10" s="1"/>
  <c r="AJ144" i="19"/>
  <c r="L144" i="10" s="1"/>
  <c r="AJ143" i="19"/>
  <c r="L143" i="10" s="1"/>
  <c r="AJ142" i="19"/>
  <c r="L142" i="10" s="1"/>
  <c r="AJ141" i="19"/>
  <c r="L141" i="10" s="1"/>
  <c r="AJ140" i="19"/>
  <c r="L140" i="10" s="1"/>
  <c r="AJ139" i="19"/>
  <c r="L139" i="10" s="1"/>
  <c r="AJ138" i="19"/>
  <c r="L138" i="10" s="1"/>
  <c r="AJ137" i="19"/>
  <c r="L137" i="10" s="1"/>
  <c r="AJ136" i="19"/>
  <c r="L136" i="10" s="1"/>
  <c r="L135" i="10"/>
  <c r="AJ134" i="19"/>
  <c r="L134" i="10" s="1"/>
  <c r="AJ133" i="19"/>
  <c r="L133" i="10" s="1"/>
  <c r="AJ132" i="19"/>
  <c r="L132" i="10" s="1"/>
  <c r="AJ131" i="19"/>
  <c r="L131" i="10" s="1"/>
  <c r="AJ130" i="19"/>
  <c r="L130" i="10" s="1"/>
  <c r="AJ129" i="19"/>
  <c r="L129" i="10" s="1"/>
  <c r="AJ128" i="19"/>
  <c r="L128" i="10" s="1"/>
  <c r="AJ127" i="19"/>
  <c r="L127" i="10" s="1"/>
  <c r="AJ126" i="19"/>
  <c r="L126" i="10" s="1"/>
  <c r="AJ125" i="19"/>
  <c r="L125" i="10" s="1"/>
  <c r="AJ124" i="19"/>
  <c r="L124" i="10" s="1"/>
  <c r="AJ123" i="19"/>
  <c r="L123" i="10" s="1"/>
  <c r="AJ122" i="19"/>
  <c r="L122" i="10" s="1"/>
  <c r="AJ121" i="19"/>
  <c r="L121" i="10" s="1"/>
  <c r="AJ120" i="19"/>
  <c r="L120" i="10" s="1"/>
  <c r="AJ119" i="19"/>
  <c r="L119" i="10" s="1"/>
  <c r="AJ118" i="19"/>
  <c r="L118" i="10" s="1"/>
  <c r="AJ117" i="19"/>
  <c r="L117" i="10" s="1"/>
  <c r="AJ116" i="19"/>
  <c r="L116" i="10" s="1"/>
  <c r="AJ115" i="19"/>
  <c r="L115" i="10" s="1"/>
  <c r="AJ114" i="19"/>
  <c r="L114" i="10" s="1"/>
  <c r="AJ113" i="19"/>
  <c r="L113" i="10" s="1"/>
  <c r="AJ112" i="19"/>
  <c r="L112" i="10" s="1"/>
  <c r="AJ111" i="19"/>
  <c r="L111" i="10" s="1"/>
  <c r="AJ110" i="19"/>
  <c r="L110" i="10" s="1"/>
  <c r="AJ109" i="19"/>
  <c r="L109" i="10" s="1"/>
  <c r="AJ108" i="19"/>
  <c r="L108" i="10" s="1"/>
  <c r="AJ107" i="19"/>
  <c r="L107" i="10" s="1"/>
  <c r="AJ106" i="19"/>
  <c r="L106" i="10" s="1"/>
  <c r="AJ105" i="19"/>
  <c r="L105" i="10" s="1"/>
  <c r="AJ104" i="19"/>
  <c r="L104" i="10" s="1"/>
  <c r="AJ103" i="19"/>
  <c r="L103" i="10" s="1"/>
  <c r="AJ102" i="19"/>
  <c r="L102" i="10" s="1"/>
  <c r="AJ101" i="19"/>
  <c r="L101" i="10" s="1"/>
  <c r="AJ100" i="19"/>
  <c r="L100" i="10" s="1"/>
  <c r="AJ99" i="19"/>
  <c r="L99" i="10" s="1"/>
  <c r="AJ98" i="19"/>
  <c r="L98" i="10" s="1"/>
  <c r="AJ97" i="19"/>
  <c r="L97" i="10" s="1"/>
  <c r="AJ96" i="19"/>
  <c r="L96" i="10" s="1"/>
  <c r="AJ95" i="19"/>
  <c r="L95" i="10" s="1"/>
  <c r="AJ94" i="19"/>
  <c r="L94" i="10" s="1"/>
  <c r="AJ93" i="19"/>
  <c r="L93" i="10" s="1"/>
  <c r="AJ92" i="19"/>
  <c r="L92" i="10" s="1"/>
  <c r="AJ91" i="19"/>
  <c r="L91" i="10" s="1"/>
  <c r="AJ90" i="19"/>
  <c r="L90" i="10" s="1"/>
  <c r="AJ89" i="19"/>
  <c r="L89" i="10" s="1"/>
  <c r="AJ88" i="19"/>
  <c r="L88" i="10" s="1"/>
  <c r="AJ87" i="19"/>
  <c r="L87" i="10" s="1"/>
  <c r="AJ86" i="19"/>
  <c r="L86" i="10" s="1"/>
  <c r="AJ85" i="19"/>
  <c r="L85" i="10" s="1"/>
  <c r="AJ84" i="19"/>
  <c r="L84" i="10" s="1"/>
  <c r="AJ83" i="19"/>
  <c r="L83" i="10" s="1"/>
  <c r="AJ82" i="19"/>
  <c r="L82" i="10" s="1"/>
  <c r="AJ81" i="19"/>
  <c r="L81" i="10" s="1"/>
  <c r="AJ80" i="19"/>
  <c r="L80" i="10" s="1"/>
  <c r="AJ79" i="19"/>
  <c r="L79" i="10" s="1"/>
  <c r="AJ78" i="19"/>
  <c r="L78" i="10" s="1"/>
  <c r="AJ77" i="19"/>
  <c r="L77" i="10" s="1"/>
  <c r="AJ76" i="19"/>
  <c r="L76" i="10" s="1"/>
  <c r="AJ75" i="19"/>
  <c r="L75" i="10" s="1"/>
  <c r="AJ74" i="19"/>
  <c r="L74" i="10" s="1"/>
  <c r="AJ73" i="19"/>
  <c r="L73" i="10" s="1"/>
  <c r="AJ72" i="19"/>
  <c r="L72" i="10" s="1"/>
  <c r="AJ71" i="19"/>
  <c r="L71" i="10" s="1"/>
  <c r="AJ70" i="19"/>
  <c r="AJ69" i="19"/>
  <c r="L69" i="10" s="1"/>
  <c r="AJ68" i="19"/>
  <c r="L68" i="10" s="1"/>
  <c r="AJ67" i="19"/>
  <c r="L67" i="10" s="1"/>
  <c r="AJ66" i="19"/>
  <c r="L66" i="10" s="1"/>
  <c r="AJ65" i="19"/>
  <c r="L65" i="10" s="1"/>
  <c r="AJ64" i="19"/>
  <c r="L64" i="10" s="1"/>
  <c r="AJ63" i="19"/>
  <c r="L63" i="10" s="1"/>
  <c r="AJ62" i="19"/>
  <c r="L62" i="10" s="1"/>
  <c r="AJ61" i="19"/>
  <c r="L61" i="10" s="1"/>
  <c r="AJ60" i="19"/>
  <c r="L60" i="10" s="1"/>
  <c r="AJ59" i="19"/>
  <c r="L59" i="10" s="1"/>
  <c r="AJ58" i="19"/>
  <c r="L58" i="10" s="1"/>
  <c r="AJ57" i="19"/>
  <c r="L57" i="10" s="1"/>
  <c r="AJ56" i="19"/>
  <c r="L56" i="10" s="1"/>
  <c r="AJ55" i="19"/>
  <c r="L55" i="10" s="1"/>
  <c r="AJ54" i="19"/>
  <c r="L54" i="10" s="1"/>
  <c r="AJ53" i="19"/>
  <c r="L53" i="10" s="1"/>
  <c r="AJ52" i="19"/>
  <c r="L52" i="10" s="1"/>
  <c r="AJ51" i="19"/>
  <c r="L51" i="10" s="1"/>
  <c r="AJ50" i="19"/>
  <c r="L50" i="10" s="1"/>
  <c r="AJ49" i="19"/>
  <c r="L49" i="10" s="1"/>
  <c r="AJ48" i="19"/>
  <c r="L48" i="10" s="1"/>
  <c r="AJ47" i="19"/>
  <c r="L47" i="10" s="1"/>
  <c r="AJ46" i="19"/>
  <c r="L46" i="10" s="1"/>
  <c r="AJ45" i="19"/>
  <c r="L45" i="10" s="1"/>
  <c r="AJ44" i="19"/>
  <c r="L44" i="10" s="1"/>
  <c r="AJ43" i="19"/>
  <c r="L43" i="10" s="1"/>
  <c r="AJ42" i="19"/>
  <c r="L42" i="10" s="1"/>
  <c r="AJ41" i="19"/>
  <c r="L41" i="10" s="1"/>
  <c r="AJ40" i="19"/>
  <c r="L40" i="10" s="1"/>
  <c r="AJ39" i="19"/>
  <c r="L39" i="10" s="1"/>
  <c r="AJ38" i="19"/>
  <c r="L38" i="10" s="1"/>
  <c r="AJ37" i="19"/>
  <c r="L37" i="10" s="1"/>
  <c r="AJ36" i="19"/>
  <c r="L36" i="10" s="1"/>
  <c r="AJ35" i="19"/>
  <c r="L35" i="10" s="1"/>
  <c r="AJ34" i="19"/>
  <c r="L34" i="10" s="1"/>
  <c r="AJ33" i="19"/>
  <c r="L33" i="10" s="1"/>
  <c r="AJ32" i="19"/>
  <c r="L32" i="10" s="1"/>
  <c r="AJ31" i="19"/>
  <c r="L31" i="10" s="1"/>
  <c r="AJ30" i="19"/>
  <c r="L30" i="10" s="1"/>
  <c r="AJ29" i="19"/>
  <c r="L29" i="10" s="1"/>
  <c r="AJ28" i="19"/>
  <c r="L28" i="10" s="1"/>
  <c r="AJ27" i="19"/>
  <c r="L27" i="10" s="1"/>
  <c r="AJ26" i="19"/>
  <c r="L26" i="10" s="1"/>
  <c r="AJ25" i="19"/>
  <c r="L25" i="10" s="1"/>
  <c r="AJ24" i="19"/>
  <c r="L24" i="10" s="1"/>
  <c r="AJ23" i="19"/>
  <c r="L23" i="10" s="1"/>
  <c r="AJ22" i="19"/>
  <c r="L22" i="10" s="1"/>
  <c r="AJ21" i="19"/>
  <c r="L21" i="10" s="1"/>
  <c r="AJ20" i="19"/>
  <c r="L20" i="10" s="1"/>
  <c r="AJ19" i="19"/>
  <c r="L19" i="10" s="1"/>
  <c r="AJ18" i="19"/>
  <c r="L18" i="10" s="1"/>
  <c r="AJ17" i="19"/>
  <c r="L17" i="10" s="1"/>
  <c r="AJ16" i="19"/>
  <c r="L16" i="10" s="1"/>
  <c r="AJ15" i="19"/>
  <c r="L15" i="10" s="1"/>
  <c r="AJ14" i="19"/>
  <c r="L14" i="10" s="1"/>
  <c r="AJ13" i="19"/>
  <c r="L13" i="10" s="1"/>
  <c r="AJ12" i="19"/>
  <c r="L12" i="10" s="1"/>
  <c r="AJ11" i="19"/>
  <c r="L11" i="10" s="1"/>
  <c r="AJ10" i="19"/>
  <c r="L10" i="10" s="1"/>
  <c r="AJ9" i="19"/>
  <c r="L9" i="10" s="1"/>
  <c r="AJ8" i="19"/>
  <c r="L8" i="10" s="1"/>
  <c r="AJ7" i="19"/>
  <c r="L7" i="10" s="1"/>
  <c r="AJ6" i="19"/>
  <c r="L6" i="10" s="1"/>
  <c r="AJ5" i="19"/>
  <c r="L5" i="10" s="1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AJ139" i="18"/>
  <c r="K139" i="10" s="1"/>
  <c r="AJ138" i="18"/>
  <c r="K138" i="10" s="1"/>
  <c r="AJ137" i="18"/>
  <c r="K137" i="10" s="1"/>
  <c r="AJ136" i="18"/>
  <c r="K136" i="10" s="1"/>
  <c r="AJ135" i="18"/>
  <c r="K135" i="10" s="1"/>
  <c r="AJ134" i="18"/>
  <c r="K134" i="10" s="1"/>
  <c r="AJ133" i="18"/>
  <c r="K133" i="10" s="1"/>
  <c r="AJ132" i="18"/>
  <c r="K132" i="10" s="1"/>
  <c r="AJ131" i="18"/>
  <c r="K131" i="10" s="1"/>
  <c r="AJ130" i="18"/>
  <c r="K130" i="10" s="1"/>
  <c r="AJ129" i="18"/>
  <c r="K129" i="10" s="1"/>
  <c r="AJ128" i="18"/>
  <c r="K128" i="10" s="1"/>
  <c r="AJ127" i="18"/>
  <c r="K127" i="10" s="1"/>
  <c r="AJ126" i="18"/>
  <c r="K126" i="10" s="1"/>
  <c r="AJ125" i="18"/>
  <c r="K125" i="10" s="1"/>
  <c r="AJ124" i="18"/>
  <c r="K124" i="10" s="1"/>
  <c r="AJ123" i="18"/>
  <c r="K123" i="10" s="1"/>
  <c r="AJ122" i="18"/>
  <c r="K122" i="10" s="1"/>
  <c r="AJ121" i="18"/>
  <c r="K121" i="10" s="1"/>
  <c r="AJ120" i="18"/>
  <c r="K120" i="10" s="1"/>
  <c r="AJ119" i="18"/>
  <c r="K119" i="10" s="1"/>
  <c r="AJ118" i="18"/>
  <c r="K118" i="10" s="1"/>
  <c r="AJ117" i="18"/>
  <c r="K117" i="10" s="1"/>
  <c r="AJ116" i="18"/>
  <c r="K116" i="10" s="1"/>
  <c r="AJ115" i="18"/>
  <c r="K115" i="10" s="1"/>
  <c r="AJ114" i="18"/>
  <c r="K114" i="10" s="1"/>
  <c r="AJ113" i="18"/>
  <c r="K113" i="10" s="1"/>
  <c r="AJ112" i="18"/>
  <c r="K112" i="10" s="1"/>
  <c r="AJ111" i="18"/>
  <c r="K111" i="10" s="1"/>
  <c r="AJ110" i="18"/>
  <c r="K110" i="10" s="1"/>
  <c r="AJ109" i="18"/>
  <c r="K109" i="10" s="1"/>
  <c r="AJ108" i="18"/>
  <c r="K108" i="10" s="1"/>
  <c r="AJ107" i="18"/>
  <c r="K107" i="10" s="1"/>
  <c r="AJ106" i="18"/>
  <c r="K106" i="10" s="1"/>
  <c r="AJ105" i="18"/>
  <c r="K105" i="10" s="1"/>
  <c r="AJ104" i="18"/>
  <c r="K104" i="10" s="1"/>
  <c r="AJ103" i="18"/>
  <c r="K103" i="10" s="1"/>
  <c r="AJ102" i="18"/>
  <c r="K102" i="10" s="1"/>
  <c r="AJ101" i="18"/>
  <c r="K101" i="10" s="1"/>
  <c r="AJ100" i="18"/>
  <c r="K100" i="10" s="1"/>
  <c r="AJ99" i="18"/>
  <c r="K99" i="10" s="1"/>
  <c r="AJ98" i="18"/>
  <c r="K98" i="10" s="1"/>
  <c r="AJ97" i="18"/>
  <c r="K97" i="10" s="1"/>
  <c r="AJ96" i="18"/>
  <c r="K96" i="10" s="1"/>
  <c r="AJ95" i="18"/>
  <c r="K95" i="10" s="1"/>
  <c r="AJ94" i="18"/>
  <c r="K94" i="10" s="1"/>
  <c r="AJ93" i="18"/>
  <c r="K93" i="10" s="1"/>
  <c r="AJ92" i="18"/>
  <c r="K92" i="10" s="1"/>
  <c r="AJ91" i="18"/>
  <c r="K91" i="10" s="1"/>
  <c r="AJ90" i="18"/>
  <c r="K90" i="10" s="1"/>
  <c r="AJ89" i="18"/>
  <c r="K89" i="10" s="1"/>
  <c r="AJ88" i="18"/>
  <c r="K88" i="10" s="1"/>
  <c r="AJ87" i="18"/>
  <c r="K87" i="10" s="1"/>
  <c r="AJ86" i="18"/>
  <c r="K86" i="10" s="1"/>
  <c r="AJ85" i="18"/>
  <c r="K85" i="10" s="1"/>
  <c r="AJ84" i="18"/>
  <c r="K84" i="10" s="1"/>
  <c r="AJ83" i="18"/>
  <c r="K83" i="10" s="1"/>
  <c r="AJ82" i="18"/>
  <c r="K82" i="10" s="1"/>
  <c r="AJ81" i="18"/>
  <c r="K81" i="10" s="1"/>
  <c r="AJ80" i="18"/>
  <c r="K80" i="10" s="1"/>
  <c r="AJ79" i="18"/>
  <c r="K79" i="10" s="1"/>
  <c r="AJ78" i="18"/>
  <c r="K78" i="10" s="1"/>
  <c r="AJ77" i="18"/>
  <c r="K77" i="10" s="1"/>
  <c r="AJ76" i="18"/>
  <c r="K76" i="10" s="1"/>
  <c r="AJ75" i="18"/>
  <c r="K75" i="10" s="1"/>
  <c r="AJ74" i="18"/>
  <c r="K74" i="10" s="1"/>
  <c r="AJ73" i="18"/>
  <c r="K73" i="10" s="1"/>
  <c r="AJ72" i="18"/>
  <c r="K72" i="10" s="1"/>
  <c r="AJ71" i="18"/>
  <c r="K71" i="10" s="1"/>
  <c r="AJ70" i="18"/>
  <c r="AJ69" i="18"/>
  <c r="K69" i="10" s="1"/>
  <c r="AJ68" i="18"/>
  <c r="K68" i="10" s="1"/>
  <c r="AJ67" i="18"/>
  <c r="K67" i="10" s="1"/>
  <c r="AJ66" i="18"/>
  <c r="K66" i="10" s="1"/>
  <c r="AJ65" i="18"/>
  <c r="K65" i="10" s="1"/>
  <c r="AJ64" i="18"/>
  <c r="K64" i="10" s="1"/>
  <c r="AJ63" i="18"/>
  <c r="K63" i="10" s="1"/>
  <c r="AJ62" i="18"/>
  <c r="K62" i="10" s="1"/>
  <c r="AJ61" i="18"/>
  <c r="K61" i="10" s="1"/>
  <c r="AJ60" i="18"/>
  <c r="K60" i="10" s="1"/>
  <c r="AJ59" i="18"/>
  <c r="K59" i="10" s="1"/>
  <c r="AJ58" i="18"/>
  <c r="K58" i="10" s="1"/>
  <c r="AJ57" i="18"/>
  <c r="K57" i="10" s="1"/>
  <c r="AJ56" i="18"/>
  <c r="K56" i="10" s="1"/>
  <c r="AJ55" i="18"/>
  <c r="K55" i="10" s="1"/>
  <c r="AJ54" i="18"/>
  <c r="K54" i="10" s="1"/>
  <c r="AJ53" i="18"/>
  <c r="K53" i="10" s="1"/>
  <c r="AJ52" i="18"/>
  <c r="K52" i="10" s="1"/>
  <c r="AJ51" i="18"/>
  <c r="K51" i="10" s="1"/>
  <c r="AJ50" i="18"/>
  <c r="K50" i="10" s="1"/>
  <c r="AJ49" i="18"/>
  <c r="K49" i="10" s="1"/>
  <c r="AJ48" i="18"/>
  <c r="K48" i="10" s="1"/>
  <c r="AJ47" i="18"/>
  <c r="K47" i="10" s="1"/>
  <c r="AJ46" i="18"/>
  <c r="K46" i="10" s="1"/>
  <c r="AJ45" i="18"/>
  <c r="K45" i="10" s="1"/>
  <c r="AJ44" i="18"/>
  <c r="K44" i="10" s="1"/>
  <c r="AJ43" i="18"/>
  <c r="K43" i="10" s="1"/>
  <c r="AJ42" i="18"/>
  <c r="K42" i="10" s="1"/>
  <c r="AJ41" i="18"/>
  <c r="K41" i="10" s="1"/>
  <c r="AJ40" i="18"/>
  <c r="K40" i="10" s="1"/>
  <c r="AJ39" i="18"/>
  <c r="K39" i="10" s="1"/>
  <c r="AJ38" i="18"/>
  <c r="K38" i="10" s="1"/>
  <c r="AJ37" i="18"/>
  <c r="K37" i="10" s="1"/>
  <c r="AJ36" i="18"/>
  <c r="K36" i="10" s="1"/>
  <c r="AJ35" i="18"/>
  <c r="K35" i="10" s="1"/>
  <c r="AJ34" i="18"/>
  <c r="K34" i="10" s="1"/>
  <c r="AJ33" i="18"/>
  <c r="K33" i="10" s="1"/>
  <c r="AJ32" i="18"/>
  <c r="K32" i="10" s="1"/>
  <c r="AJ31" i="18"/>
  <c r="K31" i="10" s="1"/>
  <c r="AJ30" i="18"/>
  <c r="K30" i="10" s="1"/>
  <c r="AJ29" i="18"/>
  <c r="K29" i="10" s="1"/>
  <c r="AJ28" i="18"/>
  <c r="K28" i="10" s="1"/>
  <c r="AJ27" i="18"/>
  <c r="K27" i="10" s="1"/>
  <c r="AJ26" i="18"/>
  <c r="K26" i="10" s="1"/>
  <c r="AJ25" i="18"/>
  <c r="K25" i="10" s="1"/>
  <c r="AJ24" i="18"/>
  <c r="K24" i="10" s="1"/>
  <c r="AJ23" i="18"/>
  <c r="K23" i="10" s="1"/>
  <c r="AJ22" i="18"/>
  <c r="K22" i="10" s="1"/>
  <c r="AJ21" i="18"/>
  <c r="K21" i="10" s="1"/>
  <c r="AJ20" i="18"/>
  <c r="K20" i="10" s="1"/>
  <c r="AJ19" i="18"/>
  <c r="K19" i="10" s="1"/>
  <c r="AJ18" i="18"/>
  <c r="K18" i="10" s="1"/>
  <c r="AJ17" i="18"/>
  <c r="K17" i="10" s="1"/>
  <c r="AJ16" i="18"/>
  <c r="K16" i="10" s="1"/>
  <c r="AJ15" i="18"/>
  <c r="K15" i="10" s="1"/>
  <c r="AJ14" i="18"/>
  <c r="K14" i="10" s="1"/>
  <c r="AJ13" i="18"/>
  <c r="K13" i="10" s="1"/>
  <c r="AJ12" i="18"/>
  <c r="K12" i="10" s="1"/>
  <c r="AJ11" i="18"/>
  <c r="K11" i="10" s="1"/>
  <c r="AJ10" i="18"/>
  <c r="K10" i="10" s="1"/>
  <c r="AJ9" i="18"/>
  <c r="K9" i="10" s="1"/>
  <c r="AJ8" i="18"/>
  <c r="K8" i="10" s="1"/>
  <c r="AJ7" i="18"/>
  <c r="K7" i="10" s="1"/>
  <c r="AJ6" i="18"/>
  <c r="K6" i="10" s="1"/>
  <c r="AJ5" i="18"/>
  <c r="K5" i="10" s="1"/>
  <c r="AH3" i="18"/>
  <c r="AG3" i="18"/>
  <c r="AF3" i="18"/>
  <c r="AE3" i="18"/>
  <c r="AD3" i="18"/>
  <c r="AC3" i="18"/>
  <c r="AB3" i="18"/>
  <c r="Z3" i="18"/>
  <c r="Y3" i="18"/>
  <c r="V3" i="18"/>
  <c r="U3" i="18"/>
  <c r="T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AJ139" i="17"/>
  <c r="J139" i="10" s="1"/>
  <c r="AJ138" i="17"/>
  <c r="J138" i="10" s="1"/>
  <c r="AJ137" i="17"/>
  <c r="J137" i="10" s="1"/>
  <c r="AJ136" i="17"/>
  <c r="J136" i="10" s="1"/>
  <c r="AJ135" i="17"/>
  <c r="J135" i="10" s="1"/>
  <c r="AJ134" i="17"/>
  <c r="J134" i="10" s="1"/>
  <c r="AJ133" i="17"/>
  <c r="J133" i="10" s="1"/>
  <c r="AJ132" i="17"/>
  <c r="J132" i="10" s="1"/>
  <c r="AJ131" i="17"/>
  <c r="J131" i="10" s="1"/>
  <c r="AJ130" i="17"/>
  <c r="J130" i="10" s="1"/>
  <c r="AJ129" i="17"/>
  <c r="J129" i="10" s="1"/>
  <c r="AJ128" i="17"/>
  <c r="J128" i="10" s="1"/>
  <c r="AJ127" i="17"/>
  <c r="J127" i="10" s="1"/>
  <c r="AJ126" i="17"/>
  <c r="J126" i="10" s="1"/>
  <c r="AJ125" i="17"/>
  <c r="J125" i="10" s="1"/>
  <c r="AJ124" i="17"/>
  <c r="J124" i="10" s="1"/>
  <c r="AJ123" i="17"/>
  <c r="J123" i="10" s="1"/>
  <c r="AJ122" i="17"/>
  <c r="J122" i="10" s="1"/>
  <c r="AJ121" i="17"/>
  <c r="J121" i="10" s="1"/>
  <c r="AJ120" i="17"/>
  <c r="J120" i="10" s="1"/>
  <c r="AJ119" i="17"/>
  <c r="J119" i="10" s="1"/>
  <c r="AJ118" i="17"/>
  <c r="J118" i="10" s="1"/>
  <c r="AJ117" i="17"/>
  <c r="J117" i="10" s="1"/>
  <c r="AJ116" i="17"/>
  <c r="J116" i="10" s="1"/>
  <c r="AJ115" i="17"/>
  <c r="J115" i="10" s="1"/>
  <c r="AJ114" i="17"/>
  <c r="J114" i="10" s="1"/>
  <c r="AJ113" i="17"/>
  <c r="J113" i="10" s="1"/>
  <c r="AJ112" i="17"/>
  <c r="J112" i="10" s="1"/>
  <c r="AJ111" i="17"/>
  <c r="J111" i="10" s="1"/>
  <c r="AJ110" i="17"/>
  <c r="J110" i="10" s="1"/>
  <c r="AJ109" i="17"/>
  <c r="J109" i="10" s="1"/>
  <c r="AJ108" i="17"/>
  <c r="J108" i="10" s="1"/>
  <c r="AJ107" i="17"/>
  <c r="J107" i="10" s="1"/>
  <c r="AJ106" i="17"/>
  <c r="J106" i="10" s="1"/>
  <c r="AJ105" i="17"/>
  <c r="J105" i="10" s="1"/>
  <c r="AJ104" i="17"/>
  <c r="J104" i="10" s="1"/>
  <c r="AJ103" i="17"/>
  <c r="J103" i="10" s="1"/>
  <c r="AJ102" i="17"/>
  <c r="J102" i="10" s="1"/>
  <c r="AJ101" i="17"/>
  <c r="J101" i="10" s="1"/>
  <c r="AJ100" i="17"/>
  <c r="J100" i="10" s="1"/>
  <c r="AJ99" i="17"/>
  <c r="J99" i="10" s="1"/>
  <c r="AJ98" i="17"/>
  <c r="J98" i="10" s="1"/>
  <c r="AJ97" i="17"/>
  <c r="J97" i="10" s="1"/>
  <c r="AJ96" i="17"/>
  <c r="J96" i="10" s="1"/>
  <c r="AJ95" i="17"/>
  <c r="J95" i="10" s="1"/>
  <c r="AJ94" i="17"/>
  <c r="J94" i="10" s="1"/>
  <c r="AJ93" i="17"/>
  <c r="J93" i="10" s="1"/>
  <c r="AJ92" i="17"/>
  <c r="J92" i="10" s="1"/>
  <c r="AJ91" i="17"/>
  <c r="J91" i="10" s="1"/>
  <c r="AJ90" i="17"/>
  <c r="J90" i="10" s="1"/>
  <c r="AJ89" i="17"/>
  <c r="J89" i="10" s="1"/>
  <c r="AJ88" i="17"/>
  <c r="J88" i="10" s="1"/>
  <c r="AJ87" i="17"/>
  <c r="J87" i="10" s="1"/>
  <c r="AJ86" i="17"/>
  <c r="J86" i="10" s="1"/>
  <c r="AJ85" i="17"/>
  <c r="J85" i="10" s="1"/>
  <c r="AJ84" i="17"/>
  <c r="J84" i="10" s="1"/>
  <c r="AJ83" i="17"/>
  <c r="J83" i="10" s="1"/>
  <c r="AJ82" i="17"/>
  <c r="J82" i="10" s="1"/>
  <c r="AJ81" i="17"/>
  <c r="J81" i="10" s="1"/>
  <c r="AJ80" i="17"/>
  <c r="J80" i="10" s="1"/>
  <c r="AJ79" i="17"/>
  <c r="J79" i="10" s="1"/>
  <c r="AJ78" i="17"/>
  <c r="J78" i="10" s="1"/>
  <c r="AJ77" i="17"/>
  <c r="J77" i="10" s="1"/>
  <c r="AJ76" i="17"/>
  <c r="J76" i="10" s="1"/>
  <c r="AJ75" i="17"/>
  <c r="J75" i="10" s="1"/>
  <c r="AJ74" i="17"/>
  <c r="J74" i="10" s="1"/>
  <c r="AJ73" i="17"/>
  <c r="J73" i="10" s="1"/>
  <c r="AJ72" i="17"/>
  <c r="J72" i="10" s="1"/>
  <c r="AJ71" i="17"/>
  <c r="J71" i="10" s="1"/>
  <c r="AJ70" i="17"/>
  <c r="AJ69" i="17"/>
  <c r="J69" i="10" s="1"/>
  <c r="AJ68" i="17"/>
  <c r="J68" i="10" s="1"/>
  <c r="AJ67" i="17"/>
  <c r="J67" i="10" s="1"/>
  <c r="AJ66" i="17"/>
  <c r="J66" i="10" s="1"/>
  <c r="AJ65" i="17"/>
  <c r="J65" i="10" s="1"/>
  <c r="AJ64" i="17"/>
  <c r="J64" i="10" s="1"/>
  <c r="AJ63" i="17"/>
  <c r="J63" i="10" s="1"/>
  <c r="AJ62" i="17"/>
  <c r="J62" i="10" s="1"/>
  <c r="AJ61" i="17"/>
  <c r="J61" i="10" s="1"/>
  <c r="AJ60" i="17"/>
  <c r="J60" i="10" s="1"/>
  <c r="AJ59" i="17"/>
  <c r="J59" i="10" s="1"/>
  <c r="AJ58" i="17"/>
  <c r="J58" i="10" s="1"/>
  <c r="AJ57" i="17"/>
  <c r="J57" i="10" s="1"/>
  <c r="AJ56" i="17"/>
  <c r="J56" i="10" s="1"/>
  <c r="AJ55" i="17"/>
  <c r="J55" i="10" s="1"/>
  <c r="AJ54" i="17"/>
  <c r="J54" i="10" s="1"/>
  <c r="AJ53" i="17"/>
  <c r="J53" i="10" s="1"/>
  <c r="AJ52" i="17"/>
  <c r="J52" i="10" s="1"/>
  <c r="AJ51" i="17"/>
  <c r="J51" i="10" s="1"/>
  <c r="AJ50" i="17"/>
  <c r="J50" i="10" s="1"/>
  <c r="AJ49" i="17"/>
  <c r="J49" i="10" s="1"/>
  <c r="AJ48" i="17"/>
  <c r="J48" i="10" s="1"/>
  <c r="AJ47" i="17"/>
  <c r="J47" i="10" s="1"/>
  <c r="AJ46" i="17"/>
  <c r="J46" i="10" s="1"/>
  <c r="AJ45" i="17"/>
  <c r="J45" i="10" s="1"/>
  <c r="AJ44" i="17"/>
  <c r="J44" i="10" s="1"/>
  <c r="AJ43" i="17"/>
  <c r="J43" i="10" s="1"/>
  <c r="AJ42" i="17"/>
  <c r="J42" i="10" s="1"/>
  <c r="AJ41" i="17"/>
  <c r="J41" i="10" s="1"/>
  <c r="AJ40" i="17"/>
  <c r="J40" i="10" s="1"/>
  <c r="AJ39" i="17"/>
  <c r="J39" i="10" s="1"/>
  <c r="AJ38" i="17"/>
  <c r="J38" i="10" s="1"/>
  <c r="AJ37" i="17"/>
  <c r="J37" i="10" s="1"/>
  <c r="AJ36" i="17"/>
  <c r="J36" i="10" s="1"/>
  <c r="AJ35" i="17"/>
  <c r="J35" i="10" s="1"/>
  <c r="AJ34" i="17"/>
  <c r="J34" i="10" s="1"/>
  <c r="AJ33" i="17"/>
  <c r="J33" i="10" s="1"/>
  <c r="AJ32" i="17"/>
  <c r="J32" i="10" s="1"/>
  <c r="AJ31" i="17"/>
  <c r="J31" i="10" s="1"/>
  <c r="AJ30" i="17"/>
  <c r="J30" i="10" s="1"/>
  <c r="AJ29" i="17"/>
  <c r="J29" i="10" s="1"/>
  <c r="AJ28" i="17"/>
  <c r="J28" i="10" s="1"/>
  <c r="AJ27" i="17"/>
  <c r="J27" i="10" s="1"/>
  <c r="AJ26" i="17"/>
  <c r="J26" i="10" s="1"/>
  <c r="AJ25" i="17"/>
  <c r="J25" i="10" s="1"/>
  <c r="AJ24" i="17"/>
  <c r="J24" i="10" s="1"/>
  <c r="AJ23" i="17"/>
  <c r="J23" i="10" s="1"/>
  <c r="AJ22" i="17"/>
  <c r="J22" i="10" s="1"/>
  <c r="AJ21" i="17"/>
  <c r="J21" i="10" s="1"/>
  <c r="AJ20" i="17"/>
  <c r="J20" i="10" s="1"/>
  <c r="AJ19" i="17"/>
  <c r="J19" i="10" s="1"/>
  <c r="AJ18" i="17"/>
  <c r="J18" i="10" s="1"/>
  <c r="AJ17" i="17"/>
  <c r="J17" i="10" s="1"/>
  <c r="AJ16" i="17"/>
  <c r="J16" i="10" s="1"/>
  <c r="AJ15" i="17"/>
  <c r="J15" i="10" s="1"/>
  <c r="AJ14" i="17"/>
  <c r="J14" i="10" s="1"/>
  <c r="AJ13" i="17"/>
  <c r="J13" i="10" s="1"/>
  <c r="AJ12" i="17"/>
  <c r="J12" i="10" s="1"/>
  <c r="AJ11" i="17"/>
  <c r="J11" i="10" s="1"/>
  <c r="AJ10" i="17"/>
  <c r="J10" i="10" s="1"/>
  <c r="AJ9" i="17"/>
  <c r="J9" i="10" s="1"/>
  <c r="AJ8" i="17"/>
  <c r="J8" i="10" s="1"/>
  <c r="AJ7" i="17"/>
  <c r="J7" i="10" s="1"/>
  <c r="AJ6" i="17"/>
  <c r="J6" i="10" s="1"/>
  <c r="AJ5" i="17"/>
  <c r="J5" i="10" s="1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AJ139" i="16"/>
  <c r="AJ138" i="16"/>
  <c r="AJ137" i="16"/>
  <c r="AJ136" i="16"/>
  <c r="AJ135" i="16"/>
  <c r="AJ134" i="16"/>
  <c r="AJ133" i="16"/>
  <c r="AJ132" i="16"/>
  <c r="AJ131" i="16"/>
  <c r="AJ130" i="16"/>
  <c r="AJ129" i="16"/>
  <c r="AJ128" i="16"/>
  <c r="AJ127" i="16"/>
  <c r="AJ126" i="16"/>
  <c r="AJ125" i="16"/>
  <c r="AJ124" i="16"/>
  <c r="AJ123" i="16"/>
  <c r="AJ122" i="16"/>
  <c r="AJ121" i="16"/>
  <c r="AJ120" i="16"/>
  <c r="AJ119" i="16"/>
  <c r="AJ118" i="16"/>
  <c r="AJ117" i="16"/>
  <c r="AJ116" i="16"/>
  <c r="AJ115" i="16"/>
  <c r="AJ114" i="16"/>
  <c r="AJ113" i="16"/>
  <c r="AJ112" i="16"/>
  <c r="AJ111" i="16"/>
  <c r="AJ110" i="16"/>
  <c r="AJ109" i="16"/>
  <c r="AJ108" i="16"/>
  <c r="AJ107" i="16"/>
  <c r="AJ106" i="16"/>
  <c r="AJ105" i="16"/>
  <c r="AJ104" i="16"/>
  <c r="AJ103" i="16"/>
  <c r="AJ102" i="16"/>
  <c r="AJ101" i="16"/>
  <c r="AJ100" i="16"/>
  <c r="AJ99" i="16"/>
  <c r="AJ98" i="16"/>
  <c r="AJ97" i="16"/>
  <c r="AJ96" i="16"/>
  <c r="AJ95" i="16"/>
  <c r="AJ94" i="16"/>
  <c r="AJ93" i="16"/>
  <c r="AJ92" i="16"/>
  <c r="AJ91" i="16"/>
  <c r="AJ90" i="16"/>
  <c r="AJ89" i="16"/>
  <c r="AJ88" i="16"/>
  <c r="AJ87" i="16"/>
  <c r="AJ86" i="16"/>
  <c r="AJ85" i="16"/>
  <c r="AJ84" i="16"/>
  <c r="AJ83" i="16"/>
  <c r="AJ82" i="16"/>
  <c r="AJ81" i="16"/>
  <c r="AJ80" i="16"/>
  <c r="AJ79" i="16"/>
  <c r="AJ78" i="16"/>
  <c r="AJ77" i="16"/>
  <c r="AJ76" i="16"/>
  <c r="AJ75" i="16"/>
  <c r="AJ74" i="16"/>
  <c r="AJ73" i="16"/>
  <c r="AJ72" i="16"/>
  <c r="AJ71" i="16"/>
  <c r="AJ70" i="16"/>
  <c r="AJ69" i="16"/>
  <c r="AJ68" i="16"/>
  <c r="AJ67" i="16"/>
  <c r="AJ66" i="16"/>
  <c r="AJ65" i="16"/>
  <c r="AJ64" i="16"/>
  <c r="AJ63" i="16"/>
  <c r="AJ62" i="16"/>
  <c r="AJ61" i="16"/>
  <c r="AJ60" i="16"/>
  <c r="AJ59" i="16"/>
  <c r="AJ58" i="16"/>
  <c r="AJ57" i="16"/>
  <c r="AJ56" i="16"/>
  <c r="AJ55" i="16"/>
  <c r="AJ54" i="16"/>
  <c r="AJ53" i="16"/>
  <c r="AJ52" i="16"/>
  <c r="AJ51" i="16"/>
  <c r="AJ50" i="16"/>
  <c r="AJ49" i="16"/>
  <c r="AJ48" i="16"/>
  <c r="AJ47" i="16"/>
  <c r="AJ46" i="16"/>
  <c r="AJ45" i="16"/>
  <c r="AJ44" i="16"/>
  <c r="AJ43" i="16"/>
  <c r="AJ42" i="16"/>
  <c r="AJ41" i="16"/>
  <c r="AJ40" i="16"/>
  <c r="AJ39" i="16"/>
  <c r="AJ38" i="16"/>
  <c r="AJ37" i="16"/>
  <c r="AJ36" i="16"/>
  <c r="AJ35" i="16"/>
  <c r="AJ34" i="16"/>
  <c r="AJ33" i="16"/>
  <c r="AJ32" i="16"/>
  <c r="AJ31" i="16"/>
  <c r="AJ30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AJ139" i="15"/>
  <c r="H139" i="10" s="1"/>
  <c r="AJ138" i="15"/>
  <c r="H138" i="10" s="1"/>
  <c r="AJ137" i="15"/>
  <c r="H137" i="10" s="1"/>
  <c r="AJ136" i="15"/>
  <c r="H136" i="10" s="1"/>
  <c r="AJ135" i="15"/>
  <c r="H135" i="10" s="1"/>
  <c r="AJ134" i="15"/>
  <c r="H134" i="10" s="1"/>
  <c r="AJ133" i="15"/>
  <c r="H133" i="10" s="1"/>
  <c r="AJ132" i="15"/>
  <c r="H132" i="10" s="1"/>
  <c r="AJ131" i="15"/>
  <c r="H131" i="10" s="1"/>
  <c r="AJ130" i="15"/>
  <c r="H130" i="10" s="1"/>
  <c r="AJ129" i="15"/>
  <c r="H129" i="10" s="1"/>
  <c r="AJ128" i="15"/>
  <c r="H128" i="10" s="1"/>
  <c r="AJ127" i="15"/>
  <c r="H127" i="10" s="1"/>
  <c r="AJ126" i="15"/>
  <c r="H126" i="10" s="1"/>
  <c r="AJ125" i="15"/>
  <c r="H125" i="10" s="1"/>
  <c r="AJ124" i="15"/>
  <c r="H124" i="10" s="1"/>
  <c r="AJ123" i="15"/>
  <c r="H123" i="10" s="1"/>
  <c r="AJ122" i="15"/>
  <c r="H122" i="10" s="1"/>
  <c r="AJ121" i="15"/>
  <c r="H121" i="10" s="1"/>
  <c r="AJ120" i="15"/>
  <c r="H120" i="10" s="1"/>
  <c r="AJ119" i="15"/>
  <c r="H119" i="10" s="1"/>
  <c r="AJ118" i="15"/>
  <c r="H118" i="10" s="1"/>
  <c r="AJ117" i="15"/>
  <c r="H117" i="10" s="1"/>
  <c r="AJ116" i="15"/>
  <c r="H116" i="10" s="1"/>
  <c r="AJ115" i="15"/>
  <c r="H115" i="10" s="1"/>
  <c r="AJ114" i="15"/>
  <c r="H114" i="10" s="1"/>
  <c r="AJ113" i="15"/>
  <c r="H113" i="10" s="1"/>
  <c r="AJ112" i="15"/>
  <c r="H112" i="10" s="1"/>
  <c r="AJ111" i="15"/>
  <c r="H111" i="10" s="1"/>
  <c r="AJ110" i="15"/>
  <c r="H110" i="10" s="1"/>
  <c r="AJ109" i="15"/>
  <c r="H109" i="10" s="1"/>
  <c r="AJ108" i="15"/>
  <c r="H108" i="10" s="1"/>
  <c r="AJ107" i="15"/>
  <c r="H107" i="10" s="1"/>
  <c r="AJ106" i="15"/>
  <c r="H106" i="10" s="1"/>
  <c r="AJ105" i="15"/>
  <c r="H105" i="10" s="1"/>
  <c r="AJ104" i="15"/>
  <c r="H104" i="10" s="1"/>
  <c r="AJ103" i="15"/>
  <c r="H103" i="10" s="1"/>
  <c r="AJ102" i="15"/>
  <c r="H102" i="10" s="1"/>
  <c r="AJ101" i="15"/>
  <c r="H101" i="10" s="1"/>
  <c r="AJ100" i="15"/>
  <c r="H100" i="10" s="1"/>
  <c r="AJ99" i="15"/>
  <c r="H99" i="10" s="1"/>
  <c r="AJ98" i="15"/>
  <c r="H98" i="10" s="1"/>
  <c r="AJ97" i="15"/>
  <c r="H97" i="10" s="1"/>
  <c r="AJ96" i="15"/>
  <c r="H96" i="10" s="1"/>
  <c r="AJ95" i="15"/>
  <c r="H95" i="10" s="1"/>
  <c r="AJ94" i="15"/>
  <c r="H94" i="10" s="1"/>
  <c r="AJ93" i="15"/>
  <c r="H93" i="10" s="1"/>
  <c r="AJ92" i="15"/>
  <c r="H92" i="10" s="1"/>
  <c r="AJ91" i="15"/>
  <c r="H91" i="10" s="1"/>
  <c r="AJ90" i="15"/>
  <c r="H90" i="10" s="1"/>
  <c r="AJ89" i="15"/>
  <c r="H89" i="10" s="1"/>
  <c r="AJ88" i="15"/>
  <c r="H88" i="10" s="1"/>
  <c r="AJ87" i="15"/>
  <c r="H87" i="10" s="1"/>
  <c r="AJ86" i="15"/>
  <c r="H86" i="10" s="1"/>
  <c r="AJ85" i="15"/>
  <c r="H85" i="10" s="1"/>
  <c r="AJ84" i="15"/>
  <c r="H84" i="10" s="1"/>
  <c r="AJ83" i="15"/>
  <c r="H83" i="10" s="1"/>
  <c r="AJ82" i="15"/>
  <c r="H82" i="10" s="1"/>
  <c r="AJ81" i="15"/>
  <c r="H81" i="10" s="1"/>
  <c r="AJ80" i="15"/>
  <c r="H80" i="10" s="1"/>
  <c r="AJ79" i="15"/>
  <c r="H79" i="10" s="1"/>
  <c r="AJ78" i="15"/>
  <c r="H78" i="10" s="1"/>
  <c r="AJ77" i="15"/>
  <c r="H77" i="10" s="1"/>
  <c r="AJ76" i="15"/>
  <c r="H76" i="10" s="1"/>
  <c r="AJ75" i="15"/>
  <c r="H75" i="10" s="1"/>
  <c r="AJ74" i="15"/>
  <c r="H74" i="10" s="1"/>
  <c r="AJ73" i="15"/>
  <c r="H73" i="10" s="1"/>
  <c r="AJ72" i="15"/>
  <c r="H72" i="10" s="1"/>
  <c r="AJ71" i="15"/>
  <c r="H71" i="10" s="1"/>
  <c r="AJ70" i="15"/>
  <c r="AJ69" i="15"/>
  <c r="H69" i="10" s="1"/>
  <c r="AJ68" i="15"/>
  <c r="H68" i="10" s="1"/>
  <c r="AJ67" i="15"/>
  <c r="H67" i="10" s="1"/>
  <c r="AJ66" i="15"/>
  <c r="H66" i="10" s="1"/>
  <c r="AJ65" i="15"/>
  <c r="H65" i="10" s="1"/>
  <c r="AJ64" i="15"/>
  <c r="H64" i="10" s="1"/>
  <c r="AJ63" i="15"/>
  <c r="H63" i="10" s="1"/>
  <c r="AJ62" i="15"/>
  <c r="H62" i="10" s="1"/>
  <c r="AJ61" i="15"/>
  <c r="H61" i="10" s="1"/>
  <c r="AJ60" i="15"/>
  <c r="H60" i="10" s="1"/>
  <c r="AJ59" i="15"/>
  <c r="H59" i="10" s="1"/>
  <c r="AJ58" i="15"/>
  <c r="H58" i="10" s="1"/>
  <c r="AJ57" i="15"/>
  <c r="H57" i="10" s="1"/>
  <c r="AJ56" i="15"/>
  <c r="H56" i="10" s="1"/>
  <c r="AJ55" i="15"/>
  <c r="H55" i="10" s="1"/>
  <c r="AJ54" i="15"/>
  <c r="H54" i="10" s="1"/>
  <c r="AJ53" i="15"/>
  <c r="H53" i="10" s="1"/>
  <c r="AJ52" i="15"/>
  <c r="H52" i="10" s="1"/>
  <c r="AJ51" i="15"/>
  <c r="H51" i="10" s="1"/>
  <c r="AJ50" i="15"/>
  <c r="H50" i="10" s="1"/>
  <c r="AJ49" i="15"/>
  <c r="H49" i="10" s="1"/>
  <c r="AJ48" i="15"/>
  <c r="H48" i="10" s="1"/>
  <c r="AJ47" i="15"/>
  <c r="H47" i="10" s="1"/>
  <c r="AJ46" i="15"/>
  <c r="H46" i="10" s="1"/>
  <c r="AJ45" i="15"/>
  <c r="H45" i="10" s="1"/>
  <c r="AJ44" i="15"/>
  <c r="H44" i="10" s="1"/>
  <c r="AJ43" i="15"/>
  <c r="H43" i="10" s="1"/>
  <c r="AJ42" i="15"/>
  <c r="H42" i="10" s="1"/>
  <c r="AJ41" i="15"/>
  <c r="H41" i="10" s="1"/>
  <c r="AJ40" i="15"/>
  <c r="H40" i="10" s="1"/>
  <c r="AJ39" i="15"/>
  <c r="H39" i="10" s="1"/>
  <c r="AJ38" i="15"/>
  <c r="H38" i="10" s="1"/>
  <c r="AJ37" i="15"/>
  <c r="H37" i="10" s="1"/>
  <c r="AJ36" i="15"/>
  <c r="H36" i="10" s="1"/>
  <c r="AJ35" i="15"/>
  <c r="H35" i="10" s="1"/>
  <c r="AJ34" i="15"/>
  <c r="H34" i="10" s="1"/>
  <c r="AJ33" i="15"/>
  <c r="H33" i="10" s="1"/>
  <c r="AJ32" i="15"/>
  <c r="H32" i="10" s="1"/>
  <c r="AJ31" i="15"/>
  <c r="H31" i="10" s="1"/>
  <c r="AJ30" i="15"/>
  <c r="H30" i="10" s="1"/>
  <c r="AJ29" i="15"/>
  <c r="H29" i="10" s="1"/>
  <c r="AJ28" i="15"/>
  <c r="H28" i="10" s="1"/>
  <c r="AJ27" i="15"/>
  <c r="H27" i="10" s="1"/>
  <c r="AJ26" i="15"/>
  <c r="H26" i="10" s="1"/>
  <c r="AJ25" i="15"/>
  <c r="H25" i="10" s="1"/>
  <c r="AJ24" i="15"/>
  <c r="H24" i="10" s="1"/>
  <c r="AJ23" i="15"/>
  <c r="H23" i="10" s="1"/>
  <c r="AJ22" i="15"/>
  <c r="H22" i="10" s="1"/>
  <c r="AJ21" i="15"/>
  <c r="H21" i="10" s="1"/>
  <c r="AJ20" i="15"/>
  <c r="H20" i="10" s="1"/>
  <c r="AJ19" i="15"/>
  <c r="H19" i="10" s="1"/>
  <c r="AJ18" i="15"/>
  <c r="H18" i="10" s="1"/>
  <c r="AJ17" i="15"/>
  <c r="H17" i="10" s="1"/>
  <c r="AJ16" i="15"/>
  <c r="H16" i="10" s="1"/>
  <c r="AJ15" i="15"/>
  <c r="H15" i="10" s="1"/>
  <c r="AJ14" i="15"/>
  <c r="H14" i="10" s="1"/>
  <c r="AJ13" i="15"/>
  <c r="H13" i="10" s="1"/>
  <c r="AJ12" i="15"/>
  <c r="H12" i="10" s="1"/>
  <c r="AJ11" i="15"/>
  <c r="H11" i="10" s="1"/>
  <c r="AJ10" i="15"/>
  <c r="H10" i="10" s="1"/>
  <c r="AJ9" i="15"/>
  <c r="H9" i="10" s="1"/>
  <c r="AJ8" i="15"/>
  <c r="H8" i="10" s="1"/>
  <c r="AJ7" i="15"/>
  <c r="H7" i="10" s="1"/>
  <c r="AJ6" i="15"/>
  <c r="H6" i="10" s="1"/>
  <c r="AJ5" i="15"/>
  <c r="H5" i="10" s="1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AJ139" i="14"/>
  <c r="G139" i="10" s="1"/>
  <c r="AJ138" i="14"/>
  <c r="G138" i="10" s="1"/>
  <c r="AJ137" i="14"/>
  <c r="G137" i="10" s="1"/>
  <c r="AJ136" i="14"/>
  <c r="G136" i="10" s="1"/>
  <c r="AJ135" i="14"/>
  <c r="G135" i="10" s="1"/>
  <c r="AJ134" i="14"/>
  <c r="G134" i="10" s="1"/>
  <c r="AJ133" i="14"/>
  <c r="G133" i="10" s="1"/>
  <c r="AJ132" i="14"/>
  <c r="G132" i="10" s="1"/>
  <c r="AJ131" i="14"/>
  <c r="G131" i="10" s="1"/>
  <c r="AJ130" i="14"/>
  <c r="G130" i="10" s="1"/>
  <c r="AJ129" i="14"/>
  <c r="G129" i="10" s="1"/>
  <c r="AJ128" i="14"/>
  <c r="G128" i="10" s="1"/>
  <c r="AJ127" i="14"/>
  <c r="G127" i="10" s="1"/>
  <c r="AJ126" i="14"/>
  <c r="G126" i="10" s="1"/>
  <c r="AJ125" i="14"/>
  <c r="G125" i="10" s="1"/>
  <c r="AJ124" i="14"/>
  <c r="G124" i="10" s="1"/>
  <c r="AJ123" i="14"/>
  <c r="G123" i="10" s="1"/>
  <c r="AJ122" i="14"/>
  <c r="G122" i="10" s="1"/>
  <c r="AJ121" i="14"/>
  <c r="G121" i="10" s="1"/>
  <c r="AJ120" i="14"/>
  <c r="G120" i="10" s="1"/>
  <c r="AJ119" i="14"/>
  <c r="G119" i="10" s="1"/>
  <c r="AJ118" i="14"/>
  <c r="G118" i="10" s="1"/>
  <c r="AJ117" i="14"/>
  <c r="G117" i="10" s="1"/>
  <c r="AJ116" i="14"/>
  <c r="G116" i="10" s="1"/>
  <c r="AJ115" i="14"/>
  <c r="G115" i="10" s="1"/>
  <c r="AJ114" i="14"/>
  <c r="G114" i="10" s="1"/>
  <c r="AJ113" i="14"/>
  <c r="G113" i="10" s="1"/>
  <c r="AJ112" i="14"/>
  <c r="G112" i="10" s="1"/>
  <c r="AJ111" i="14"/>
  <c r="G111" i="10" s="1"/>
  <c r="AJ110" i="14"/>
  <c r="G110" i="10" s="1"/>
  <c r="AJ109" i="14"/>
  <c r="G109" i="10" s="1"/>
  <c r="AJ108" i="14"/>
  <c r="G108" i="10" s="1"/>
  <c r="AJ107" i="14"/>
  <c r="G107" i="10" s="1"/>
  <c r="AJ106" i="14"/>
  <c r="G106" i="10" s="1"/>
  <c r="AJ105" i="14"/>
  <c r="G105" i="10" s="1"/>
  <c r="AJ104" i="14"/>
  <c r="G104" i="10" s="1"/>
  <c r="AJ103" i="14"/>
  <c r="G103" i="10" s="1"/>
  <c r="AJ102" i="14"/>
  <c r="G102" i="10" s="1"/>
  <c r="AJ101" i="14"/>
  <c r="G101" i="10" s="1"/>
  <c r="AJ100" i="14"/>
  <c r="G100" i="10" s="1"/>
  <c r="AJ99" i="14"/>
  <c r="G99" i="10" s="1"/>
  <c r="AJ98" i="14"/>
  <c r="G98" i="10" s="1"/>
  <c r="AJ97" i="14"/>
  <c r="G97" i="10" s="1"/>
  <c r="AJ96" i="14"/>
  <c r="G96" i="10" s="1"/>
  <c r="AJ95" i="14"/>
  <c r="G95" i="10" s="1"/>
  <c r="AJ94" i="14"/>
  <c r="G94" i="10" s="1"/>
  <c r="AJ93" i="14"/>
  <c r="G93" i="10" s="1"/>
  <c r="AJ92" i="14"/>
  <c r="G92" i="10" s="1"/>
  <c r="AJ91" i="14"/>
  <c r="G91" i="10" s="1"/>
  <c r="AJ90" i="14"/>
  <c r="G90" i="10" s="1"/>
  <c r="AJ89" i="14"/>
  <c r="G89" i="10" s="1"/>
  <c r="AJ88" i="14"/>
  <c r="G88" i="10" s="1"/>
  <c r="AJ87" i="14"/>
  <c r="G87" i="10" s="1"/>
  <c r="AJ86" i="14"/>
  <c r="G86" i="10" s="1"/>
  <c r="AJ85" i="14"/>
  <c r="G85" i="10" s="1"/>
  <c r="AJ84" i="14"/>
  <c r="G84" i="10" s="1"/>
  <c r="AJ83" i="14"/>
  <c r="G83" i="10" s="1"/>
  <c r="AJ82" i="14"/>
  <c r="G82" i="10" s="1"/>
  <c r="AJ81" i="14"/>
  <c r="G81" i="10" s="1"/>
  <c r="AJ80" i="14"/>
  <c r="G80" i="10" s="1"/>
  <c r="AJ79" i="14"/>
  <c r="G79" i="10" s="1"/>
  <c r="AJ78" i="14"/>
  <c r="G78" i="10" s="1"/>
  <c r="AJ77" i="14"/>
  <c r="G77" i="10" s="1"/>
  <c r="AJ76" i="14"/>
  <c r="G76" i="10" s="1"/>
  <c r="AJ75" i="14"/>
  <c r="G75" i="10" s="1"/>
  <c r="AJ74" i="14"/>
  <c r="G74" i="10" s="1"/>
  <c r="AJ73" i="14"/>
  <c r="G73" i="10" s="1"/>
  <c r="AJ72" i="14"/>
  <c r="G72" i="10" s="1"/>
  <c r="AJ71" i="14"/>
  <c r="G71" i="10" s="1"/>
  <c r="AJ70" i="14"/>
  <c r="AJ69" i="14"/>
  <c r="G69" i="10" s="1"/>
  <c r="AJ68" i="14"/>
  <c r="G68" i="10" s="1"/>
  <c r="AJ67" i="14"/>
  <c r="G67" i="10" s="1"/>
  <c r="AJ66" i="14"/>
  <c r="G66" i="10" s="1"/>
  <c r="AJ65" i="14"/>
  <c r="G65" i="10" s="1"/>
  <c r="AJ64" i="14"/>
  <c r="G64" i="10" s="1"/>
  <c r="AJ63" i="14"/>
  <c r="G63" i="10" s="1"/>
  <c r="AJ62" i="14"/>
  <c r="G62" i="10" s="1"/>
  <c r="AJ61" i="14"/>
  <c r="G61" i="10" s="1"/>
  <c r="AJ60" i="14"/>
  <c r="G60" i="10" s="1"/>
  <c r="AJ59" i="14"/>
  <c r="G59" i="10" s="1"/>
  <c r="AJ58" i="14"/>
  <c r="G58" i="10" s="1"/>
  <c r="AJ57" i="14"/>
  <c r="G57" i="10" s="1"/>
  <c r="AJ56" i="14"/>
  <c r="G56" i="10" s="1"/>
  <c r="AJ55" i="14"/>
  <c r="G55" i="10" s="1"/>
  <c r="AJ54" i="14"/>
  <c r="G54" i="10" s="1"/>
  <c r="AJ53" i="14"/>
  <c r="G53" i="10" s="1"/>
  <c r="AJ52" i="14"/>
  <c r="G52" i="10" s="1"/>
  <c r="AJ51" i="14"/>
  <c r="G51" i="10" s="1"/>
  <c r="AJ50" i="14"/>
  <c r="G50" i="10" s="1"/>
  <c r="AJ49" i="14"/>
  <c r="G49" i="10" s="1"/>
  <c r="AJ48" i="14"/>
  <c r="G48" i="10" s="1"/>
  <c r="AJ47" i="14"/>
  <c r="G47" i="10" s="1"/>
  <c r="AJ46" i="14"/>
  <c r="G46" i="10" s="1"/>
  <c r="AJ45" i="14"/>
  <c r="G45" i="10" s="1"/>
  <c r="AJ44" i="14"/>
  <c r="G44" i="10" s="1"/>
  <c r="AJ43" i="14"/>
  <c r="G43" i="10" s="1"/>
  <c r="AJ42" i="14"/>
  <c r="G42" i="10" s="1"/>
  <c r="AJ41" i="14"/>
  <c r="G41" i="10" s="1"/>
  <c r="AJ40" i="14"/>
  <c r="G40" i="10" s="1"/>
  <c r="AJ39" i="14"/>
  <c r="G39" i="10" s="1"/>
  <c r="AJ38" i="14"/>
  <c r="G38" i="10" s="1"/>
  <c r="AJ37" i="14"/>
  <c r="G37" i="10" s="1"/>
  <c r="AJ36" i="14"/>
  <c r="G36" i="10" s="1"/>
  <c r="AJ35" i="14"/>
  <c r="G35" i="10" s="1"/>
  <c r="AJ34" i="14"/>
  <c r="G34" i="10" s="1"/>
  <c r="AJ33" i="14"/>
  <c r="G33" i="10" s="1"/>
  <c r="AJ32" i="14"/>
  <c r="G32" i="10" s="1"/>
  <c r="AJ31" i="14"/>
  <c r="G31" i="10" s="1"/>
  <c r="AJ30" i="14"/>
  <c r="G30" i="10" s="1"/>
  <c r="AJ29" i="14"/>
  <c r="G29" i="10" s="1"/>
  <c r="AJ28" i="14"/>
  <c r="G28" i="10" s="1"/>
  <c r="AJ27" i="14"/>
  <c r="G27" i="10" s="1"/>
  <c r="AJ26" i="14"/>
  <c r="G26" i="10" s="1"/>
  <c r="AJ25" i="14"/>
  <c r="G25" i="10" s="1"/>
  <c r="AJ24" i="14"/>
  <c r="G24" i="10" s="1"/>
  <c r="AJ23" i="14"/>
  <c r="G23" i="10" s="1"/>
  <c r="AJ22" i="14"/>
  <c r="G22" i="10" s="1"/>
  <c r="AJ21" i="14"/>
  <c r="G21" i="10" s="1"/>
  <c r="AJ20" i="14"/>
  <c r="G20" i="10" s="1"/>
  <c r="AJ19" i="14"/>
  <c r="G19" i="10" s="1"/>
  <c r="AJ18" i="14"/>
  <c r="G18" i="10" s="1"/>
  <c r="AJ17" i="14"/>
  <c r="G17" i="10" s="1"/>
  <c r="AJ16" i="14"/>
  <c r="G16" i="10" s="1"/>
  <c r="AJ15" i="14"/>
  <c r="G15" i="10" s="1"/>
  <c r="AJ14" i="14"/>
  <c r="G14" i="10" s="1"/>
  <c r="AJ13" i="14"/>
  <c r="G13" i="10" s="1"/>
  <c r="AJ12" i="14"/>
  <c r="G12" i="10" s="1"/>
  <c r="AJ11" i="14"/>
  <c r="G11" i="10" s="1"/>
  <c r="AJ10" i="14"/>
  <c r="G10" i="10" s="1"/>
  <c r="AJ9" i="14"/>
  <c r="G9" i="10" s="1"/>
  <c r="AJ8" i="14"/>
  <c r="G8" i="10" s="1"/>
  <c r="AJ7" i="14"/>
  <c r="G7" i="10" s="1"/>
  <c r="AJ6" i="14"/>
  <c r="G6" i="10" s="1"/>
  <c r="AG3" i="14"/>
  <c r="AF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AJ139" i="13"/>
  <c r="F139" i="10" s="1"/>
  <c r="AJ138" i="13"/>
  <c r="F138" i="10" s="1"/>
  <c r="AJ137" i="13"/>
  <c r="F137" i="10" s="1"/>
  <c r="AJ136" i="13"/>
  <c r="F136" i="10" s="1"/>
  <c r="AJ135" i="13"/>
  <c r="F135" i="10" s="1"/>
  <c r="AJ134" i="13"/>
  <c r="F134" i="10" s="1"/>
  <c r="AJ133" i="13"/>
  <c r="F133" i="10" s="1"/>
  <c r="AJ132" i="13"/>
  <c r="F132" i="10" s="1"/>
  <c r="AJ131" i="13"/>
  <c r="F131" i="10" s="1"/>
  <c r="AJ129" i="13"/>
  <c r="F129" i="10" s="1"/>
  <c r="AJ128" i="13"/>
  <c r="F128" i="10" s="1"/>
  <c r="AJ127" i="13"/>
  <c r="F127" i="10" s="1"/>
  <c r="AJ126" i="13"/>
  <c r="F126" i="10" s="1"/>
  <c r="AJ125" i="13"/>
  <c r="F125" i="10" s="1"/>
  <c r="AJ124" i="13"/>
  <c r="F124" i="10" s="1"/>
  <c r="AJ123" i="13"/>
  <c r="F123" i="10" s="1"/>
  <c r="AJ122" i="13"/>
  <c r="F122" i="10" s="1"/>
  <c r="AJ121" i="13"/>
  <c r="F121" i="10" s="1"/>
  <c r="AJ120" i="13"/>
  <c r="F120" i="10" s="1"/>
  <c r="AJ119" i="13"/>
  <c r="F119" i="10" s="1"/>
  <c r="AJ118" i="13"/>
  <c r="F118" i="10" s="1"/>
  <c r="AJ117" i="13"/>
  <c r="F117" i="10" s="1"/>
  <c r="AJ116" i="13"/>
  <c r="F116" i="10" s="1"/>
  <c r="AJ115" i="13"/>
  <c r="F115" i="10" s="1"/>
  <c r="AJ114" i="13"/>
  <c r="F114" i="10" s="1"/>
  <c r="AJ113" i="13"/>
  <c r="F113" i="10" s="1"/>
  <c r="AJ112" i="13"/>
  <c r="F112" i="10" s="1"/>
  <c r="AJ111" i="13"/>
  <c r="F111" i="10" s="1"/>
  <c r="AJ110" i="13"/>
  <c r="F110" i="10" s="1"/>
  <c r="AJ109" i="13"/>
  <c r="F109" i="10" s="1"/>
  <c r="AJ108" i="13"/>
  <c r="F108" i="10" s="1"/>
  <c r="AJ107" i="13"/>
  <c r="F107" i="10" s="1"/>
  <c r="AJ106" i="13"/>
  <c r="F106" i="10" s="1"/>
  <c r="AJ105" i="13"/>
  <c r="F105" i="10" s="1"/>
  <c r="AJ104" i="13"/>
  <c r="F104" i="10" s="1"/>
  <c r="AJ103" i="13"/>
  <c r="F103" i="10" s="1"/>
  <c r="AJ102" i="13"/>
  <c r="F102" i="10" s="1"/>
  <c r="AJ101" i="13"/>
  <c r="F101" i="10" s="1"/>
  <c r="AJ100" i="13"/>
  <c r="F100" i="10" s="1"/>
  <c r="AJ99" i="13"/>
  <c r="F99" i="10" s="1"/>
  <c r="AJ98" i="13"/>
  <c r="F98" i="10" s="1"/>
  <c r="AJ97" i="13"/>
  <c r="F97" i="10" s="1"/>
  <c r="AJ96" i="13"/>
  <c r="F96" i="10" s="1"/>
  <c r="AJ95" i="13"/>
  <c r="F95" i="10" s="1"/>
  <c r="AJ94" i="13"/>
  <c r="F94" i="10" s="1"/>
  <c r="AJ93" i="13"/>
  <c r="F93" i="10" s="1"/>
  <c r="AJ92" i="13"/>
  <c r="F92" i="10" s="1"/>
  <c r="AJ91" i="13"/>
  <c r="F91" i="10" s="1"/>
  <c r="AJ90" i="13"/>
  <c r="F90" i="10" s="1"/>
  <c r="AJ89" i="13"/>
  <c r="F89" i="10" s="1"/>
  <c r="AJ88" i="13"/>
  <c r="F88" i="10" s="1"/>
  <c r="AJ87" i="13"/>
  <c r="F87" i="10" s="1"/>
  <c r="AJ86" i="13"/>
  <c r="F86" i="10" s="1"/>
  <c r="AJ85" i="13"/>
  <c r="F85" i="10" s="1"/>
  <c r="AJ84" i="13"/>
  <c r="F84" i="10" s="1"/>
  <c r="AJ83" i="13"/>
  <c r="F83" i="10" s="1"/>
  <c r="AJ82" i="13"/>
  <c r="F82" i="10" s="1"/>
  <c r="AJ81" i="13"/>
  <c r="F81" i="10" s="1"/>
  <c r="AJ80" i="13"/>
  <c r="F80" i="10" s="1"/>
  <c r="AJ79" i="13"/>
  <c r="F79" i="10" s="1"/>
  <c r="AJ78" i="13"/>
  <c r="F78" i="10" s="1"/>
  <c r="AJ77" i="13"/>
  <c r="F77" i="10" s="1"/>
  <c r="AJ76" i="13"/>
  <c r="F76" i="10" s="1"/>
  <c r="AJ74" i="13"/>
  <c r="F74" i="10" s="1"/>
  <c r="AJ73" i="13"/>
  <c r="F73" i="10" s="1"/>
  <c r="AJ72" i="13"/>
  <c r="F72" i="10" s="1"/>
  <c r="AJ71" i="13"/>
  <c r="F71" i="10" s="1"/>
  <c r="AJ70" i="13"/>
  <c r="AJ69" i="13"/>
  <c r="F69" i="10" s="1"/>
  <c r="AJ68" i="13"/>
  <c r="F68" i="10" s="1"/>
  <c r="AJ67" i="13"/>
  <c r="F67" i="10" s="1"/>
  <c r="AJ66" i="13"/>
  <c r="F66" i="10" s="1"/>
  <c r="AJ65" i="13"/>
  <c r="F65" i="10" s="1"/>
  <c r="AJ64" i="13"/>
  <c r="F64" i="10" s="1"/>
  <c r="AJ63" i="13"/>
  <c r="F63" i="10" s="1"/>
  <c r="AJ62" i="13"/>
  <c r="F62" i="10" s="1"/>
  <c r="AJ61" i="13"/>
  <c r="F61" i="10" s="1"/>
  <c r="AJ60" i="13"/>
  <c r="F60" i="10" s="1"/>
  <c r="AJ59" i="13"/>
  <c r="F59" i="10" s="1"/>
  <c r="AJ58" i="13"/>
  <c r="F58" i="10" s="1"/>
  <c r="AJ57" i="13"/>
  <c r="F57" i="10" s="1"/>
  <c r="AJ56" i="13"/>
  <c r="F56" i="10" s="1"/>
  <c r="AJ55" i="13"/>
  <c r="F55" i="10" s="1"/>
  <c r="AJ54" i="13"/>
  <c r="F54" i="10" s="1"/>
  <c r="AJ53" i="13"/>
  <c r="F53" i="10" s="1"/>
  <c r="AJ52" i="13"/>
  <c r="F52" i="10" s="1"/>
  <c r="AJ51" i="13"/>
  <c r="F51" i="10" s="1"/>
  <c r="AJ50" i="13"/>
  <c r="F50" i="10" s="1"/>
  <c r="AJ49" i="13"/>
  <c r="F49" i="10" s="1"/>
  <c r="AJ48" i="13"/>
  <c r="F48" i="10" s="1"/>
  <c r="AJ47" i="13"/>
  <c r="F47" i="10" s="1"/>
  <c r="AJ46" i="13"/>
  <c r="F46" i="10" s="1"/>
  <c r="AJ45" i="13"/>
  <c r="F45" i="10" s="1"/>
  <c r="AJ44" i="13"/>
  <c r="F44" i="10" s="1"/>
  <c r="AJ43" i="13"/>
  <c r="F43" i="10" s="1"/>
  <c r="AJ42" i="13"/>
  <c r="F42" i="10" s="1"/>
  <c r="AJ41" i="13"/>
  <c r="F41" i="10" s="1"/>
  <c r="AJ40" i="13"/>
  <c r="F40" i="10" s="1"/>
  <c r="AJ39" i="13"/>
  <c r="F39" i="10" s="1"/>
  <c r="AJ38" i="13"/>
  <c r="F38" i="10" s="1"/>
  <c r="AJ37" i="13"/>
  <c r="F37" i="10" s="1"/>
  <c r="AJ36" i="13"/>
  <c r="F36" i="10" s="1"/>
  <c r="AJ35" i="13"/>
  <c r="F35" i="10" s="1"/>
  <c r="AJ34" i="13"/>
  <c r="F34" i="10" s="1"/>
  <c r="AJ33" i="13"/>
  <c r="F33" i="10" s="1"/>
  <c r="AJ32" i="13"/>
  <c r="F32" i="10" s="1"/>
  <c r="AJ31" i="13"/>
  <c r="F31" i="10" s="1"/>
  <c r="AJ30" i="13"/>
  <c r="F30" i="10" s="1"/>
  <c r="AJ29" i="13"/>
  <c r="F29" i="10" s="1"/>
  <c r="AJ28" i="13"/>
  <c r="F28" i="10" s="1"/>
  <c r="AJ27" i="13"/>
  <c r="F27" i="10" s="1"/>
  <c r="AJ26" i="13"/>
  <c r="F26" i="10" s="1"/>
  <c r="AJ25" i="13"/>
  <c r="F25" i="10" s="1"/>
  <c r="AJ24" i="13"/>
  <c r="F24" i="10" s="1"/>
  <c r="AJ23" i="13"/>
  <c r="F23" i="10" s="1"/>
  <c r="AJ22" i="13"/>
  <c r="F22" i="10" s="1"/>
  <c r="AJ21" i="13"/>
  <c r="F21" i="10" s="1"/>
  <c r="AJ20" i="13"/>
  <c r="F20" i="10" s="1"/>
  <c r="AJ19" i="13"/>
  <c r="F19" i="10" s="1"/>
  <c r="AJ18" i="13"/>
  <c r="F18" i="10" s="1"/>
  <c r="AJ17" i="13"/>
  <c r="F17" i="10" s="1"/>
  <c r="AJ16" i="13"/>
  <c r="F16" i="10" s="1"/>
  <c r="AJ15" i="13"/>
  <c r="F15" i="10" s="1"/>
  <c r="AJ14" i="13"/>
  <c r="F14" i="10" s="1"/>
  <c r="AJ13" i="13"/>
  <c r="F13" i="10" s="1"/>
  <c r="AJ12" i="13"/>
  <c r="F12" i="10" s="1"/>
  <c r="AJ11" i="13"/>
  <c r="F11" i="10" s="1"/>
  <c r="AJ10" i="13"/>
  <c r="F10" i="10" s="1"/>
  <c r="AJ9" i="13"/>
  <c r="F9" i="10" s="1"/>
  <c r="AJ8" i="13"/>
  <c r="F8" i="10" s="1"/>
  <c r="AJ7" i="13"/>
  <c r="F7" i="10" s="1"/>
  <c r="AJ6" i="13"/>
  <c r="F6" i="10" s="1"/>
  <c r="AJ5" i="13"/>
  <c r="F5" i="10" s="1"/>
  <c r="AH3" i="13"/>
  <c r="AG3" i="13"/>
  <c r="AF3" i="13"/>
  <c r="AE3" i="13"/>
  <c r="AD3" i="13"/>
  <c r="AC3" i="13"/>
  <c r="AB3" i="13"/>
  <c r="AA3" i="13"/>
  <c r="Z3" i="13"/>
  <c r="Y3" i="13"/>
  <c r="X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AJ139" i="12"/>
  <c r="E139" i="10" s="1"/>
  <c r="AJ138" i="12"/>
  <c r="E138" i="10" s="1"/>
  <c r="AJ137" i="12"/>
  <c r="E137" i="10" s="1"/>
  <c r="AJ136" i="12"/>
  <c r="E136" i="10" s="1"/>
  <c r="AJ135" i="12"/>
  <c r="E135" i="10" s="1"/>
  <c r="AJ134" i="12"/>
  <c r="E134" i="10" s="1"/>
  <c r="AJ133" i="12"/>
  <c r="E133" i="10" s="1"/>
  <c r="AJ132" i="12"/>
  <c r="E132" i="10" s="1"/>
  <c r="AJ131" i="12"/>
  <c r="E131" i="10" s="1"/>
  <c r="AJ130" i="12"/>
  <c r="E130" i="10" s="1"/>
  <c r="AJ129" i="12"/>
  <c r="E129" i="10" s="1"/>
  <c r="AJ128" i="12"/>
  <c r="E128" i="10" s="1"/>
  <c r="AJ127" i="12"/>
  <c r="E127" i="10" s="1"/>
  <c r="AJ126" i="12"/>
  <c r="E126" i="10" s="1"/>
  <c r="AJ125" i="12"/>
  <c r="E125" i="10" s="1"/>
  <c r="AJ124" i="12"/>
  <c r="E124" i="10" s="1"/>
  <c r="AJ123" i="12"/>
  <c r="E123" i="10" s="1"/>
  <c r="AJ122" i="12"/>
  <c r="E122" i="10" s="1"/>
  <c r="AJ121" i="12"/>
  <c r="E121" i="10" s="1"/>
  <c r="AJ120" i="12"/>
  <c r="E120" i="10" s="1"/>
  <c r="AJ119" i="12"/>
  <c r="E119" i="10" s="1"/>
  <c r="AJ118" i="12"/>
  <c r="E118" i="10" s="1"/>
  <c r="AJ117" i="12"/>
  <c r="E117" i="10" s="1"/>
  <c r="AJ116" i="12"/>
  <c r="E116" i="10" s="1"/>
  <c r="AJ115" i="12"/>
  <c r="E115" i="10" s="1"/>
  <c r="AJ114" i="12"/>
  <c r="E114" i="10" s="1"/>
  <c r="AJ113" i="12"/>
  <c r="E113" i="10" s="1"/>
  <c r="AJ112" i="12"/>
  <c r="E112" i="10" s="1"/>
  <c r="AJ111" i="12"/>
  <c r="E111" i="10" s="1"/>
  <c r="AJ110" i="12"/>
  <c r="E110" i="10" s="1"/>
  <c r="AJ109" i="12"/>
  <c r="E109" i="10" s="1"/>
  <c r="AJ108" i="12"/>
  <c r="E108" i="10" s="1"/>
  <c r="AJ107" i="12"/>
  <c r="E107" i="10" s="1"/>
  <c r="AJ106" i="12"/>
  <c r="E106" i="10" s="1"/>
  <c r="AJ105" i="12"/>
  <c r="E105" i="10" s="1"/>
  <c r="AJ104" i="12"/>
  <c r="E104" i="10" s="1"/>
  <c r="AJ103" i="12"/>
  <c r="E103" i="10" s="1"/>
  <c r="AJ102" i="12"/>
  <c r="E102" i="10" s="1"/>
  <c r="AJ101" i="12"/>
  <c r="E101" i="10" s="1"/>
  <c r="AJ100" i="12"/>
  <c r="E100" i="10" s="1"/>
  <c r="AJ99" i="12"/>
  <c r="E99" i="10" s="1"/>
  <c r="AJ98" i="12"/>
  <c r="E98" i="10" s="1"/>
  <c r="AJ97" i="12"/>
  <c r="E97" i="10" s="1"/>
  <c r="AJ96" i="12"/>
  <c r="E96" i="10" s="1"/>
  <c r="AJ95" i="12"/>
  <c r="E95" i="10" s="1"/>
  <c r="AJ94" i="12"/>
  <c r="E94" i="10" s="1"/>
  <c r="AJ93" i="12"/>
  <c r="E93" i="10" s="1"/>
  <c r="AJ92" i="12"/>
  <c r="E92" i="10" s="1"/>
  <c r="AJ91" i="12"/>
  <c r="E91" i="10" s="1"/>
  <c r="AJ90" i="12"/>
  <c r="E90" i="10" s="1"/>
  <c r="AJ89" i="12"/>
  <c r="E89" i="10" s="1"/>
  <c r="AJ88" i="12"/>
  <c r="E88" i="10" s="1"/>
  <c r="AJ87" i="12"/>
  <c r="E87" i="10" s="1"/>
  <c r="AJ86" i="12"/>
  <c r="E86" i="10" s="1"/>
  <c r="AJ85" i="12"/>
  <c r="E85" i="10" s="1"/>
  <c r="AJ84" i="12"/>
  <c r="E84" i="10" s="1"/>
  <c r="AJ83" i="12"/>
  <c r="E83" i="10" s="1"/>
  <c r="AJ82" i="12"/>
  <c r="E82" i="10" s="1"/>
  <c r="AJ81" i="12"/>
  <c r="E81" i="10" s="1"/>
  <c r="AJ80" i="12"/>
  <c r="E80" i="10" s="1"/>
  <c r="AJ79" i="12"/>
  <c r="E79" i="10" s="1"/>
  <c r="AJ78" i="12"/>
  <c r="E78" i="10" s="1"/>
  <c r="AJ77" i="12"/>
  <c r="E77" i="10" s="1"/>
  <c r="AJ76" i="12"/>
  <c r="E76" i="10" s="1"/>
  <c r="AJ75" i="12"/>
  <c r="E75" i="10" s="1"/>
  <c r="AJ74" i="12"/>
  <c r="E74" i="10" s="1"/>
  <c r="AJ73" i="12"/>
  <c r="E73" i="10" s="1"/>
  <c r="AJ72" i="12"/>
  <c r="E72" i="10" s="1"/>
  <c r="AJ71" i="12"/>
  <c r="E71" i="10" s="1"/>
  <c r="AJ70" i="12"/>
  <c r="AJ69" i="12"/>
  <c r="E69" i="10" s="1"/>
  <c r="AJ68" i="12"/>
  <c r="E68" i="10" s="1"/>
  <c r="AJ67" i="12"/>
  <c r="E67" i="10" s="1"/>
  <c r="AJ66" i="12"/>
  <c r="E66" i="10" s="1"/>
  <c r="AJ65" i="12"/>
  <c r="E65" i="10" s="1"/>
  <c r="AJ64" i="12"/>
  <c r="E64" i="10" s="1"/>
  <c r="AJ63" i="12"/>
  <c r="E63" i="10" s="1"/>
  <c r="AJ62" i="12"/>
  <c r="E62" i="10" s="1"/>
  <c r="AJ61" i="12"/>
  <c r="E61" i="10" s="1"/>
  <c r="AJ54" i="12"/>
  <c r="E54" i="10" s="1"/>
  <c r="AJ53" i="12"/>
  <c r="E53" i="10" s="1"/>
  <c r="AJ52" i="12"/>
  <c r="E52" i="10" s="1"/>
  <c r="AJ51" i="12"/>
  <c r="E51" i="10" s="1"/>
  <c r="AJ50" i="12"/>
  <c r="E50" i="10" s="1"/>
  <c r="AJ49" i="12"/>
  <c r="E49" i="10" s="1"/>
  <c r="AJ48" i="12"/>
  <c r="E48" i="10" s="1"/>
  <c r="AJ47" i="12"/>
  <c r="E47" i="10" s="1"/>
  <c r="AJ46" i="12"/>
  <c r="E46" i="10" s="1"/>
  <c r="AJ45" i="12"/>
  <c r="E45" i="10" s="1"/>
  <c r="AJ44" i="12"/>
  <c r="E44" i="10" s="1"/>
  <c r="AJ43" i="12"/>
  <c r="E43" i="10" s="1"/>
  <c r="AJ42" i="12"/>
  <c r="E42" i="10" s="1"/>
  <c r="AJ41" i="12"/>
  <c r="E41" i="10" s="1"/>
  <c r="AJ40" i="12"/>
  <c r="E40" i="10" s="1"/>
  <c r="AJ39" i="12"/>
  <c r="E39" i="10" s="1"/>
  <c r="AJ38" i="12"/>
  <c r="E38" i="10" s="1"/>
  <c r="AJ37" i="12"/>
  <c r="E37" i="10" s="1"/>
  <c r="AJ36" i="12"/>
  <c r="E36" i="10" s="1"/>
  <c r="AJ35" i="12"/>
  <c r="E35" i="10" s="1"/>
  <c r="AJ34" i="12"/>
  <c r="E34" i="10" s="1"/>
  <c r="AJ33" i="12"/>
  <c r="E33" i="10" s="1"/>
  <c r="AJ32" i="12"/>
  <c r="E32" i="10" s="1"/>
  <c r="AJ31" i="12"/>
  <c r="E31" i="10" s="1"/>
  <c r="AJ30" i="12"/>
  <c r="E30" i="10" s="1"/>
  <c r="AJ29" i="12"/>
  <c r="E29" i="10" s="1"/>
  <c r="AJ28" i="12"/>
  <c r="E28" i="10" s="1"/>
  <c r="AJ27" i="12"/>
  <c r="E27" i="10" s="1"/>
  <c r="AJ26" i="12"/>
  <c r="E26" i="10" s="1"/>
  <c r="AJ25" i="12"/>
  <c r="E25" i="10" s="1"/>
  <c r="AJ24" i="12"/>
  <c r="E24" i="10" s="1"/>
  <c r="AJ23" i="12"/>
  <c r="E23" i="10" s="1"/>
  <c r="AJ22" i="12"/>
  <c r="E22" i="10" s="1"/>
  <c r="AJ21" i="12"/>
  <c r="E21" i="10" s="1"/>
  <c r="AJ20" i="12"/>
  <c r="E20" i="10" s="1"/>
  <c r="AJ19" i="12"/>
  <c r="E19" i="10" s="1"/>
  <c r="AJ18" i="12"/>
  <c r="E18" i="10" s="1"/>
  <c r="AJ17" i="12"/>
  <c r="E17" i="10" s="1"/>
  <c r="AJ16" i="12"/>
  <c r="E16" i="10" s="1"/>
  <c r="AJ15" i="12"/>
  <c r="E15" i="10" s="1"/>
  <c r="AJ14" i="12"/>
  <c r="E14" i="10" s="1"/>
  <c r="AJ13" i="12"/>
  <c r="E13" i="10" s="1"/>
  <c r="AJ12" i="12"/>
  <c r="E12" i="10" s="1"/>
  <c r="AJ11" i="12"/>
  <c r="E11" i="10" s="1"/>
  <c r="AJ10" i="12"/>
  <c r="E10" i="10" s="1"/>
  <c r="AJ9" i="12"/>
  <c r="E9" i="10" s="1"/>
  <c r="AJ8" i="12"/>
  <c r="E8" i="10" s="1"/>
  <c r="AJ7" i="12"/>
  <c r="E7" i="10" s="1"/>
  <c r="AJ6" i="12"/>
  <c r="E6" i="10" s="1"/>
  <c r="AJ5" i="12"/>
  <c r="E5" i="10" s="1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AJ139" i="11"/>
  <c r="D139" i="10" s="1"/>
  <c r="AJ138" i="11"/>
  <c r="D138" i="10" s="1"/>
  <c r="AJ137" i="11"/>
  <c r="D137" i="10" s="1"/>
  <c r="AJ136" i="11"/>
  <c r="D136" i="10" s="1"/>
  <c r="AJ135" i="11"/>
  <c r="D135" i="10" s="1"/>
  <c r="AJ134" i="11"/>
  <c r="D134" i="10" s="1"/>
  <c r="AJ133" i="11"/>
  <c r="D133" i="10" s="1"/>
  <c r="AJ132" i="11"/>
  <c r="D132" i="10" s="1"/>
  <c r="AJ131" i="11"/>
  <c r="D131" i="10" s="1"/>
  <c r="AJ130" i="11"/>
  <c r="D130" i="10" s="1"/>
  <c r="AJ129" i="11"/>
  <c r="D129" i="10" s="1"/>
  <c r="AJ128" i="11"/>
  <c r="D128" i="10" s="1"/>
  <c r="AJ127" i="11"/>
  <c r="D127" i="10" s="1"/>
  <c r="AJ126" i="11"/>
  <c r="D126" i="10" s="1"/>
  <c r="AJ125" i="11"/>
  <c r="D125" i="10" s="1"/>
  <c r="AJ124" i="11"/>
  <c r="D124" i="10" s="1"/>
  <c r="AJ123" i="11"/>
  <c r="D123" i="10" s="1"/>
  <c r="AJ122" i="11"/>
  <c r="D122" i="10" s="1"/>
  <c r="AJ121" i="11"/>
  <c r="D121" i="10" s="1"/>
  <c r="AJ120" i="11"/>
  <c r="D120" i="10" s="1"/>
  <c r="AJ119" i="11"/>
  <c r="D119" i="10" s="1"/>
  <c r="AJ118" i="11"/>
  <c r="D118" i="10" s="1"/>
  <c r="AJ117" i="11"/>
  <c r="D117" i="10" s="1"/>
  <c r="AJ116" i="11"/>
  <c r="D116" i="10" s="1"/>
  <c r="AJ115" i="11"/>
  <c r="D115" i="10" s="1"/>
  <c r="AJ114" i="11"/>
  <c r="D114" i="10" s="1"/>
  <c r="AJ113" i="11"/>
  <c r="D113" i="10" s="1"/>
  <c r="AJ112" i="11"/>
  <c r="D112" i="10" s="1"/>
  <c r="AJ111" i="11"/>
  <c r="D111" i="10" s="1"/>
  <c r="AJ110" i="11"/>
  <c r="D110" i="10" s="1"/>
  <c r="AJ109" i="11"/>
  <c r="D109" i="10" s="1"/>
  <c r="AJ108" i="11"/>
  <c r="D108" i="10" s="1"/>
  <c r="AJ107" i="11"/>
  <c r="D107" i="10" s="1"/>
  <c r="AJ106" i="11"/>
  <c r="D106" i="10" s="1"/>
  <c r="AJ105" i="11"/>
  <c r="D105" i="10" s="1"/>
  <c r="AJ104" i="11"/>
  <c r="D104" i="10" s="1"/>
  <c r="AJ103" i="11"/>
  <c r="D103" i="10" s="1"/>
  <c r="AJ102" i="11"/>
  <c r="D102" i="10" s="1"/>
  <c r="AJ101" i="11"/>
  <c r="D101" i="10" s="1"/>
  <c r="AJ100" i="11"/>
  <c r="D100" i="10" s="1"/>
  <c r="AJ99" i="11"/>
  <c r="D99" i="10" s="1"/>
  <c r="AJ98" i="11"/>
  <c r="D98" i="10" s="1"/>
  <c r="AJ97" i="11"/>
  <c r="D97" i="10" s="1"/>
  <c r="AJ96" i="11"/>
  <c r="D96" i="10" s="1"/>
  <c r="AJ95" i="11"/>
  <c r="D95" i="10" s="1"/>
  <c r="AJ94" i="11"/>
  <c r="D94" i="10" s="1"/>
  <c r="AJ93" i="11"/>
  <c r="D93" i="10" s="1"/>
  <c r="AJ92" i="11"/>
  <c r="D92" i="10" s="1"/>
  <c r="AJ91" i="11"/>
  <c r="D91" i="10" s="1"/>
  <c r="AJ90" i="11"/>
  <c r="D90" i="10" s="1"/>
  <c r="AJ89" i="11"/>
  <c r="D89" i="10" s="1"/>
  <c r="AJ88" i="11"/>
  <c r="D88" i="10" s="1"/>
  <c r="AJ87" i="11"/>
  <c r="D87" i="10" s="1"/>
  <c r="AJ86" i="11"/>
  <c r="D86" i="10" s="1"/>
  <c r="AJ85" i="11"/>
  <c r="D85" i="10" s="1"/>
  <c r="AJ84" i="11"/>
  <c r="D84" i="10" s="1"/>
  <c r="AJ83" i="11"/>
  <c r="D83" i="10" s="1"/>
  <c r="AJ82" i="11"/>
  <c r="D82" i="10" s="1"/>
  <c r="AJ81" i="11"/>
  <c r="D81" i="10" s="1"/>
  <c r="AJ80" i="11"/>
  <c r="D80" i="10" s="1"/>
  <c r="AJ79" i="11"/>
  <c r="D79" i="10" s="1"/>
  <c r="AJ78" i="11"/>
  <c r="D78" i="10" s="1"/>
  <c r="AJ77" i="11"/>
  <c r="D77" i="10" s="1"/>
  <c r="AJ76" i="11"/>
  <c r="D76" i="10" s="1"/>
  <c r="AJ75" i="11"/>
  <c r="D75" i="10" s="1"/>
  <c r="AJ74" i="11"/>
  <c r="D74" i="10" s="1"/>
  <c r="AJ73" i="11"/>
  <c r="D73" i="10" s="1"/>
  <c r="AJ72" i="11"/>
  <c r="D72" i="10" s="1"/>
  <c r="AJ71" i="11"/>
  <c r="D71" i="10" s="1"/>
  <c r="AJ70" i="11"/>
  <c r="D70" i="10" s="1"/>
  <c r="AJ69" i="11"/>
  <c r="D69" i="10" s="1"/>
  <c r="AJ68" i="11"/>
  <c r="D68" i="10" s="1"/>
  <c r="AJ67" i="11"/>
  <c r="D67" i="10" s="1"/>
  <c r="AJ66" i="11"/>
  <c r="D66" i="10" s="1"/>
  <c r="AJ65" i="11"/>
  <c r="D65" i="10" s="1"/>
  <c r="AJ64" i="11"/>
  <c r="D64" i="10" s="1"/>
  <c r="AJ63" i="11"/>
  <c r="D63" i="10" s="1"/>
  <c r="AJ62" i="11"/>
  <c r="D62" i="10" s="1"/>
  <c r="AJ61" i="11"/>
  <c r="D61" i="10" s="1"/>
  <c r="AJ60" i="11"/>
  <c r="D60" i="10" s="1"/>
  <c r="AJ59" i="11"/>
  <c r="D59" i="10" s="1"/>
  <c r="AJ58" i="11"/>
  <c r="D58" i="10" s="1"/>
  <c r="AJ57" i="11"/>
  <c r="D57" i="10" s="1"/>
  <c r="AJ56" i="11"/>
  <c r="D56" i="10" s="1"/>
  <c r="AJ55" i="11"/>
  <c r="D55" i="10" s="1"/>
  <c r="AJ54" i="11"/>
  <c r="D54" i="10" s="1"/>
  <c r="AJ53" i="11"/>
  <c r="D53" i="10" s="1"/>
  <c r="AJ52" i="11"/>
  <c r="D52" i="10" s="1"/>
  <c r="AJ51" i="11"/>
  <c r="D51" i="10" s="1"/>
  <c r="AJ50" i="11"/>
  <c r="D50" i="10" s="1"/>
  <c r="AJ49" i="11"/>
  <c r="D49" i="10" s="1"/>
  <c r="AJ48" i="11"/>
  <c r="D48" i="10" s="1"/>
  <c r="AJ47" i="11"/>
  <c r="D47" i="10" s="1"/>
  <c r="AJ46" i="11"/>
  <c r="D46" i="10" s="1"/>
  <c r="AJ45" i="11"/>
  <c r="D45" i="10" s="1"/>
  <c r="AJ44" i="11"/>
  <c r="D44" i="10" s="1"/>
  <c r="AJ43" i="11"/>
  <c r="D43" i="10" s="1"/>
  <c r="AJ42" i="11"/>
  <c r="D42" i="10" s="1"/>
  <c r="AJ41" i="11"/>
  <c r="D41" i="10" s="1"/>
  <c r="AJ40" i="11"/>
  <c r="D40" i="10" s="1"/>
  <c r="AJ39" i="11"/>
  <c r="D39" i="10" s="1"/>
  <c r="AJ38" i="11"/>
  <c r="D38" i="10" s="1"/>
  <c r="AJ37" i="11"/>
  <c r="D37" i="10" s="1"/>
  <c r="AJ36" i="11"/>
  <c r="D36" i="10" s="1"/>
  <c r="AJ35" i="11"/>
  <c r="D35" i="10" s="1"/>
  <c r="AJ34" i="11"/>
  <c r="D34" i="10" s="1"/>
  <c r="AJ33" i="11"/>
  <c r="D33" i="10" s="1"/>
  <c r="AJ32" i="11"/>
  <c r="D32" i="10" s="1"/>
  <c r="AJ31" i="11"/>
  <c r="D31" i="10" s="1"/>
  <c r="AJ30" i="11"/>
  <c r="D30" i="10" s="1"/>
  <c r="AJ29" i="11"/>
  <c r="D29" i="10" s="1"/>
  <c r="AJ28" i="11"/>
  <c r="D28" i="10" s="1"/>
  <c r="AJ27" i="11"/>
  <c r="D27" i="10" s="1"/>
  <c r="AJ26" i="11"/>
  <c r="D26" i="10" s="1"/>
  <c r="AJ25" i="11"/>
  <c r="D25" i="10" s="1"/>
  <c r="AJ24" i="11"/>
  <c r="D24" i="10" s="1"/>
  <c r="AJ23" i="11"/>
  <c r="D23" i="10" s="1"/>
  <c r="AJ22" i="11"/>
  <c r="D22" i="10" s="1"/>
  <c r="AJ21" i="11"/>
  <c r="D21" i="10" s="1"/>
  <c r="AJ20" i="11"/>
  <c r="D20" i="10" s="1"/>
  <c r="AJ19" i="11"/>
  <c r="D19" i="10" s="1"/>
  <c r="AJ18" i="11"/>
  <c r="D18" i="10" s="1"/>
  <c r="AJ17" i="11"/>
  <c r="D17" i="10" s="1"/>
  <c r="AJ16" i="11"/>
  <c r="D16" i="10" s="1"/>
  <c r="AJ15" i="11"/>
  <c r="D15" i="10" s="1"/>
  <c r="AJ14" i="11"/>
  <c r="D14" i="10" s="1"/>
  <c r="AJ13" i="11"/>
  <c r="D13" i="10" s="1"/>
  <c r="AJ12" i="11"/>
  <c r="D12" i="10" s="1"/>
  <c r="AJ11" i="11"/>
  <c r="D11" i="10" s="1"/>
  <c r="AJ10" i="11"/>
  <c r="D10" i="10" s="1"/>
  <c r="AJ9" i="11"/>
  <c r="D9" i="10" s="1"/>
  <c r="AJ8" i="11"/>
  <c r="D8" i="10" s="1"/>
  <c r="AJ7" i="11"/>
  <c r="D7" i="10" s="1"/>
  <c r="AJ6" i="11"/>
  <c r="D6" i="10" s="1"/>
  <c r="AJ5" i="11"/>
  <c r="D5" i="10" s="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M47" i="9"/>
  <c r="N47" i="9"/>
  <c r="E45" i="5"/>
  <c r="C38" i="9" s="1"/>
  <c r="I45" i="5"/>
  <c r="D38" i="9" s="1"/>
  <c r="M45" i="5"/>
  <c r="E38" i="9" s="1"/>
  <c r="Q45" i="5"/>
  <c r="F38" i="9" s="1"/>
  <c r="U45" i="5"/>
  <c r="G38" i="9" s="1"/>
  <c r="Y45" i="5"/>
  <c r="H38" i="9" s="1"/>
  <c r="AC45" i="5"/>
  <c r="I38" i="9" s="1"/>
  <c r="AG45" i="5"/>
  <c r="J38" i="9" s="1"/>
  <c r="AK45" i="5"/>
  <c r="K38" i="9" s="1"/>
  <c r="AO45" i="5"/>
  <c r="L38" i="9" s="1"/>
  <c r="AS45" i="5"/>
  <c r="M38" i="9" s="1"/>
  <c r="AW45" i="5"/>
  <c r="N38" i="9" s="1"/>
  <c r="F45" i="5"/>
  <c r="C39" i="9" s="1"/>
  <c r="J45" i="5"/>
  <c r="D39" i="9" s="1"/>
  <c r="N45" i="5"/>
  <c r="E39" i="9" s="1"/>
  <c r="R45" i="5"/>
  <c r="F39" i="9" s="1"/>
  <c r="V45" i="5"/>
  <c r="G39" i="9" s="1"/>
  <c r="Z45" i="5"/>
  <c r="H39" i="9" s="1"/>
  <c r="AD45" i="5"/>
  <c r="I39" i="9" s="1"/>
  <c r="AH45" i="5"/>
  <c r="J39" i="9" s="1"/>
  <c r="AL45" i="5"/>
  <c r="K39" i="9" s="1"/>
  <c r="AP45" i="5"/>
  <c r="L39" i="9" s="1"/>
  <c r="AT45" i="5"/>
  <c r="M39" i="9" s="1"/>
  <c r="AX45" i="5"/>
  <c r="N39" i="9" s="1"/>
  <c r="D45" i="5"/>
  <c r="C37" i="9" s="1"/>
  <c r="H45" i="5"/>
  <c r="D37" i="9" s="1"/>
  <c r="L45" i="5"/>
  <c r="E37" i="9" s="1"/>
  <c r="P45" i="5"/>
  <c r="F37" i="9" s="1"/>
  <c r="T45" i="5"/>
  <c r="G37" i="9" s="1"/>
  <c r="X45" i="5"/>
  <c r="H37" i="9" s="1"/>
  <c r="AB45" i="5"/>
  <c r="I37" i="9" s="1"/>
  <c r="AF45" i="5"/>
  <c r="J37" i="9" s="1"/>
  <c r="AJ45" i="5"/>
  <c r="K37" i="9" s="1"/>
  <c r="AN45" i="5"/>
  <c r="L37" i="9" s="1"/>
  <c r="AR45" i="5"/>
  <c r="M37" i="9" s="1"/>
  <c r="AV45" i="5"/>
  <c r="N37" i="9" s="1"/>
  <c r="G45" i="5"/>
  <c r="C40" i="9" s="1"/>
  <c r="K45" i="5"/>
  <c r="D40" i="9" s="1"/>
  <c r="O45" i="5"/>
  <c r="E40" i="9" s="1"/>
  <c r="S45" i="5"/>
  <c r="F40" i="9" s="1"/>
  <c r="W45" i="5"/>
  <c r="G40" i="9" s="1"/>
  <c r="AA45" i="5"/>
  <c r="H40" i="9" s="1"/>
  <c r="AE45" i="5"/>
  <c r="I40" i="9" s="1"/>
  <c r="AI45" i="5"/>
  <c r="J40" i="9" s="1"/>
  <c r="AM45" i="5"/>
  <c r="K40" i="9" s="1"/>
  <c r="AQ45" i="5"/>
  <c r="L40" i="9" s="1"/>
  <c r="AU45" i="5"/>
  <c r="M40" i="9" s="1"/>
  <c r="AY45" i="5"/>
  <c r="N40" i="9" s="1"/>
  <c r="N41" i="9" s="1"/>
  <c r="D6" i="7"/>
  <c r="D12" i="7"/>
  <c r="D37" i="7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2" i="4"/>
  <c r="C362" i="4" s="1"/>
  <c r="D362" i="4" s="1"/>
  <c r="B363" i="4"/>
  <c r="B364" i="4"/>
  <c r="B365" i="4"/>
  <c r="B366" i="4"/>
  <c r="B367" i="4"/>
  <c r="B368" i="4"/>
  <c r="B369" i="4"/>
  <c r="C369" i="4" s="1"/>
  <c r="D369" i="4" s="1"/>
  <c r="B370" i="4"/>
  <c r="B371" i="4"/>
  <c r="B372" i="4"/>
  <c r="B373" i="4"/>
  <c r="B374" i="4"/>
  <c r="B375" i="4"/>
  <c r="B376" i="4"/>
  <c r="C376" i="4" s="1"/>
  <c r="D376" i="4" s="1"/>
  <c r="B377" i="4"/>
  <c r="B378" i="4"/>
  <c r="B379" i="4"/>
  <c r="B380" i="4"/>
  <c r="B381" i="4"/>
  <c r="B382" i="4"/>
  <c r="B383" i="4"/>
  <c r="C383" i="4" s="1"/>
  <c r="D383" i="4" s="1"/>
  <c r="B384" i="4"/>
  <c r="B385" i="4"/>
  <c r="B386" i="4"/>
  <c r="B387" i="4"/>
  <c r="B388" i="4"/>
  <c r="B389" i="4"/>
  <c r="B390" i="4"/>
  <c r="C390" i="4" s="1"/>
  <c r="D390" i="4" s="1"/>
  <c r="B391" i="4"/>
  <c r="B392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9" i="4"/>
  <c r="B70" i="4"/>
  <c r="B71" i="4"/>
  <c r="C71" i="4" s="1"/>
  <c r="D71" i="4" s="1"/>
  <c r="B72" i="4"/>
  <c r="B73" i="4"/>
  <c r="B74" i="4"/>
  <c r="B75" i="4"/>
  <c r="B76" i="4"/>
  <c r="B77" i="4"/>
  <c r="B78" i="4"/>
  <c r="C78" i="4" s="1"/>
  <c r="D78" i="4" s="1"/>
  <c r="B79" i="4"/>
  <c r="B80" i="4"/>
  <c r="B81" i="4"/>
  <c r="B82" i="4"/>
  <c r="B83" i="4"/>
  <c r="B84" i="4"/>
  <c r="B85" i="4"/>
  <c r="C85" i="4" s="1"/>
  <c r="D85" i="4" s="1"/>
  <c r="B86" i="4"/>
  <c r="B87" i="4"/>
  <c r="B88" i="4"/>
  <c r="B89" i="4"/>
  <c r="B90" i="4"/>
  <c r="B91" i="4"/>
  <c r="B92" i="4"/>
  <c r="C92" i="4" s="1"/>
  <c r="D92" i="4" s="1"/>
  <c r="B93" i="4"/>
  <c r="B94" i="4"/>
  <c r="B95" i="4"/>
  <c r="B96" i="4"/>
  <c r="B97" i="4"/>
  <c r="B98" i="4"/>
  <c r="B99" i="4"/>
  <c r="C99" i="4" s="1"/>
  <c r="D99" i="4" s="1"/>
  <c r="B102" i="4"/>
  <c r="B103" i="4"/>
  <c r="B104" i="4"/>
  <c r="B105" i="4"/>
  <c r="B106" i="4"/>
  <c r="B107" i="4"/>
  <c r="B108" i="4"/>
  <c r="C108" i="4" s="1"/>
  <c r="D108" i="4" s="1"/>
  <c r="B109" i="4"/>
  <c r="B110" i="4"/>
  <c r="B111" i="4"/>
  <c r="B112" i="4"/>
  <c r="B113" i="4"/>
  <c r="B114" i="4"/>
  <c r="B115" i="4"/>
  <c r="C115" i="4" s="1"/>
  <c r="D115" i="4" s="1"/>
  <c r="B116" i="4"/>
  <c r="B117" i="4"/>
  <c r="B118" i="4"/>
  <c r="B119" i="4"/>
  <c r="B120" i="4"/>
  <c r="B121" i="4"/>
  <c r="B122" i="4"/>
  <c r="C122" i="4" s="1"/>
  <c r="D122" i="4" s="1"/>
  <c r="B123" i="4"/>
  <c r="B124" i="4"/>
  <c r="B125" i="4"/>
  <c r="B126" i="4"/>
  <c r="B127" i="4"/>
  <c r="B128" i="4"/>
  <c r="B129" i="4"/>
  <c r="C129" i="4" s="1"/>
  <c r="D129" i="4" s="1"/>
  <c r="B130" i="4"/>
  <c r="B131" i="4"/>
  <c r="B232" i="4"/>
  <c r="B233" i="4"/>
  <c r="B234" i="4"/>
  <c r="B235" i="4"/>
  <c r="C235" i="4" s="1"/>
  <c r="D235" i="4" s="1"/>
  <c r="B236" i="4"/>
  <c r="B237" i="4"/>
  <c r="B238" i="4"/>
  <c r="B239" i="4"/>
  <c r="B240" i="4"/>
  <c r="B241" i="4"/>
  <c r="B242" i="4"/>
  <c r="C242" i="4" s="1"/>
  <c r="B243" i="4"/>
  <c r="B244" i="4"/>
  <c r="B245" i="4"/>
  <c r="B246" i="4"/>
  <c r="B247" i="4"/>
  <c r="B248" i="4"/>
  <c r="B249" i="4"/>
  <c r="C249" i="4" s="1"/>
  <c r="D249" i="4" s="1"/>
  <c r="B250" i="4"/>
  <c r="B252" i="4"/>
  <c r="B253" i="4"/>
  <c r="B254" i="4"/>
  <c r="B255" i="4"/>
  <c r="B256" i="4"/>
  <c r="C256" i="4" s="1"/>
  <c r="D256" i="4" s="1"/>
  <c r="B257" i="4"/>
  <c r="B258" i="4"/>
  <c r="B259" i="4"/>
  <c r="B260" i="4"/>
  <c r="B261" i="4"/>
  <c r="B262" i="4"/>
  <c r="B134" i="4"/>
  <c r="B135" i="4"/>
  <c r="B136" i="4"/>
  <c r="B137" i="4"/>
  <c r="B138" i="4"/>
  <c r="C138" i="4" s="1"/>
  <c r="D138" i="4" s="1"/>
  <c r="B139" i="4"/>
  <c r="B140" i="4"/>
  <c r="B141" i="4"/>
  <c r="B142" i="4"/>
  <c r="B143" i="4"/>
  <c r="B144" i="4"/>
  <c r="B145" i="4"/>
  <c r="C145" i="4" s="1"/>
  <c r="D145" i="4" s="1"/>
  <c r="B146" i="4"/>
  <c r="B147" i="4"/>
  <c r="B148" i="4"/>
  <c r="B149" i="4"/>
  <c r="B150" i="4"/>
  <c r="B151" i="4"/>
  <c r="B152" i="4"/>
  <c r="C152" i="4" s="1"/>
  <c r="D152" i="4" s="1"/>
  <c r="B153" i="4"/>
  <c r="B154" i="4"/>
  <c r="B155" i="4"/>
  <c r="B156" i="4"/>
  <c r="B157" i="4"/>
  <c r="B158" i="4"/>
  <c r="B159" i="4"/>
  <c r="C159" i="4" s="1"/>
  <c r="D159" i="4" s="1"/>
  <c r="B160" i="4"/>
  <c r="B161" i="4"/>
  <c r="B162" i="4"/>
  <c r="B163" i="4"/>
  <c r="B164" i="4"/>
  <c r="B330" i="4"/>
  <c r="B331" i="4"/>
  <c r="B332" i="4"/>
  <c r="C332" i="4" s="1"/>
  <c r="D332" i="4" s="1"/>
  <c r="B333" i="4"/>
  <c r="B334" i="4"/>
  <c r="B335" i="4"/>
  <c r="B336" i="4"/>
  <c r="B337" i="4"/>
  <c r="B338" i="4"/>
  <c r="B339" i="4"/>
  <c r="C339" i="4" s="1"/>
  <c r="D339" i="4" s="1"/>
  <c r="B340" i="4"/>
  <c r="B341" i="4"/>
  <c r="B342" i="4"/>
  <c r="B343" i="4"/>
  <c r="B344" i="4"/>
  <c r="B345" i="4"/>
  <c r="B346" i="4"/>
  <c r="C346" i="4" s="1"/>
  <c r="D346" i="4" s="1"/>
  <c r="B347" i="4"/>
  <c r="B348" i="4"/>
  <c r="B349" i="4"/>
  <c r="B350" i="4"/>
  <c r="B351" i="4"/>
  <c r="B352" i="4"/>
  <c r="B353" i="4"/>
  <c r="C353" i="4" s="1"/>
  <c r="D353" i="4" s="1"/>
  <c r="B354" i="4"/>
  <c r="B355" i="4"/>
  <c r="B356" i="4"/>
  <c r="B357" i="4"/>
  <c r="B358" i="4"/>
  <c r="B359" i="4"/>
  <c r="B199" i="4"/>
  <c r="B200" i="4"/>
  <c r="B201" i="4"/>
  <c r="B202" i="4"/>
  <c r="B203" i="4"/>
  <c r="B204" i="4"/>
  <c r="B205" i="4"/>
  <c r="C205" i="4" s="1"/>
  <c r="D205" i="4" s="1"/>
  <c r="B206" i="4"/>
  <c r="B207" i="4"/>
  <c r="B208" i="4"/>
  <c r="B209" i="4"/>
  <c r="B210" i="4"/>
  <c r="B211" i="4"/>
  <c r="B212" i="4"/>
  <c r="C212" i="4" s="1"/>
  <c r="D212" i="4" s="1"/>
  <c r="B213" i="4"/>
  <c r="B214" i="4"/>
  <c r="B215" i="4"/>
  <c r="B216" i="4"/>
  <c r="B217" i="4"/>
  <c r="B218" i="4"/>
  <c r="B219" i="4"/>
  <c r="C219" i="4" s="1"/>
  <c r="D219" i="4" s="1"/>
  <c r="B220" i="4"/>
  <c r="B221" i="4"/>
  <c r="B222" i="4"/>
  <c r="B223" i="4"/>
  <c r="B224" i="4"/>
  <c r="B225" i="4"/>
  <c r="B226" i="4"/>
  <c r="C226" i="4" s="1"/>
  <c r="D226" i="4" s="1"/>
  <c r="B227" i="4"/>
  <c r="B228" i="4"/>
  <c r="B229" i="4"/>
  <c r="B167" i="4"/>
  <c r="B168" i="4"/>
  <c r="C168" i="4" s="1"/>
  <c r="D168" i="4" s="1"/>
  <c r="B169" i="4"/>
  <c r="B170" i="4"/>
  <c r="B171" i="4"/>
  <c r="B172" i="4"/>
  <c r="B173" i="4"/>
  <c r="B174" i="4"/>
  <c r="B175" i="4"/>
  <c r="C175" i="4" s="1"/>
  <c r="D175" i="4" s="1"/>
  <c r="B176" i="4"/>
  <c r="B177" i="4"/>
  <c r="B178" i="4"/>
  <c r="B179" i="4"/>
  <c r="B180" i="4"/>
  <c r="B181" i="4"/>
  <c r="B182" i="4"/>
  <c r="C182" i="4" s="1"/>
  <c r="D182" i="4" s="1"/>
  <c r="B183" i="4"/>
  <c r="B184" i="4"/>
  <c r="B185" i="4"/>
  <c r="B186" i="4"/>
  <c r="B187" i="4"/>
  <c r="B188" i="4"/>
  <c r="B189" i="4"/>
  <c r="C189" i="4" s="1"/>
  <c r="D189" i="4" s="1"/>
  <c r="B190" i="4"/>
  <c r="B191" i="4"/>
  <c r="B192" i="4"/>
  <c r="B193" i="4"/>
  <c r="B194" i="4"/>
  <c r="B195" i="4"/>
  <c r="B196" i="4"/>
  <c r="C196" i="4" s="1"/>
  <c r="D196" i="4" s="1"/>
  <c r="L393" i="4"/>
  <c r="L360" i="4"/>
  <c r="L328" i="4"/>
  <c r="L295" i="4"/>
  <c r="L263" i="4"/>
  <c r="L197" i="4"/>
  <c r="L165" i="4"/>
  <c r="L132" i="4"/>
  <c r="L36" i="4"/>
  <c r="M393" i="4"/>
  <c r="M360" i="4"/>
  <c r="M328" i="4"/>
  <c r="M295" i="4"/>
  <c r="M263" i="4"/>
  <c r="M197" i="4"/>
  <c r="M165" i="4"/>
  <c r="M132" i="4"/>
  <c r="M100" i="4"/>
  <c r="M67" i="4"/>
  <c r="M36" i="4"/>
  <c r="N102" i="4"/>
  <c r="N103" i="4"/>
  <c r="N104" i="4"/>
  <c r="N105" i="4"/>
  <c r="N106" i="4"/>
  <c r="N107" i="4"/>
  <c r="N108" i="4"/>
  <c r="N109" i="4"/>
  <c r="N110" i="4"/>
  <c r="N111" i="4"/>
  <c r="N113" i="4"/>
  <c r="N114" i="4"/>
  <c r="N115" i="4"/>
  <c r="N116" i="4"/>
  <c r="N117" i="4"/>
  <c r="N118" i="4"/>
  <c r="N119" i="4"/>
  <c r="N120" i="4"/>
  <c r="N121" i="4"/>
  <c r="N122" i="4"/>
  <c r="N123" i="4"/>
  <c r="N125" i="4"/>
  <c r="N126" i="4"/>
  <c r="N127" i="4"/>
  <c r="N128" i="4"/>
  <c r="N129" i="4"/>
  <c r="N130" i="4"/>
  <c r="N131" i="4"/>
  <c r="N69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38" i="4"/>
  <c r="N39" i="4"/>
  <c r="N40" i="4"/>
  <c r="N41" i="4"/>
  <c r="N42" i="4"/>
  <c r="N43" i="4"/>
  <c r="N44" i="4"/>
  <c r="N45" i="4"/>
  <c r="N46" i="4"/>
  <c r="N47" i="4"/>
  <c r="N48" i="4"/>
  <c r="N49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" i="4"/>
  <c r="N7" i="4"/>
  <c r="N8" i="4"/>
  <c r="N9" i="4"/>
  <c r="N10" i="4"/>
  <c r="N11" i="4"/>
  <c r="N12" i="4"/>
  <c r="N13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F393" i="4"/>
  <c r="F360" i="4"/>
  <c r="F328" i="4"/>
  <c r="F295" i="4"/>
  <c r="F263" i="4"/>
  <c r="F230" i="4"/>
  <c r="F197" i="4"/>
  <c r="F165" i="4"/>
  <c r="F132" i="4"/>
  <c r="F100" i="4"/>
  <c r="F67" i="4"/>
  <c r="F36" i="4"/>
  <c r="I393" i="4"/>
  <c r="I360" i="4"/>
  <c r="I328" i="4"/>
  <c r="I295" i="4"/>
  <c r="I263" i="4"/>
  <c r="I230" i="4"/>
  <c r="I197" i="4"/>
  <c r="I165" i="4"/>
  <c r="I132" i="4"/>
  <c r="I100" i="4"/>
  <c r="I67" i="4"/>
  <c r="I36" i="4"/>
  <c r="J393" i="4"/>
  <c r="J360" i="4"/>
  <c r="J328" i="4"/>
  <c r="J295" i="4"/>
  <c r="J263" i="4"/>
  <c r="J230" i="4"/>
  <c r="J197" i="4"/>
  <c r="J165" i="4"/>
  <c r="J132" i="4"/>
  <c r="J100" i="4"/>
  <c r="J67" i="4"/>
  <c r="J36" i="4"/>
  <c r="C5" i="3"/>
  <c r="C4" i="3"/>
  <c r="B170" i="22"/>
  <c r="B105" i="11"/>
  <c r="P12" i="6"/>
  <c r="P8" i="6"/>
  <c r="K44" i="8"/>
  <c r="B120" i="11"/>
  <c r="F43" i="8"/>
  <c r="E12" i="9" s="1"/>
  <c r="P5" i="6"/>
  <c r="P28" i="6"/>
  <c r="I6" i="10" l="1"/>
  <c r="I8" i="10"/>
  <c r="Q8" i="10" s="1"/>
  <c r="I10" i="10"/>
  <c r="Q10" i="10" s="1"/>
  <c r="I12" i="10"/>
  <c r="Q12" i="10" s="1"/>
  <c r="I14" i="10"/>
  <c r="Q14" i="10" s="1"/>
  <c r="I16" i="10"/>
  <c r="Q16" i="10" s="1"/>
  <c r="I19" i="10"/>
  <c r="Q19" i="10" s="1"/>
  <c r="I21" i="10"/>
  <c r="Q21" i="10" s="1"/>
  <c r="I23" i="10"/>
  <c r="Q23" i="10" s="1"/>
  <c r="I27" i="10"/>
  <c r="Q27" i="10" s="1"/>
  <c r="I29" i="10"/>
  <c r="Q29" i="10" s="1"/>
  <c r="I31" i="10"/>
  <c r="Q31" i="10" s="1"/>
  <c r="I33" i="10"/>
  <c r="Q33" i="10" s="1"/>
  <c r="I35" i="10"/>
  <c r="Q35" i="10" s="1"/>
  <c r="E8" i="7" s="1"/>
  <c r="I37" i="10"/>
  <c r="Q37" i="10" s="1"/>
  <c r="I39" i="10"/>
  <c r="Q39" i="10" s="1"/>
  <c r="I41" i="10"/>
  <c r="Q41" i="10" s="1"/>
  <c r="I43" i="10"/>
  <c r="Q43" i="10" s="1"/>
  <c r="I45" i="10"/>
  <c r="Q45" i="10" s="1"/>
  <c r="I47" i="10"/>
  <c r="Q47" i="10" s="1"/>
  <c r="I49" i="10"/>
  <c r="Q49" i="10" s="1"/>
  <c r="I51" i="10"/>
  <c r="Q51" i="10" s="1"/>
  <c r="I53" i="10"/>
  <c r="Q53" i="10" s="1"/>
  <c r="I55" i="10"/>
  <c r="Q55" i="10" s="1"/>
  <c r="I57" i="10"/>
  <c r="Q57" i="10" s="1"/>
  <c r="I59" i="10"/>
  <c r="Q59" i="10" s="1"/>
  <c r="I61" i="10"/>
  <c r="Q61" i="10" s="1"/>
  <c r="I63" i="10"/>
  <c r="Q63" i="10" s="1"/>
  <c r="I65" i="10"/>
  <c r="Q65" i="10" s="1"/>
  <c r="I67" i="10"/>
  <c r="Q67" i="10" s="1"/>
  <c r="I69" i="10"/>
  <c r="Q69" i="10" s="1"/>
  <c r="I71" i="10"/>
  <c r="I73" i="10"/>
  <c r="I75" i="10"/>
  <c r="I77" i="10"/>
  <c r="I79" i="10"/>
  <c r="I81" i="10"/>
  <c r="Q81" i="10" s="1"/>
  <c r="I83" i="10"/>
  <c r="Q83" i="10" s="1"/>
  <c r="I85" i="10"/>
  <c r="Q85" i="10" s="1"/>
  <c r="I87" i="10"/>
  <c r="I89" i="10"/>
  <c r="Q89" i="10" s="1"/>
  <c r="I91" i="10"/>
  <c r="Q91" i="10" s="1"/>
  <c r="I93" i="10"/>
  <c r="Q93" i="10" s="1"/>
  <c r="I95" i="10"/>
  <c r="Q95" i="10" s="1"/>
  <c r="I97" i="10"/>
  <c r="Q97" i="10" s="1"/>
  <c r="I99" i="10"/>
  <c r="I101" i="10"/>
  <c r="Q101" i="10" s="1"/>
  <c r="I103" i="10"/>
  <c r="Q103" i="10" s="1"/>
  <c r="I105" i="10"/>
  <c r="Q105" i="10" s="1"/>
  <c r="I107" i="10"/>
  <c r="I109" i="10"/>
  <c r="Q109" i="10" s="1"/>
  <c r="I111" i="10"/>
  <c r="I113" i="10"/>
  <c r="Q113" i="10" s="1"/>
  <c r="I115" i="10"/>
  <c r="Q115" i="10" s="1"/>
  <c r="E34" i="7" s="1"/>
  <c r="I117" i="10"/>
  <c r="Q117" i="10" s="1"/>
  <c r="I119" i="10"/>
  <c r="Q119" i="10" s="1"/>
  <c r="I121" i="10"/>
  <c r="I123" i="10"/>
  <c r="I125" i="10"/>
  <c r="Q125" i="10" s="1"/>
  <c r="E33" i="7" s="1"/>
  <c r="I127" i="10"/>
  <c r="I129" i="10"/>
  <c r="I131" i="10"/>
  <c r="I133" i="10"/>
  <c r="I135" i="10"/>
  <c r="Q135" i="10" s="1"/>
  <c r="E30" i="7" s="1"/>
  <c r="I137" i="10"/>
  <c r="Q137" i="10" s="1"/>
  <c r="I139" i="10"/>
  <c r="Q139" i="10" s="1"/>
  <c r="I17" i="10"/>
  <c r="Q17" i="10" s="1"/>
  <c r="I5" i="10"/>
  <c r="Q5" i="10" s="1"/>
  <c r="I7" i="10"/>
  <c r="Q7" i="10" s="1"/>
  <c r="I9" i="10"/>
  <c r="Q9" i="10" s="1"/>
  <c r="I11" i="10"/>
  <c r="Q11" i="10" s="1"/>
  <c r="I13" i="10"/>
  <c r="Q13" i="10" s="1"/>
  <c r="I15" i="10"/>
  <c r="Q15" i="10" s="1"/>
  <c r="I18" i="10"/>
  <c r="Q18" i="10" s="1"/>
  <c r="I20" i="10"/>
  <c r="Q20" i="10" s="1"/>
  <c r="I22" i="10"/>
  <c r="Q22" i="10" s="1"/>
  <c r="I24" i="10"/>
  <c r="Q24" i="10" s="1"/>
  <c r="I26" i="10"/>
  <c r="Q26" i="10" s="1"/>
  <c r="I28" i="10"/>
  <c r="Q28" i="10" s="1"/>
  <c r="I30" i="10"/>
  <c r="Q30" i="10" s="1"/>
  <c r="E35" i="7" s="1"/>
  <c r="I32" i="10"/>
  <c r="Q32" i="10" s="1"/>
  <c r="I34" i="10"/>
  <c r="Q34" i="10" s="1"/>
  <c r="I36" i="10"/>
  <c r="Q36" i="10" s="1"/>
  <c r="I38" i="10"/>
  <c r="Q38" i="10" s="1"/>
  <c r="I40" i="10"/>
  <c r="Q40" i="10" s="1"/>
  <c r="E6" i="7" s="1"/>
  <c r="I42" i="10"/>
  <c r="Q42" i="10" s="1"/>
  <c r="I44" i="10"/>
  <c r="Q44" i="10" s="1"/>
  <c r="I46" i="10"/>
  <c r="Q46" i="10" s="1"/>
  <c r="I48" i="10"/>
  <c r="Q48" i="10" s="1"/>
  <c r="I50" i="10"/>
  <c r="Q50" i="10" s="1"/>
  <c r="E25" i="7" s="1"/>
  <c r="I52" i="10"/>
  <c r="Q52" i="10" s="1"/>
  <c r="I54" i="10"/>
  <c r="Q54" i="10" s="1"/>
  <c r="I56" i="10"/>
  <c r="Q56" i="10" s="1"/>
  <c r="I58" i="10"/>
  <c r="Q58" i="10" s="1"/>
  <c r="I60" i="10"/>
  <c r="Q60" i="10" s="1"/>
  <c r="I62" i="10"/>
  <c r="Q62" i="10" s="1"/>
  <c r="I64" i="10"/>
  <c r="Q64" i="10" s="1"/>
  <c r="I66" i="10"/>
  <c r="I68" i="10"/>
  <c r="Q68" i="10" s="1"/>
  <c r="I72" i="10"/>
  <c r="I74" i="10"/>
  <c r="I76" i="10"/>
  <c r="I78" i="10"/>
  <c r="I80" i="10"/>
  <c r="Q80" i="10" s="1"/>
  <c r="E9" i="7" s="1"/>
  <c r="I82" i="10"/>
  <c r="Q82" i="10" s="1"/>
  <c r="I84" i="10"/>
  <c r="Q84" i="10" s="1"/>
  <c r="I86" i="10"/>
  <c r="Q86" i="10" s="1"/>
  <c r="I88" i="10"/>
  <c r="Q88" i="10" s="1"/>
  <c r="I90" i="10"/>
  <c r="Q90" i="10" s="1"/>
  <c r="I92" i="10"/>
  <c r="Q92" i="10" s="1"/>
  <c r="I94" i="10"/>
  <c r="Q94" i="10" s="1"/>
  <c r="I96" i="10"/>
  <c r="Q96" i="10" s="1"/>
  <c r="I98" i="10"/>
  <c r="Q98" i="10" s="1"/>
  <c r="I100" i="10"/>
  <c r="Q100" i="10" s="1"/>
  <c r="I102" i="10"/>
  <c r="Q102" i="10" s="1"/>
  <c r="I104" i="10"/>
  <c r="Q104" i="10" s="1"/>
  <c r="I106" i="10"/>
  <c r="Q106" i="10" s="1"/>
  <c r="I108" i="10"/>
  <c r="Q108" i="10" s="1"/>
  <c r="I110" i="10"/>
  <c r="Q110" i="10" s="1"/>
  <c r="I112" i="10"/>
  <c r="Q112" i="10" s="1"/>
  <c r="I114" i="10"/>
  <c r="Q114" i="10" s="1"/>
  <c r="I116" i="10"/>
  <c r="Q116" i="10" s="1"/>
  <c r="I118" i="10"/>
  <c r="Q118" i="10" s="1"/>
  <c r="I120" i="10"/>
  <c r="Q120" i="10" s="1"/>
  <c r="E15" i="7" s="1"/>
  <c r="I122" i="10"/>
  <c r="Q122" i="10" s="1"/>
  <c r="I124" i="10"/>
  <c r="Q124" i="10" s="1"/>
  <c r="I126" i="10"/>
  <c r="Q126" i="10" s="1"/>
  <c r="I128" i="10"/>
  <c r="Q128" i="10" s="1"/>
  <c r="I130" i="10"/>
  <c r="Q130" i="10" s="1"/>
  <c r="E10" i="7" s="1"/>
  <c r="I132" i="10"/>
  <c r="Q132" i="10" s="1"/>
  <c r="I134" i="10"/>
  <c r="Q134" i="10" s="1"/>
  <c r="I136" i="10"/>
  <c r="Q136" i="10" s="1"/>
  <c r="I138" i="10"/>
  <c r="Q138" i="10" s="1"/>
  <c r="I25" i="10"/>
  <c r="Q25" i="10" s="1"/>
  <c r="B5" i="21"/>
  <c r="B5" i="19"/>
  <c r="B5" i="20"/>
  <c r="B5" i="16"/>
  <c r="B5" i="14"/>
  <c r="B5" i="12"/>
  <c r="B5" i="22"/>
  <c r="B5" i="18"/>
  <c r="B5" i="17"/>
  <c r="B5" i="13"/>
  <c r="B5" i="15"/>
  <c r="D213" i="10"/>
  <c r="D207" i="10" s="1"/>
  <c r="D215" i="10"/>
  <c r="F212" i="10"/>
  <c r="F214" i="10"/>
  <c r="F208" i="10" s="1"/>
  <c r="F216" i="10"/>
  <c r="F210" i="10" s="1"/>
  <c r="G213" i="10"/>
  <c r="G215" i="10"/>
  <c r="G209" i="10" s="1"/>
  <c r="H213" i="10"/>
  <c r="H207" i="10" s="1"/>
  <c r="H215" i="10"/>
  <c r="H209" i="10" s="1"/>
  <c r="J213" i="10"/>
  <c r="J207" i="10" s="1"/>
  <c r="J215" i="10"/>
  <c r="J209" i="10" s="1"/>
  <c r="K213" i="10"/>
  <c r="K215" i="10"/>
  <c r="K209" i="10" s="1"/>
  <c r="L212" i="10"/>
  <c r="L214" i="10"/>
  <c r="L216" i="10"/>
  <c r="L210" i="10" s="1"/>
  <c r="M213" i="10"/>
  <c r="M207" i="10" s="1"/>
  <c r="M215" i="10"/>
  <c r="N212" i="10"/>
  <c r="N214" i="10"/>
  <c r="N208" i="10" s="1"/>
  <c r="N216" i="10"/>
  <c r="N210" i="10" s="1"/>
  <c r="O213" i="10"/>
  <c r="O215" i="10"/>
  <c r="O209" i="10" s="1"/>
  <c r="D212" i="10"/>
  <c r="D206" i="10" s="1"/>
  <c r="D214" i="10"/>
  <c r="D208" i="10" s="1"/>
  <c r="D216" i="10"/>
  <c r="D210" i="10" s="1"/>
  <c r="F213" i="10"/>
  <c r="F207" i="10" s="1"/>
  <c r="F215" i="10"/>
  <c r="F209" i="10" s="1"/>
  <c r="G212" i="10"/>
  <c r="G214" i="10"/>
  <c r="G208" i="10" s="1"/>
  <c r="G216" i="10"/>
  <c r="G210" i="10" s="1"/>
  <c r="H212" i="10"/>
  <c r="H214" i="10"/>
  <c r="H216" i="10"/>
  <c r="G25" i="9" s="1"/>
  <c r="J212" i="10"/>
  <c r="J214" i="10"/>
  <c r="J208" i="10" s="1"/>
  <c r="J216" i="10"/>
  <c r="I25" i="9" s="1"/>
  <c r="K212" i="10"/>
  <c r="K214" i="10"/>
  <c r="K208" i="10" s="1"/>
  <c r="K216" i="10"/>
  <c r="K210" i="10" s="1"/>
  <c r="L213" i="10"/>
  <c r="L207" i="10" s="1"/>
  <c r="L215" i="10"/>
  <c r="L209" i="10" s="1"/>
  <c r="M212" i="10"/>
  <c r="M214" i="10"/>
  <c r="M208" i="10" s="1"/>
  <c r="M216" i="10"/>
  <c r="M210" i="10" s="1"/>
  <c r="N213" i="10"/>
  <c r="N207" i="10" s="1"/>
  <c r="N215" i="10"/>
  <c r="N209" i="10" s="1"/>
  <c r="O212" i="10"/>
  <c r="O214" i="10"/>
  <c r="O208" i="10" s="1"/>
  <c r="O216" i="10"/>
  <c r="O210" i="10" s="1"/>
  <c r="E216" i="10"/>
  <c r="E210" i="10" s="1"/>
  <c r="E214" i="10"/>
  <c r="E208" i="10" s="1"/>
  <c r="E212" i="10"/>
  <c r="E215" i="10"/>
  <c r="E209" i="10" s="1"/>
  <c r="E213" i="10"/>
  <c r="E207" i="10" s="1"/>
  <c r="J24" i="7"/>
  <c r="L70" i="10"/>
  <c r="N70" i="10"/>
  <c r="F70" i="10"/>
  <c r="I70" i="10"/>
  <c r="J70" i="10"/>
  <c r="K70" i="10"/>
  <c r="M70" i="10"/>
  <c r="O70" i="10"/>
  <c r="E70" i="10"/>
  <c r="G70" i="10"/>
  <c r="H70" i="10"/>
  <c r="Q181" i="10"/>
  <c r="B180" i="22"/>
  <c r="B41" i="7"/>
  <c r="B40" i="6"/>
  <c r="B41" i="5"/>
  <c r="B43" i="7"/>
  <c r="B42" i="6"/>
  <c r="B43" i="5"/>
  <c r="B40" i="7"/>
  <c r="B39" i="6"/>
  <c r="B40" i="5"/>
  <c r="B35" i="6"/>
  <c r="B34" i="5"/>
  <c r="B11" i="7"/>
  <c r="B25" i="6"/>
  <c r="B35" i="5"/>
  <c r="B12" i="7"/>
  <c r="B22" i="6"/>
  <c r="B36" i="5"/>
  <c r="B37" i="7"/>
  <c r="B23" i="6"/>
  <c r="B37" i="5"/>
  <c r="B38" i="7"/>
  <c r="B37" i="6"/>
  <c r="B38" i="5"/>
  <c r="B24" i="7"/>
  <c r="B17" i="6"/>
  <c r="B39" i="7"/>
  <c r="B38" i="6"/>
  <c r="B39" i="5"/>
  <c r="B42" i="7"/>
  <c r="B41" i="6"/>
  <c r="B42" i="5"/>
  <c r="C33" i="4"/>
  <c r="D33" i="4" s="1"/>
  <c r="C25" i="4"/>
  <c r="D25" i="4" s="1"/>
  <c r="C19" i="4"/>
  <c r="D19" i="4" s="1"/>
  <c r="C11" i="4"/>
  <c r="D11" i="4" s="1"/>
  <c r="C5" i="4"/>
  <c r="D5" i="4" s="1"/>
  <c r="C257" i="4"/>
  <c r="D257" i="4" s="1"/>
  <c r="C250" i="4"/>
  <c r="D250" i="4" s="1"/>
  <c r="C236" i="4"/>
  <c r="D236" i="4" s="1"/>
  <c r="C32" i="4"/>
  <c r="D32" i="4" s="1"/>
  <c r="C26" i="4"/>
  <c r="D26" i="4" s="1"/>
  <c r="C18" i="4"/>
  <c r="D18" i="4" s="1"/>
  <c r="C12" i="4"/>
  <c r="D12" i="4" s="1"/>
  <c r="C294" i="4"/>
  <c r="D294" i="4" s="1"/>
  <c r="C280" i="4"/>
  <c r="D280" i="4" s="1"/>
  <c r="C266" i="4"/>
  <c r="D266" i="4" s="1"/>
  <c r="C317" i="4"/>
  <c r="D317" i="4" s="1"/>
  <c r="C303" i="4"/>
  <c r="D303" i="4" s="1"/>
  <c r="C243" i="4"/>
  <c r="D243" i="4" s="1"/>
  <c r="C287" i="4"/>
  <c r="D287" i="4" s="1"/>
  <c r="C273" i="4"/>
  <c r="D273" i="4" s="1"/>
  <c r="C324" i="4"/>
  <c r="D324" i="4" s="1"/>
  <c r="C310" i="4"/>
  <c r="D310" i="4" s="1"/>
  <c r="B110" i="11"/>
  <c r="B130" i="11"/>
  <c r="B175" i="19"/>
  <c r="B180" i="20"/>
  <c r="P16" i="6"/>
  <c r="O43" i="8"/>
  <c r="N12" i="9" s="1"/>
  <c r="P14" i="6"/>
  <c r="B165" i="20"/>
  <c r="H43" i="9"/>
  <c r="H44" i="9" s="1"/>
  <c r="H44" i="8"/>
  <c r="C163" i="4" s="1"/>
  <c r="D163" i="4" s="1"/>
  <c r="Q194" i="10"/>
  <c r="Q198" i="10"/>
  <c r="P24" i="6"/>
  <c r="Q199" i="10"/>
  <c r="Q203" i="10"/>
  <c r="Q192" i="10"/>
  <c r="B95" i="11"/>
  <c r="D45" i="6"/>
  <c r="D47" i="9" s="1"/>
  <c r="E45" i="6"/>
  <c r="E47" i="9" s="1"/>
  <c r="L45" i="6"/>
  <c r="L47" i="9" s="1"/>
  <c r="K45" i="6"/>
  <c r="K47" i="9" s="1"/>
  <c r="C45" i="6"/>
  <c r="C47" i="9" s="1"/>
  <c r="F45" i="6"/>
  <c r="F47" i="9" s="1"/>
  <c r="G45" i="6"/>
  <c r="G47" i="9" s="1"/>
  <c r="J45" i="6"/>
  <c r="J47" i="9" s="1"/>
  <c r="C292" i="4"/>
  <c r="D292" i="4" s="1"/>
  <c r="I45" i="6"/>
  <c r="I47" i="9" s="1"/>
  <c r="H45" i="6"/>
  <c r="H47" i="9" s="1"/>
  <c r="C285" i="4"/>
  <c r="D285" i="4" s="1"/>
  <c r="B50" i="11"/>
  <c r="Q201" i="10"/>
  <c r="Q195" i="10"/>
  <c r="E43" i="7" s="1"/>
  <c r="Q193" i="10"/>
  <c r="D28" i="9"/>
  <c r="H28" i="9"/>
  <c r="F28" i="9"/>
  <c r="P26" i="6"/>
  <c r="C27" i="9"/>
  <c r="E28" i="9"/>
  <c r="E27" i="9"/>
  <c r="H43" i="8"/>
  <c r="G12" i="9" s="1"/>
  <c r="G28" i="9"/>
  <c r="J43" i="8"/>
  <c r="I12" i="9" s="1"/>
  <c r="I28" i="9"/>
  <c r="O44" i="8"/>
  <c r="C381" i="4" s="1"/>
  <c r="D381" i="4" s="1"/>
  <c r="N28" i="9"/>
  <c r="N27" i="9"/>
  <c r="P27" i="6"/>
  <c r="J27" i="9"/>
  <c r="M28" i="9"/>
  <c r="C43" i="9"/>
  <c r="C44" i="9" s="1"/>
  <c r="M27" i="9"/>
  <c r="D43" i="8"/>
  <c r="C12" i="9" s="1"/>
  <c r="C28" i="9"/>
  <c r="D27" i="9"/>
  <c r="H27" i="9"/>
  <c r="L43" i="8"/>
  <c r="K12" i="9" s="1"/>
  <c r="K28" i="9"/>
  <c r="K27" i="9"/>
  <c r="M44" i="8"/>
  <c r="L28" i="9"/>
  <c r="L27" i="9"/>
  <c r="F27" i="9"/>
  <c r="G27" i="9"/>
  <c r="I27" i="9"/>
  <c r="J28" i="9"/>
  <c r="N43" i="8"/>
  <c r="M12" i="9" s="1"/>
  <c r="Q182" i="10"/>
  <c r="P22" i="6"/>
  <c r="K43" i="8"/>
  <c r="J12" i="9" s="1"/>
  <c r="F44" i="8"/>
  <c r="C81" i="4" s="1"/>
  <c r="D81" i="4" s="1"/>
  <c r="C267" i="4"/>
  <c r="D267" i="4" s="1"/>
  <c r="C322" i="4"/>
  <c r="D322" i="4" s="1"/>
  <c r="B165" i="21"/>
  <c r="B165" i="22"/>
  <c r="B125" i="11"/>
  <c r="B170" i="20"/>
  <c r="B170" i="21"/>
  <c r="B170" i="19"/>
  <c r="Q204" i="10"/>
  <c r="Q202" i="10"/>
  <c r="C311" i="4"/>
  <c r="D311" i="4" s="1"/>
  <c r="C15" i="4"/>
  <c r="D15" i="4" s="1"/>
  <c r="P15" i="6"/>
  <c r="C281" i="4"/>
  <c r="D281" i="4" s="1"/>
  <c r="P21" i="6"/>
  <c r="G44" i="8"/>
  <c r="C131" i="4" s="1"/>
  <c r="D131" i="4" s="1"/>
  <c r="B5" i="11"/>
  <c r="B80" i="11"/>
  <c r="B90" i="11"/>
  <c r="P10" i="6"/>
  <c r="P31" i="6"/>
  <c r="P18" i="6"/>
  <c r="P25" i="6"/>
  <c r="P34" i="6"/>
  <c r="P35" i="6"/>
  <c r="P23" i="6"/>
  <c r="Q196" i="10"/>
  <c r="Q197" i="10"/>
  <c r="Q200" i="10"/>
  <c r="E44" i="7" s="1"/>
  <c r="C290" i="4"/>
  <c r="D290" i="4" s="1"/>
  <c r="C270" i="4"/>
  <c r="D270" i="4" s="1"/>
  <c r="C305" i="4"/>
  <c r="D305" i="4" s="1"/>
  <c r="Q190" i="10"/>
  <c r="E42" i="7" s="1"/>
  <c r="N230" i="4"/>
  <c r="N263" i="4"/>
  <c r="N360" i="4"/>
  <c r="C260" i="4"/>
  <c r="D260" i="4" s="1"/>
  <c r="C258" i="4"/>
  <c r="D258" i="4" s="1"/>
  <c r="C254" i="4"/>
  <c r="D254" i="4" s="1"/>
  <c r="C252" i="4"/>
  <c r="D252" i="4" s="1"/>
  <c r="C247" i="4"/>
  <c r="D247" i="4" s="1"/>
  <c r="C241" i="4"/>
  <c r="D241" i="4" s="1"/>
  <c r="C237" i="4"/>
  <c r="D237" i="4" s="1"/>
  <c r="C31" i="4"/>
  <c r="D31" i="4" s="1"/>
  <c r="C27" i="4"/>
  <c r="D27" i="4" s="1"/>
  <c r="C23" i="4"/>
  <c r="D23" i="4" s="1"/>
  <c r="C21" i="4"/>
  <c r="D21" i="4" s="1"/>
  <c r="C9" i="4"/>
  <c r="D9" i="4" s="1"/>
  <c r="C7" i="4"/>
  <c r="D7" i="4" s="1"/>
  <c r="L43" i="9"/>
  <c r="L44" i="9" s="1"/>
  <c r="M43" i="8"/>
  <c r="L12" i="9" s="1"/>
  <c r="C275" i="4"/>
  <c r="D275" i="4" s="1"/>
  <c r="C318" i="4"/>
  <c r="D318" i="4" s="1"/>
  <c r="C298" i="4"/>
  <c r="D298" i="4" s="1"/>
  <c r="C308" i="4"/>
  <c r="D308" i="4" s="1"/>
  <c r="C239" i="4"/>
  <c r="D239" i="4" s="1"/>
  <c r="C271" i="4"/>
  <c r="D271" i="4" s="1"/>
  <c r="C233" i="4"/>
  <c r="D233" i="4" s="1"/>
  <c r="C262" i="4"/>
  <c r="D262" i="4" s="1"/>
  <c r="C238" i="4"/>
  <c r="D238" i="4" s="1"/>
  <c r="C288" i="4"/>
  <c r="D288" i="4" s="1"/>
  <c r="C278" i="4"/>
  <c r="D278" i="4" s="1"/>
  <c r="C327" i="4"/>
  <c r="D327" i="4" s="1"/>
  <c r="C325" i="4"/>
  <c r="D325" i="4" s="1"/>
  <c r="C321" i="4"/>
  <c r="D321" i="4" s="1"/>
  <c r="C319" i="4"/>
  <c r="D319" i="4" s="1"/>
  <c r="N328" i="4"/>
  <c r="C30" i="4"/>
  <c r="D30" i="4" s="1"/>
  <c r="B45" i="11"/>
  <c r="B55" i="11"/>
  <c r="B6" i="5"/>
  <c r="B70" i="11"/>
  <c r="B15" i="11"/>
  <c r="B35" i="11"/>
  <c r="B25" i="11"/>
  <c r="B175" i="22"/>
  <c r="E43" i="8"/>
  <c r="D12" i="9" s="1"/>
  <c r="I43" i="8"/>
  <c r="H12" i="9" s="1"/>
  <c r="I44" i="8"/>
  <c r="C188" i="4" s="1"/>
  <c r="D188" i="4" s="1"/>
  <c r="L44" i="8"/>
  <c r="J44" i="8"/>
  <c r="C217" i="4" s="1"/>
  <c r="D217" i="4" s="1"/>
  <c r="B115" i="11"/>
  <c r="B180" i="21"/>
  <c r="B175" i="20"/>
  <c r="B175" i="21"/>
  <c r="B180" i="19"/>
  <c r="E44" i="8"/>
  <c r="C60" i="4" s="1"/>
  <c r="D60" i="4" s="1"/>
  <c r="G43" i="8"/>
  <c r="F12" i="9" s="1"/>
  <c r="B165" i="19"/>
  <c r="C181" i="4"/>
  <c r="D181" i="4" s="1"/>
  <c r="I395" i="4"/>
  <c r="B75" i="11"/>
  <c r="B60" i="11"/>
  <c r="C144" i="4"/>
  <c r="D144" i="4" s="1"/>
  <c r="N165" i="4"/>
  <c r="N393" i="4"/>
  <c r="C248" i="4"/>
  <c r="D248" i="4" s="1"/>
  <c r="C240" i="4"/>
  <c r="D240" i="4" s="1"/>
  <c r="C234" i="4"/>
  <c r="D234" i="4" s="1"/>
  <c r="C24" i="4"/>
  <c r="D24" i="4" s="1"/>
  <c r="C16" i="4"/>
  <c r="D16" i="4" s="1"/>
  <c r="C14" i="4"/>
  <c r="D14" i="4" s="1"/>
  <c r="C251" i="4"/>
  <c r="D251" i="4" s="1"/>
  <c r="C291" i="4"/>
  <c r="D291" i="4" s="1"/>
  <c r="C283" i="4"/>
  <c r="D283" i="4" s="1"/>
  <c r="C277" i="4"/>
  <c r="D277" i="4" s="1"/>
  <c r="C269" i="4"/>
  <c r="D269" i="4" s="1"/>
  <c r="C297" i="4"/>
  <c r="D297" i="4" s="1"/>
  <c r="C326" i="4"/>
  <c r="D326" i="4" s="1"/>
  <c r="C320" i="4"/>
  <c r="D320" i="4" s="1"/>
  <c r="C314" i="4"/>
  <c r="D314" i="4" s="1"/>
  <c r="C312" i="4"/>
  <c r="D312" i="4" s="1"/>
  <c r="C306" i="4"/>
  <c r="D306" i="4" s="1"/>
  <c r="C300" i="4"/>
  <c r="D300" i="4" s="1"/>
  <c r="C245" i="4"/>
  <c r="D245" i="4" s="1"/>
  <c r="N36" i="4"/>
  <c r="N67" i="4"/>
  <c r="L395" i="4"/>
  <c r="C13" i="4"/>
  <c r="D13" i="4" s="1"/>
  <c r="C17" i="4"/>
  <c r="D17" i="4" s="1"/>
  <c r="C29" i="4"/>
  <c r="D29" i="4" s="1"/>
  <c r="C35" i="4"/>
  <c r="D35" i="4" s="1"/>
  <c r="C20" i="4"/>
  <c r="D20" i="4" s="1"/>
  <c r="C261" i="4"/>
  <c r="D261" i="4" s="1"/>
  <c r="C259" i="4"/>
  <c r="D259" i="4" s="1"/>
  <c r="C255" i="4"/>
  <c r="D255" i="4" s="1"/>
  <c r="C253" i="4"/>
  <c r="D253" i="4" s="1"/>
  <c r="C246" i="4"/>
  <c r="D246" i="4" s="1"/>
  <c r="C244" i="4"/>
  <c r="D244" i="4" s="1"/>
  <c r="C232" i="4"/>
  <c r="D232" i="4" s="1"/>
  <c r="C34" i="4"/>
  <c r="D34" i="4" s="1"/>
  <c r="C28" i="4"/>
  <c r="D28" i="4" s="1"/>
  <c r="C22" i="4"/>
  <c r="D22" i="4" s="1"/>
  <c r="C10" i="4"/>
  <c r="D10" i="4" s="1"/>
  <c r="C8" i="4"/>
  <c r="D8" i="4" s="1"/>
  <c r="E41" i="9"/>
  <c r="E43" i="9" s="1"/>
  <c r="E44" i="9" s="1"/>
  <c r="N295" i="4"/>
  <c r="C284" i="4"/>
  <c r="D284" i="4" s="1"/>
  <c r="C282" i="4"/>
  <c r="D282" i="4" s="1"/>
  <c r="C276" i="4"/>
  <c r="D276" i="4" s="1"/>
  <c r="C274" i="4"/>
  <c r="D274" i="4" s="1"/>
  <c r="C268" i="4"/>
  <c r="D268" i="4" s="1"/>
  <c r="C315" i="4"/>
  <c r="D315" i="4" s="1"/>
  <c r="C313" i="4"/>
  <c r="D313" i="4" s="1"/>
  <c r="C307" i="4"/>
  <c r="D307" i="4" s="1"/>
  <c r="C301" i="4"/>
  <c r="D301" i="4" s="1"/>
  <c r="C299" i="4"/>
  <c r="D299" i="4" s="1"/>
  <c r="J395" i="4"/>
  <c r="F395" i="4"/>
  <c r="N100" i="4"/>
  <c r="N132" i="4"/>
  <c r="N197" i="4"/>
  <c r="Q157" i="10"/>
  <c r="Q147" i="10"/>
  <c r="Q155" i="10"/>
  <c r="E11" i="7" s="1"/>
  <c r="Q111" i="10"/>
  <c r="Q145" i="10"/>
  <c r="E29" i="7" s="1"/>
  <c r="B40" i="11"/>
  <c r="B85" i="11"/>
  <c r="B10" i="11"/>
  <c r="B30" i="11"/>
  <c r="B20" i="11"/>
  <c r="N44" i="8"/>
  <c r="C342" i="4" s="1"/>
  <c r="D342" i="4" s="1"/>
  <c r="Q141" i="10"/>
  <c r="L41" i="9"/>
  <c r="J41" i="9"/>
  <c r="H41" i="9"/>
  <c r="D41" i="9"/>
  <c r="D43" i="9" s="1"/>
  <c r="D44" i="9" s="1"/>
  <c r="N43" i="9"/>
  <c r="N44" i="9" s="1"/>
  <c r="J43" i="9"/>
  <c r="J44" i="9" s="1"/>
  <c r="F41" i="9"/>
  <c r="F43" i="9" s="1"/>
  <c r="F44" i="9" s="1"/>
  <c r="P40" i="9"/>
  <c r="M41" i="9"/>
  <c r="K41" i="9"/>
  <c r="I41" i="9"/>
  <c r="G41" i="9"/>
  <c r="C41" i="9"/>
  <c r="P37" i="9"/>
  <c r="P39" i="9"/>
  <c r="M43" i="9"/>
  <c r="M44" i="9" s="1"/>
  <c r="K43" i="9"/>
  <c r="K44" i="9" s="1"/>
  <c r="I43" i="9"/>
  <c r="I44" i="9" s="1"/>
  <c r="G43" i="9"/>
  <c r="G44" i="9" s="1"/>
  <c r="P38" i="9"/>
  <c r="C6" i="4"/>
  <c r="Q191" i="10"/>
  <c r="C304" i="4"/>
  <c r="D304" i="4" s="1"/>
  <c r="C289" i="4"/>
  <c r="D289" i="4" s="1"/>
  <c r="Q149" i="10"/>
  <c r="Q159" i="10"/>
  <c r="Q165" i="10"/>
  <c r="E37" i="7" s="1"/>
  <c r="Q107" i="10"/>
  <c r="Q121" i="10"/>
  <c r="O31" i="25"/>
  <c r="Q143" i="10"/>
  <c r="Q169" i="10"/>
  <c r="Q173" i="10"/>
  <c r="Q167" i="10"/>
  <c r="Q170" i="10"/>
  <c r="E38" i="7" s="1"/>
  <c r="Q87" i="10"/>
  <c r="Q180" i="10"/>
  <c r="E40" i="7" s="1"/>
  <c r="Q186" i="10"/>
  <c r="Q171" i="10"/>
  <c r="Q151" i="10"/>
  <c r="Q153" i="10"/>
  <c r="Q161" i="10"/>
  <c r="Q163" i="10"/>
  <c r="Q179" i="10"/>
  <c r="Q189" i="10"/>
  <c r="Q177" i="10"/>
  <c r="Q175" i="10"/>
  <c r="E39" i="7" s="1"/>
  <c r="Q123" i="10"/>
  <c r="Q129" i="10"/>
  <c r="Q131" i="10"/>
  <c r="Q133" i="10"/>
  <c r="Q99" i="10"/>
  <c r="D242" i="4"/>
  <c r="D272" i="4"/>
  <c r="M395" i="4"/>
  <c r="Q184" i="10"/>
  <c r="Q188" i="10"/>
  <c r="Q168" i="10"/>
  <c r="Q185" i="10"/>
  <c r="E41" i="7" s="1"/>
  <c r="Q66" i="10"/>
  <c r="Q144" i="10"/>
  <c r="Q154" i="10"/>
  <c r="Q158" i="10"/>
  <c r="Q183" i="10"/>
  <c r="Q187" i="10"/>
  <c r="Q140" i="10"/>
  <c r="E14" i="7" s="1"/>
  <c r="Q142" i="10"/>
  <c r="Q146" i="10"/>
  <c r="Q148" i="10"/>
  <c r="Q150" i="10"/>
  <c r="E22" i="7" s="1"/>
  <c r="Q152" i="10"/>
  <c r="Q156" i="10"/>
  <c r="Q160" i="10"/>
  <c r="E12" i="7" s="1"/>
  <c r="Q162" i="10"/>
  <c r="Q164" i="10"/>
  <c r="Q166" i="10"/>
  <c r="Q172" i="10"/>
  <c r="Q174" i="10"/>
  <c r="Q176" i="10"/>
  <c r="Q178" i="10"/>
  <c r="J21" i="7"/>
  <c r="J20" i="7"/>
  <c r="J23" i="7"/>
  <c r="J37" i="7"/>
  <c r="J39" i="7"/>
  <c r="J41" i="7"/>
  <c r="J43" i="7"/>
  <c r="J13" i="7"/>
  <c r="J32" i="7"/>
  <c r="J8" i="7"/>
  <c r="J31" i="7"/>
  <c r="J28" i="7"/>
  <c r="J15" i="7"/>
  <c r="J14" i="7"/>
  <c r="J22" i="7"/>
  <c r="J12" i="7"/>
  <c r="J38" i="7"/>
  <c r="J40" i="7"/>
  <c r="J42" i="7"/>
  <c r="J44" i="7"/>
  <c r="J19" i="7"/>
  <c r="J17" i="7"/>
  <c r="J35" i="7"/>
  <c r="J6" i="7"/>
  <c r="J25" i="7"/>
  <c r="J36" i="7"/>
  <c r="J9" i="7"/>
  <c r="J18" i="7"/>
  <c r="J27" i="7"/>
  <c r="J29" i="7"/>
  <c r="Q6" i="10"/>
  <c r="J11" i="7"/>
  <c r="J30" i="7"/>
  <c r="J33" i="7"/>
  <c r="J34" i="7"/>
  <c r="J7" i="7"/>
  <c r="J10" i="7"/>
  <c r="J16" i="7"/>
  <c r="J5" i="7"/>
  <c r="J26" i="7"/>
  <c r="I213" i="10" l="1"/>
  <c r="H22" i="9" s="1"/>
  <c r="I214" i="10"/>
  <c r="H23" i="9" s="1"/>
  <c r="Q127" i="10"/>
  <c r="Q214" i="10" s="1"/>
  <c r="I215" i="10"/>
  <c r="I209" i="10" s="1"/>
  <c r="H9" i="9" s="1"/>
  <c r="H17" i="9" s="1"/>
  <c r="I216" i="10"/>
  <c r="I210" i="10" s="1"/>
  <c r="H10" i="9" s="1"/>
  <c r="H18" i="9" s="1"/>
  <c r="I212" i="10"/>
  <c r="H21" i="9" s="1"/>
  <c r="F39" i="7"/>
  <c r="G39" i="7" s="1"/>
  <c r="H39" i="7" s="1"/>
  <c r="I208" i="10"/>
  <c r="H8" i="9" s="1"/>
  <c r="H16" i="9" s="1"/>
  <c r="F38" i="7"/>
  <c r="K38" i="7" s="1"/>
  <c r="O206" i="10"/>
  <c r="N6" i="9" s="1"/>
  <c r="K206" i="10"/>
  <c r="J6" i="9" s="1"/>
  <c r="I206" i="10"/>
  <c r="H6" i="9" s="1"/>
  <c r="G23" i="9"/>
  <c r="H208" i="10"/>
  <c r="G8" i="9" s="1"/>
  <c r="G16" i="9" s="1"/>
  <c r="G206" i="10"/>
  <c r="F6" i="9" s="1"/>
  <c r="M21" i="9"/>
  <c r="N206" i="10"/>
  <c r="M6" i="9" s="1"/>
  <c r="K23" i="9"/>
  <c r="L208" i="10"/>
  <c r="K8" i="9" s="1"/>
  <c r="K16" i="9" s="1"/>
  <c r="E21" i="9"/>
  <c r="F206" i="10"/>
  <c r="E6" i="9" s="1"/>
  <c r="E206" i="10"/>
  <c r="D6" i="9" s="1"/>
  <c r="M206" i="10"/>
  <c r="L6" i="9" s="1"/>
  <c r="J206" i="10"/>
  <c r="I6" i="9" s="1"/>
  <c r="H206" i="10"/>
  <c r="G6" i="9" s="1"/>
  <c r="N22" i="9"/>
  <c r="O207" i="10"/>
  <c r="N7" i="9" s="1"/>
  <c r="N15" i="9" s="1"/>
  <c r="L24" i="9"/>
  <c r="M209" i="10"/>
  <c r="L9" i="9" s="1"/>
  <c r="L17" i="9" s="1"/>
  <c r="K21" i="9"/>
  <c r="L206" i="10"/>
  <c r="K6" i="9" s="1"/>
  <c r="J22" i="9"/>
  <c r="K207" i="10"/>
  <c r="J7" i="9" s="1"/>
  <c r="J15" i="9" s="1"/>
  <c r="F22" i="9"/>
  <c r="G207" i="10"/>
  <c r="F7" i="9" s="1"/>
  <c r="F15" i="9" s="1"/>
  <c r="D209" i="10"/>
  <c r="C9" i="9" s="1"/>
  <c r="C17" i="9" s="1"/>
  <c r="I21" i="9"/>
  <c r="Q212" i="10"/>
  <c r="G21" i="9"/>
  <c r="L22" i="9"/>
  <c r="M25" i="9"/>
  <c r="E25" i="9"/>
  <c r="D22" i="9"/>
  <c r="E23" i="9"/>
  <c r="K25" i="9"/>
  <c r="H210" i="10"/>
  <c r="G10" i="9" s="1"/>
  <c r="G18" i="9" s="1"/>
  <c r="F25" i="7"/>
  <c r="K25" i="7" s="1"/>
  <c r="I22" i="9"/>
  <c r="J210" i="10"/>
  <c r="I10" i="9" s="1"/>
  <c r="I18" i="9" s="1"/>
  <c r="M23" i="9"/>
  <c r="D24" i="9"/>
  <c r="F24" i="9"/>
  <c r="F25" i="9"/>
  <c r="I23" i="9"/>
  <c r="F42" i="7"/>
  <c r="G42" i="7" s="1"/>
  <c r="H42" i="7" s="1"/>
  <c r="F43" i="7"/>
  <c r="G43" i="7" s="1"/>
  <c r="H43" i="7" s="1"/>
  <c r="D25" i="9"/>
  <c r="I24" i="9"/>
  <c r="J24" i="9"/>
  <c r="N24" i="9"/>
  <c r="F35" i="7"/>
  <c r="G35" i="7" s="1"/>
  <c r="H35" i="7" s="1"/>
  <c r="E24" i="7"/>
  <c r="F24" i="7" s="1"/>
  <c r="K24" i="7" s="1"/>
  <c r="Q215" i="10"/>
  <c r="F44" i="7"/>
  <c r="G44" i="7" s="1"/>
  <c r="H44" i="7" s="1"/>
  <c r="F40" i="7"/>
  <c r="K40" i="7" s="1"/>
  <c r="Q213" i="10"/>
  <c r="Q216" i="10"/>
  <c r="F6" i="7"/>
  <c r="K6" i="7" s="1"/>
  <c r="E13" i="7"/>
  <c r="F13" i="7" s="1"/>
  <c r="E31" i="7"/>
  <c r="F31" i="7" s="1"/>
  <c r="F37" i="7"/>
  <c r="G37" i="7" s="1"/>
  <c r="H37" i="7" s="1"/>
  <c r="E27" i="7"/>
  <c r="F27" i="7" s="1"/>
  <c r="G27" i="7" s="1"/>
  <c r="H27" i="7" s="1"/>
  <c r="F9" i="7"/>
  <c r="G9" i="7" s="1"/>
  <c r="H9" i="7" s="1"/>
  <c r="E32" i="7"/>
  <c r="F32" i="7" s="1"/>
  <c r="G32" i="7" s="1"/>
  <c r="H32" i="7" s="1"/>
  <c r="E19" i="7"/>
  <c r="F19" i="7" s="1"/>
  <c r="F34" i="7"/>
  <c r="G34" i="7" s="1"/>
  <c r="H34" i="7" s="1"/>
  <c r="E36" i="7"/>
  <c r="F36" i="7" s="1"/>
  <c r="G36" i="7" s="1"/>
  <c r="H36" i="7" s="1"/>
  <c r="F11" i="7"/>
  <c r="G11" i="7" s="1"/>
  <c r="H11" i="7" s="1"/>
  <c r="E16" i="7"/>
  <c r="F16" i="7" s="1"/>
  <c r="F29" i="7"/>
  <c r="G29" i="7" s="1"/>
  <c r="H29" i="7" s="1"/>
  <c r="E5" i="7"/>
  <c r="F5" i="7" s="1"/>
  <c r="G5" i="7" s="1"/>
  <c r="H5" i="7" s="1"/>
  <c r="F22" i="7"/>
  <c r="G22" i="7" s="1"/>
  <c r="H22" i="7" s="1"/>
  <c r="E20" i="7"/>
  <c r="F20" i="7" s="1"/>
  <c r="F15" i="7"/>
  <c r="G15" i="7" s="1"/>
  <c r="H15" i="7" s="1"/>
  <c r="E7" i="7"/>
  <c r="F7" i="7" s="1"/>
  <c r="F14" i="7"/>
  <c r="K14" i="7" s="1"/>
  <c r="E21" i="7"/>
  <c r="F21" i="7" s="1"/>
  <c r="F30" i="7"/>
  <c r="G30" i="7" s="1"/>
  <c r="H30" i="7" s="1"/>
  <c r="E28" i="7"/>
  <c r="F28" i="7" s="1"/>
  <c r="E17" i="7"/>
  <c r="F17" i="7" s="1"/>
  <c r="F12" i="7"/>
  <c r="G12" i="7" s="1"/>
  <c r="H12" i="7" s="1"/>
  <c r="E23" i="7"/>
  <c r="F23" i="7" s="1"/>
  <c r="F33" i="7"/>
  <c r="C7" i="9"/>
  <c r="C15" i="9" s="1"/>
  <c r="Q72" i="10"/>
  <c r="Q73" i="10"/>
  <c r="Q71" i="10"/>
  <c r="Q79" i="10"/>
  <c r="Q75" i="10"/>
  <c r="Q78" i="10"/>
  <c r="D7" i="9"/>
  <c r="D15" i="9" s="1"/>
  <c r="Q77" i="10"/>
  <c r="Q74" i="10"/>
  <c r="Q70" i="10"/>
  <c r="Q76" i="10"/>
  <c r="G323" i="4"/>
  <c r="C88" i="4"/>
  <c r="D88" i="4" s="1"/>
  <c r="C136" i="4"/>
  <c r="D136" i="4" s="1"/>
  <c r="C164" i="4"/>
  <c r="D164" i="4" s="1"/>
  <c r="C112" i="4"/>
  <c r="D112" i="4" s="1"/>
  <c r="C140" i="4"/>
  <c r="D140" i="4" s="1"/>
  <c r="C155" i="4"/>
  <c r="D155" i="4" s="1"/>
  <c r="C150" i="4"/>
  <c r="D150" i="4" s="1"/>
  <c r="C143" i="4"/>
  <c r="D143" i="4" s="1"/>
  <c r="C69" i="4"/>
  <c r="D69" i="4" s="1"/>
  <c r="C147" i="4"/>
  <c r="D147" i="4" s="1"/>
  <c r="C161" i="4"/>
  <c r="D161" i="4" s="1"/>
  <c r="C363" i="4"/>
  <c r="D363" i="4" s="1"/>
  <c r="C42" i="4"/>
  <c r="D42" i="4" s="1"/>
  <c r="C93" i="4"/>
  <c r="D93" i="4" s="1"/>
  <c r="C354" i="4"/>
  <c r="D354" i="4" s="1"/>
  <c r="C190" i="4"/>
  <c r="D190" i="4" s="1"/>
  <c r="C370" i="4"/>
  <c r="D370" i="4" s="1"/>
  <c r="C41" i="4"/>
  <c r="D41" i="4" s="1"/>
  <c r="C55" i="4"/>
  <c r="D55" i="4" s="1"/>
  <c r="C72" i="4"/>
  <c r="D72" i="4" s="1"/>
  <c r="C102" i="4"/>
  <c r="D102" i="4" s="1"/>
  <c r="C130" i="4"/>
  <c r="D130" i="4" s="1"/>
  <c r="C146" i="4"/>
  <c r="D146" i="4" s="1"/>
  <c r="C333" i="4"/>
  <c r="D333" i="4" s="1"/>
  <c r="C206" i="4"/>
  <c r="D206" i="4" s="1"/>
  <c r="C169" i="4"/>
  <c r="D169" i="4" s="1"/>
  <c r="C391" i="4"/>
  <c r="D391" i="4" s="1"/>
  <c r="C62" i="4"/>
  <c r="D62" i="4" s="1"/>
  <c r="C109" i="4"/>
  <c r="D109" i="4" s="1"/>
  <c r="C340" i="4"/>
  <c r="D340" i="4" s="1"/>
  <c r="C213" i="4"/>
  <c r="D213" i="4" s="1"/>
  <c r="C377" i="4"/>
  <c r="D377" i="4" s="1"/>
  <c r="C56" i="4"/>
  <c r="D56" i="4" s="1"/>
  <c r="C123" i="4"/>
  <c r="D123" i="4" s="1"/>
  <c r="C139" i="4"/>
  <c r="D139" i="4" s="1"/>
  <c r="C227" i="4"/>
  <c r="D227" i="4" s="1"/>
  <c r="C384" i="4"/>
  <c r="D384" i="4" s="1"/>
  <c r="C49" i="4"/>
  <c r="D49" i="4" s="1"/>
  <c r="C63" i="4"/>
  <c r="D63" i="4" s="1"/>
  <c r="C86" i="4"/>
  <c r="D86" i="4" s="1"/>
  <c r="C116" i="4"/>
  <c r="D116" i="4" s="1"/>
  <c r="C160" i="4"/>
  <c r="D160" i="4" s="1"/>
  <c r="C347" i="4"/>
  <c r="D347" i="4" s="1"/>
  <c r="C220" i="4"/>
  <c r="D220" i="4" s="1"/>
  <c r="C183" i="4"/>
  <c r="D183" i="4" s="1"/>
  <c r="C48" i="4"/>
  <c r="D48" i="4" s="1"/>
  <c r="C79" i="4"/>
  <c r="D79" i="4" s="1"/>
  <c r="C153" i="4"/>
  <c r="D153" i="4" s="1"/>
  <c r="C199" i="4"/>
  <c r="D199" i="4" s="1"/>
  <c r="C176" i="4"/>
  <c r="D176" i="4" s="1"/>
  <c r="C368" i="4"/>
  <c r="D368" i="4" s="1"/>
  <c r="C385" i="4"/>
  <c r="D385" i="4" s="1"/>
  <c r="C375" i="4"/>
  <c r="D375" i="4" s="1"/>
  <c r="C224" i="4"/>
  <c r="D224" i="4" s="1"/>
  <c r="C104" i="4"/>
  <c r="D104" i="4" s="1"/>
  <c r="I7" i="9"/>
  <c r="I15" i="9" s="1"/>
  <c r="C184" i="4"/>
  <c r="D184" i="4" s="1"/>
  <c r="C388" i="4"/>
  <c r="D388" i="4" s="1"/>
  <c r="C110" i="4"/>
  <c r="D110" i="4" s="1"/>
  <c r="C134" i="4"/>
  <c r="D134" i="4" s="1"/>
  <c r="C142" i="4"/>
  <c r="D142" i="4" s="1"/>
  <c r="C162" i="4"/>
  <c r="D162" i="4" s="1"/>
  <c r="C229" i="4"/>
  <c r="D229" i="4" s="1"/>
  <c r="C151" i="4"/>
  <c r="D151" i="4" s="1"/>
  <c r="C135" i="4"/>
  <c r="D135" i="4" s="1"/>
  <c r="C148" i="4"/>
  <c r="D148" i="4" s="1"/>
  <c r="C225" i="4"/>
  <c r="D225" i="4" s="1"/>
  <c r="C158" i="4"/>
  <c r="D158" i="4" s="1"/>
  <c r="C386" i="4"/>
  <c r="D386" i="4" s="1"/>
  <c r="C156" i="4"/>
  <c r="D156" i="4" s="1"/>
  <c r="C154" i="4"/>
  <c r="D154" i="4" s="1"/>
  <c r="C127" i="4"/>
  <c r="D127" i="4" s="1"/>
  <c r="C367" i="4"/>
  <c r="D367" i="4" s="1"/>
  <c r="C141" i="4"/>
  <c r="D141" i="4" s="1"/>
  <c r="C149" i="4"/>
  <c r="D149" i="4" s="1"/>
  <c r="C157" i="4"/>
  <c r="D157" i="4" s="1"/>
  <c r="C137" i="4"/>
  <c r="D137" i="4" s="1"/>
  <c r="C365" i="4"/>
  <c r="D365" i="4" s="1"/>
  <c r="C178" i="4"/>
  <c r="D178" i="4" s="1"/>
  <c r="C378" i="4"/>
  <c r="D378" i="4" s="1"/>
  <c r="C202" i="4"/>
  <c r="D202" i="4" s="1"/>
  <c r="C185" i="4"/>
  <c r="D185" i="4" s="1"/>
  <c r="C228" i="4"/>
  <c r="D228" i="4" s="1"/>
  <c r="C366" i="4"/>
  <c r="D366" i="4" s="1"/>
  <c r="C373" i="4"/>
  <c r="D373" i="4" s="1"/>
  <c r="C389" i="4"/>
  <c r="D389" i="4" s="1"/>
  <c r="C380" i="4"/>
  <c r="D380" i="4" s="1"/>
  <c r="I9" i="9"/>
  <c r="I17" i="9" s="1"/>
  <c r="C192" i="4"/>
  <c r="D192" i="4" s="1"/>
  <c r="C214" i="4"/>
  <c r="D214" i="4" s="1"/>
  <c r="C173" i="4"/>
  <c r="D173" i="4" s="1"/>
  <c r="C195" i="4"/>
  <c r="D195" i="4" s="1"/>
  <c r="C194" i="4"/>
  <c r="D194" i="4" s="1"/>
  <c r="C87" i="4"/>
  <c r="D87" i="4" s="1"/>
  <c r="H330" i="4"/>
  <c r="C180" i="4"/>
  <c r="D180" i="4" s="1"/>
  <c r="C172" i="4"/>
  <c r="D172" i="4" s="1"/>
  <c r="C186" i="4"/>
  <c r="D186" i="4" s="1"/>
  <c r="C76" i="4"/>
  <c r="D76" i="4" s="1"/>
  <c r="C98" i="4"/>
  <c r="D98" i="4" s="1"/>
  <c r="C118" i="4"/>
  <c r="D118" i="4" s="1"/>
  <c r="C208" i="4"/>
  <c r="D208" i="4" s="1"/>
  <c r="C218" i="4"/>
  <c r="D218" i="4" s="1"/>
  <c r="C167" i="4"/>
  <c r="D167" i="4" s="1"/>
  <c r="C179" i="4"/>
  <c r="D179" i="4" s="1"/>
  <c r="C191" i="4"/>
  <c r="D191" i="4" s="1"/>
  <c r="C170" i="4"/>
  <c r="D170" i="4" s="1"/>
  <c r="C174" i="4"/>
  <c r="D174" i="4" s="1"/>
  <c r="C84" i="4"/>
  <c r="D84" i="4" s="1"/>
  <c r="C103" i="4"/>
  <c r="D103" i="4" s="1"/>
  <c r="C90" i="4"/>
  <c r="D90" i="4" s="1"/>
  <c r="C83" i="4"/>
  <c r="D83" i="4" s="1"/>
  <c r="P45" i="6"/>
  <c r="H145" i="4"/>
  <c r="G41" i="4"/>
  <c r="G240" i="4"/>
  <c r="C334" i="4"/>
  <c r="D334" i="4" s="1"/>
  <c r="C350" i="4"/>
  <c r="D350" i="4" s="1"/>
  <c r="P12" i="9"/>
  <c r="C374" i="4"/>
  <c r="D374" i="4" s="1"/>
  <c r="C382" i="4"/>
  <c r="D382" i="4" s="1"/>
  <c r="C57" i="4"/>
  <c r="D57" i="4" s="1"/>
  <c r="C372" i="4"/>
  <c r="D372" i="4" s="1"/>
  <c r="C392" i="4"/>
  <c r="D392" i="4" s="1"/>
  <c r="C364" i="4"/>
  <c r="D364" i="4" s="1"/>
  <c r="C371" i="4"/>
  <c r="D371" i="4" s="1"/>
  <c r="C379" i="4"/>
  <c r="D379" i="4" s="1"/>
  <c r="C387" i="4"/>
  <c r="D387" i="4" s="1"/>
  <c r="K10" i="9"/>
  <c r="K18" i="9" s="1"/>
  <c r="H57" i="4"/>
  <c r="G48" i="4"/>
  <c r="H53" i="4"/>
  <c r="E10" i="9"/>
  <c r="E18" i="9" s="1"/>
  <c r="H135" i="4"/>
  <c r="H341" i="4"/>
  <c r="C65" i="4"/>
  <c r="D65" i="4" s="1"/>
  <c r="H254" i="4"/>
  <c r="C111" i="4"/>
  <c r="D111" i="4" s="1"/>
  <c r="C75" i="4"/>
  <c r="D75" i="4" s="1"/>
  <c r="C95" i="4"/>
  <c r="D95" i="4" s="1"/>
  <c r="P28" i="9"/>
  <c r="P27" i="9"/>
  <c r="M10" i="9"/>
  <c r="M18" i="9" s="1"/>
  <c r="G391" i="4"/>
  <c r="G339" i="4"/>
  <c r="G156" i="4"/>
  <c r="G138" i="4"/>
  <c r="G340" i="4"/>
  <c r="H261" i="4"/>
  <c r="H160" i="4"/>
  <c r="H152" i="4"/>
  <c r="H141" i="4"/>
  <c r="G333" i="4"/>
  <c r="G343" i="4"/>
  <c r="H138" i="4"/>
  <c r="G52" i="4"/>
  <c r="H356" i="4"/>
  <c r="H368" i="4"/>
  <c r="G244" i="4"/>
  <c r="F10" i="9"/>
  <c r="F18" i="9" s="1"/>
  <c r="D9" i="9"/>
  <c r="D17" i="9" s="1"/>
  <c r="G253" i="4"/>
  <c r="G251" i="4"/>
  <c r="H243" i="4"/>
  <c r="G237" i="4"/>
  <c r="G42" i="4"/>
  <c r="H58" i="4"/>
  <c r="G63" i="4"/>
  <c r="G164" i="4"/>
  <c r="G155" i="4"/>
  <c r="H154" i="4"/>
  <c r="H149" i="4"/>
  <c r="G143" i="4"/>
  <c r="H139" i="4"/>
  <c r="G341" i="4"/>
  <c r="G353" i="4"/>
  <c r="G358" i="4"/>
  <c r="G330" i="4"/>
  <c r="H359" i="4"/>
  <c r="H242" i="4"/>
  <c r="N21" i="9"/>
  <c r="N10" i="9"/>
  <c r="N18" i="9" s="1"/>
  <c r="N25" i="9"/>
  <c r="N8" i="9"/>
  <c r="N16" i="9" s="1"/>
  <c r="N23" i="9"/>
  <c r="N9" i="9"/>
  <c r="N17" i="9" s="1"/>
  <c r="M9" i="9"/>
  <c r="M17" i="9" s="1"/>
  <c r="M24" i="9"/>
  <c r="M8" i="9"/>
  <c r="M16" i="9" s="1"/>
  <c r="M7" i="9"/>
  <c r="M15" i="9" s="1"/>
  <c r="M22" i="9"/>
  <c r="L7" i="9"/>
  <c r="L15" i="9" s="1"/>
  <c r="L21" i="9"/>
  <c r="L10" i="9"/>
  <c r="L18" i="9" s="1"/>
  <c r="L25" i="9"/>
  <c r="L8" i="9"/>
  <c r="L16" i="9" s="1"/>
  <c r="L23" i="9"/>
  <c r="K9" i="9"/>
  <c r="K17" i="9" s="1"/>
  <c r="K24" i="9"/>
  <c r="K7" i="9"/>
  <c r="K15" i="9" s="1"/>
  <c r="K22" i="9"/>
  <c r="J21" i="9"/>
  <c r="J10" i="9"/>
  <c r="J18" i="9" s="1"/>
  <c r="J25" i="9"/>
  <c r="J8" i="9"/>
  <c r="J16" i="9" s="1"/>
  <c r="J23" i="9"/>
  <c r="J9" i="9"/>
  <c r="J17" i="9" s="1"/>
  <c r="I8" i="9"/>
  <c r="I16" i="9" s="1"/>
  <c r="G9" i="9"/>
  <c r="G17" i="9" s="1"/>
  <c r="G24" i="9"/>
  <c r="G7" i="9"/>
  <c r="G15" i="9" s="1"/>
  <c r="G22" i="9"/>
  <c r="F9" i="9"/>
  <c r="F17" i="9" s="1"/>
  <c r="F21" i="9"/>
  <c r="F8" i="9"/>
  <c r="F16" i="9" s="1"/>
  <c r="F23" i="9"/>
  <c r="E9" i="9"/>
  <c r="E17" i="9" s="1"/>
  <c r="E24" i="9"/>
  <c r="E8" i="9"/>
  <c r="E16" i="9" s="1"/>
  <c r="E7" i="9"/>
  <c r="E15" i="9" s="1"/>
  <c r="E22" i="9"/>
  <c r="D8" i="9"/>
  <c r="D16" i="9" s="1"/>
  <c r="D23" i="9"/>
  <c r="D21" i="9"/>
  <c r="D10" i="9"/>
  <c r="D18" i="9" s="1"/>
  <c r="C23" i="9"/>
  <c r="C24" i="9"/>
  <c r="C25" i="9"/>
  <c r="C21" i="9"/>
  <c r="C22" i="9"/>
  <c r="C6" i="9"/>
  <c r="G386" i="4"/>
  <c r="C113" i="4"/>
  <c r="D113" i="4" s="1"/>
  <c r="C47" i="4"/>
  <c r="D47" i="4" s="1"/>
  <c r="C70" i="4"/>
  <c r="D70" i="4" s="1"/>
  <c r="C82" i="4"/>
  <c r="D82" i="4" s="1"/>
  <c r="C94" i="4"/>
  <c r="D94" i="4" s="1"/>
  <c r="C106" i="4"/>
  <c r="D106" i="4" s="1"/>
  <c r="C114" i="4"/>
  <c r="D114" i="4" s="1"/>
  <c r="C124" i="4"/>
  <c r="D124" i="4" s="1"/>
  <c r="C125" i="4"/>
  <c r="D125" i="4" s="1"/>
  <c r="C74" i="4"/>
  <c r="D74" i="4" s="1"/>
  <c r="C96" i="4"/>
  <c r="D96" i="4" s="1"/>
  <c r="C126" i="4"/>
  <c r="D126" i="4" s="1"/>
  <c r="C80" i="4"/>
  <c r="D80" i="4" s="1"/>
  <c r="C120" i="4"/>
  <c r="D120" i="4" s="1"/>
  <c r="C117" i="4"/>
  <c r="D117" i="4" s="1"/>
  <c r="C128" i="4"/>
  <c r="D128" i="4" s="1"/>
  <c r="C73" i="4"/>
  <c r="D73" i="4" s="1"/>
  <c r="C77" i="4"/>
  <c r="D77" i="4" s="1"/>
  <c r="C91" i="4"/>
  <c r="D91" i="4" s="1"/>
  <c r="C97" i="4"/>
  <c r="D97" i="4" s="1"/>
  <c r="C89" i="4"/>
  <c r="D89" i="4" s="1"/>
  <c r="C351" i="4"/>
  <c r="D351" i="4" s="1"/>
  <c r="C336" i="4"/>
  <c r="D336" i="4" s="1"/>
  <c r="C344" i="4"/>
  <c r="D344" i="4" s="1"/>
  <c r="H383" i="4"/>
  <c r="N395" i="4"/>
  <c r="H365" i="4"/>
  <c r="C66" i="4"/>
  <c r="D66" i="4" s="1"/>
  <c r="C39" i="4"/>
  <c r="D39" i="4" s="1"/>
  <c r="C53" i="4"/>
  <c r="D53" i="4" s="1"/>
  <c r="C59" i="4"/>
  <c r="D59" i="4" s="1"/>
  <c r="C45" i="4"/>
  <c r="D45" i="4" s="1"/>
  <c r="P47" i="9"/>
  <c r="H236" i="4"/>
  <c r="C355" i="4"/>
  <c r="D355" i="4" s="1"/>
  <c r="C356" i="4"/>
  <c r="D356" i="4" s="1"/>
  <c r="C352" i="4"/>
  <c r="D352" i="4" s="1"/>
  <c r="C330" i="4"/>
  <c r="D330" i="4" s="1"/>
  <c r="H148" i="4"/>
  <c r="C121" i="4"/>
  <c r="D121" i="4" s="1"/>
  <c r="H21" i="4"/>
  <c r="G205" i="4"/>
  <c r="G349" i="4"/>
  <c r="C204" i="4"/>
  <c r="D204" i="4" s="1"/>
  <c r="C187" i="4"/>
  <c r="D187" i="4" s="1"/>
  <c r="C222" i="4"/>
  <c r="D222" i="4" s="1"/>
  <c r="C107" i="4"/>
  <c r="D107" i="4" s="1"/>
  <c r="H59" i="4"/>
  <c r="H338" i="4"/>
  <c r="H170" i="4"/>
  <c r="H215" i="4"/>
  <c r="G356" i="4"/>
  <c r="H249" i="4"/>
  <c r="G246" i="4"/>
  <c r="H52" i="4"/>
  <c r="G170" i="4"/>
  <c r="H224" i="4"/>
  <c r="G362" i="4"/>
  <c r="H35" i="4"/>
  <c r="G215" i="4"/>
  <c r="G345" i="4"/>
  <c r="H244" i="4"/>
  <c r="G243" i="4"/>
  <c r="H233" i="4"/>
  <c r="G241" i="4"/>
  <c r="G248" i="4"/>
  <c r="G250" i="4"/>
  <c r="H260" i="4"/>
  <c r="H245" i="4"/>
  <c r="G232" i="4"/>
  <c r="G247" i="4"/>
  <c r="G46" i="4"/>
  <c r="G58" i="4"/>
  <c r="H42" i="4"/>
  <c r="H41" i="4"/>
  <c r="H43" i="4"/>
  <c r="G56" i="4"/>
  <c r="G59" i="4"/>
  <c r="G66" i="4"/>
  <c r="H164" i="4"/>
  <c r="G159" i="4"/>
  <c r="H156" i="4"/>
  <c r="H155" i="4"/>
  <c r="G154" i="4"/>
  <c r="H151" i="4"/>
  <c r="G149" i="4"/>
  <c r="H150" i="4"/>
  <c r="G145" i="4"/>
  <c r="G144" i="4"/>
  <c r="G142" i="4"/>
  <c r="G140" i="4"/>
  <c r="H137" i="4"/>
  <c r="G135" i="4"/>
  <c r="G348" i="4"/>
  <c r="G352" i="4"/>
  <c r="G337" i="4"/>
  <c r="G347" i="4"/>
  <c r="G359" i="4"/>
  <c r="G346" i="4"/>
  <c r="H334" i="4"/>
  <c r="H344" i="4"/>
  <c r="H343" i="4"/>
  <c r="H358" i="4"/>
  <c r="H357" i="4"/>
  <c r="G371" i="4"/>
  <c r="H381" i="4"/>
  <c r="G379" i="4"/>
  <c r="H374" i="4"/>
  <c r="G162" i="4"/>
  <c r="H176" i="4"/>
  <c r="H222" i="4"/>
  <c r="H31" i="4"/>
  <c r="H26" i="4"/>
  <c r="H238" i="4"/>
  <c r="G249" i="4"/>
  <c r="G239" i="4"/>
  <c r="H259" i="4"/>
  <c r="G233" i="4"/>
  <c r="G202" i="4"/>
  <c r="G331" i="4"/>
  <c r="C216" i="4"/>
  <c r="D216" i="4" s="1"/>
  <c r="C177" i="4"/>
  <c r="D177" i="4" s="1"/>
  <c r="C193" i="4"/>
  <c r="D193" i="4" s="1"/>
  <c r="C210" i="4"/>
  <c r="D210" i="4" s="1"/>
  <c r="C171" i="4"/>
  <c r="D171" i="4" s="1"/>
  <c r="C105" i="4"/>
  <c r="D105" i="4" s="1"/>
  <c r="C119" i="4"/>
  <c r="D119" i="4" s="1"/>
  <c r="G26" i="4"/>
  <c r="G262" i="4"/>
  <c r="G211" i="4"/>
  <c r="H229" i="4"/>
  <c r="G218" i="4"/>
  <c r="H23" i="4"/>
  <c r="G12" i="4"/>
  <c r="H5" i="4"/>
  <c r="G354" i="4"/>
  <c r="G256" i="4"/>
  <c r="G258" i="4"/>
  <c r="G252" i="4"/>
  <c r="H234" i="4"/>
  <c r="G259" i="4"/>
  <c r="H251" i="4"/>
  <c r="H248" i="4"/>
  <c r="G234" i="4"/>
  <c r="H256" i="4"/>
  <c r="H235" i="4"/>
  <c r="C221" i="4"/>
  <c r="D221" i="4" s="1"/>
  <c r="C203" i="4"/>
  <c r="D203" i="4" s="1"/>
  <c r="G257" i="4"/>
  <c r="H38" i="4"/>
  <c r="H190" i="4"/>
  <c r="H30" i="4"/>
  <c r="G389" i="4"/>
  <c r="G260" i="4"/>
  <c r="H370" i="4"/>
  <c r="H367" i="4"/>
  <c r="H376" i="4"/>
  <c r="G373" i="4"/>
  <c r="H64" i="4"/>
  <c r="H55" i="4"/>
  <c r="G45" i="4"/>
  <c r="H134" i="4"/>
  <c r="H346" i="4"/>
  <c r="G355" i="4"/>
  <c r="H345" i="4"/>
  <c r="G334" i="4"/>
  <c r="G169" i="4"/>
  <c r="H192" i="4"/>
  <c r="H226" i="4"/>
  <c r="G223" i="4"/>
  <c r="H202" i="4"/>
  <c r="H205" i="4"/>
  <c r="H212" i="4"/>
  <c r="H227" i="4"/>
  <c r="G225" i="4"/>
  <c r="G17" i="4"/>
  <c r="G23" i="4"/>
  <c r="H33" i="4"/>
  <c r="H10" i="4"/>
  <c r="H8" i="4"/>
  <c r="G24" i="4"/>
  <c r="G34" i="4"/>
  <c r="H29" i="4"/>
  <c r="H241" i="4"/>
  <c r="G235" i="4"/>
  <c r="G238" i="4"/>
  <c r="G261" i="4"/>
  <c r="H257" i="4"/>
  <c r="H246" i="4"/>
  <c r="H237" i="4"/>
  <c r="H247" i="4"/>
  <c r="H258" i="4"/>
  <c r="G254" i="4"/>
  <c r="G236" i="4"/>
  <c r="H239" i="4"/>
  <c r="H255" i="4"/>
  <c r="G255" i="4"/>
  <c r="G242" i="4"/>
  <c r="G245" i="4"/>
  <c r="H262" i="4"/>
  <c r="H250" i="4"/>
  <c r="H240" i="4"/>
  <c r="H232" i="4"/>
  <c r="H252" i="4"/>
  <c r="H253" i="4"/>
  <c r="C295" i="4"/>
  <c r="D295" i="4" s="1"/>
  <c r="C51" i="4"/>
  <c r="D51" i="4" s="1"/>
  <c r="C207" i="4"/>
  <c r="D207" i="4" s="1"/>
  <c r="C200" i="4"/>
  <c r="D200" i="4" s="1"/>
  <c r="C215" i="4"/>
  <c r="D215" i="4" s="1"/>
  <c r="C201" i="4"/>
  <c r="D201" i="4" s="1"/>
  <c r="C223" i="4"/>
  <c r="D223" i="4" s="1"/>
  <c r="C211" i="4"/>
  <c r="D211" i="4" s="1"/>
  <c r="C38" i="4"/>
  <c r="C54" i="4"/>
  <c r="D54" i="4" s="1"/>
  <c r="C209" i="4"/>
  <c r="D209" i="4" s="1"/>
  <c r="C52" i="4"/>
  <c r="D52" i="4" s="1"/>
  <c r="C61" i="4"/>
  <c r="D61" i="4" s="1"/>
  <c r="C43" i="4"/>
  <c r="D43" i="4" s="1"/>
  <c r="C44" i="4"/>
  <c r="D44" i="4" s="1"/>
  <c r="C46" i="4"/>
  <c r="D46" i="4" s="1"/>
  <c r="C40" i="4"/>
  <c r="D40" i="4" s="1"/>
  <c r="C64" i="4"/>
  <c r="D64" i="4" s="1"/>
  <c r="C50" i="4"/>
  <c r="D50" i="4" s="1"/>
  <c r="C58" i="4"/>
  <c r="D58" i="4" s="1"/>
  <c r="C328" i="4"/>
  <c r="D328" i="4" s="1"/>
  <c r="G20" i="4"/>
  <c r="G25" i="4"/>
  <c r="H24" i="4"/>
  <c r="H16" i="4"/>
  <c r="G30" i="4"/>
  <c r="G6" i="4"/>
  <c r="G21" i="4"/>
  <c r="G8" i="4"/>
  <c r="H9" i="4"/>
  <c r="H28" i="4"/>
  <c r="H13" i="4"/>
  <c r="G15" i="4"/>
  <c r="H22" i="4"/>
  <c r="G28" i="4"/>
  <c r="H27" i="4"/>
  <c r="G13" i="4"/>
  <c r="H19" i="4"/>
  <c r="G5" i="4"/>
  <c r="G35" i="4"/>
  <c r="H66" i="4"/>
  <c r="H39" i="4"/>
  <c r="H44" i="4"/>
  <c r="G47" i="4"/>
  <c r="H54" i="4"/>
  <c r="G57" i="4"/>
  <c r="G61" i="4"/>
  <c r="G196" i="4"/>
  <c r="H194" i="4"/>
  <c r="G174" i="4"/>
  <c r="H178" i="4"/>
  <c r="H168" i="4"/>
  <c r="H188" i="4"/>
  <c r="G179" i="4"/>
  <c r="H342" i="4"/>
  <c r="H339" i="4"/>
  <c r="H337" i="4"/>
  <c r="H350" i="4"/>
  <c r="H332" i="4"/>
  <c r="H336" i="4"/>
  <c r="G344" i="4"/>
  <c r="H347" i="4"/>
  <c r="G351" i="4"/>
  <c r="G357" i="4"/>
  <c r="G338" i="4"/>
  <c r="H331" i="4"/>
  <c r="H333" i="4"/>
  <c r="H349" i="4"/>
  <c r="H340" i="4"/>
  <c r="H354" i="4"/>
  <c r="G342" i="4"/>
  <c r="H335" i="4"/>
  <c r="H351" i="4"/>
  <c r="G392" i="4"/>
  <c r="G374" i="4"/>
  <c r="G365" i="4"/>
  <c r="G378" i="4"/>
  <c r="H390" i="4"/>
  <c r="H392" i="4"/>
  <c r="H391" i="4"/>
  <c r="H375" i="4"/>
  <c r="G380" i="4"/>
  <c r="H386" i="4"/>
  <c r="H384" i="4"/>
  <c r="H389" i="4"/>
  <c r="H373" i="4"/>
  <c r="G372" i="4"/>
  <c r="G376" i="4"/>
  <c r="G375" i="4"/>
  <c r="G221" i="4"/>
  <c r="G210" i="4"/>
  <c r="G226" i="4"/>
  <c r="H208" i="4"/>
  <c r="H211" i="4"/>
  <c r="H217" i="4"/>
  <c r="G217" i="4"/>
  <c r="H199" i="4"/>
  <c r="H201" i="4"/>
  <c r="G199" i="4"/>
  <c r="G227" i="4"/>
  <c r="H214" i="4"/>
  <c r="G228" i="4"/>
  <c r="G208" i="4"/>
  <c r="H210" i="4"/>
  <c r="G33" i="4"/>
  <c r="H6" i="4"/>
  <c r="C263" i="4"/>
  <c r="D263" i="4" s="1"/>
  <c r="G335" i="4"/>
  <c r="G336" i="4"/>
  <c r="G350" i="4"/>
  <c r="H355" i="4"/>
  <c r="H348" i="4"/>
  <c r="H352" i="4"/>
  <c r="H12" i="4"/>
  <c r="G7" i="4"/>
  <c r="G32" i="4"/>
  <c r="G18" i="4"/>
  <c r="H18" i="4"/>
  <c r="G11" i="4"/>
  <c r="H353" i="4"/>
  <c r="G332" i="4"/>
  <c r="G317" i="4"/>
  <c r="G309" i="4"/>
  <c r="G325" i="4"/>
  <c r="G313" i="4"/>
  <c r="G299" i="4"/>
  <c r="G311" i="4"/>
  <c r="H299" i="4"/>
  <c r="G305" i="4"/>
  <c r="G301" i="4"/>
  <c r="G315" i="4"/>
  <c r="H302" i="4"/>
  <c r="H298" i="4"/>
  <c r="H308" i="4"/>
  <c r="H324" i="4"/>
  <c r="G310" i="4"/>
  <c r="G298" i="4"/>
  <c r="H321" i="4"/>
  <c r="H313" i="4"/>
  <c r="H305" i="4"/>
  <c r="H320" i="4"/>
  <c r="G308" i="4"/>
  <c r="H310" i="4"/>
  <c r="H306" i="4"/>
  <c r="H300" i="4"/>
  <c r="H316" i="4"/>
  <c r="G306" i="4"/>
  <c r="H323" i="4"/>
  <c r="H315" i="4"/>
  <c r="H307" i="4"/>
  <c r="G312" i="4"/>
  <c r="G314" i="4"/>
  <c r="H303" i="4"/>
  <c r="G321" i="4"/>
  <c r="H301" i="4"/>
  <c r="G327" i="4"/>
  <c r="G303" i="4"/>
  <c r="G319" i="4"/>
  <c r="H297" i="4"/>
  <c r="G297" i="4"/>
  <c r="G307" i="4"/>
  <c r="H318" i="4"/>
  <c r="H314" i="4"/>
  <c r="G324" i="4"/>
  <c r="G326" i="4"/>
  <c r="G302" i="4"/>
  <c r="H325" i="4"/>
  <c r="H317" i="4"/>
  <c r="H309" i="4"/>
  <c r="G320" i="4"/>
  <c r="G322" i="4"/>
  <c r="G304" i="4"/>
  <c r="H326" i="4"/>
  <c r="H322" i="4"/>
  <c r="G316" i="4"/>
  <c r="G318" i="4"/>
  <c r="H327" i="4"/>
  <c r="H319" i="4"/>
  <c r="H311" i="4"/>
  <c r="H304" i="4"/>
  <c r="H312" i="4"/>
  <c r="G300" i="4"/>
  <c r="H32" i="4"/>
  <c r="G22" i="4"/>
  <c r="G16" i="4"/>
  <c r="G10" i="4"/>
  <c r="G29" i="4"/>
  <c r="H17" i="4"/>
  <c r="G19" i="4"/>
  <c r="H7" i="4"/>
  <c r="G9" i="4"/>
  <c r="H20" i="4"/>
  <c r="H25" i="4"/>
  <c r="H34" i="4"/>
  <c r="G31" i="4"/>
  <c r="G27" i="4"/>
  <c r="H14" i="4"/>
  <c r="G14" i="4"/>
  <c r="H15" i="4"/>
  <c r="H11" i="4"/>
  <c r="H228" i="4"/>
  <c r="G229" i="4"/>
  <c r="G214" i="4"/>
  <c r="G209" i="4"/>
  <c r="H216" i="4"/>
  <c r="G206" i="4"/>
  <c r="H200" i="4"/>
  <c r="H219" i="4"/>
  <c r="H213" i="4"/>
  <c r="H204" i="4"/>
  <c r="H207" i="4"/>
  <c r="H225" i="4"/>
  <c r="G203" i="4"/>
  <c r="G200" i="4"/>
  <c r="G220" i="4"/>
  <c r="G207" i="4"/>
  <c r="H218" i="4"/>
  <c r="G216" i="4"/>
  <c r="G213" i="4"/>
  <c r="G222" i="4"/>
  <c r="H203" i="4"/>
  <c r="H209" i="4"/>
  <c r="G201" i="4"/>
  <c r="H220" i="4"/>
  <c r="H223" i="4"/>
  <c r="H221" i="4"/>
  <c r="G219" i="4"/>
  <c r="G212" i="4"/>
  <c r="G224" i="4"/>
  <c r="H206" i="4"/>
  <c r="G204" i="4"/>
  <c r="H78" i="4"/>
  <c r="H98" i="4"/>
  <c r="H86" i="4"/>
  <c r="H76" i="4"/>
  <c r="H92" i="4"/>
  <c r="H87" i="4"/>
  <c r="H77" i="4"/>
  <c r="H93" i="4"/>
  <c r="H91" i="4"/>
  <c r="G91" i="4"/>
  <c r="H94" i="4"/>
  <c r="H96" i="4"/>
  <c r="H80" i="4"/>
  <c r="H79" i="4"/>
  <c r="H73" i="4"/>
  <c r="H89" i="4"/>
  <c r="H83" i="4"/>
  <c r="G95" i="4"/>
  <c r="G71" i="4"/>
  <c r="G92" i="4"/>
  <c r="G84" i="4"/>
  <c r="G74" i="4"/>
  <c r="G73" i="4"/>
  <c r="G69" i="4"/>
  <c r="G87" i="4"/>
  <c r="G98" i="4"/>
  <c r="G90" i="4"/>
  <c r="G82" i="4"/>
  <c r="G76" i="4"/>
  <c r="G81" i="4"/>
  <c r="G77" i="4"/>
  <c r="H70" i="4"/>
  <c r="H82" i="4"/>
  <c r="H74" i="4"/>
  <c r="H84" i="4"/>
  <c r="H71" i="4"/>
  <c r="H69" i="4"/>
  <c r="H85" i="4"/>
  <c r="H75" i="4"/>
  <c r="G99" i="4"/>
  <c r="G83" i="4"/>
  <c r="H90" i="4"/>
  <c r="H72" i="4"/>
  <c r="H88" i="4"/>
  <c r="H95" i="4"/>
  <c r="H81" i="4"/>
  <c r="H97" i="4"/>
  <c r="H99" i="4"/>
  <c r="G79" i="4"/>
  <c r="G96" i="4"/>
  <c r="G86" i="4"/>
  <c r="G80" i="4"/>
  <c r="G70" i="4"/>
  <c r="G89" i="4"/>
  <c r="G85" i="4"/>
  <c r="G75" i="4"/>
  <c r="G94" i="4"/>
  <c r="G88" i="4"/>
  <c r="G78" i="4"/>
  <c r="G72" i="4"/>
  <c r="G97" i="4"/>
  <c r="G93" i="4"/>
  <c r="G367" i="4"/>
  <c r="G368" i="4"/>
  <c r="G387" i="4"/>
  <c r="H369" i="4"/>
  <c r="H385" i="4"/>
  <c r="H380" i="4"/>
  <c r="H378" i="4"/>
  <c r="G364" i="4"/>
  <c r="H371" i="4"/>
  <c r="H387" i="4"/>
  <c r="H388" i="4"/>
  <c r="H382" i="4"/>
  <c r="G385" i="4"/>
  <c r="G390" i="4"/>
  <c r="G366" i="4"/>
  <c r="G370" i="4"/>
  <c r="G383" i="4"/>
  <c r="G384" i="4"/>
  <c r="G388" i="4"/>
  <c r="H377" i="4"/>
  <c r="H364" i="4"/>
  <c r="H362" i="4"/>
  <c r="G363" i="4"/>
  <c r="H363" i="4"/>
  <c r="H379" i="4"/>
  <c r="H372" i="4"/>
  <c r="H366" i="4"/>
  <c r="G369" i="4"/>
  <c r="G382" i="4"/>
  <c r="G377" i="4"/>
  <c r="G381" i="4"/>
  <c r="G161" i="4"/>
  <c r="H146" i="4"/>
  <c r="H140" i="4"/>
  <c r="H142" i="4"/>
  <c r="G148" i="4"/>
  <c r="G153" i="4"/>
  <c r="H147" i="4"/>
  <c r="G134" i="4"/>
  <c r="G139" i="4"/>
  <c r="G141" i="4"/>
  <c r="H153" i="4"/>
  <c r="H159" i="4"/>
  <c r="G146" i="4"/>
  <c r="G147" i="4"/>
  <c r="G152" i="4"/>
  <c r="H162" i="4"/>
  <c r="G136" i="4"/>
  <c r="H158" i="4"/>
  <c r="G137" i="4"/>
  <c r="H161" i="4"/>
  <c r="H163" i="4"/>
  <c r="G150" i="4"/>
  <c r="G151" i="4"/>
  <c r="G157" i="4"/>
  <c r="H143" i="4"/>
  <c r="H157" i="4"/>
  <c r="G158" i="4"/>
  <c r="G163" i="4"/>
  <c r="H144" i="4"/>
  <c r="G160" i="4"/>
  <c r="H136" i="4"/>
  <c r="G62" i="4"/>
  <c r="G38" i="4"/>
  <c r="G49" i="4"/>
  <c r="G50" i="4"/>
  <c r="H48" i="4"/>
  <c r="H46" i="4"/>
  <c r="H45" i="4"/>
  <c r="H47" i="4"/>
  <c r="H50" i="4"/>
  <c r="H49" i="4"/>
  <c r="H51" i="4"/>
  <c r="G55" i="4"/>
  <c r="G60" i="4"/>
  <c r="G43" i="4"/>
  <c r="G64" i="4"/>
  <c r="G53" i="4"/>
  <c r="G54" i="4"/>
  <c r="G65" i="4"/>
  <c r="H40" i="4"/>
  <c r="H56" i="4"/>
  <c r="H60" i="4"/>
  <c r="H61" i="4"/>
  <c r="H63" i="4"/>
  <c r="H62" i="4"/>
  <c r="H65" i="4"/>
  <c r="G39" i="4"/>
  <c r="G44" i="4"/>
  <c r="G51" i="4"/>
  <c r="G40" i="4"/>
  <c r="G176" i="4"/>
  <c r="G172" i="4"/>
  <c r="H186" i="4"/>
  <c r="H184" i="4"/>
  <c r="H172" i="4"/>
  <c r="H196" i="4"/>
  <c r="G185" i="4"/>
  <c r="G180" i="4"/>
  <c r="G188" i="4"/>
  <c r="G171" i="4"/>
  <c r="G193" i="4"/>
  <c r="G194" i="4"/>
  <c r="H185" i="4"/>
  <c r="H167" i="4"/>
  <c r="G187" i="4"/>
  <c r="G190" i="4"/>
  <c r="H193" i="4"/>
  <c r="G167" i="4"/>
  <c r="H179" i="4"/>
  <c r="H187" i="4"/>
  <c r="H181" i="4"/>
  <c r="H195" i="4"/>
  <c r="G181" i="4"/>
  <c r="H182" i="4"/>
  <c r="G178" i="4"/>
  <c r="G168" i="4"/>
  <c r="H174" i="4"/>
  <c r="G195" i="4"/>
  <c r="H180" i="4"/>
  <c r="H175" i="4"/>
  <c r="H191" i="4"/>
  <c r="G184" i="4"/>
  <c r="G192" i="4"/>
  <c r="H183" i="4"/>
  <c r="G186" i="4"/>
  <c r="H169" i="4"/>
  <c r="H173" i="4"/>
  <c r="G177" i="4"/>
  <c r="G182" i="4"/>
  <c r="H177" i="4"/>
  <c r="H189" i="4"/>
  <c r="G173" i="4"/>
  <c r="G183" i="4"/>
  <c r="G191" i="4"/>
  <c r="G175" i="4"/>
  <c r="H171" i="4"/>
  <c r="G189" i="4"/>
  <c r="H109" i="4"/>
  <c r="H117" i="4"/>
  <c r="H125" i="4"/>
  <c r="H102" i="4"/>
  <c r="H118" i="4"/>
  <c r="H104" i="4"/>
  <c r="H120" i="4"/>
  <c r="G105" i="4"/>
  <c r="G121" i="4"/>
  <c r="G102" i="4"/>
  <c r="G122" i="4"/>
  <c r="H103" i="4"/>
  <c r="H111" i="4"/>
  <c r="H119" i="4"/>
  <c r="H127" i="4"/>
  <c r="H106" i="4"/>
  <c r="H122" i="4"/>
  <c r="H108" i="4"/>
  <c r="H124" i="4"/>
  <c r="G117" i="4"/>
  <c r="G106" i="4"/>
  <c r="G118" i="4"/>
  <c r="G107" i="4"/>
  <c r="G123" i="4"/>
  <c r="G104" i="4"/>
  <c r="G120" i="4"/>
  <c r="G103" i="4"/>
  <c r="G108" i="4"/>
  <c r="G124" i="4"/>
  <c r="H105" i="4"/>
  <c r="H113" i="4"/>
  <c r="H121" i="4"/>
  <c r="H129" i="4"/>
  <c r="H110" i="4"/>
  <c r="H126" i="4"/>
  <c r="H112" i="4"/>
  <c r="H128" i="4"/>
  <c r="G113" i="4"/>
  <c r="G129" i="4"/>
  <c r="G110" i="4"/>
  <c r="G130" i="4"/>
  <c r="H107" i="4"/>
  <c r="H115" i="4"/>
  <c r="H123" i="4"/>
  <c r="H131" i="4"/>
  <c r="H114" i="4"/>
  <c r="H130" i="4"/>
  <c r="H116" i="4"/>
  <c r="G109" i="4"/>
  <c r="G125" i="4"/>
  <c r="G114" i="4"/>
  <c r="G126" i="4"/>
  <c r="G115" i="4"/>
  <c r="G131" i="4"/>
  <c r="G116" i="4"/>
  <c r="G128" i="4"/>
  <c r="G119" i="4"/>
  <c r="G111" i="4"/>
  <c r="G112" i="4"/>
  <c r="G127" i="4"/>
  <c r="G279" i="4"/>
  <c r="G275" i="4"/>
  <c r="G269" i="4"/>
  <c r="G283" i="4"/>
  <c r="G277" i="4"/>
  <c r="G293" i="4"/>
  <c r="G272" i="4"/>
  <c r="G280" i="4"/>
  <c r="H267" i="4"/>
  <c r="H275" i="4"/>
  <c r="H281" i="4"/>
  <c r="H289" i="4"/>
  <c r="G267" i="4"/>
  <c r="G281" i="4"/>
  <c r="G286" i="4"/>
  <c r="G271" i="4"/>
  <c r="G291" i="4"/>
  <c r="G287" i="4"/>
  <c r="G265" i="4"/>
  <c r="G285" i="4"/>
  <c r="G268" i="4"/>
  <c r="G276" i="4"/>
  <c r="G284" i="4"/>
  <c r="H271" i="4"/>
  <c r="H279" i="4"/>
  <c r="H285" i="4"/>
  <c r="H293" i="4"/>
  <c r="G289" i="4"/>
  <c r="G270" i="4"/>
  <c r="G278" i="4"/>
  <c r="G292" i="4"/>
  <c r="H269" i="4"/>
  <c r="H277" i="4"/>
  <c r="H287" i="4"/>
  <c r="G288" i="4"/>
  <c r="H266" i="4"/>
  <c r="H282" i="4"/>
  <c r="H272" i="4"/>
  <c r="H292" i="4"/>
  <c r="H284" i="4"/>
  <c r="H278" i="4"/>
  <c r="H290" i="4"/>
  <c r="H288" i="4"/>
  <c r="G273" i="4"/>
  <c r="G266" i="4"/>
  <c r="G274" i="4"/>
  <c r="G282" i="4"/>
  <c r="H265" i="4"/>
  <c r="H273" i="4"/>
  <c r="H283" i="4"/>
  <c r="H291" i="4"/>
  <c r="H276" i="4"/>
  <c r="H274" i="4"/>
  <c r="H294" i="4"/>
  <c r="H280" i="4"/>
  <c r="G290" i="4"/>
  <c r="H270" i="4"/>
  <c r="H286" i="4"/>
  <c r="H268" i="4"/>
  <c r="G294" i="4"/>
  <c r="C348" i="4"/>
  <c r="D348" i="4" s="1"/>
  <c r="C358" i="4"/>
  <c r="D358" i="4" s="1"/>
  <c r="C357" i="4"/>
  <c r="D357" i="4" s="1"/>
  <c r="C345" i="4"/>
  <c r="D345" i="4" s="1"/>
  <c r="C341" i="4"/>
  <c r="D341" i="4" s="1"/>
  <c r="C335" i="4"/>
  <c r="D335" i="4" s="1"/>
  <c r="C338" i="4"/>
  <c r="D338" i="4" s="1"/>
  <c r="C359" i="4"/>
  <c r="D359" i="4" s="1"/>
  <c r="C349" i="4"/>
  <c r="D349" i="4" s="1"/>
  <c r="C343" i="4"/>
  <c r="D343" i="4" s="1"/>
  <c r="C337" i="4"/>
  <c r="D337" i="4" s="1"/>
  <c r="C331" i="4"/>
  <c r="D331" i="4" s="1"/>
  <c r="P41" i="9"/>
  <c r="P43" i="9" s="1"/>
  <c r="P44" i="9" s="1"/>
  <c r="D6" i="4"/>
  <c r="C36" i="4"/>
  <c r="D36" i="4" s="1"/>
  <c r="K43" i="7"/>
  <c r="K39" i="7"/>
  <c r="F8" i="7"/>
  <c r="F41" i="7"/>
  <c r="K31" i="9" l="1"/>
  <c r="K34" i="9" s="1"/>
  <c r="H24" i="9"/>
  <c r="I207" i="10"/>
  <c r="H7" i="9" s="1"/>
  <c r="H15" i="9" s="1"/>
  <c r="H25" i="9"/>
  <c r="P25" i="9" s="1"/>
  <c r="S5" i="10"/>
  <c r="S206" i="10" s="1"/>
  <c r="G38" i="7"/>
  <c r="H38" i="7" s="1"/>
  <c r="I31" i="9"/>
  <c r="I34" i="9" s="1"/>
  <c r="G31" i="9"/>
  <c r="G34" i="9" s="1"/>
  <c r="K42" i="7"/>
  <c r="E31" i="9"/>
  <c r="E34" i="9" s="1"/>
  <c r="M31" i="9"/>
  <c r="M34" i="9" s="1"/>
  <c r="J31" i="9"/>
  <c r="J34" i="9" s="1"/>
  <c r="K37" i="7"/>
  <c r="K12" i="7"/>
  <c r="G25" i="7"/>
  <c r="H25" i="7" s="1"/>
  <c r="G19" i="9"/>
  <c r="K35" i="7"/>
  <c r="G6" i="7"/>
  <c r="H6" i="7" s="1"/>
  <c r="G14" i="7"/>
  <c r="H14" i="7" s="1"/>
  <c r="K11" i="7"/>
  <c r="K44" i="7"/>
  <c r="K29" i="7"/>
  <c r="N31" i="9"/>
  <c r="N34" i="9" s="1"/>
  <c r="Q210" i="10"/>
  <c r="K15" i="7"/>
  <c r="K30" i="7"/>
  <c r="G40" i="7"/>
  <c r="H40" i="7" s="1"/>
  <c r="K22" i="7"/>
  <c r="Q206" i="10"/>
  <c r="Q208" i="10"/>
  <c r="Q207" i="10"/>
  <c r="Q209" i="10"/>
  <c r="K31" i="7"/>
  <c r="G31" i="7"/>
  <c r="H31" i="7" s="1"/>
  <c r="K32" i="7"/>
  <c r="K27" i="7"/>
  <c r="G24" i="7"/>
  <c r="H24" i="7" s="1"/>
  <c r="K34" i="7"/>
  <c r="K9" i="7"/>
  <c r="G13" i="7"/>
  <c r="H13" i="7" s="1"/>
  <c r="K13" i="7"/>
  <c r="G7" i="7"/>
  <c r="H7" i="7" s="1"/>
  <c r="K7" i="7"/>
  <c r="G16" i="7"/>
  <c r="H16" i="7" s="1"/>
  <c r="K16" i="7"/>
  <c r="F10" i="7"/>
  <c r="E18" i="7"/>
  <c r="F18" i="7" s="1"/>
  <c r="R5" i="10"/>
  <c r="R206" i="10" s="1"/>
  <c r="E26" i="7"/>
  <c r="F26" i="7" s="1"/>
  <c r="G28" i="7"/>
  <c r="H28" i="7" s="1"/>
  <c r="K28" i="7"/>
  <c r="K17" i="7"/>
  <c r="G17" i="7"/>
  <c r="H17" i="7" s="1"/>
  <c r="G23" i="7"/>
  <c r="H23" i="7" s="1"/>
  <c r="K23" i="7"/>
  <c r="G33" i="7"/>
  <c r="H33" i="7" s="1"/>
  <c r="K33" i="7"/>
  <c r="U5" i="10"/>
  <c r="U206" i="10" s="1"/>
  <c r="T5" i="10"/>
  <c r="T206" i="10" s="1"/>
  <c r="V5" i="10"/>
  <c r="V206" i="10" s="1"/>
  <c r="C165" i="4"/>
  <c r="D165" i="4" s="1"/>
  <c r="E184" i="4"/>
  <c r="Q289" i="4"/>
  <c r="M19" i="9"/>
  <c r="E19" i="9"/>
  <c r="J14" i="9"/>
  <c r="J19" i="9"/>
  <c r="K14" i="9"/>
  <c r="K19" i="9"/>
  <c r="D14" i="9"/>
  <c r="D19" i="9"/>
  <c r="H14" i="9"/>
  <c r="H19" i="9"/>
  <c r="I14" i="9"/>
  <c r="I19" i="9"/>
  <c r="L14" i="9"/>
  <c r="L19" i="9"/>
  <c r="F14" i="9"/>
  <c r="F19" i="9"/>
  <c r="N19" i="9"/>
  <c r="E208" i="4"/>
  <c r="P41" i="4"/>
  <c r="E145" i="4"/>
  <c r="Q170" i="4"/>
  <c r="E193" i="4"/>
  <c r="D31" i="9"/>
  <c r="D34" i="9" s="1"/>
  <c r="P259" i="4"/>
  <c r="P233" i="4"/>
  <c r="C393" i="4"/>
  <c r="D393" i="4" s="1"/>
  <c r="Q261" i="4"/>
  <c r="P253" i="4"/>
  <c r="Q249" i="4"/>
  <c r="P254" i="4"/>
  <c r="E160" i="4"/>
  <c r="P141" i="4"/>
  <c r="Q135" i="4"/>
  <c r="P57" i="4"/>
  <c r="Q154" i="4"/>
  <c r="P164" i="4"/>
  <c r="M30" i="9"/>
  <c r="M33" i="9" s="1"/>
  <c r="Q356" i="4"/>
  <c r="Q251" i="4"/>
  <c r="Q244" i="4"/>
  <c r="E330" i="4"/>
  <c r="Q340" i="4"/>
  <c r="Q139" i="4"/>
  <c r="Q156" i="4"/>
  <c r="Q48" i="4"/>
  <c r="I30" i="9"/>
  <c r="I33" i="9" s="1"/>
  <c r="E368" i="4"/>
  <c r="P341" i="4"/>
  <c r="P339" i="4"/>
  <c r="E138" i="4"/>
  <c r="Q53" i="4"/>
  <c r="C100" i="4"/>
  <c r="D100" i="4" s="1"/>
  <c r="P288" i="4"/>
  <c r="P383" i="4"/>
  <c r="P138" i="4"/>
  <c r="Q138" i="4"/>
  <c r="P143" i="4"/>
  <c r="E152" i="4"/>
  <c r="Q63" i="4"/>
  <c r="P237" i="4"/>
  <c r="G30" i="9"/>
  <c r="G33" i="9" s="1"/>
  <c r="J30" i="9"/>
  <c r="J33" i="9" s="1"/>
  <c r="K30" i="9"/>
  <c r="K33" i="9" s="1"/>
  <c r="E391" i="4"/>
  <c r="E333" i="4"/>
  <c r="Q42" i="4"/>
  <c r="Q330" i="4"/>
  <c r="P149" i="4"/>
  <c r="P23" i="9"/>
  <c r="F30" i="9"/>
  <c r="F33" i="9" s="1"/>
  <c r="D30" i="9"/>
  <c r="D33" i="9" s="1"/>
  <c r="P22" i="9"/>
  <c r="P24" i="9"/>
  <c r="E30" i="9"/>
  <c r="E33" i="9" s="1"/>
  <c r="P353" i="4"/>
  <c r="E386" i="4"/>
  <c r="P242" i="4"/>
  <c r="P155" i="4"/>
  <c r="P243" i="4"/>
  <c r="P9" i="9"/>
  <c r="P17" i="9" s="1"/>
  <c r="N30" i="9"/>
  <c r="N33" i="9" s="1"/>
  <c r="E365" i="4"/>
  <c r="N14" i="9"/>
  <c r="M14" i="9"/>
  <c r="L30" i="9"/>
  <c r="L33" i="9" s="1"/>
  <c r="L31" i="9"/>
  <c r="L34" i="9" s="1"/>
  <c r="H31" i="9"/>
  <c r="H34" i="9" s="1"/>
  <c r="G14" i="9"/>
  <c r="F31" i="9"/>
  <c r="F34" i="9" s="1"/>
  <c r="E14" i="9"/>
  <c r="P21" i="9"/>
  <c r="C31" i="9"/>
  <c r="C10" i="9"/>
  <c r="C8" i="9"/>
  <c r="C197" i="4"/>
  <c r="D197" i="4" s="1"/>
  <c r="P58" i="4"/>
  <c r="Q381" i="4"/>
  <c r="E236" i="4"/>
  <c r="P258" i="4"/>
  <c r="P238" i="4"/>
  <c r="E260" i="4"/>
  <c r="P250" i="4"/>
  <c r="P245" i="4"/>
  <c r="Q247" i="4"/>
  <c r="Q205" i="4"/>
  <c r="P199" i="4"/>
  <c r="Q144" i="4"/>
  <c r="P151" i="4"/>
  <c r="E56" i="4"/>
  <c r="E28" i="4"/>
  <c r="E23" i="4"/>
  <c r="Q224" i="4"/>
  <c r="E259" i="4"/>
  <c r="C132" i="4"/>
  <c r="D132" i="4" s="1"/>
  <c r="P59" i="4"/>
  <c r="Q202" i="4"/>
  <c r="E140" i="4"/>
  <c r="E21" i="4"/>
  <c r="Q358" i="4"/>
  <c r="P347" i="4"/>
  <c r="E244" i="4"/>
  <c r="Q206" i="4"/>
  <c r="P170" i="4"/>
  <c r="P346" i="4"/>
  <c r="Q287" i="4"/>
  <c r="E59" i="4"/>
  <c r="P356" i="4"/>
  <c r="E234" i="4"/>
  <c r="E356" i="4"/>
  <c r="E149" i="4"/>
  <c r="P156" i="4"/>
  <c r="Q359" i="4"/>
  <c r="P334" i="4"/>
  <c r="P343" i="4"/>
  <c r="E233" i="4"/>
  <c r="Q233" i="4"/>
  <c r="Q260" i="4"/>
  <c r="P244" i="4"/>
  <c r="E251" i="4"/>
  <c r="E232" i="4"/>
  <c r="Q246" i="4"/>
  <c r="Q248" i="4"/>
  <c r="Q215" i="4"/>
  <c r="E215" i="4"/>
  <c r="P215" i="4"/>
  <c r="Q222" i="4"/>
  <c r="E170" i="4"/>
  <c r="Q31" i="4"/>
  <c r="P52" i="4"/>
  <c r="P66" i="4"/>
  <c r="P5" i="4"/>
  <c r="P229" i="4"/>
  <c r="E176" i="4"/>
  <c r="E164" i="4"/>
  <c r="E154" i="4"/>
  <c r="Q58" i="4"/>
  <c r="Q52" i="4"/>
  <c r="Q372" i="4"/>
  <c r="P362" i="4"/>
  <c r="E354" i="4"/>
  <c r="E352" i="4"/>
  <c r="P256" i="4"/>
  <c r="E243" i="4"/>
  <c r="P248" i="4"/>
  <c r="E256" i="4"/>
  <c r="Q243" i="4"/>
  <c r="E248" i="4"/>
  <c r="Q259" i="4"/>
  <c r="Q256" i="4"/>
  <c r="P249" i="4"/>
  <c r="E249" i="4"/>
  <c r="P252" i="4"/>
  <c r="E262" i="4"/>
  <c r="P241" i="4"/>
  <c r="E156" i="4"/>
  <c r="Q145" i="4"/>
  <c r="Q149" i="4"/>
  <c r="Q164" i="4"/>
  <c r="P145" i="4"/>
  <c r="P154" i="4"/>
  <c r="E155" i="4"/>
  <c r="P135" i="4"/>
  <c r="Q155" i="4"/>
  <c r="E135" i="4"/>
  <c r="P150" i="4"/>
  <c r="Q162" i="4"/>
  <c r="P159" i="4"/>
  <c r="E52" i="4"/>
  <c r="E41" i="4"/>
  <c r="Q59" i="4"/>
  <c r="E42" i="4"/>
  <c r="P26" i="4"/>
  <c r="P35" i="4"/>
  <c r="E58" i="4"/>
  <c r="E379" i="4"/>
  <c r="P371" i="4"/>
  <c r="P374" i="4"/>
  <c r="Q344" i="4"/>
  <c r="P251" i="4"/>
  <c r="Q239" i="4"/>
  <c r="E218" i="4"/>
  <c r="E142" i="4"/>
  <c r="P137" i="4"/>
  <c r="Q41" i="4"/>
  <c r="P42" i="4"/>
  <c r="Q43" i="4"/>
  <c r="E46" i="4"/>
  <c r="E26" i="4"/>
  <c r="Q26" i="4"/>
  <c r="P234" i="4"/>
  <c r="P235" i="4"/>
  <c r="E99" i="4"/>
  <c r="E12" i="4"/>
  <c r="Q234" i="4"/>
  <c r="E211" i="4"/>
  <c r="Q33" i="4"/>
  <c r="Q8" i="4"/>
  <c r="P24" i="4"/>
  <c r="E246" i="4"/>
  <c r="Q235" i="4"/>
  <c r="E212" i="4"/>
  <c r="P225" i="4"/>
  <c r="P205" i="4"/>
  <c r="E205" i="4"/>
  <c r="Q257" i="4"/>
  <c r="E257" i="4"/>
  <c r="P260" i="4"/>
  <c r="P202" i="4"/>
  <c r="P223" i="4"/>
  <c r="P192" i="4"/>
  <c r="Q64" i="4"/>
  <c r="E55" i="4"/>
  <c r="Q10" i="4"/>
  <c r="Q334" i="4"/>
  <c r="Q169" i="4"/>
  <c r="E190" i="4"/>
  <c r="C230" i="4"/>
  <c r="D230" i="4" s="1"/>
  <c r="P239" i="4"/>
  <c r="Q226" i="4"/>
  <c r="P45" i="4"/>
  <c r="Q140" i="4"/>
  <c r="E389" i="4"/>
  <c r="E253" i="4"/>
  <c r="E30" i="4"/>
  <c r="E375" i="4"/>
  <c r="P376" i="4"/>
  <c r="Q376" i="4"/>
  <c r="P391" i="4"/>
  <c r="P373" i="4"/>
  <c r="P365" i="4"/>
  <c r="E370" i="4"/>
  <c r="Q373" i="4"/>
  <c r="Q389" i="4"/>
  <c r="P375" i="4"/>
  <c r="P367" i="4"/>
  <c r="E373" i="4"/>
  <c r="Q346" i="4"/>
  <c r="P342" i="4"/>
  <c r="E346" i="4"/>
  <c r="E334" i="4"/>
  <c r="Q355" i="4"/>
  <c r="E344" i="4"/>
  <c r="Q333" i="4"/>
  <c r="K5" i="7"/>
  <c r="P292" i="4"/>
  <c r="P261" i="4"/>
  <c r="E250" i="4"/>
  <c r="E235" i="4"/>
  <c r="Q245" i="4"/>
  <c r="E254" i="4"/>
  <c r="Q253" i="4"/>
  <c r="P232" i="4"/>
  <c r="E245" i="4"/>
  <c r="Q250" i="4"/>
  <c r="E247" i="4"/>
  <c r="E239" i="4"/>
  <c r="Q254" i="4"/>
  <c r="E261" i="4"/>
  <c r="Q232" i="4"/>
  <c r="P247" i="4"/>
  <c r="P246" i="4"/>
  <c r="E241" i="4"/>
  <c r="E237" i="4"/>
  <c r="E258" i="4"/>
  <c r="Q237" i="4"/>
  <c r="Q258" i="4"/>
  <c r="Q238" i="4"/>
  <c r="P257" i="4"/>
  <c r="Q241" i="4"/>
  <c r="E238" i="4"/>
  <c r="E255" i="4"/>
  <c r="P255" i="4"/>
  <c r="H263" i="4"/>
  <c r="Q240" i="4"/>
  <c r="E252" i="4"/>
  <c r="Q242" i="4"/>
  <c r="Q262" i="4"/>
  <c r="P262" i="4"/>
  <c r="Q236" i="4"/>
  <c r="P240" i="4"/>
  <c r="E240" i="4"/>
  <c r="G263" i="4"/>
  <c r="E242" i="4"/>
  <c r="P236" i="4"/>
  <c r="Q255" i="4"/>
  <c r="Q252" i="4"/>
  <c r="P208" i="4"/>
  <c r="P227" i="4"/>
  <c r="E202" i="4"/>
  <c r="P226" i="4"/>
  <c r="E226" i="4"/>
  <c r="E185" i="4"/>
  <c r="E194" i="4"/>
  <c r="E139" i="4"/>
  <c r="P134" i="4"/>
  <c r="P44" i="4"/>
  <c r="E54" i="4"/>
  <c r="Q23" i="4"/>
  <c r="P23" i="4"/>
  <c r="Q29" i="4"/>
  <c r="E34" i="4"/>
  <c r="Q17" i="4"/>
  <c r="Q5" i="4"/>
  <c r="P33" i="4"/>
  <c r="E5" i="4"/>
  <c r="P8" i="4"/>
  <c r="Q210" i="4"/>
  <c r="E217" i="4"/>
  <c r="D38" i="4"/>
  <c r="Q38" i="4" s="1"/>
  <c r="C67" i="4"/>
  <c r="D67" i="4" s="1"/>
  <c r="Q211" i="4"/>
  <c r="R201" i="4"/>
  <c r="P349" i="4"/>
  <c r="P357" i="4"/>
  <c r="P336" i="4"/>
  <c r="Q199" i="4"/>
  <c r="E199" i="4"/>
  <c r="E339" i="4"/>
  <c r="Q392" i="4"/>
  <c r="Q347" i="4"/>
  <c r="P354" i="4"/>
  <c r="P210" i="4"/>
  <c r="Q208" i="4"/>
  <c r="P214" i="4"/>
  <c r="E210" i="4"/>
  <c r="P217" i="4"/>
  <c r="E66" i="4"/>
  <c r="Q66" i="4"/>
  <c r="Q57" i="4"/>
  <c r="E8" i="4"/>
  <c r="P28" i="4"/>
  <c r="E33" i="4"/>
  <c r="Q339" i="4"/>
  <c r="E347" i="4"/>
  <c r="Q354" i="4"/>
  <c r="Q331" i="4"/>
  <c r="P350" i="4"/>
  <c r="E315" i="4"/>
  <c r="Q227" i="4"/>
  <c r="P211" i="4"/>
  <c r="E221" i="4"/>
  <c r="P178" i="4"/>
  <c r="E188" i="4"/>
  <c r="Q168" i="4"/>
  <c r="P196" i="4"/>
  <c r="P61" i="4"/>
  <c r="Q30" i="4"/>
  <c r="Q27" i="4"/>
  <c r="P20" i="4"/>
  <c r="Q22" i="4"/>
  <c r="E351" i="4"/>
  <c r="P333" i="4"/>
  <c r="P344" i="4"/>
  <c r="Q342" i="4"/>
  <c r="P340" i="4"/>
  <c r="P39" i="4"/>
  <c r="P47" i="4"/>
  <c r="E57" i="4"/>
  <c r="Q13" i="4"/>
  <c r="Q21" i="4"/>
  <c r="E24" i="4"/>
  <c r="Q24" i="4"/>
  <c r="P21" i="4"/>
  <c r="P13" i="4"/>
  <c r="P338" i="4"/>
  <c r="Q217" i="4"/>
  <c r="P386" i="4"/>
  <c r="Q374" i="4"/>
  <c r="Q386" i="4"/>
  <c r="E374" i="4"/>
  <c r="Q375" i="4"/>
  <c r="P389" i="4"/>
  <c r="P378" i="4"/>
  <c r="E392" i="4"/>
  <c r="E376" i="4"/>
  <c r="P392" i="4"/>
  <c r="Q391" i="4"/>
  <c r="Q365" i="4"/>
  <c r="Q384" i="4"/>
  <c r="Q390" i="4"/>
  <c r="Q380" i="4"/>
  <c r="Q351" i="4"/>
  <c r="H360" i="4"/>
  <c r="P351" i="4"/>
  <c r="E342" i="4"/>
  <c r="E340" i="4"/>
  <c r="Q337" i="4"/>
  <c r="Q338" i="4"/>
  <c r="Q332" i="4"/>
  <c r="E227" i="4"/>
  <c r="Q228" i="4"/>
  <c r="E174" i="4"/>
  <c r="Q179" i="4"/>
  <c r="Q152" i="4"/>
  <c r="Q28" i="4"/>
  <c r="E13" i="4"/>
  <c r="Q6" i="4"/>
  <c r="P15" i="4"/>
  <c r="P25" i="4"/>
  <c r="Q16" i="4"/>
  <c r="E6" i="4"/>
  <c r="P30" i="4"/>
  <c r="Q35" i="4"/>
  <c r="E35" i="4"/>
  <c r="P9" i="4"/>
  <c r="E19" i="4"/>
  <c r="P53" i="4"/>
  <c r="E47" i="4"/>
  <c r="E45" i="4"/>
  <c r="P313" i="4"/>
  <c r="E349" i="4"/>
  <c r="P337" i="4"/>
  <c r="E357" i="4"/>
  <c r="P368" i="4"/>
  <c r="Q368" i="4"/>
  <c r="P390" i="4"/>
  <c r="P152" i="4"/>
  <c r="E341" i="4"/>
  <c r="E338" i="4"/>
  <c r="Q7" i="4"/>
  <c r="E137" i="4"/>
  <c r="Q137" i="4"/>
  <c r="Q32" i="4"/>
  <c r="E348" i="4"/>
  <c r="E343" i="4"/>
  <c r="E350" i="4"/>
  <c r="Q350" i="4"/>
  <c r="Q326" i="4"/>
  <c r="E327" i="4"/>
  <c r="Q271" i="4"/>
  <c r="E225" i="4"/>
  <c r="E196" i="4"/>
  <c r="P190" i="4"/>
  <c r="P194" i="4"/>
  <c r="P139" i="4"/>
  <c r="P140" i="4"/>
  <c r="P130" i="4"/>
  <c r="E48" i="4"/>
  <c r="E11" i="4"/>
  <c r="Q12" i="4"/>
  <c r="Q18" i="4"/>
  <c r="E283" i="4"/>
  <c r="P12" i="4"/>
  <c r="Q357" i="4"/>
  <c r="Q349" i="4"/>
  <c r="E337" i="4"/>
  <c r="Q341" i="4"/>
  <c r="Q335" i="4"/>
  <c r="E336" i="4"/>
  <c r="Q56" i="4"/>
  <c r="Q25" i="4"/>
  <c r="P18" i="4"/>
  <c r="Q348" i="4"/>
  <c r="Q353" i="4"/>
  <c r="P348" i="4"/>
  <c r="E353" i="4"/>
  <c r="Q352" i="4"/>
  <c r="Q336" i="4"/>
  <c r="P352" i="4"/>
  <c r="E355" i="4"/>
  <c r="P355" i="4"/>
  <c r="G360" i="4"/>
  <c r="P332" i="4"/>
  <c r="P212" i="4"/>
  <c r="E229" i="4"/>
  <c r="E222" i="4"/>
  <c r="Q174" i="4"/>
  <c r="P46" i="4"/>
  <c r="Q55" i="4"/>
  <c r="P55" i="4"/>
  <c r="P48" i="4"/>
  <c r="P54" i="4"/>
  <c r="E64" i="4"/>
  <c r="Q44" i="4"/>
  <c r="P17" i="4"/>
  <c r="P27" i="4"/>
  <c r="E32" i="4"/>
  <c r="E18" i="4"/>
  <c r="P32" i="4"/>
  <c r="E25" i="4"/>
  <c r="P19" i="4"/>
  <c r="E31" i="4"/>
  <c r="Q9" i="4"/>
  <c r="E16" i="4"/>
  <c r="E9" i="4"/>
  <c r="P29" i="4"/>
  <c r="E29" i="4"/>
  <c r="E332" i="4"/>
  <c r="E113" i="4"/>
  <c r="E335" i="4"/>
  <c r="P358" i="4"/>
  <c r="P169" i="4"/>
  <c r="P372" i="4"/>
  <c r="E362" i="4"/>
  <c r="E390" i="4"/>
  <c r="P370" i="4"/>
  <c r="P379" i="4"/>
  <c r="Q371" i="4"/>
  <c r="Q367" i="4"/>
  <c r="E371" i="4"/>
  <c r="Q378" i="4"/>
  <c r="E367" i="4"/>
  <c r="Q379" i="4"/>
  <c r="E378" i="4"/>
  <c r="P176" i="4"/>
  <c r="P188" i="4"/>
  <c r="Q176" i="4"/>
  <c r="E178" i="4"/>
  <c r="Q192" i="4"/>
  <c r="P179" i="4"/>
  <c r="Q178" i="4"/>
  <c r="Q188" i="4"/>
  <c r="E179" i="4"/>
  <c r="Q113" i="4"/>
  <c r="E63" i="4"/>
  <c r="P63" i="4"/>
  <c r="Q54" i="4"/>
  <c r="P64" i="4"/>
  <c r="E53" i="4"/>
  <c r="Q46" i="4"/>
  <c r="Q19" i="4"/>
  <c r="P31" i="4"/>
  <c r="E15" i="4"/>
  <c r="Q15" i="4"/>
  <c r="P359" i="4"/>
  <c r="E380" i="4"/>
  <c r="Q370" i="4"/>
  <c r="P380" i="4"/>
  <c r="E372" i="4"/>
  <c r="E384" i="4"/>
  <c r="P384" i="4"/>
  <c r="Q362" i="4"/>
  <c r="E383" i="4"/>
  <c r="Q383" i="4"/>
  <c r="E387" i="4"/>
  <c r="E304" i="4"/>
  <c r="E305" i="4"/>
  <c r="Q225" i="4"/>
  <c r="Q229" i="4"/>
  <c r="P222" i="4"/>
  <c r="E201" i="4"/>
  <c r="P221" i="4"/>
  <c r="Q212" i="4"/>
  <c r="P228" i="4"/>
  <c r="Q214" i="4"/>
  <c r="E223" i="4"/>
  <c r="Q223" i="4"/>
  <c r="P224" i="4"/>
  <c r="P201" i="4"/>
  <c r="E214" i="4"/>
  <c r="E228" i="4"/>
  <c r="Q201" i="4"/>
  <c r="P174" i="4"/>
  <c r="E192" i="4"/>
  <c r="H197" i="4"/>
  <c r="E187" i="4"/>
  <c r="E180" i="4"/>
  <c r="Q196" i="4"/>
  <c r="P168" i="4"/>
  <c r="Q194" i="4"/>
  <c r="E168" i="4"/>
  <c r="E169" i="4"/>
  <c r="Q190" i="4"/>
  <c r="Q151" i="4"/>
  <c r="P142" i="4"/>
  <c r="Q159" i="4"/>
  <c r="E141" i="4"/>
  <c r="Q142" i="4"/>
  <c r="E159" i="4"/>
  <c r="Q134" i="4"/>
  <c r="Q141" i="4"/>
  <c r="Q160" i="4"/>
  <c r="P162" i="4"/>
  <c r="E134" i="4"/>
  <c r="Q153" i="4"/>
  <c r="E150" i="4"/>
  <c r="Q150" i="4"/>
  <c r="P160" i="4"/>
  <c r="P43" i="4"/>
  <c r="E43" i="4"/>
  <c r="Q47" i="4"/>
  <c r="Q39" i="4"/>
  <c r="E61" i="4"/>
  <c r="E39" i="4"/>
  <c r="Q61" i="4"/>
  <c r="P56" i="4"/>
  <c r="E22" i="4"/>
  <c r="G36" i="4"/>
  <c r="E20" i="4"/>
  <c r="E10" i="4"/>
  <c r="H36" i="4"/>
  <c r="Q34" i="4"/>
  <c r="P11" i="4"/>
  <c r="Q11" i="4"/>
  <c r="P22" i="4"/>
  <c r="Q20" i="4"/>
  <c r="P10" i="4"/>
  <c r="E27" i="4"/>
  <c r="E17" i="4"/>
  <c r="P34" i="4"/>
  <c r="P7" i="4"/>
  <c r="E7" i="4"/>
  <c r="P6" i="4"/>
  <c r="G67" i="4"/>
  <c r="H67" i="4"/>
  <c r="H393" i="4"/>
  <c r="G393" i="4"/>
  <c r="P381" i="4"/>
  <c r="E381" i="4"/>
  <c r="E280" i="4"/>
  <c r="Q278" i="4"/>
  <c r="E274" i="4"/>
  <c r="Q221" i="4"/>
  <c r="H230" i="4"/>
  <c r="G230" i="4"/>
  <c r="E224" i="4"/>
  <c r="G197" i="4"/>
  <c r="P136" i="4"/>
  <c r="E151" i="4"/>
  <c r="Q143" i="4"/>
  <c r="E143" i="4"/>
  <c r="P144" i="4"/>
  <c r="G165" i="4"/>
  <c r="E144" i="4"/>
  <c r="H165" i="4"/>
  <c r="P113" i="4"/>
  <c r="E44" i="4"/>
  <c r="E359" i="4"/>
  <c r="P335" i="4"/>
  <c r="P330" i="4"/>
  <c r="Q343" i="4"/>
  <c r="E358" i="4"/>
  <c r="C360" i="4"/>
  <c r="E331" i="4"/>
  <c r="E345" i="4"/>
  <c r="P284" i="4"/>
  <c r="Q282" i="4"/>
  <c r="E282" i="4"/>
  <c r="P282" i="4"/>
  <c r="Q266" i="4"/>
  <c r="E266" i="4"/>
  <c r="P266" i="4"/>
  <c r="E288" i="4"/>
  <c r="Q288" i="4"/>
  <c r="Q292" i="4"/>
  <c r="E292" i="4"/>
  <c r="E270" i="4"/>
  <c r="Q270" i="4"/>
  <c r="P270" i="4"/>
  <c r="E284" i="4"/>
  <c r="Q284" i="4"/>
  <c r="Q268" i="4"/>
  <c r="P268" i="4"/>
  <c r="E268" i="4"/>
  <c r="P265" i="4"/>
  <c r="Q265" i="4"/>
  <c r="E265" i="4"/>
  <c r="G295" i="4"/>
  <c r="E291" i="4"/>
  <c r="P291" i="4"/>
  <c r="Q291" i="4"/>
  <c r="E286" i="4"/>
  <c r="P286" i="4"/>
  <c r="Q286" i="4"/>
  <c r="P267" i="4"/>
  <c r="E267" i="4"/>
  <c r="Q267" i="4"/>
  <c r="Q272" i="4"/>
  <c r="E272" i="4"/>
  <c r="E277" i="4"/>
  <c r="P277" i="4"/>
  <c r="Q277" i="4"/>
  <c r="E269" i="4"/>
  <c r="P269" i="4"/>
  <c r="Q269" i="4"/>
  <c r="E279" i="4"/>
  <c r="P279" i="4"/>
  <c r="Q279" i="4"/>
  <c r="P112" i="4"/>
  <c r="E112" i="4"/>
  <c r="Q112" i="4"/>
  <c r="Q119" i="4"/>
  <c r="P119" i="4"/>
  <c r="E119" i="4"/>
  <c r="E116" i="4"/>
  <c r="Q116" i="4"/>
  <c r="P116" i="4"/>
  <c r="Q115" i="4"/>
  <c r="P115" i="4"/>
  <c r="E115" i="4"/>
  <c r="E114" i="4"/>
  <c r="P114" i="4"/>
  <c r="Q114" i="4"/>
  <c r="P109" i="4"/>
  <c r="E109" i="4"/>
  <c r="Q109" i="4"/>
  <c r="E130" i="4"/>
  <c r="Q130" i="4"/>
  <c r="Q129" i="4"/>
  <c r="E129" i="4"/>
  <c r="P129" i="4"/>
  <c r="E124" i="4"/>
  <c r="P124" i="4"/>
  <c r="Q124" i="4"/>
  <c r="P103" i="4"/>
  <c r="E103" i="4"/>
  <c r="Q103" i="4"/>
  <c r="E104" i="4"/>
  <c r="Q104" i="4"/>
  <c r="P104" i="4"/>
  <c r="Q107" i="4"/>
  <c r="E107" i="4"/>
  <c r="P107" i="4"/>
  <c r="P106" i="4"/>
  <c r="E106" i="4"/>
  <c r="Q106" i="4"/>
  <c r="Q122" i="4"/>
  <c r="P122" i="4"/>
  <c r="E122" i="4"/>
  <c r="P121" i="4"/>
  <c r="Q121" i="4"/>
  <c r="E121" i="4"/>
  <c r="E191" i="4"/>
  <c r="P191" i="4"/>
  <c r="Q191" i="4"/>
  <c r="P173" i="4"/>
  <c r="E173" i="4"/>
  <c r="Q173" i="4"/>
  <c r="E177" i="4"/>
  <c r="P177" i="4"/>
  <c r="Q177" i="4"/>
  <c r="E195" i="4"/>
  <c r="Q195" i="4"/>
  <c r="P195" i="4"/>
  <c r="E167" i="4"/>
  <c r="P167" i="4"/>
  <c r="Q167" i="4"/>
  <c r="P171" i="4"/>
  <c r="E171" i="4"/>
  <c r="Q171" i="4"/>
  <c r="Q172" i="4"/>
  <c r="E172" i="4"/>
  <c r="P172" i="4"/>
  <c r="E40" i="4"/>
  <c r="Q40" i="4"/>
  <c r="P40" i="4"/>
  <c r="Q60" i="4"/>
  <c r="E60" i="4"/>
  <c r="P60" i="4"/>
  <c r="Q49" i="4"/>
  <c r="P49" i="4"/>
  <c r="E49" i="4"/>
  <c r="E62" i="4"/>
  <c r="Q62" i="4"/>
  <c r="P62" i="4"/>
  <c r="Q163" i="4"/>
  <c r="P163" i="4"/>
  <c r="E163" i="4"/>
  <c r="E157" i="4"/>
  <c r="Q157" i="4"/>
  <c r="P157" i="4"/>
  <c r="P147" i="4"/>
  <c r="E147" i="4"/>
  <c r="Q147" i="4"/>
  <c r="E153" i="4"/>
  <c r="P153" i="4"/>
  <c r="P272" i="4"/>
  <c r="E38" i="4"/>
  <c r="E377" i="4"/>
  <c r="Q377" i="4"/>
  <c r="P377" i="4"/>
  <c r="P369" i="4"/>
  <c r="Q369" i="4"/>
  <c r="E369" i="4"/>
  <c r="Q364" i="4"/>
  <c r="P364" i="4"/>
  <c r="E364" i="4"/>
  <c r="E93" i="4"/>
  <c r="P93" i="4"/>
  <c r="Q93" i="4"/>
  <c r="E72" i="4"/>
  <c r="Q72" i="4"/>
  <c r="P72" i="4"/>
  <c r="Q88" i="4"/>
  <c r="E88" i="4"/>
  <c r="P88" i="4"/>
  <c r="Q75" i="4"/>
  <c r="E75" i="4"/>
  <c r="P75" i="4"/>
  <c r="E89" i="4"/>
  <c r="Q89" i="4"/>
  <c r="P89" i="4"/>
  <c r="E80" i="4"/>
  <c r="Q80" i="4"/>
  <c r="P80" i="4"/>
  <c r="Q96" i="4"/>
  <c r="E96" i="4"/>
  <c r="P96" i="4"/>
  <c r="Q99" i="4"/>
  <c r="P99" i="4"/>
  <c r="E81" i="4"/>
  <c r="Q81" i="4"/>
  <c r="P81" i="4"/>
  <c r="P82" i="4"/>
  <c r="Q82" i="4"/>
  <c r="E82" i="4"/>
  <c r="E98" i="4"/>
  <c r="Q98" i="4"/>
  <c r="P98" i="4"/>
  <c r="Q69" i="4"/>
  <c r="E69" i="4"/>
  <c r="P69" i="4"/>
  <c r="G100" i="4"/>
  <c r="Q74" i="4"/>
  <c r="E74" i="4"/>
  <c r="P74" i="4"/>
  <c r="P92" i="4"/>
  <c r="Q92" i="4"/>
  <c r="E92" i="4"/>
  <c r="Q95" i="4"/>
  <c r="P95" i="4"/>
  <c r="E95" i="4"/>
  <c r="P91" i="4"/>
  <c r="Q91" i="4"/>
  <c r="E91" i="4"/>
  <c r="P204" i="4"/>
  <c r="E204" i="4"/>
  <c r="Q204" i="4"/>
  <c r="P219" i="4"/>
  <c r="E219" i="4"/>
  <c r="Q219" i="4"/>
  <c r="E213" i="4"/>
  <c r="P213" i="4"/>
  <c r="P218" i="4"/>
  <c r="Q218" i="4"/>
  <c r="P220" i="4"/>
  <c r="E220" i="4"/>
  <c r="Q220" i="4"/>
  <c r="Q203" i="4"/>
  <c r="E203" i="4"/>
  <c r="P203" i="4"/>
  <c r="Q213" i="4"/>
  <c r="E316" i="4"/>
  <c r="P316" i="4"/>
  <c r="Q316" i="4"/>
  <c r="Q322" i="4"/>
  <c r="E322" i="4"/>
  <c r="P322" i="4"/>
  <c r="E326" i="4"/>
  <c r="P326" i="4"/>
  <c r="Q323" i="4"/>
  <c r="P323" i="4"/>
  <c r="E323" i="4"/>
  <c r="Q297" i="4"/>
  <c r="P297" i="4"/>
  <c r="E297" i="4"/>
  <c r="G328" i="4"/>
  <c r="E319" i="4"/>
  <c r="Q319" i="4"/>
  <c r="P319" i="4"/>
  <c r="P327" i="4"/>
  <c r="Q327" i="4"/>
  <c r="E321" i="4"/>
  <c r="Q321" i="4"/>
  <c r="P321" i="4"/>
  <c r="P314" i="4"/>
  <c r="Q314" i="4"/>
  <c r="E314" i="4"/>
  <c r="P308" i="4"/>
  <c r="Q308" i="4"/>
  <c r="E308" i="4"/>
  <c r="Q310" i="4"/>
  <c r="P310" i="4"/>
  <c r="E310" i="4"/>
  <c r="Q301" i="4"/>
  <c r="E301" i="4"/>
  <c r="P301" i="4"/>
  <c r="P299" i="4"/>
  <c r="E299" i="4"/>
  <c r="Q299" i="4"/>
  <c r="Q325" i="4"/>
  <c r="P325" i="4"/>
  <c r="E325" i="4"/>
  <c r="E317" i="4"/>
  <c r="Q317" i="4"/>
  <c r="P317" i="4"/>
  <c r="E162" i="4"/>
  <c r="Q294" i="4"/>
  <c r="E294" i="4"/>
  <c r="P294" i="4"/>
  <c r="P290" i="4"/>
  <c r="E290" i="4"/>
  <c r="Q290" i="4"/>
  <c r="H295" i="4"/>
  <c r="Q274" i="4"/>
  <c r="P274" i="4"/>
  <c r="P273" i="4"/>
  <c r="Q273" i="4"/>
  <c r="E273" i="4"/>
  <c r="E278" i="4"/>
  <c r="P278" i="4"/>
  <c r="P289" i="4"/>
  <c r="E289" i="4"/>
  <c r="Q276" i="4"/>
  <c r="E276" i="4"/>
  <c r="P276" i="4"/>
  <c r="P285" i="4"/>
  <c r="Q285" i="4"/>
  <c r="E285" i="4"/>
  <c r="E287" i="4"/>
  <c r="P287" i="4"/>
  <c r="P271" i="4"/>
  <c r="E271" i="4"/>
  <c r="P281" i="4"/>
  <c r="E281" i="4"/>
  <c r="Q281" i="4"/>
  <c r="Q280" i="4"/>
  <c r="P280" i="4"/>
  <c r="E293" i="4"/>
  <c r="P293" i="4"/>
  <c r="Q293" i="4"/>
  <c r="Q283" i="4"/>
  <c r="P283" i="4"/>
  <c r="E275" i="4"/>
  <c r="Q275" i="4"/>
  <c r="P275" i="4"/>
  <c r="Q127" i="4"/>
  <c r="E127" i="4"/>
  <c r="P127" i="4"/>
  <c r="E111" i="4"/>
  <c r="Q111" i="4"/>
  <c r="P111" i="4"/>
  <c r="E128" i="4"/>
  <c r="Q128" i="4"/>
  <c r="P128" i="4"/>
  <c r="E131" i="4"/>
  <c r="P131" i="4"/>
  <c r="Q131" i="4"/>
  <c r="E126" i="4"/>
  <c r="Q126" i="4"/>
  <c r="P126" i="4"/>
  <c r="P125" i="4"/>
  <c r="E125" i="4"/>
  <c r="Q125" i="4"/>
  <c r="E110" i="4"/>
  <c r="Q110" i="4"/>
  <c r="P110" i="4"/>
  <c r="Q108" i="4"/>
  <c r="P108" i="4"/>
  <c r="E108" i="4"/>
  <c r="P120" i="4"/>
  <c r="Q120" i="4"/>
  <c r="E120" i="4"/>
  <c r="E123" i="4"/>
  <c r="Q123" i="4"/>
  <c r="P123" i="4"/>
  <c r="E118" i="4"/>
  <c r="P118" i="4"/>
  <c r="Q118" i="4"/>
  <c r="P117" i="4"/>
  <c r="E117" i="4"/>
  <c r="Q117" i="4"/>
  <c r="E102" i="4"/>
  <c r="P102" i="4"/>
  <c r="G132" i="4"/>
  <c r="Q105" i="4"/>
  <c r="P105" i="4"/>
  <c r="E105" i="4"/>
  <c r="H132" i="4"/>
  <c r="E189" i="4"/>
  <c r="P189" i="4"/>
  <c r="Q189" i="4"/>
  <c r="Q175" i="4"/>
  <c r="E175" i="4"/>
  <c r="P175" i="4"/>
  <c r="Q183" i="4"/>
  <c r="P183" i="4"/>
  <c r="E183" i="4"/>
  <c r="P182" i="4"/>
  <c r="Q182" i="4"/>
  <c r="E182" i="4"/>
  <c r="E186" i="4"/>
  <c r="P186" i="4"/>
  <c r="Q186" i="4"/>
  <c r="Q181" i="4"/>
  <c r="P181" i="4"/>
  <c r="E181" i="4"/>
  <c r="P187" i="4"/>
  <c r="Q187" i="4"/>
  <c r="P193" i="4"/>
  <c r="Q193" i="4"/>
  <c r="P185" i="4"/>
  <c r="Q185" i="4"/>
  <c r="E51" i="4"/>
  <c r="Q51" i="4"/>
  <c r="P51" i="4"/>
  <c r="Q65" i="4"/>
  <c r="E65" i="4"/>
  <c r="P65" i="4"/>
  <c r="Q50" i="4"/>
  <c r="P50" i="4"/>
  <c r="E50" i="4"/>
  <c r="Q158" i="4"/>
  <c r="E158" i="4"/>
  <c r="P158" i="4"/>
  <c r="E136" i="4"/>
  <c r="Q136" i="4"/>
  <c r="P146" i="4"/>
  <c r="Q146" i="4"/>
  <c r="E146" i="4"/>
  <c r="Q148" i="4"/>
  <c r="E148" i="4"/>
  <c r="P161" i="4"/>
  <c r="E161" i="4"/>
  <c r="Q161" i="4"/>
  <c r="Q102" i="4"/>
  <c r="P148" i="4"/>
  <c r="Q45" i="4"/>
  <c r="E382" i="4"/>
  <c r="P382" i="4"/>
  <c r="Q382" i="4"/>
  <c r="P363" i="4"/>
  <c r="Q363" i="4"/>
  <c r="E363" i="4"/>
  <c r="Q388" i="4"/>
  <c r="E388" i="4"/>
  <c r="P388" i="4"/>
  <c r="P366" i="4"/>
  <c r="Q366" i="4"/>
  <c r="E366" i="4"/>
  <c r="P385" i="4"/>
  <c r="E385" i="4"/>
  <c r="Q385" i="4"/>
  <c r="Q387" i="4"/>
  <c r="P387" i="4"/>
  <c r="P97" i="4"/>
  <c r="Q97" i="4"/>
  <c r="E97" i="4"/>
  <c r="E78" i="4"/>
  <c r="Q78" i="4"/>
  <c r="P78" i="4"/>
  <c r="E94" i="4"/>
  <c r="P94" i="4"/>
  <c r="Q94" i="4"/>
  <c r="E85" i="4"/>
  <c r="Q85" i="4"/>
  <c r="P85" i="4"/>
  <c r="P70" i="4"/>
  <c r="Q70" i="4"/>
  <c r="E70" i="4"/>
  <c r="Q86" i="4"/>
  <c r="E86" i="4"/>
  <c r="P86" i="4"/>
  <c r="P79" i="4"/>
  <c r="Q79" i="4"/>
  <c r="E79" i="4"/>
  <c r="P83" i="4"/>
  <c r="E83" i="4"/>
  <c r="Q83" i="4"/>
  <c r="H100" i="4"/>
  <c r="E77" i="4"/>
  <c r="P77" i="4"/>
  <c r="Q77" i="4"/>
  <c r="P76" i="4"/>
  <c r="Q76" i="4"/>
  <c r="E76" i="4"/>
  <c r="E90" i="4"/>
  <c r="Q90" i="4"/>
  <c r="P90" i="4"/>
  <c r="E87" i="4"/>
  <c r="Q87" i="4"/>
  <c r="P87" i="4"/>
  <c r="P73" i="4"/>
  <c r="E73" i="4"/>
  <c r="Q73" i="4"/>
  <c r="Q84" i="4"/>
  <c r="P84" i="4"/>
  <c r="E84" i="4"/>
  <c r="Q71" i="4"/>
  <c r="E71" i="4"/>
  <c r="P71" i="4"/>
  <c r="E216" i="4"/>
  <c r="P216" i="4"/>
  <c r="Q216" i="4"/>
  <c r="P207" i="4"/>
  <c r="E207" i="4"/>
  <c r="Q207" i="4"/>
  <c r="Q200" i="4"/>
  <c r="E200" i="4"/>
  <c r="P200" i="4"/>
  <c r="P206" i="4"/>
  <c r="E206" i="4"/>
  <c r="Q209" i="4"/>
  <c r="P209" i="4"/>
  <c r="E209" i="4"/>
  <c r="Q14" i="4"/>
  <c r="E14" i="4"/>
  <c r="P14" i="4"/>
  <c r="E300" i="4"/>
  <c r="P300" i="4"/>
  <c r="Q300" i="4"/>
  <c r="P318" i="4"/>
  <c r="Q318" i="4"/>
  <c r="E318" i="4"/>
  <c r="Q304" i="4"/>
  <c r="P304" i="4"/>
  <c r="P320" i="4"/>
  <c r="Q320" i="4"/>
  <c r="E320" i="4"/>
  <c r="E302" i="4"/>
  <c r="P302" i="4"/>
  <c r="Q302" i="4"/>
  <c r="E324" i="4"/>
  <c r="Q324" i="4"/>
  <c r="P324" i="4"/>
  <c r="P307" i="4"/>
  <c r="Q307" i="4"/>
  <c r="E307" i="4"/>
  <c r="H328" i="4"/>
  <c r="E303" i="4"/>
  <c r="P303" i="4"/>
  <c r="Q303" i="4"/>
  <c r="P312" i="4"/>
  <c r="Q312" i="4"/>
  <c r="E312" i="4"/>
  <c r="Q306" i="4"/>
  <c r="P306" i="4"/>
  <c r="E306" i="4"/>
  <c r="P298" i="4"/>
  <c r="Q298" i="4"/>
  <c r="E298" i="4"/>
  <c r="Q315" i="4"/>
  <c r="P315" i="4"/>
  <c r="P305" i="4"/>
  <c r="Q305" i="4"/>
  <c r="E311" i="4"/>
  <c r="Q311" i="4"/>
  <c r="P311" i="4"/>
  <c r="Q313" i="4"/>
  <c r="E313" i="4"/>
  <c r="Q309" i="4"/>
  <c r="E309" i="4"/>
  <c r="P309" i="4"/>
  <c r="P16" i="4"/>
  <c r="P331" i="4"/>
  <c r="P345" i="4"/>
  <c r="Q345" i="4"/>
  <c r="Q180" i="4"/>
  <c r="P180" i="4"/>
  <c r="Q184" i="4"/>
  <c r="P184" i="4"/>
  <c r="K36" i="7"/>
  <c r="G21" i="7"/>
  <c r="H21" i="7" s="1"/>
  <c r="K21" i="7"/>
  <c r="K8" i="7"/>
  <c r="G8" i="7"/>
  <c r="H8" i="7" s="1"/>
  <c r="G41" i="7"/>
  <c r="H41" i="7" s="1"/>
  <c r="K41" i="7"/>
  <c r="G19" i="7"/>
  <c r="H19" i="7" s="1"/>
  <c r="K19" i="7"/>
  <c r="G20" i="7"/>
  <c r="H20" i="7" s="1"/>
  <c r="K20" i="7"/>
  <c r="P7" i="9" l="1"/>
  <c r="P15" i="9" s="1"/>
  <c r="H30" i="9"/>
  <c r="H33" i="9" s="1"/>
  <c r="Q197" i="4"/>
  <c r="F13" i="3" s="1"/>
  <c r="G26" i="7"/>
  <c r="H26" i="7" s="1"/>
  <c r="K26" i="7"/>
  <c r="G18" i="7"/>
  <c r="H18" i="7" s="1"/>
  <c r="K18" i="7"/>
  <c r="G10" i="7"/>
  <c r="H10" i="7" s="1"/>
  <c r="K10" i="7"/>
  <c r="C19" i="9"/>
  <c r="C16" i="9"/>
  <c r="P8" i="9"/>
  <c r="P16" i="9" s="1"/>
  <c r="C14" i="9"/>
  <c r="C30" i="9"/>
  <c r="P6" i="9"/>
  <c r="C18" i="9"/>
  <c r="P10" i="9"/>
  <c r="P18" i="9" s="1"/>
  <c r="P31" i="9"/>
  <c r="P34" i="9" s="1"/>
  <c r="C34" i="9"/>
  <c r="E165" i="4"/>
  <c r="P38" i="4"/>
  <c r="E263" i="4"/>
  <c r="Q263" i="4"/>
  <c r="F15" i="3" s="1"/>
  <c r="P263" i="4"/>
  <c r="E15" i="3" s="1"/>
  <c r="E360" i="4"/>
  <c r="E197" i="4"/>
  <c r="P197" i="4"/>
  <c r="E13" i="3" s="1"/>
  <c r="P165" i="4"/>
  <c r="E12" i="3" s="1"/>
  <c r="Q67" i="4"/>
  <c r="F9" i="3" s="1"/>
  <c r="Q165" i="4"/>
  <c r="F12" i="3" s="1"/>
  <c r="E67" i="4"/>
  <c r="Q393" i="4"/>
  <c r="F19" i="3" s="1"/>
  <c r="E393" i="4"/>
  <c r="P230" i="4"/>
  <c r="E14" i="3" s="1"/>
  <c r="E230" i="4"/>
  <c r="Q230" i="4"/>
  <c r="F14" i="3" s="1"/>
  <c r="P67" i="4"/>
  <c r="E9" i="3" s="1"/>
  <c r="P36" i="4"/>
  <c r="E8" i="3" s="1"/>
  <c r="Q36" i="4"/>
  <c r="F8" i="3" s="1"/>
  <c r="E36" i="4"/>
  <c r="H395" i="4"/>
  <c r="G395" i="4"/>
  <c r="P393" i="4"/>
  <c r="E19" i="3" s="1"/>
  <c r="D360" i="4"/>
  <c r="C395" i="4"/>
  <c r="D395" i="4" s="1"/>
  <c r="P295" i="4"/>
  <c r="E16" i="3" s="1"/>
  <c r="E295" i="4"/>
  <c r="Q295" i="4"/>
  <c r="F16" i="3" s="1"/>
  <c r="Q132" i="4"/>
  <c r="F11" i="3" s="1"/>
  <c r="E132" i="4"/>
  <c r="P132" i="4"/>
  <c r="E11" i="3" s="1"/>
  <c r="Q328" i="4"/>
  <c r="F17" i="3" s="1"/>
  <c r="P328" i="4"/>
  <c r="E17" i="3" s="1"/>
  <c r="E328" i="4"/>
  <c r="E100" i="4"/>
  <c r="P100" i="4"/>
  <c r="E10" i="3" s="1"/>
  <c r="Q100" i="4"/>
  <c r="F10" i="3" s="1"/>
  <c r="P14" i="9" l="1"/>
  <c r="P19" i="9"/>
  <c r="C33" i="9"/>
  <c r="P30" i="9"/>
  <c r="P33" i="9" s="1"/>
  <c r="Q395" i="4"/>
  <c r="F21" i="3" s="1"/>
  <c r="E395" i="4"/>
  <c r="P395" i="4"/>
  <c r="E21" i="3" s="1"/>
  <c r="Q360" i="4"/>
  <c r="F18" i="3" s="1"/>
  <c r="P360" i="4"/>
  <c r="E18" i="3" s="1"/>
</calcChain>
</file>

<file path=xl/comments1.xml><?xml version="1.0" encoding="utf-8"?>
<comments xmlns="http://schemas.openxmlformats.org/spreadsheetml/2006/main">
  <authors>
    <author>Patrick Ziesen</author>
  </authors>
  <commentList>
    <comment ref="A18" authorId="0" guid="{68CF1CFC-E164-4C30-91D0-4EE103CC927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last working day 02-06-2013</t>
        </r>
      </text>
    </comment>
    <comment ref="A31" authorId="0" guid="{8B388B60-5A70-4503-96B9-82C23882E47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last working day MS:</t>
        </r>
        <r>
          <rPr>
            <b/>
            <sz val="9"/>
            <color indexed="81"/>
            <rFont val="Tahoma"/>
            <family val="2"/>
          </rPr>
          <t xml:space="preserve"> 03-04-2013 </t>
        </r>
      </text>
    </comment>
    <comment ref="A33" authorId="0" guid="{F2E797BD-E067-4278-B19B-7EA91010382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eerste werkdag MS: 04-03-2013</t>
        </r>
      </text>
    </comment>
    <comment ref="A34" authorId="0" guid="{E53AC8BB-2362-421B-8FF9-860945172EA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eerste werkdag MS: 11-03-2013</t>
        </r>
      </text>
    </comment>
    <comment ref="A35" authorId="0" guid="{F80DD58A-A13B-4596-8A31-514D49CC9524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eerste werkdag MS: 11-03-2013</t>
        </r>
      </text>
    </comment>
  </commentList>
</comments>
</file>

<file path=xl/comments10.xml><?xml version="1.0" encoding="utf-8"?>
<comments xmlns="http://schemas.openxmlformats.org/spreadsheetml/2006/main">
  <authors>
    <author>Patrick Ziesen</author>
    <author>Frido Meijer</author>
    <author>Patrick Janssen</author>
  </authors>
  <commentList>
    <comment ref="E3" authorId="0" guid="{50AB1EB6-E4EE-46C6-B802-5B5D91AB510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hemelvaartsdag Ascension Day </t>
        </r>
      </text>
    </comment>
    <comment ref="I5" authorId="0" guid="{4623D2DF-7CDA-4660-A4E4-24260F613BB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Naar de 'grootste helpdesk van vlaanderen'</t>
        </r>
      </text>
    </comment>
    <comment ref="J5" authorId="0" guid="{78E382D8-6C43-4238-88ED-242843DB224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Naar de 'grootste helpdesk van vlaanderen'</t>
        </r>
      </text>
    </comment>
    <comment ref="X5" authorId="1" guid="{BF55AA16-B694-47AC-8FD1-0FB12BA04C0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 (APK + Mortgage)
</t>
        </r>
      </text>
    </comment>
    <comment ref="J20" authorId="2" guid="{69EB7C5B-F5E4-4AD1-90A1-42335439F7D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U20" authorId="2" guid="{4D89BFA5-F7FD-4B08-A873-9BCEC852B7D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W25" authorId="2" guid="{4019B814-1C3B-4E43-A118-58C6661AF8C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am
</t>
        </r>
      </text>
    </comment>
    <comment ref="AC25" authorId="2" guid="{D866B0C0-B4E6-4BDA-959A-DB4C74FD6B7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D25" authorId="2" guid="{44C50F5B-2137-410C-99F0-EC79BD802FA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J30" authorId="2" guid="{1296DE39-0443-4982-B4D6-7691B31B0B6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T30" authorId="1" guid="{6CA0BA73-7178-4482-B5F7-53CB5F5EA7F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V30" authorId="1" guid="{583AB0CC-0EE2-406C-A570-93A29F74A95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holiday (PM)
</t>
        </r>
      </text>
    </comment>
    <comment ref="AD30" authorId="1" guid="{465D9C8B-7291-4CBB-88AB-000F75D798E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
</t>
        </r>
      </text>
    </comment>
    <comment ref="X45" authorId="2" guid="{E63D962D-2572-4B43-A21A-040917D5A6C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
</t>
        </r>
      </text>
    </comment>
    <comment ref="M50" authorId="1" guid="{E6B0FEBE-0805-4264-9C04-CD0FD1DE4ED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(teeth)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0" authorId="1" guid="{C9407A11-954A-43DF-A2FC-AB0FA962812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(teeth)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0" authorId="1" guid="{9F34CF93-333F-4292-8098-96A1DDBA132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holiday (PM)
</t>
        </r>
      </text>
    </comment>
    <comment ref="AE50" authorId="1" guid="{A53818C8-B8C5-4C94-B6A7-41D8C8C07E0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2h off
</t>
        </r>
      </text>
    </comment>
    <comment ref="T55" authorId="1" guid="{9D08DBA4-8F79-494E-9FF1-5149FE46FB3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
</t>
        </r>
      </text>
    </comment>
    <comment ref="AD55" authorId="1" guid="{0A67BC77-03A1-45B5-AC7C-410F3749272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
</t>
        </r>
      </text>
    </comment>
    <comment ref="X60" authorId="2" guid="{0C96CAD0-3F75-4D04-B20A-F6FB8C7D1B3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N70" authorId="2" guid="{A6994FDF-1B2A-4CB0-A8C1-2447C605C34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PVB 10:0010:30</t>
        </r>
      </text>
    </comment>
    <comment ref="AB70" authorId="2" guid="{4A0B1270-56E3-4763-89DA-3B2B8C19A86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Eindtraining Jaar 1 tm 13:00</t>
        </r>
      </text>
    </comment>
    <comment ref="J85" authorId="2" guid="{EF9996F0-96AD-4C01-B8CA-E4A4CBFF8C3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X85" authorId="2" guid="{2F56757E-D279-4D57-9087-8FA8CDD3A60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CEO chat</t>
        </r>
      </text>
    </comment>
    <comment ref="AB85" authorId="2" guid="{873949C9-F73F-48CD-B1EB-FDA6DFE498C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psi
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
</t>
        </r>
      </text>
    </comment>
    <comment ref="AD85" authorId="2" guid="{D351A069-CB63-4BAB-B411-2496DF1AAC4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girlfriend hospital
pm
</t>
        </r>
      </text>
    </comment>
    <comment ref="AE85" authorId="2" guid="{437836C4-5CE0-4961-989D-34CD833B95C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girlfriend hospital
pm
</t>
        </r>
      </text>
    </comment>
    <comment ref="N95" authorId="1" guid="{0D9C862A-4A20-4839-AB30-ED588D99904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1h holiday (PM)
</t>
        </r>
      </text>
    </comment>
    <comment ref="Q95" authorId="2" guid="{A07BE71E-26BD-4F05-A811-D5FD0E3782B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V95" authorId="2" guid="{5689A052-1E0D-4557-838F-B87F637258C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W95" authorId="2" guid="{DF5B66B7-1DAF-457B-BDDE-311AB335510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</t>
        </r>
      </text>
    </comment>
    <comment ref="AA95" authorId="2" guid="{EEC56EBF-F997-4F52-957C-4DE36048D45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
</t>
        </r>
      </text>
    </comment>
    <comment ref="AB95" authorId="2" guid="{FC7A5ABD-759C-457D-9D4E-7AD2B7C7A1D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
</t>
        </r>
      </text>
    </comment>
    <comment ref="AE95" authorId="1" guid="{88C9E9BC-EF99-4F8C-A6C9-6C572A6A2FF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12 min late
</t>
        </r>
      </text>
    </comment>
    <comment ref="P100" authorId="1" guid="{5414E30A-FEC6-4C4E-9632-618731CC094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
</t>
        </r>
      </text>
    </comment>
    <comment ref="U100" authorId="1" guid="{E29AB7A7-10A0-45FE-BBEF-6888917D6DB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2h holiday (PM)
</t>
        </r>
      </text>
    </comment>
    <comment ref="H105" authorId="2" guid="{33E70341-577E-49EC-A056-A81192BFC94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
</t>
        </r>
      </text>
    </comment>
    <comment ref="I105" authorId="2" guid="{20BE009F-6F5C-42F4-86AF-F88350F27A7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
</t>
        </r>
      </text>
    </comment>
    <comment ref="V110" authorId="2" guid="{5FF0F1EB-D6E9-4BA5-ACEB-A4B2C5258A7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0,75
</t>
        </r>
      </text>
    </comment>
    <comment ref="W110" authorId="2" guid="{71F1E3E8-B83C-4875-B681-EF8040B046A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komt werkne
</t>
        </r>
      </text>
    </comment>
    <comment ref="X110" authorId="2" guid="{E70C8D1D-0D89-4B1A-A687-249DBB7D7DA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A110" authorId="2" guid="{E21F3CCA-D921-45C9-A06B-06CBEFF6899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B110" authorId="2" guid="{5FDEC1E9-AD5D-44B5-8E7E-7126FACC942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C110" authorId="2" guid="{7A0124FF-F92C-4EC8-8CEB-ECF58195619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D110" authorId="2" guid="{4CB62632-DB54-4635-AD69-B7E4B87B762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E110" authorId="2" guid="{6DD7043E-CBE0-4038-9F4F-99726EC3031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F115" authorId="1" guid="{AF24A1C2-3C04-4857-8272-4ED4585AE8A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Knee injury due to TP soccer match</t>
        </r>
      </text>
    </comment>
    <comment ref="P115" authorId="1" guid="{807F1681-CE33-49B2-B69F-4EE54B15BB2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
</t>
        </r>
      </text>
    </comment>
    <comment ref="H120" authorId="0" guid="{49CFD794-E12D-46CF-ACAC-40200B8DA4D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Naar de 'grootste helpdesk van vlaanderen'</t>
        </r>
      </text>
    </comment>
    <comment ref="I120" authorId="1" guid="{A8842EF3-0707-4C7E-98BC-6FAA43E8495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To hospital for removal of wisdom teeth</t>
        </r>
      </text>
    </comment>
    <comment ref="N120" authorId="1" guid="{1E5C37B9-042E-41E8-A898-E8B1A2A1FAC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
</t>
        </r>
      </text>
    </comment>
    <comment ref="P120" authorId="1" guid="{5588FD2B-0442-44D7-91B6-75FAFF88FDC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0,5h absenteeism (late)
</t>
        </r>
      </text>
    </comment>
    <comment ref="Q120" authorId="1" guid="{75A5AC66-33D4-41E7-92B7-1349FE52333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3h holiday (PM)
</t>
        </r>
      </text>
    </comment>
    <comment ref="W120" authorId="1" guid="{B8D4DE03-6D32-4C28-BF31-DF76CC2B60C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0,5h lateness
</t>
        </r>
      </text>
    </comment>
    <comment ref="AB120" authorId="2" guid="{EC1D199E-C541-457A-B4F4-1BC455B236D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Eindtraining Jaar 1 tm 13:00</t>
        </r>
      </text>
    </comment>
    <comment ref="AE120" authorId="2" guid="{1A63EA46-2A8E-4FF6-AE59-EF44730318D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G125" authorId="2" guid="{5CA17D49-A351-430B-854D-0153E481719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</t>
        </r>
      </text>
    </comment>
    <comment ref="U125" authorId="2" guid="{430B5BF0-8127-4341-8B0E-81FFE6897A7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</t>
        </r>
      </text>
    </comment>
    <comment ref="AD125" authorId="2" guid="{C5EAA69F-71C4-4D4E-B26C-A3E96CFA298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
</t>
        </r>
      </text>
    </comment>
    <comment ref="AE125" authorId="2" guid="{2778B290-BD22-4535-B823-710E66AB055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</t>
        </r>
      </text>
    </comment>
    <comment ref="J130" authorId="0" guid="{6C8DDA84-1A97-473B-AE77-3473F18A527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N130" authorId="0" guid="{278EF57B-3497-4972-B508-8568DB545D4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2,5h holiday
</t>
        </r>
      </text>
    </comment>
    <comment ref="Q130" authorId="0" guid="{EA728F81-8D3C-4B32-8A89-11DF4D8234A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W130" authorId="0" guid="{9585A6D7-A251-4376-953C-EAE817EFA92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15:30h-18h holiday
</t>
        </r>
      </text>
    </comment>
    <comment ref="X130" authorId="0" guid="{44A11B6D-6373-4A2E-A220-B1134CDE894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AC130" authorId="0" guid="{987DB562-A867-4C12-9D54-7C9E93676CE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15:30h-18h holiday
</t>
        </r>
      </text>
    </comment>
    <comment ref="AE130" authorId="0" guid="{23BC918D-4DB4-4EA0-AD5A-0370BB580AD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Q135" authorId="1" guid="{424FCDF7-6F31-424D-8A72-C872FDDF232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 (Dragraces)</t>
        </r>
      </text>
    </comment>
    <comment ref="U135" authorId="1" guid="{3AB8A634-932B-4219-9C5C-954AC49783E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holiday (PM)
</t>
        </r>
      </text>
    </comment>
    <comment ref="W135" authorId="2" guid="{A9F954AD-7C6A-43FD-A1D9-847B75E1C7E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
</t>
        </r>
      </text>
    </comment>
    <comment ref="X135" authorId="2" guid="{39632E21-B0B3-4ACD-959D-2B646E868D6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
</t>
        </r>
      </text>
    </comment>
    <comment ref="AC135" authorId="1" guid="{B83EA7DF-290D-4D5C-BAFD-8E8A4AF5A1C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Doctor's appointment for knee (0,5h)
</t>
        </r>
      </text>
    </comment>
    <comment ref="J145" authorId="1" guid="{59B331B2-B403-440A-A108-2F4112B2CE9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1h holiday
</t>
        </r>
      </text>
    </comment>
    <comment ref="X145" authorId="0" guid="{89328A77-3660-4B92-B369-7B34E70F0F7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(PM)
</t>
        </r>
      </text>
    </comment>
    <comment ref="AA145" authorId="0" guid="{8FB3DBC6-BDD9-4CB9-8D51-40C15176642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B145" authorId="0" guid="{FF7BD31A-B6B5-40E2-A7DB-F9614586293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C145" authorId="0" guid="{17DD4131-356F-48C9-BF37-4720FA0C737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D145" authorId="0" guid="{B7D18EDE-F36C-4E09-88A5-FC007692BE3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E145" authorId="0" guid="{FC49A4FE-D5EF-4093-9E22-6A2F4DAD780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T150" authorId="0" guid="{4D348B81-20CD-4E75-8341-327803965C3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
</t>
        </r>
      </text>
    </comment>
    <comment ref="W150" authorId="2" guid="{C6E04C56-6D26-48C7-83CA-56568D70112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X150" authorId="2" guid="{D24F8FB5-6B1E-4F11-AADE-810E7B27E00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150" authorId="0" guid="{1E04680F-67FC-4BFB-BD5C-9C4D2216120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17h-18h holiday
</t>
        </r>
      </text>
    </comment>
    <comment ref="V155" authorId="1" guid="{840788CE-0818-41AF-8C69-28E2DFB87D0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holiday (PM)
</t>
        </r>
      </text>
    </comment>
    <comment ref="T160" authorId="1" guid="{04F8051F-1E14-4D36-953B-9390F7ECD41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
</t>
        </r>
      </text>
    </comment>
    <comment ref="V160" authorId="1" guid="{799E449A-A101-409C-9EA9-879B63945E1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holiday (PM)
</t>
        </r>
      </text>
    </comment>
    <comment ref="W160" authorId="2" guid="{C57A81EE-C5C2-45C9-A697-E229F9A1424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
</t>
        </r>
      </text>
    </comment>
  </commentList>
</comments>
</file>

<file path=xl/comments11.xml><?xml version="1.0" encoding="utf-8"?>
<comments xmlns="http://schemas.openxmlformats.org/spreadsheetml/2006/main">
  <authors>
    <author>Frido Meijer</author>
    <author>Patrick Ziesen</author>
    <author>Patrick Janssen</author>
  </authors>
  <commentList>
    <comment ref="R5" authorId="0" guid="{63C1F9CE-9C51-4862-9A31-21D739C3DBCE}" shapeId="0">
      <text>
        <r>
          <rPr>
            <b/>
            <sz val="9"/>
            <color indexed="81"/>
            <rFont val="Tahoma"/>
            <charset val="1"/>
          </rPr>
          <t>Frido Meijer:</t>
        </r>
        <r>
          <rPr>
            <sz val="9"/>
            <color indexed="81"/>
            <rFont val="Tahoma"/>
            <charset val="1"/>
          </rPr>
          <t xml:space="preserve">
4h holiday (PM) - Notaris
</t>
        </r>
      </text>
    </comment>
    <comment ref="L20" authorId="1" guid="{2CA8904A-F6B1-4568-8CCC-C28072DE1E6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PM
</t>
        </r>
      </text>
    </comment>
    <comment ref="M20" authorId="0" guid="{01BA42C5-3116-481E-8653-E1174313ADE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Burial aunt (begrafenis)
</t>
        </r>
      </text>
    </comment>
    <comment ref="D25" authorId="1" guid="{71C53403-96BF-47D5-BD57-37A352383C8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(PM)
</t>
        </r>
      </text>
    </comment>
    <comment ref="G25" authorId="1" guid="{3864561E-91B5-4419-B292-16ECCBB72E1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2h holiday (14:30-16:30)
</t>
        </r>
      </text>
    </comment>
    <comment ref="H25" authorId="0" guid="{3275C56F-743A-468B-A2A6-05CAED40D17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K25" authorId="1" guid="{285BBBCD-0768-4B67-831E-DD84A310CA79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2h Holiday 14:30-16-30
</t>
        </r>
      </text>
    </comment>
    <comment ref="L25" authorId="1" guid="{31BF8468-92A5-4882-A90B-F080E62B3F6F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2h Holiday 14:30-16-30
</t>
        </r>
      </text>
    </comment>
    <comment ref="M25" authorId="1" guid="{0263FC44-1243-43CC-BA01-BC853AE17D86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2h Holiday 14:30-16-30
</t>
        </r>
      </text>
    </comment>
    <comment ref="N25" authorId="1" guid="{6E896327-20E6-4BDC-9931-27EFDB40C805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2h Holiday 14:30-16-30
</t>
        </r>
      </text>
    </comment>
    <comment ref="O25" authorId="1" guid="{9CA26DDC-FE30-44AC-BA27-FF6898391FB1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2h Holiday 14:30-16-30
</t>
        </r>
      </text>
    </comment>
    <comment ref="V25" authorId="1" guid="{99CCC165-28C0-4DBD-B525-EE492D2A50C5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8h holiday (aannemer komt)
</t>
        </r>
      </text>
    </comment>
    <comment ref="D30" authorId="0" guid="{71658973-9489-4E50-958D-4BA7064CC79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E30" authorId="0" guid="{9CB8A16A-3071-4B47-85CA-7CC663A2522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F30" authorId="0" guid="{2469CEBD-3D56-4F4E-9180-BDA55B70AB4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F40" authorId="2" guid="{32C3F1E8-4FB0-483A-8DCF-8B988B969DD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R40" authorId="2" guid="{929FD033-F5DD-4B20-BC94-A8311902815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hosp
</t>
        </r>
      </text>
    </comment>
    <comment ref="K45" authorId="2" guid="{E84C5843-7C76-4C4D-BEDE-0CE16A2EBAB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BHV</t>
        </r>
      </text>
    </comment>
    <comment ref="D55" authorId="0" guid="{A36F9534-A611-43DC-A1F0-3A9C4AC94F7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Scouting Zomerkamp (TVT)</t>
        </r>
      </text>
    </comment>
    <comment ref="E55" authorId="0" guid="{E90897EA-FEB9-4ADA-903E-27080B4F3E1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Scouting Zomerkamp (TVT)</t>
        </r>
      </text>
    </comment>
    <comment ref="F55" authorId="0" guid="{1022D73F-4ABF-4908-9F4C-C4614D9F221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Scouting Zomerkamp (TVT)</t>
        </r>
      </text>
    </comment>
    <comment ref="G55" authorId="0" guid="{5CE1292C-5351-46D1-8B54-C44129A8494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Scouting Zomerkamp (TVT)</t>
        </r>
      </text>
    </comment>
    <comment ref="AA55" authorId="0" guid="{61673081-883D-4C94-A346-2F74D926F66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 (TVT)
</t>
        </r>
      </text>
    </comment>
    <comment ref="AB55" authorId="0" guid="{9746BEE9-DD34-46A5-9912-E66D2E9E501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 (TVT)</t>
        </r>
      </text>
    </comment>
    <comment ref="AC55" authorId="0" guid="{AA7BA39D-E924-4CF6-9CE3-39D4F9DDEC5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 (TVT)</t>
        </r>
      </text>
    </comment>
    <comment ref="AF55" authorId="0" guid="{5AB4A0A1-F92F-4170-9D22-FE69DCF1600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AG55" authorId="0" guid="{86E6CD25-EBAC-49D0-A63A-C7919366827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AH55" authorId="0" guid="{00E9B930-659F-4291-B2D6-A0E4570BAD6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L60" authorId="1" guid="{819E8902-FDD3-4642-9D7D-CD45B7D3A6C8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dierenarts (komt later)
</t>
        </r>
      </text>
    </comment>
    <comment ref="E85" authorId="1" guid="{2AAB833F-DEF7-4276-9D70-FC071C18615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Special Leave
</t>
        </r>
      </text>
    </comment>
    <comment ref="G85" authorId="2" guid="{976BE876-2B98-457A-A425-8D6EC066351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psi
pm
</t>
        </r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special leave (hospital)</t>
        </r>
      </text>
    </comment>
    <comment ref="K85" authorId="1" guid="{5C7D9F21-B5D3-4773-B70A-5EE8527E986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O85" authorId="1" guid="{A092C999-A03C-456D-B119-2E267BA0864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AM
</t>
        </r>
      </text>
    </comment>
    <comment ref="G95" authorId="1" guid="{508313DF-3857-4CEB-A84C-72A3A69AE2C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1h holiday (because Marc overslept. He will work from home the rest of the day)
</t>
        </r>
      </text>
    </comment>
    <comment ref="E100" authorId="0" guid="{B4608893-EB9F-4578-899E-0B47D398C90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PVB &amp; Taaltoets TPA
</t>
        </r>
      </text>
    </comment>
    <comment ref="F100" authorId="1" guid="{620E2A63-70EE-4504-9A95-59A21DBBDBC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(PM)
</t>
        </r>
      </text>
    </comment>
    <comment ref="L100" authorId="2" guid="{D4B37624-986D-49D7-AB3A-A9AD3879173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
</t>
        </r>
      </text>
    </comment>
    <comment ref="F105" authorId="1" guid="{084B1C4C-48C7-4F32-9175-7C5F1BE9D27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2h holiday (PM)
</t>
        </r>
      </text>
    </comment>
    <comment ref="V105" authorId="2" guid="{3F43FF04-61B2-479C-8458-7C369D486F9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D110" authorId="2" guid="{0C3C0E4B-46E3-4DAD-BD28-D078938DC9C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E110" authorId="2" guid="{93741354-7BD2-4223-97A1-1BC5E512A33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K110" authorId="2" guid="{CD2EFE10-64B2-4BE0-9917-0174F6A64D8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BHV</t>
        </r>
      </text>
    </comment>
    <comment ref="G115" authorId="1" guid="{C6979C8A-0DB0-40B1-842B-DD1FBF1036A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1h holiday,
-2,63 uur tvt
</t>
        </r>
      </text>
    </comment>
    <comment ref="D120" authorId="2" guid="{FD071C07-84BD-4A3F-A721-446216A9CDC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G120" authorId="1" guid="{E0414440-2662-4013-AB5E-82FE561789E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 (iets verkeerds gegeten)
</t>
        </r>
      </text>
    </comment>
    <comment ref="AF120" authorId="0" guid="{BE5E531F-56F6-41CC-BF87-A6723251B15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G120" authorId="0" guid="{EE09B3BC-C315-45A2-9EE3-68D7BB60F43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H120" authorId="0" guid="{84DA93E8-ED2E-4138-A2B8-4D6DDBCE87F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D125" authorId="2" guid="{E70AA7D7-E689-488D-B893-D515ED07A58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E125" authorId="2" guid="{12612E2E-811D-4D79-9886-DC9BCD6C537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F125" authorId="2" guid="{88F13746-9B51-4A90-888E-314CACF203E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G125" authorId="2" guid="{F28304D1-68B3-45DF-96A8-42D34FB7EBE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H125" authorId="2" guid="{32749012-7D89-4C3C-9EF9-EF457A1A43B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K125" authorId="2" guid="{E38ADF11-C6BA-4EC9-A5CC-B64890DD8B9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L125" authorId="2" guid="{5C8FF44B-57CB-4F93-9C72-AC5EDDB9BA0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M125" authorId="2" guid="{F9AF4CC4-F69B-4597-9A75-2016AD774D6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N125" authorId="2" guid="{090C7649-3CD3-429B-887D-5438EB4F338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O125" authorId="2" guid="{7700B9AD-C894-4A36-94B1-8FF6E2D2546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</t>
        </r>
      </text>
    </comment>
    <comment ref="R125" authorId="1" guid="{83B9D048-39A4-4467-A09C-2872A8ACF75D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8h special leave (begrafenis opa)
</t>
        </r>
      </text>
    </comment>
    <comment ref="T125" authorId="2" guid="{81BD0210-B772-4FC1-B6FC-FF272452C1D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</t>
        </r>
      </text>
    </comment>
    <comment ref="AG125" authorId="2" guid="{55EE7485-FB0D-4394-B25E-9B7B035F847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</t>
        </r>
      </text>
    </comment>
    <comment ref="H130" authorId="1" guid="{212C0632-D2A2-4A39-B4F5-CA502F2274C4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K130" authorId="1" guid="{77AD9A6F-8F2B-4D49-BCC8-CFE84569F1BB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-2h tvt
</t>
        </r>
      </text>
    </comment>
    <comment ref="N130" authorId="1" guid="{967A3C84-810A-4CB5-ADDE-651F8C4D4EE3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-4h tvt PM
</t>
        </r>
      </text>
    </comment>
    <comment ref="O130" authorId="1" guid="{EB144A08-09A2-4B03-889B-F4C421F5A5D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V130" authorId="1" guid="{61E800CC-22A3-4E32-BCD6-0848328C01F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AC130" authorId="1" guid="{B1FBE47C-9899-4C75-B5AE-4FC46B2EBEA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V135" authorId="0" guid="{84AB1E1A-54DF-4646-9F61-1601431557C6}" shapeId="0">
      <text>
        <r>
          <rPr>
            <b/>
            <sz val="9"/>
            <color indexed="81"/>
            <rFont val="Tahoma"/>
            <charset val="1"/>
          </rPr>
          <t>Frido Meijer:</t>
        </r>
        <r>
          <rPr>
            <sz val="9"/>
            <color indexed="81"/>
            <rFont val="Tahoma"/>
            <charset val="1"/>
          </rPr>
          <t xml:space="preserve">
4h holiday (PM)
</t>
        </r>
      </text>
    </comment>
    <comment ref="D145" authorId="1" guid="{CE7466D0-3736-4A33-A21D-B2C012FFB35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E145" authorId="1" guid="{464344E4-3116-4690-9CDB-AD69FD180774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F145" authorId="1" guid="{CB53BE43-FD0D-4F27-9A0D-7D8ED7C3C2B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G145" authorId="1" guid="{C8B84675-659B-4934-ADA3-E45C7BE725F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H145" authorId="1" guid="{96771E11-2363-4B82-BB17-62C2B1706C1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145" authorId="1" guid="{1E2101CB-65A5-4AB7-9718-F4D5825E362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L145" authorId="1" guid="{67B031C7-4458-47E2-B64D-00F51585C27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M145" authorId="1" guid="{0BD2B5D9-09DD-4A65-97D7-309403D5956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N145" authorId="1" guid="{B7E46766-32B0-4ACB-824A-E474237742F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O145" authorId="1" guid="{FC65B4AD-8B94-42DC-A061-BEF7F63CD52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F155" authorId="1" guid="{4A9D64EE-884E-4892-ACA4-DD4E1988A13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 (iets verkeerds gegeten)
</t>
        </r>
      </text>
    </comment>
    <comment ref="G155" authorId="1" guid="{1F603C61-56D2-4748-8F60-AE5920C5A3E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 (iets verkeerds gegeten)
</t>
        </r>
      </text>
    </comment>
    <comment ref="U155" authorId="0" guid="{CE99BFB4-57DB-424C-AD92-33EB2AD91BB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Professioneel communiceren (09:00 - 13:30)
</t>
        </r>
      </text>
    </comment>
    <comment ref="H160" authorId="1" guid="{10B63C6A-B7CF-4742-BE3A-E7305D30B0A7}" shapeId="0">
      <text>
        <r>
          <rPr>
            <b/>
            <sz val="9"/>
            <color indexed="81"/>
            <rFont val="Tahoma"/>
            <charset val="1"/>
          </rPr>
          <t>Patrick Ziesen:</t>
        </r>
        <r>
          <rPr>
            <sz val="9"/>
            <color indexed="81"/>
            <rFont val="Tahoma"/>
            <charset val="1"/>
          </rPr>
          <t xml:space="preserve">
4h Special Leave (hospital)
4h Holiday
</t>
        </r>
      </text>
    </comment>
    <comment ref="Y160" authorId="0" guid="{D6045115-2288-48B6-A102-69A3AD12F45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Z160" authorId="0" guid="{D585FC05-BFFA-4850-BB99-79F4FC7668B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A160" authorId="0" guid="{DB01D484-6448-4916-BBAC-19D63817818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B160" authorId="0" guid="{B71E8C33-6F5C-4125-9400-B1892C695FA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C160" authorId="0" guid="{36C8E4DD-8D78-4F46-8328-92A2AE40B54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F160" authorId="0" guid="{F8B03DE0-4567-4E80-9F5F-19C9123F94C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G160" authorId="0" guid="{372319FC-2A3C-448C-9E44-AEFE437240A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H160" authorId="0" guid="{8939B7C9-76EA-49AA-925D-34A5E91E6FF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</commentList>
</comments>
</file>

<file path=xl/comments12.xml><?xml version="1.0" encoding="utf-8"?>
<comments xmlns="http://schemas.openxmlformats.org/spreadsheetml/2006/main">
  <authors>
    <author>Patrick Ziesen</author>
    <author>Patrick Janssen</author>
    <author>Frido Meijer</author>
  </authors>
  <commentList>
    <comment ref="E5" authorId="0" guid="{4E40CBA6-B8E0-4E83-911A-BD2275B3774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H5" authorId="0" guid="{F02AA10E-E7E8-4106-A984-2A16348E87B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I5" authorId="0" guid="{EE3843C2-DE83-40C5-B176-C40907E9E6D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J5" authorId="0" guid="{E3898B8D-7A78-408A-9494-FC61611AE24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5" authorId="0" guid="{5877F081-4561-4D38-A608-E23D8E31839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L5" authorId="0" guid="{9D3CE12C-AB11-4A05-8F44-746D3FBEE4E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O5" authorId="0" guid="{AEA2332B-CFAA-4223-B68B-79D4A3A7E00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P5" authorId="0" guid="{475B19D1-533F-4D70-8431-E7734B8058F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Q5" authorId="0" guid="{0A8432F8-C4B9-4507-92C5-9B13E956126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R5" authorId="0" guid="{F0F2DC96-99B2-46D1-B4B0-DFD4FEC59ED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S5" authorId="0" guid="{E2C02A60-B3CA-44F9-B446-3588E740EFD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H25" authorId="1" guid="{A9E8F34A-562B-45ED-A674-ACA637BE137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I25" authorId="1" guid="{865473E4-045A-45FA-84B5-85A2EF09AA7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J25" authorId="1" guid="{5DD9EF7C-BB2F-4EA9-A373-AAE5C0B3445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K25" authorId="1" guid="{3881F990-794C-478E-8537-5648F0FC046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L25" authorId="1" guid="{6D3DFB13-D76C-4BA6-9328-33059799D3D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O25" authorId="1" guid="{A494054D-EFF9-44F0-B5BA-04B401347D2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P25" authorId="1" guid="{D8959EAC-246E-46CA-98CC-9DFDBD300D7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Q25" authorId="1" guid="{3C35952E-D8E7-4722-88C5-6B64B3D6B23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R25" authorId="1" guid="{69F76C68-738C-4B22-9E1F-5C53DBE1C6E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S25" authorId="1" guid="{C41069DE-1367-4343-B499-92D5861E713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H30" authorId="1" guid="{0952424E-050A-49E5-B51F-56D82E052D4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I30" authorId="1" guid="{2C64209F-3880-41F0-8349-8CE51C4AE45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J30" authorId="1" guid="{9A22AA4C-BE64-4F56-A610-F96D59D9686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K30" authorId="1" guid="{6D17A5CF-AA8C-42EA-841C-268DAABE02F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L30" authorId="1" guid="{9A1F747C-FBB6-4EDC-85D9-722F6A2D621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O30" authorId="1" guid="{00C42046-E0B4-41BC-9C21-B36D1375D41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P30" authorId="1" guid="{6C276E88-C760-44E5-87FD-C37630ADC52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Q30" authorId="1" guid="{CCE3B0C4-0607-4BBA-B42A-99D7F8B5EC0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R30" authorId="1" guid="{BD36EED0-9205-41BF-97D2-62015495C3E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S30" authorId="1" guid="{7713AEC7-3851-4F00-92CE-C2B88D7507E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E40" authorId="1" guid="{989D5649-0388-48B5-8E9B-9EF80855653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V40" authorId="1" guid="{F1819A74-3FCC-4BE2-AE49-0D3C0307823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W40" authorId="1" guid="{D81E2445-CB47-41CB-B8D2-C8C4B51AD55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X40" authorId="1" guid="{4611F272-85D0-47C9-B097-C7DE2C5BF68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Y40" authorId="1" guid="{202918AD-C17E-49EF-884A-FD9F65C79BB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Z40" authorId="1" guid="{1F84B040-7446-490E-B744-44426EAEB4C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C40" authorId="1" guid="{EA5B3500-443E-49B8-B4D0-9D8E7381BAF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D40" authorId="1" guid="{34233D2B-E53B-4108-BD38-3D5DC7246B3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E40" authorId="1" guid="{BE010C45-62E4-4589-9396-501972C7355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F40" authorId="1" guid="{0577D434-3A7E-406D-A51E-AD20C828377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AG40" authorId="1" guid="{91ED383F-1915-4F2F-8E35-DB50A5DCF33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D55" authorId="2" guid="{5DE0B248-8374-44D0-B817-F4F1C7FFA80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E55" authorId="2" guid="{704B6A9C-017D-49B9-8F52-7A92CBDB51F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H55" authorId="2" guid="{0DD50427-F0C5-4DE2-92A3-7D045D05AF3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I55" authorId="2" guid="{554A67F7-1F40-4FB8-8D8A-88AE2CB4C02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J55" authorId="2" guid="{FF6FB925-4291-42AE-A65B-6255F98B66F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K55" authorId="2" guid="{DD63C533-74E3-4149-94A1-4832BFBA7E9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L55" authorId="2" guid="{D960CE91-3FCC-4457-B5BD-FCB56D98F36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Campzone 2013</t>
        </r>
      </text>
    </comment>
    <comment ref="H95" authorId="1" guid="{ED84A974-F263-4AFC-9F1E-37B2605F41C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I95" authorId="1" guid="{6CC9D3AA-33F9-4C4B-BD32-63A47E7FD80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J95" authorId="1" guid="{7F0E858B-6FCD-448D-B0BE-1B5596A1D9C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K95" authorId="1" guid="{A9DD7EF5-9CB2-407E-A18A-12D09A6BE3D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L95" authorId="1" guid="{3D18388A-DAE3-4D56-B0DD-4F9EBFBAACF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O95" authorId="1" guid="{06643293-81AE-4CB3-839C-6808A5A3936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P95" authorId="1" guid="{B0FA619A-1D73-4CD6-86AC-D5DC40E8198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Q95" authorId="1" guid="{B54512A1-AACF-4415-9657-1151C79BBDD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R95" authorId="1" guid="{96190D45-6037-4C24-A7B2-7B079AE3A97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S95" authorId="1" guid="{533F7ECE-2EC2-44D0-9758-0E9757F7B08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V95" authorId="0" guid="{1E0555F4-C4C8-45F2-B4C2-09439B983F5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2h Dentist (special leave)
6h Holiday
</t>
        </r>
      </text>
    </comment>
    <comment ref="V100" authorId="2" guid="{A8EDBE41-35A7-42D1-909B-1AC71FBED2E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W100" authorId="2" guid="{3A078014-60F2-449C-AE96-1AF1406945F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X100" authorId="2" guid="{342E2369-5097-4232-BDC3-0A08B67428D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Y100" authorId="2" guid="{82227F7F-53F6-4D4C-B893-76D7EB01FA9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Z100" authorId="2" guid="{1BA91606-16DF-4C15-B3AA-C1D37C55078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C100" authorId="2" guid="{8C42EFCB-BCDE-4E24-987C-531CEA63641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D100" authorId="2" guid="{685C8BAB-CDD2-4635-AA85-C2F08C6BE6A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E100" authorId="2" guid="{D4432468-C3D4-4D10-A36B-5CBC6F56847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F100" authorId="2" guid="{5331A68B-69E0-4195-8059-14359871E1C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G100" authorId="2" guid="{12FE527B-021D-46A4-82F8-B6E91C37A99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S105" authorId="1" guid="{82ECCF2E-66BA-4E19-A5F4-D1D0618AAB4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dentist &amp; oof</t>
        </r>
      </text>
    </comment>
    <comment ref="V115" authorId="1" guid="{DFB7467E-9522-465E-94F0-CC19800BF26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W115" authorId="1" guid="{79D1E0DE-A687-4944-8DFE-6023E68935E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X115" authorId="1" guid="{4960B457-7488-4F83-8DF8-DEAD97B763C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Y115" authorId="1" guid="{585AD372-9218-43CD-9846-D839673E2BF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Z115" authorId="1" guid="{F5AD7EE1-2E09-4001-9AFE-E377AFF33ED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C115" authorId="1" guid="{55D22DF8-28F1-413C-88F9-C76BF4A449E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115" authorId="1" guid="{6DFAA83F-7973-4579-8F47-04BF02EF9C2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E115" authorId="1" guid="{A0CE3FD2-2190-4070-BC3E-FBA11DB1923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F115" authorId="1" guid="{AE41A653-5C40-4BD8-AA48-30EF0700D09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G115" authorId="1" guid="{D89D93AC-3739-4A97-997E-FDEBEB82296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D120" authorId="2" guid="{934340A3-E137-4705-9C8B-4027D65A803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E120" authorId="2" guid="{799BC00E-826D-4C90-9A62-4AF0C18F1FA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L125" authorId="1" guid="{F1F6920E-6CE3-4223-9885-5C079CD5812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</t>
        </r>
      </text>
    </comment>
    <comment ref="W125" authorId="1" guid="{4B8EE6AC-76D5-4BF5-9F0D-F10D5719808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E130" authorId="0" guid="{130DD4BE-D41B-4FD6-96B5-36947E63E41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H130" authorId="0" guid="{F29CCD06-5020-40BC-8DAD-423E6E4AAD9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 (vakantie)
</t>
        </r>
      </text>
    </comment>
    <comment ref="I130" authorId="0" guid="{CB71F3BD-C3D0-488B-8958-F24B6AA0EE1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 (vakantie)
</t>
        </r>
      </text>
    </comment>
    <comment ref="J130" authorId="0" guid="{4E643B82-2744-4A15-8FB7-924A71C6B72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 (vakantie)
</t>
        </r>
      </text>
    </comment>
    <comment ref="K130" authorId="0" guid="{0507933B-D379-4DB3-8764-CAB697C1A4E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 (vakantie)
</t>
        </r>
      </text>
    </comment>
    <comment ref="L130" authorId="0" guid="{DBA4177A-4148-452C-9CAA-A9F97E1C7F0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S130" authorId="0" guid="{4B34922F-3158-4551-B810-D2F0D0AFE1C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Z130" authorId="0" guid="{81C08212-D487-4D59-976C-2D1E7180EB9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AG130" authorId="0" guid="{B57C15C1-1108-495C-9E5F-86B10A1ED3E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L135" authorId="2" guid="{6E293F71-BF11-46B9-A18A-BE099E2EED3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 (Dragraces)</t>
        </r>
      </text>
    </comment>
    <comment ref="AG135" authorId="1" guid="{386F3446-F3C2-4253-85C8-8635425D0C2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ovb</t>
        </r>
      </text>
    </comment>
    <comment ref="D160" authorId="2" guid="{5D5FB951-6269-47BB-8ABA-F9F2DFD2B52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E160" authorId="2" guid="{9C0118A9-D0EC-494D-A178-D881A978787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AE160" authorId="2" guid="{06D84608-ED39-4869-A456-0347A979AB0A}" shapeId="0">
      <text>
        <r>
          <rPr>
            <b/>
            <sz val="9"/>
            <color indexed="81"/>
            <rFont val="Tahoma"/>
            <charset val="1"/>
          </rPr>
          <t>Frido Meijer:</t>
        </r>
        <r>
          <rPr>
            <sz val="9"/>
            <color indexed="81"/>
            <rFont val="Tahoma"/>
            <charset val="1"/>
          </rPr>
          <t xml:space="preserve">
8h special leave due to "warmte therapie" for the nose
</t>
        </r>
      </text>
    </comment>
  </commentList>
</comments>
</file>

<file path=xl/comments13.xml><?xml version="1.0" encoding="utf-8"?>
<comments xmlns="http://schemas.openxmlformats.org/spreadsheetml/2006/main">
  <authors>
    <author>Patrick Janssen</author>
    <author>Patrick Ziesen</author>
    <author>Frido Meijer</author>
  </authors>
  <commentList>
    <comment ref="E40" authorId="0" guid="{188587CD-DC83-4079-857D-EF027D31519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F40" authorId="0" guid="{72A08E7C-D8A2-4CA3-BA8E-AC8E3D15C8C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G40" authorId="0" guid="{CFCC2BE7-A207-4233-B6CF-BBCCDE26F13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H40" authorId="0" guid="{09024A0B-3376-4FE6-9A62-776460D46BA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I40" authorId="0" guid="{4DA1BE06-94BA-4C54-9A44-6F183F81F73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E45" authorId="0" guid="{032E10CB-4CDB-43D8-A13A-14F801E9893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F45" authorId="0" guid="{394551D3-240D-4791-AB24-9C5B8B1441D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G45" authorId="0" guid="{93A88A88-9052-4B89-A65A-577129AE4CA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H45" authorId="0" guid="{4C601186-E36C-4025-B524-49127C989E4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I45" authorId="0" guid="{1DE9A4F3-9B5C-4A4B-970A-962D59FE1FA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L45" authorId="0" guid="{D9143647-0239-4420-AEFA-F82B377D0D2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M45" authorId="0" guid="{D8116159-EAF7-4442-9057-5089C19C6D6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N45" authorId="0" guid="{AD7BE9CD-4012-41EB-AB5C-78996E74C70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O45" authorId="0" guid="{C0FBC51F-97D9-4E40-AA8A-20FAD043E5F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P45" authorId="0" guid="{E8B74B09-4276-45A3-A45C-A2CFB93B3B4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I130" authorId="1" guid="{51535C1E-8F1E-488D-86E9-0FB266A350B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P130" authorId="1" guid="{6913BB9E-F79C-48DF-8FF2-A87D2FC80E0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W130" authorId="1" guid="{383A5BBF-97C4-4750-B24A-49DC1C0FC3B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AD130" authorId="1" guid="{2F8F5F1A-5184-4D65-96E6-BE0C7EEAACB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E135" authorId="0" guid="{407EB6C2-A1C7-42E3-AF63-99F953A2BB9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OVB</t>
        </r>
      </text>
    </comment>
    <comment ref="I135" authorId="2" guid="{51A672F8-5B77-4570-9697-9BB34DBF44B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 (Dragraces)</t>
        </r>
      </text>
    </comment>
    <comment ref="W135" authorId="2" guid="{32D8B56C-F3DE-4230-AC26-625843874DE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 (Dragraces)</t>
        </r>
      </text>
    </comment>
    <comment ref="Z135" authorId="0" guid="{D514DDFF-6C25-440C-BB14-6D95B951938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AA135" authorId="0" guid="{FF7CD575-ED7D-4E27-826E-76BAF3CC0A2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AB135" authorId="0" guid="{47E33D1D-284C-4377-9C72-8273AEBD157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AC135" authorId="0" guid="{83230B57-4CBB-4417-8577-1FF558D3CF6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AD135" authorId="0" guid="{D7FC9D9D-43E2-42A5-B2B9-4AE57929FE8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AG135" authorId="0" guid="{3C73FC30-6A5B-4406-88B9-7F211C2743E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</commentList>
</comments>
</file>

<file path=xl/comments14.xml><?xml version="1.0" encoding="utf-8"?>
<comments xmlns="http://schemas.openxmlformats.org/spreadsheetml/2006/main">
  <authors>
    <author>Patrick Ziesen</author>
    <author>Patrick Janssen</author>
  </authors>
  <commentList>
    <comment ref="G130" authorId="0" guid="{A2295673-D156-4015-92B5-5AF039A59B3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N130" authorId="0" guid="{00BC77D4-610B-4D2F-B738-C1BB97C4070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U130" authorId="0" guid="{11B83C32-17BF-4BFE-BDCC-5953360238B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AB130" authorId="0" guid="{C2052ED1-6FDA-459D-8732-FFD40365BDD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D135" authorId="1" guid="{C83A743B-FB6F-42A2-88B0-6B6B0A72291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E135" authorId="1" guid="{F75C6C3B-E295-47E6-A664-81FD6956595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F135" authorId="1" guid="{57651565-D6BA-47FE-8439-9C04916C54E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G135" authorId="1" guid="{C1C31DD5-0D29-4A18-944F-766D69B9EFB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J135" authorId="1" guid="{1D1A3A5E-8A23-4101-B2AA-B814FC0FF0A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K135" authorId="1" guid="{C3269E46-14FA-4C7A-8510-7C3430DB5BD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L135" authorId="1" guid="{A4E3AB74-E937-4FAA-8E8F-1B86F03E971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M135" authorId="1" guid="{3D728142-1275-4ADF-82BB-391BD40F0F5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  <comment ref="N135" authorId="1" guid="{2556250D-F803-4BD8-A2F4-42AC76D5931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ovb</t>
        </r>
      </text>
    </comment>
  </commentList>
</comments>
</file>

<file path=xl/comments15.xml><?xml version="1.0" encoding="utf-8"?>
<comments xmlns="http://schemas.openxmlformats.org/spreadsheetml/2006/main">
  <authors>
    <author>Patrick Ziesen</author>
  </authors>
  <commentList>
    <comment ref="D130" authorId="0" guid="{4B143488-9AB2-41D1-A698-370416D111C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K130" authorId="0" guid="{05B3BA46-0B31-4783-894C-7D14A0A385C4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R130" authorId="0" guid="{3A85D582-3B30-4FE9-AB3C-DB39EEBF910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Y130" authorId="0" guid="{CB9D21CA-941F-4FB1-A055-AF7EBBDC8AE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AF130" authorId="0" guid="{9AD0204C-2D89-4A9C-B811-5F13DE312D3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</commentList>
</comments>
</file>

<file path=xl/comments16.xml><?xml version="1.0" encoding="utf-8"?>
<comments xmlns="http://schemas.openxmlformats.org/spreadsheetml/2006/main">
  <authors>
    <author>Patrick Janssen</author>
    <author>Patrick Ziesen</author>
  </authors>
  <commentList>
    <comment ref="V20" authorId="0" guid="{81D5ED56-9F00-422B-978F-5D6E7BDA4AF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W20" authorId="0" guid="{0169962A-2201-4D04-A893-B9FB6EC13EC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Z20" authorId="0" guid="{EDCF693A-EE5D-427F-9463-6F38AECE022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ovb 18-2-2013</t>
        </r>
      </text>
    </comment>
    <comment ref="AA20" authorId="0" guid="{19A93EFD-35BF-4BA8-9ECC-67B9C47F9AC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ovb 18-2-2013</t>
        </r>
      </text>
    </comment>
    <comment ref="AD20" authorId="0" guid="{5B21A9F6-562E-472C-9985-8441AB0162B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ovb 18-2-2013</t>
        </r>
      </text>
    </comment>
    <comment ref="AG20" authorId="0" guid="{B7C2856F-0D6D-4313-A158-E706DCC5923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ovb 18-2-2013</t>
        </r>
      </text>
    </comment>
    <comment ref="AH20" authorId="0" guid="{14DB3B72-0A11-4F2F-A477-59732B446AD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ovb 18-2-2013</t>
        </r>
      </text>
    </comment>
    <comment ref="Z85" authorId="0" guid="{44E5D0E8-A82B-494B-8C06-3FB7E198284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A85" authorId="0" guid="{0B41B4F7-DE04-4431-91EB-0C5823B6899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85" authorId="0" guid="{3A217BB9-5C86-4A2E-9940-2E589991A93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G85" authorId="0" guid="{2FE7F013-47A2-4937-8A9C-B04E75F6607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H85" authorId="0" guid="{45E75A35-DF27-444B-A286-97E3273071C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Z110" authorId="0" guid="{F1FE7663-F739-452F-8B3B-A6878DAC52D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A110" authorId="0" guid="{B9333562-707F-4AC4-AF9B-86A78A0DDD4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110" authorId="0" guid="{8910E6DE-8A09-4663-A808-2CA50D7A5F2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G110" authorId="0" guid="{5C940B0B-63F9-4149-B012-1F25329C5EA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H110" authorId="0" guid="{78039122-20EA-4EC6-BF43-0556E91A0E7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Z115" authorId="0" guid="{BDFCD3CE-791D-473C-8D1E-D71D7440F4E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A115" authorId="0" guid="{B87EF6EA-917A-490C-AE3F-E364BC690EE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115" authorId="0" guid="{4A8915C7-9162-4910-9F35-8B10ADC16DA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G115" authorId="0" guid="{71083F26-83DD-424F-AEB3-391E9AC0261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H115" authorId="0" guid="{10219EBB-E509-4C32-8092-DEBEE71484C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Z125" authorId="0" guid="{60922808-0751-426B-A49E-F16299AEBCA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onder voorbehoud</t>
        </r>
      </text>
    </comment>
    <comment ref="AA125" authorId="0" guid="{CA9994FF-758A-46C3-9D3E-BBEC6F2F16C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125" authorId="0" guid="{96D38E1F-0584-45EF-9898-4FC706BF703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G125" authorId="0" guid="{C4A2CFFC-F7CD-4207-BA01-6D5BE42049F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H125" authorId="0" guid="{66093607-80EA-42C7-A5DC-4883D4FF3D4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I130" authorId="1" guid="{E0B06ADD-E723-4633-A5EB-31CFFDDA1F8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P130" authorId="1" guid="{FACBA8AD-7454-4542-93CB-A1F9B4A68A3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W130" authorId="1" guid="{7BF6528E-91AD-4CC6-9D8E-5E6ECBD6842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AD130" authorId="1" guid="{4D2B8A02-F259-4D1C-B4EA-762207B29B9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</commentList>
</comments>
</file>

<file path=xl/comments2.xml><?xml version="1.0" encoding="utf-8"?>
<comments xmlns="http://schemas.openxmlformats.org/spreadsheetml/2006/main">
  <authors>
    <author>Patrick Ziesen</author>
  </authors>
  <commentList>
    <comment ref="L3" authorId="0" guid="{D86053D1-83B5-4CB0-B4E0-C386810BF05A}" shapeId="0">
      <text>
        <r>
          <rPr>
            <b/>
            <sz val="9"/>
            <color indexed="81"/>
            <rFont val="Tahoma"/>
            <family val="2"/>
          </rPr>
          <t>Patrick Ziesen:
excluding overhead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guid="{4105C76C-5AB4-4107-AA4F-E25E1AD6F46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 MSA FTE
2 Social media FTE</t>
        </r>
      </text>
    </comment>
    <comment ref="B110" authorId="0" guid="{38BB87DA-B3CE-412E-954B-C37A2DFFE52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easter
</t>
        </r>
      </text>
    </comment>
    <comment ref="B134" authorId="0" guid="{850AF7C5-F350-4635-B682-0F68506E8AD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started productivity new way</t>
        </r>
      </text>
    </comment>
    <comment ref="B168" authorId="0" guid="{8DAFAA52-4927-45E7-BD6A-CEEFFDDF63D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Bank Holiday</t>
        </r>
      </text>
    </comment>
  </commentList>
</comments>
</file>

<file path=xl/comments3.xml><?xml version="1.0" encoding="utf-8"?>
<comments xmlns="http://schemas.openxmlformats.org/spreadsheetml/2006/main">
  <authors>
    <author>Frido Meijer</author>
    <author>Patrick Ziesen</author>
    <author>Patrick Janssen</author>
  </authors>
  <commentList>
    <comment ref="C5" authorId="0" guid="{B9BB0DA7-9054-42BD-8D3A-6F4443412A7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07-01: +0,4h overtime
15-01: +0,5h overtime
29-01: -0,75h holiday</t>
        </r>
      </text>
    </comment>
    <comment ref="D5" authorId="1" guid="{BD4000D9-7C90-4FE7-85AA-6C5ED7EA77D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13-02: -2 uur tvt</t>
        </r>
      </text>
    </comment>
    <comment ref="E5" authorId="0" guid="{87A2D071-03B9-4188-9404-0189609449D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29-03: +0,6h overtime</t>
        </r>
      </text>
    </comment>
    <comment ref="F5" authorId="0" guid="{FCD1D4BC-7900-4940-9485-C759BF71D7E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10-04: +1,5h overtime
17-04: +1,35h overtime
18-04: +0,3h overtime
22-04: +1,5h overtime</t>
        </r>
      </text>
    </comment>
    <comment ref="G5" authorId="1" guid="{6062B9C7-FA78-4DD0-9CA2-11A1FC7709A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03-05: +0,5h tvt
06-05: +0,5h tvt
7-5-2013 +1,8 tvt
15-05: +1.5h overtime
24-05: +0.25h overtime
27-05: +1h overtime
29-05: +0.5h overtime</t>
        </r>
      </text>
    </comment>
    <comment ref="H5" authorId="0" guid="{67B02A3A-7839-4DA5-BAEE-33C46E60083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4-6-2013: +0,6h overtime
5-6-2013: +0,5h overtime
7-6-2013: +0,3h overtime
10-6: +0,75h overtime
24-06: +0,8h overtime
</t>
        </r>
      </text>
    </comment>
    <comment ref="D6" authorId="2" guid="{3BD2B192-1554-4E31-A44F-1B91432DD35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13-2-2013 -8</t>
        </r>
      </text>
    </comment>
    <comment ref="E6" authorId="2" guid="{DF900166-973E-4372-AFBC-6777A538529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14-3-2013 +1 tvt
18-3-2013 +1,5 tvt</t>
        </r>
      </text>
    </comment>
    <comment ref="F6" authorId="2" guid="{662C15D0-4A5C-46DF-B61D-9E1512F8072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18-4-2013 -0,5 tvt
28-4-2013 + 4,25 h thv (bjorn processed the last escalation cases this weekend)</t>
        </r>
      </text>
    </comment>
    <comment ref="G6" authorId="2" guid="{1929F38B-A938-4342-B9F6-B07333D127D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27-5-2013 +0,5</t>
        </r>
      </text>
    </comment>
    <comment ref="C8" authorId="2" guid="{39504159-31BB-40A1-876B-3C474A92C4C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10-1-2013 +4 tvt
15-1-2013 -0,25 tvt
16-1-2013 -1 tvt
18-1-2013 -2 tvt
22-1-2013 -0,2 tvt</t>
        </r>
      </text>
    </comment>
    <comment ref="D8" authorId="2" guid="{82E1A391-2B33-46B5-9AC0-EB8B8D0E0D0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25-2-2013 -0,5</t>
        </r>
      </text>
    </comment>
    <comment ref="E8" authorId="2" guid="{F568EB5F-1127-496A-82EE-332E6BF0EAEB}" shapeId="0">
      <text>
        <r>
          <rPr>
            <b/>
            <sz val="9"/>
            <color indexed="81"/>
            <rFont val="Tahoma"/>
            <family val="2"/>
          </rPr>
          <t>Patrick Janssen:
12-3-2013 -4 tvt</t>
        </r>
      </text>
    </comment>
    <comment ref="F8" authorId="2" guid="{644A03A4-A0DE-473C-8FA2-EAA2450CD72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16-4-2013 -0,5 tvt</t>
        </r>
      </text>
    </comment>
    <comment ref="G8" authorId="1" guid="{6659F0D9-8E81-417F-B662-598322C0F82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10-05:-0,5</t>
        </r>
      </text>
    </comment>
    <comment ref="E9" authorId="2" guid="{405AE254-12A7-486A-995B-3D03DADA4F2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8-3-2013 -2,75 pm
13-03-2013: +0,5</t>
        </r>
      </text>
    </comment>
    <comment ref="C10" authorId="0" guid="{1C74C78F-6838-41B5-A3EE-E7A64D5ADE9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08-01: +0,9h overtime
18-01: -1h holiday
23-01: +1h overtime</t>
        </r>
      </text>
    </comment>
    <comment ref="D10" authorId="0" guid="{57BE707C-B2DF-4510-B6BA-408C61E3CC2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21-02: +0,75h overtime</t>
        </r>
      </text>
    </comment>
    <comment ref="F10" authorId="0" guid="{B2232F4D-6EBC-4BDE-AADA-E586590FAAB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10-04: +2,25h overtime
11-04: +2,25h overtime
17-04: +1,75h overtime
18-04: +2h overtime
26-04: +0,5 overtime
</t>
        </r>
      </text>
    </comment>
    <comment ref="G10" authorId="0" guid="{A3E879D8-37A7-4101-9E72-B2BC308F372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22-05: +1h overtime
24-5-2013 +0,75</t>
        </r>
      </text>
    </comment>
    <comment ref="H10" authorId="0" guid="{AD8366FE-5BB3-4867-86AC-AE8C4A75673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25-06: +0,5h overtime
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28-6-2013 +0,5
</t>
        </r>
      </text>
    </comment>
    <comment ref="D11" authorId="1" guid="{430CFB9F-9040-45F9-8810-78F33E2CFBA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15-02: -0,5 (repetitie band)</t>
        </r>
      </text>
    </comment>
    <comment ref="E11" authorId="1" guid="{E5C321F3-9096-4A67-877B-B2158F0048B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22-03: -1 tvt (ivm band)</t>
        </r>
      </text>
    </comment>
    <comment ref="F11" authorId="0" guid="{C3268373-42C0-49ED-80BC-853F4569DA1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16-04: -0,1h holiday
17-04: +1,75h overtime</t>
        </r>
      </text>
    </comment>
    <comment ref="C12" authorId="2" guid="{5933956F-0873-44C9-BE1B-F3F8B21A7B0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+1,5
07-01: +1,5h overtime
08-01: +1,5h overtime</t>
        </r>
      </text>
    </comment>
    <comment ref="G12" authorId="0" guid="{5717D7B5-BD86-4B51-B4F6-9BF9D57B390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16-05: +0.5h overtime</t>
        </r>
      </text>
    </comment>
    <comment ref="I12" authorId="1" guid="{61354D19-1B5D-4D2B-9A11-BF1C25E010F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01-07: +1,5h tvt
</t>
        </r>
      </text>
    </comment>
    <comment ref="C13" authorId="0" guid="{A32A6AC4-08EE-4DCE-BEE0-6280A23851E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02-01: -8h holiday
03-01: +0,5h overtime
04-01: +0,5h overtime
07-01: +2h overtime
08-01: +2h overtime
09-01: +0,6h overtime
10-01: +0,5h overtime
11-01: +0,5h overtime
14-01: +0,5h overtime
15-01: +0,5h overtime
16-01: +0,3h overtime
17-01: +0,5h overtime
18-01: +0,5h overtime
21-01: +0,5h overtime
22-01: +0,45h overtime
23-01: +0,5h overtime
24-01: +0,4h overtime
25-01: +0,5h overtime
28-01: +0,5h overtime
29-01: +0,4h overtime
30-01: +0,5h overtime</t>
        </r>
      </text>
    </comment>
    <comment ref="D13" authorId="0" guid="{7EFD7E8A-4926-46EF-96BE-856CC55CBDF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01-02: +0,4h overtime
04-02: -8h holiday
05-02: +0,4h overtime
06-02: +0,5h overtime
07-02: +0,5h overtime
18-02: +0,5h overtime
19-02: +0,4h overtime
20-02: +0,5h overtime
21-02: +0,5h overtime
22-02: +0,4h overtime
25-02: +3h overtime</t>
        </r>
      </text>
    </comment>
    <comment ref="E13" authorId="0" guid="{5CD29C2A-11D6-4E3E-BA39-C7DB729CA7A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01-03: -2,5h holiday
04-03: +0,5h overtime
07-03: +0,5h overtime
08-03: +0,5h overtime
11-03: +0,5h overtime
13-03: +0,5h overtime
14-03: +0,5h overtime
15-03: +0,5h overtime
18-03: +2h overtime
19-03: +0,5h overtime
20-03: +0,5h overtime
21-03: +0,5h overtime
22-03: +0,5h overtime
22-03: -4h holiday
25-03: +0,5h overtime
26-03: +0,5h overtime
27-03: +0,5h overtime
28-03: +0,5h overtime
29-03: +0,5h overtime</t>
        </r>
      </text>
    </comment>
    <comment ref="F13" authorId="0" guid="{F0710E13-4FC6-4516-80F2-FF24003A823B}" shapeId="0">
      <text>
        <r>
          <rPr>
            <b/>
            <sz val="9"/>
            <color indexed="81"/>
            <rFont val="Tahoma"/>
            <family val="2"/>
          </rPr>
          <t xml:space="preserve">Frido Meijer:
</t>
        </r>
        <r>
          <rPr>
            <sz val="9"/>
            <color indexed="81"/>
            <rFont val="Tahoma"/>
            <family val="2"/>
          </rPr>
          <t xml:space="preserve">02-04: +0,5h overtime
03-04: +0,5h overtime
04-04: +0,5h overtime
04-04: -2h holiday
05-04: +0,5h overtime
08-04: +0,5h overtime
09-04: +0,5h overtime
09-04: -2,25h holiday
10-04: +2,5h overtime
11-04: +0,5h overtime
12-04: +0,5h overtime
12-04: -3h holiday
15-04: +0,5h overtime
16-04: -0,1h holiday
16-04: +2h overtime
17-04: +0,5h overtime
18-04: +0,5h overtime
19-04: +0,5h overtime
22-04: +0,5h overtime
25-04: -8h tvt
</t>
        </r>
      </text>
    </comment>
    <comment ref="G13" authorId="0" guid="{D7BAFBE5-8081-4E55-B58A-FBE457F28F3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14-05: +0.5h overtime
15-05: +0.5h overtime
16-05: +0.5h overtime
17-05: +1.75h overtime
21-05: +0.5h overtime
22-05: +0.5h overtime
23-05: +0.5h overtime
24-05: +0.5h overtime
27-05: +0.45h overtime
30-05: +0.5h overtime
31-05: +0,5h overtime
</t>
        </r>
      </text>
    </comment>
    <comment ref="H13" authorId="0" guid="{569240C7-4F41-4DE8-A0CF-F0F3A337175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03-06: +0,5h overtime
04-06: +0,4h overtime
05-06: +0,5h overtime
06-06: +0,5h overtime
10-06: +0,5h overtime
11-06: +0,5h overtime
12-06: +0,5h overtime
13-06: +0,5h overtime
17-06: +0,5h overtime
18-06: +0,5h overtime
19-06: +0,5h overtime
20-06: +0,5h overtime
24-06: +0,5h overtime
25-06: +0,5h overtime
26-06: +0,5h overtime
27-06: +0,5h overtime
</t>
        </r>
      </text>
    </comment>
    <comment ref="I13" authorId="0" guid="{428C886F-0DC8-490A-9617-81E0CE6A772C}" shapeId="0">
      <text>
        <r>
          <rPr>
            <b/>
            <sz val="9"/>
            <color indexed="81"/>
            <rFont val="Tahoma"/>
            <charset val="1"/>
          </rPr>
          <t>Frido Meijer:</t>
        </r>
        <r>
          <rPr>
            <sz val="9"/>
            <color indexed="81"/>
            <rFont val="Tahoma"/>
            <charset val="1"/>
          </rPr>
          <t xml:space="preserve">
01-07: -8h holiday
02-07: -8h holiday
03-07: -8h holiday
04-07: -8h holiday
05-07: +1.5h overtime
08-07: +0.5h overtime
09-07: +0.5h overtime
24-07: -8h holiday
25-07: -8h holiday
26-07: -8h holiday
</t>
        </r>
      </text>
    </comment>
    <comment ref="C14" authorId="2" guid="{AEC94329-A330-40F4-B704-EE80A658F99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+1,5
14-1-2013 +1,5
29-1-2013 +0,5
4-2-2013 +2</t>
        </r>
      </text>
    </comment>
    <comment ref="E14" authorId="2" guid="{8B3BC0FD-7850-48F5-B406-A5AE8946919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overwerk 7-3-2013 3,75
12-3-2013 +1 homework
13-3-2013 +0,5
18-3-2013 +1 tvt
20-3-2013 +0,5 tvt
25-3-2013 -6 tvt</t>
        </r>
      </text>
    </comment>
    <comment ref="F14" authorId="2" guid="{A1EFA93E-3823-42FA-8C53-9B3C22FDECF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24-4-2013 +0,5
25-4-2013 +1,5</t>
        </r>
      </text>
    </comment>
    <comment ref="G14" authorId="2" guid="{B27F2A63-E86E-42D4-9B9E-3015B9EE620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1-5-2013 +0,5
3-5-2013 +0,5
6-5-2013 +0,5
7-5-2013 +0,5
8-5-2013 +0,5
14-5-2013 +0,5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10-6-2013 +0,5
11-6-2013 +0,5
</t>
        </r>
      </text>
    </comment>
    <comment ref="H14" authorId="2" guid="{7010F6F2-FC7D-4E1C-B770-4E6392EC6B0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14-6-2013 +0,5
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19-6-2013 +0,5
</t>
        </r>
      </text>
    </comment>
    <comment ref="C15" authorId="0" guid="{0A1B473B-AB40-4B0A-9EDB-83AD6DF8B32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03-01: -7,75h holiday</t>
        </r>
      </text>
    </comment>
    <comment ref="D15" authorId="2" guid="{01D57CC3-F1EA-4954-A45A-2016E3E9DAB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6-2-2013 +1,5tvt
7-2-2013 -0,25
8-2-2013 + 0,5
11-02-2013: +0,75
20-2-2013 +1,5</t>
        </r>
      </text>
    </comment>
    <comment ref="F15" authorId="0" guid="{9943016A-B9F1-4AB1-A588-22465667923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11-04: +1h overtime</t>
        </r>
      </text>
    </comment>
    <comment ref="G15" authorId="1" guid="{D582EA35-D239-490F-91F6-303D2C41A8E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21-05: +0,5
23-05: -0,25h verlof
27-05: +0,42 </t>
        </r>
      </text>
    </comment>
    <comment ref="H15" authorId="1" guid="{605069E9-BACC-4EA7-98A1-A8D9C786697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27-06: +0,4166666666666667h
</t>
        </r>
      </text>
    </comment>
    <comment ref="C16" authorId="0" guid="{CAA8C07D-1613-45A7-BF0E-C27771EDB03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+0,4h overtime
29-01: +0,3h overtime</t>
        </r>
      </text>
    </comment>
    <comment ref="D16" authorId="1" guid="{0523ED00-EBFF-420D-85E3-ACE46C313AA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15-02: -1 tvt
</t>
        </r>
      </text>
    </comment>
    <comment ref="E16" authorId="0" guid="{E728F747-A522-4494-8EB4-A977A343F68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01-03: +2,75h overtime
06-03: -8h holiday</t>
        </r>
      </text>
    </comment>
    <comment ref="F16" authorId="0" guid="{B1EC900A-5C10-4867-8BFD-D33CA5123AE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08-04: -0,5h holiday
10-04: +1,5h overtime
17-04: +1,75h overtime
18-04: -0,5h holiday</t>
        </r>
      </text>
    </comment>
    <comment ref="C17" authorId="0" guid="{45D24F76-298A-4872-8AB3-14A57B22DA7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08-01: +0,9h overtime
10-01:+1,35h overtime
17-1-2013 +0,5 tvt
23-1-2013: +0,5h overtime
28-01: -1h holiday
29-1-2013 +0,5 tvt
29-1-2013 +0,5  tvt</t>
        </r>
      </text>
    </comment>
    <comment ref="D17" authorId="2" guid="{4E715023-5739-44E0-8870-8F406C5E4BF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-4 tvt PM
12-02: +0,5 tvt
14-02: -1uur tvt</t>
        </r>
      </text>
    </comment>
    <comment ref="E17" authorId="0" guid="{B76378EB-6CB4-4F71-882D-074FB5D5537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30-03: +0,5h overtime</t>
        </r>
      </text>
    </comment>
    <comment ref="F17" authorId="0" guid="{4B66B7B4-CFCB-4B3E-9521-FE6D633B82D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02-04: +0,5h overtime
11-04: +2,25h overtime
12-04: -8h tvt
15-04: +0,25 tvt
16-04: +2h overtime
18-04: +2h overtime
26-04: +0,5 overtime</t>
        </r>
      </text>
    </comment>
    <comment ref="G17" authorId="2" guid="{C3F5498B-A45D-497B-8C5B-B7E5D5B5D985}" shapeId="0">
      <text>
        <r>
          <rPr>
            <b/>
            <sz val="9"/>
            <color indexed="81"/>
            <rFont val="Tahoma"/>
            <family val="2"/>
          </rPr>
          <t xml:space="preserve">Patrick Janssen:
</t>
        </r>
        <r>
          <rPr>
            <sz val="9"/>
            <color indexed="81"/>
            <rFont val="Tahoma"/>
            <family val="2"/>
          </rPr>
          <t>06-05-2013: -4h tvt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10-5-2013: -8h tvt
27-5-2013: -8h tvt
8-5-2013 +0,8
15-5-2013 +0,75 tvt
16-05: +0.35h overtime
24-5-2013 +0,75</t>
        </r>
      </text>
    </comment>
    <comment ref="H17" authorId="0" guid="{91B708FA-6D9D-4327-ABF5-9F0FB286D8A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17-06: +0,7h overtime
25-06: +0,5h overtime
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28-6-2013 +0,5
</t>
        </r>
      </text>
    </comment>
    <comment ref="I17" authorId="1" guid="{A3D6B7C1-A4A1-4FC8-A68D-D2AA1A61314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01-07: +0,25 minutes
</t>
        </r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02-07: +0,75h
</t>
        </r>
      </text>
    </comment>
    <comment ref="C19" authorId="0" guid="{15388DA8-3AEC-451C-AD3F-820EB059075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3-1: +0,4h overtime
7-1: +0,2h overtime
10-1: +0,35h overtime
15-1: +0,25h overtime</t>
        </r>
      </text>
    </comment>
    <comment ref="F20" authorId="1" guid="{C1AE1A8C-7C1F-4AAD-BFA8-29765CA6F17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05-04: -2 tvt (16h-18h)
10-04: +1,5h overtime
11-04: +1h holiday</t>
        </r>
      </text>
    </comment>
    <comment ref="C21" authorId="0" guid="{C6E4D7EC-B79F-4776-8891-938D91C1CED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07-01: -0,5h holiday</t>
        </r>
      </text>
    </comment>
    <comment ref="D21" authorId="0" guid="{E88C2655-9C6C-4FF3-8D47-23C22D52F6E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18-02: +0,25h overtime
22-02: +0,25h overtime</t>
        </r>
      </text>
    </comment>
    <comment ref="E21" authorId="0" guid="{94F71327-6114-4FE5-909D-A122365380D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-4h holiday
14-3-2013 -4,25 tvt
22-03: +0,5 tvt</t>
        </r>
      </text>
    </comment>
    <comment ref="F21" authorId="0" guid="{A0863351-8BC5-4C5C-9D43-E8B58FDAAF5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10-04: +3h overtime
1-5-2013 +0,4
29-04: +0,5h overtime</t>
        </r>
      </text>
    </comment>
    <comment ref="G21" authorId="1" guid="{9BFB7B61-050B-4AB0-8490-ACC10917072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01-05: -5 Tvt
8-5-2013 +0,2 tvt (and 0,5 tvt at the end of the day)
21-05: +0.25h overtime</t>
        </r>
      </text>
    </comment>
    <comment ref="H21" authorId="0" guid="{81030CA2-E64B-4344-A4A9-3E993F32490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11-06: +0,25h overtime
28-06: +0,35h overtime
</t>
        </r>
      </text>
    </comment>
    <comment ref="I21" authorId="1" guid="{9E89DB48-603E-4EB1-B1A7-9824B854DA6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04-07: -2,63 uur tvt
</t>
        </r>
      </text>
    </comment>
    <comment ref="F22" authorId="0" guid="{84F079DD-063E-432D-8934-E01F8E61E17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11-04: +1h overtime
16-04: +1,2h overtime
17-04: +1h overtime
18-04: +1h overtime</t>
        </r>
      </text>
    </comment>
    <comment ref="F23" authorId="0" guid="{454DBF50-225F-498F-9BA5-B88BEAF1F36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18-04: +2h overtime</t>
        </r>
      </text>
    </comment>
    <comment ref="G23" authorId="0" guid="{8670B67A-5CF1-4302-9437-AB28E8505CD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17-05: +1.5h overtime</t>
        </r>
      </text>
    </comment>
    <comment ref="E24" authorId="2" guid="{19B56146-6E6D-4932-B473-3E70FCB4D0D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11-3-2013 -1 tvt
15-3-2013 +0,5 tvt</t>
        </r>
      </text>
    </comment>
    <comment ref="F24" authorId="2" guid="{2B989358-E937-431E-86CB-D442CA28493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25-4-2013 -0,95</t>
        </r>
      </text>
    </comment>
    <comment ref="G24" authorId="2" guid="{FF37CA44-5FC8-4B15-82F6-9264D09F96A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11-6-2013 +0,25
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12-6-2013 +0,25
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13-6-2013 +0,25
</t>
        </r>
      </text>
    </comment>
    <comment ref="H24" authorId="2" guid="{5B2FDAA7-8731-4A9E-9403-2EEA74001DC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14-6-2013 +0,25
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17-6-2013 +0,25
17-6-2013 -0,75
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19-6-2013 +0,25
</t>
        </r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20-6-2013 </t>
        </r>
        <r>
          <rPr>
            <b/>
            <sz val="9"/>
            <color indexed="81"/>
            <rFont val="Tahoma"/>
            <family val="2"/>
          </rPr>
          <t xml:space="preserve">+0,25
Patrick Janssen:
21-6-2013 +0,25
Patrick Janssen:
24-6-2013 +0,25
25-6-2013 +0,25
Patrick Janssen:
26-6-2013 +025
27-6-2013 +025
Patrick Janssen:
28-6-2013 +0,25
</t>
        </r>
      </text>
    </comment>
    <comment ref="F25" authorId="0" guid="{22604A4B-4F07-476C-AB0C-012DFBD86F7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18-04: +2h overtime</t>
        </r>
      </text>
    </comment>
    <comment ref="C26" authorId="1" guid="{DA55048D-12B8-410B-A4E0-BC726080A32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16-01: -4,5h
29-01: +5,5h (ivm terugkomen voor muisjes en vlaai etc.. En zaken afhandelen)</t>
        </r>
      </text>
    </comment>
    <comment ref="D26" authorId="1" guid="{0E60C7CE-7B01-4B78-9440-B5D7716C6C26}" shapeId="0">
      <text>
        <r>
          <rPr>
            <b/>
            <sz val="9"/>
            <color indexed="81"/>
            <rFont val="Tahoma"/>
            <family val="2"/>
          </rPr>
          <t xml:space="preserve">Patrick Ziesen:
</t>
        </r>
        <r>
          <rPr>
            <sz val="9"/>
            <color indexed="81"/>
            <rFont val="Tahoma"/>
            <family val="2"/>
          </rPr>
          <t>11-02: +0,5
12-02: +0,5
13-02: +2
20-02: -0,5h holiday
25-02: +0,5 h tvt
27-02: -2,5h tvt
28-02: -8h Tvt</t>
        </r>
      </text>
    </comment>
    <comment ref="E26" authorId="1" guid="{D14695C9-34CC-4A5C-BD22-1EB4D1353FC4}" shapeId="0">
      <text>
        <r>
          <rPr>
            <b/>
            <sz val="9"/>
            <color indexed="81"/>
            <rFont val="Tahoma"/>
            <family val="2"/>
          </rPr>
          <t xml:space="preserve">Patrick Ziesen:
</t>
        </r>
        <r>
          <rPr>
            <sz val="9"/>
            <color indexed="81"/>
            <rFont val="Tahoma"/>
            <family val="2"/>
          </rPr>
          <t>01-03: +2,5 overtime evening.
08-03: +2,5 overtime evening
18-03: + 1 overtime evening.
22-03: +0,5 tvt overtime evening.
28-03: + 1,25 tvt overtime evening</t>
        </r>
      </text>
    </comment>
    <comment ref="F26" authorId="1" guid="{E940F7A4-7B71-404B-B499-7337C24B5422}" shapeId="0">
      <text>
        <r>
          <rPr>
            <b/>
            <sz val="9"/>
            <color indexed="81"/>
            <rFont val="Tahoma"/>
            <family val="2"/>
          </rPr>
          <t xml:space="preserve">Patrick Ziesen:
</t>
        </r>
        <r>
          <rPr>
            <sz val="9"/>
            <color indexed="81"/>
            <rFont val="Tahoma"/>
            <family val="2"/>
          </rPr>
          <t>05-04: -3 tvt
08-04: -4 tvt (begrafenis)
09-04: +0,5 (overtime tot 18:30 voor SAT tool)
11-04: +2,25 (overtime)
17-04: +1,75h overtime
18-04: +2h overtime</t>
        </r>
      </text>
    </comment>
    <comment ref="H26" authorId="1" guid="{8101FAB8-41E5-4D10-B0F5-8D87E8B0CAA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06-06-2013: -2uur tvt
</t>
        </r>
      </text>
    </comment>
    <comment ref="I26" authorId="1" guid="{A6DA7566-28F7-4F07-9A04-787810FF585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01-07: +2h
02-07: +1,5h
03-07: +1,5h
04-07: +1,5h
</t>
        </r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08-07: -2h
11-07: -4h
</t>
        </r>
      </text>
    </comment>
    <comment ref="D28" authorId="1" guid="{F449F1AA-5DCD-4296-85FC-7132AE78D27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15-02: -3,5 tvt (voelt zich niet lekker)
28-02: -2,25h holiday</t>
        </r>
      </text>
    </comment>
    <comment ref="E28" authorId="0" guid="{22B9F73F-D5DD-4C5B-B602-CF1E833B3B4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01-03: -8h holiday</t>
        </r>
      </text>
    </comment>
    <comment ref="C31" authorId="0" guid="{F54DF152-3EB0-4BA7-8731-41F242AC2E6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07-01: +1,5h overtime
08-01: +1,5h overtime
09-01: +0,3h overtime
10-01: +0,3h overtime</t>
        </r>
      </text>
    </comment>
    <comment ref="D31" authorId="1" guid="{CC0C9574-6451-4C4F-B451-75590C9EB3F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11-02-2013: -3uur</t>
        </r>
      </text>
    </comment>
    <comment ref="E31" authorId="1" guid="{D99A4004-F804-4E7D-8ED3-D96A83E0248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22-03: -1 tvt (eerder naar huis ivm belastingaangifte)</t>
        </r>
      </text>
    </comment>
    <comment ref="F31" authorId="0" guid="{A6136451-9D27-4958-9FED-E68A453F10B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10-04: +2h overtime
12-04: -3h holiday
16-04: -0,1h holiday
16-04: +2h overtime
24-04: +1h overtime</t>
        </r>
      </text>
    </comment>
    <comment ref="G31" authorId="1" guid="{07829442-8CDD-49D7-A47D-0C5D99A504D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10-05: -1h tvt
13-05: -4h tvt
14-05: -4h tvt
15-05: -8h tvt
16-05: -3,4h tvt</t>
        </r>
      </text>
    </comment>
    <comment ref="C36" authorId="2" guid="{5D1C321C-F467-4212-8B75-8F051CA42D8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1-2-2013 -2</t>
        </r>
      </text>
    </comment>
    <comment ref="E36" authorId="2" guid="{F8C8A5E4-4B0F-45E1-A435-58C17E3A4DA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14-3-2013 +0,5 tvt</t>
        </r>
      </text>
    </comment>
  </commentList>
</comments>
</file>

<file path=xl/comments4.xml><?xml version="1.0" encoding="utf-8"?>
<comments xmlns="http://schemas.openxmlformats.org/spreadsheetml/2006/main">
  <authors>
    <author>P.Ziesen</author>
  </authors>
  <commentList>
    <comment ref="A4" authorId="0" guid="{1B2061A4-B298-411E-83B2-8539EFB3C1F4}" shapeId="0">
      <text>
        <r>
          <rPr>
            <b/>
            <sz val="9"/>
            <color indexed="81"/>
            <rFont val="Tahoma"/>
            <family val="2"/>
          </rPr>
          <t>P.Ziesen: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Black Color is 28 days (224h)</t>
        </r>
        <r>
          <rPr>
            <sz val="9"/>
            <color indexed="81"/>
            <rFont val="Tahoma"/>
            <family val="2"/>
          </rPr>
          <t xml:space="preserve">
Blue Color is 22+4 days (208h)</t>
        </r>
      </text>
    </comment>
  </commentList>
</comments>
</file>

<file path=xl/comments5.xml><?xml version="1.0" encoding="utf-8"?>
<comments xmlns="http://schemas.openxmlformats.org/spreadsheetml/2006/main">
  <authors>
    <author>Frido Meijer</author>
    <author>Patrick Janssen</author>
    <author>Patrick Ziesen</author>
  </authors>
  <commentList>
    <comment ref="E5" authorId="0" guid="{3FC0AF29-E2CE-4B8A-8182-F5F95688FAA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F5" authorId="0" guid="{1A46479C-B355-4231-B9A5-A2857387340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G5" authorId="0" guid="{26A73B54-6DB9-4729-8786-6C818B6554A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 (Migraine attack)</t>
        </r>
      </text>
    </comment>
    <comment ref="AB5" authorId="0" guid="{74279F40-FD9F-4380-A292-62857260BAA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H5" authorId="0" guid="{AC6BC3E8-89AB-458C-9FAB-E91B90DC500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training (Professioneel Communiceren)</t>
        </r>
      </text>
    </comment>
    <comment ref="R10" authorId="0" guid="{ED20E304-289F-4070-AE86-BA7429CA109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2,5h special (hospital)</t>
        </r>
      </text>
    </comment>
    <comment ref="T10" authorId="0" guid="{889A7099-2808-43E1-909A-1011D51813F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 (due to son)</t>
        </r>
      </text>
    </comment>
    <comment ref="U10" authorId="0" guid="{123B9646-2BFA-4ED1-AE1D-292497495C3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 (due to son)</t>
        </r>
      </text>
    </comment>
    <comment ref="X10" authorId="0" guid="{EF2EFB23-727D-45A3-B77A-B03A9721DA3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Y10" authorId="0" guid="{88A46086-1CE2-416F-9EAA-7586350FFE4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Z10" authorId="0" guid="{84FEEC18-7B4D-4DE2-8267-99224122EF7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AA10" authorId="0" guid="{EF30ED6A-79EA-4B14-A042-12E845E65CE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AB10" authorId="0" guid="{9D12474D-E666-4FA7-8BF4-29ADF7F02BD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AE10" authorId="0" guid="{07549E93-6F3B-49F3-9FCA-4E7CD0E2160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AF10" authorId="0" guid="{15704F5E-3527-4285-B72C-751698EF776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AG10" authorId="0" guid="{7907638B-D62F-4D13-8B52-526AF5BF0EE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AH10" authorId="0" guid="{4EE683F7-5B21-4981-81C8-433C7573039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G15" authorId="0" guid="{A98CA0F3-192E-4C28-B120-5C37137EB30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A15" authorId="0" guid="{4C148338-558B-424C-A746-AC06DD5568C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2h holiday (PM)</t>
        </r>
      </text>
    </comment>
    <comment ref="AB15" authorId="0" guid="{42B85D7B-E416-4A04-84E1-E2F882C8D9D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E20" authorId="0" guid="{75E81351-5AF1-4140-AF62-9F6EC4188C4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E25" authorId="1" guid="{B07F65FA-F79B-42F8-A5F4-21843277DE4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 + pm</t>
        </r>
      </text>
    </comment>
    <comment ref="G25" authorId="1" guid="{23113C96-87F4-4641-8A16-323636B4236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J25" authorId="0" guid="{18DEF9CD-F738-4B9C-8D6A-D3B27EC9C82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K25" authorId="0" guid="{488602DC-979D-4A9B-A3D1-ED2CE80A3E6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L25" authorId="0" guid="{FAF8FAEB-4000-4816-83C0-5D860EA9B72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M25" authorId="0" guid="{A8ABBE50-BD2A-4B62-90A1-9FC68C7895F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Q25" authorId="1" guid="{11DEDDE3-39D1-4CB4-A183-324BF751DB3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S25" authorId="1" guid="{58263C68-9FB6-47EB-B404-D01E16D5CA3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
</t>
        </r>
      </text>
    </comment>
    <comment ref="U25" authorId="0" guid="{5320F61E-C6E7-4716-AA77-2A477F85309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unpaid (PM)</t>
        </r>
      </text>
    </comment>
    <comment ref="X25" authorId="1" guid="{319895E9-78B8-4C56-B4A7-3767A4EAB4D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4h holiday
4h unpaid</t>
        </r>
      </text>
    </comment>
    <comment ref="J30" authorId="0" guid="{5D23267D-3A2E-4FFD-8B47-838DA816B35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30" authorId="0" guid="{5333ECDF-377A-4CD2-BF28-B0D18DCD74C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L30" authorId="0" guid="{0CC2DE18-1488-4C49-82C7-AC19930D224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M30" authorId="0" guid="{568B6D7C-3C2B-442F-8A34-CE1EACD22D0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N30" authorId="0" guid="{FB08B9C4-57C5-42AA-ACF0-E74936E030E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Q30" authorId="0" guid="{226B715B-D05A-4CF0-9373-F34AEE94AA5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R30" authorId="0" guid="{76AFC918-1494-43A0-AA2B-8BAF3090FB4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S30" authorId="0" guid="{64D30675-37EA-49C0-9140-D25EF38081C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T30" authorId="0" guid="{A6A0E1E9-81A1-4BA3-A87D-DF8EB403DD3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U30" authorId="0" guid="{9F78DE16-5B66-4442-AAE7-CE3D1FA9796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E35" authorId="2" guid="{39D3B33A-9884-467C-80A8-B038F82BC51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Last working day at MS
4h holiday!(PM)</t>
        </r>
      </text>
    </comment>
    <comment ref="J40" authorId="0" guid="{680888F5-35CD-4E88-8C02-BF8ED824572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X40" authorId="2" guid="{91EA1571-4FD7-4A78-BC48-75E76B65DBF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(in the morning)</t>
        </r>
      </text>
    </comment>
    <comment ref="Q45" authorId="1" guid="{1A8A8D89-9042-4790-8EFA-D01927DA9AC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F50" authorId="0" guid="{45BAF3F3-2429-4790-B5FF-56EE22FABA1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1,5h holiday (PM)</t>
        </r>
      </text>
    </comment>
    <comment ref="K50" authorId="0" guid="{D4EE1A43-5673-4308-BA35-449AC9D81A8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(PM) Grandfather died</t>
        </r>
      </text>
    </comment>
    <comment ref="Q50" authorId="0" guid="{8A54BC81-33CB-46E6-A6E1-C1A2AF9A547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Funeral Grandpa</t>
        </r>
      </text>
    </comment>
    <comment ref="E55" authorId="0" guid="{E458E15A-230E-46D9-8EEF-BE853AA9E46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-8h TVT</t>
        </r>
      </text>
    </comment>
    <comment ref="J60" authorId="0" guid="{EB18822B-3D1A-430F-AE4F-ACE42465D43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6 mins late</t>
        </r>
      </text>
    </comment>
    <comment ref="K60" authorId="0" guid="{AB33FFD2-F751-4A7B-9FEF-416AA42207F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 mins late</t>
        </r>
      </text>
    </comment>
    <comment ref="M60" authorId="0" guid="{E4541322-5811-4A14-ACEB-684CDA8E1C1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-8h tvt (to compensate for the 8 hours he is put into HET for in November)</t>
        </r>
      </text>
    </comment>
    <comment ref="E70" authorId="0" guid="{60C08F42-DDAB-4DCC-92F2-6A00EAE2AB9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F70" authorId="0" guid="{30192DAD-6779-4EA4-9FA9-F35E4926EEC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G70" authorId="0" guid="{67895C2A-AFAF-4283-A5BE-238E78A3C9F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70" authorId="0" guid="{2588493B-273F-420F-ABA8-D50B9E1B8B8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6 mins late</t>
        </r>
      </text>
    </comment>
    <comment ref="N70" authorId="0" guid="{30CAEADD-DC29-4D42-833D-483A05A97C9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U70" authorId="0" guid="{1F9C199C-C54D-4F91-9503-61099C9BDA9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Will be later (-1h TVT)</t>
        </r>
      </text>
    </comment>
    <comment ref="S75" authorId="0" guid="{3D11B7A2-0532-4F2F-B140-E595D754422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</t>
        </r>
      </text>
    </comment>
    <comment ref="K80" authorId="0" guid="{974D3ECA-FA3A-4AC5-B169-6F6A98E33FD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M80" authorId="0" guid="{21452719-263D-45AF-8E10-143F0016DB9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N80" authorId="0" guid="{44084E11-2A75-484F-93EA-C0F2B583306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Q80" authorId="0" guid="{5797DBDB-BA36-44A8-9E1A-35AEA7E9625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R80" authorId="0" guid="{C763F446-CB68-4B2E-919B-48729D0A0B6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U80" authorId="0" guid="{DE58F368-8FAA-4AF6-8CBC-657CD400FD6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special: Hospital appointment</t>
        </r>
      </text>
    </comment>
    <comment ref="AF80" authorId="0" guid="{54E3836D-B4CC-4AD5-B6DD-B33271E81F9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holiday (PM)
(will work from 9:00 - 13:00)</t>
        </r>
      </text>
    </comment>
    <comment ref="Q85" authorId="1" guid="{64374D74-C3BB-4D9F-8891-FD1019AD608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X85" authorId="0" guid="{2AF80386-3702-43C9-8BD6-F49BD9D2083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90" authorId="0" guid="{34409796-6A21-4BB8-B506-E1DBE95903B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Sickness (flu)</t>
        </r>
      </text>
    </comment>
    <comment ref="L90" authorId="0" guid="{B3B9C8DE-DA49-4906-8048-73C9B940ED5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Sickness (flu)</t>
        </r>
      </text>
    </comment>
    <comment ref="M90" authorId="0" guid="{5D2838C7-42C5-457E-B113-7DEF8B60C52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Sickness (flu)</t>
        </r>
      </text>
    </comment>
    <comment ref="N90" authorId="0" guid="{E23C68C0-2E17-4300-8957-473C679CBE3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Sickness (flu)</t>
        </r>
      </text>
    </comment>
    <comment ref="Q90" authorId="0" guid="{BA62E4B3-9716-44F4-B331-DAEEA5EEBE2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Sickness (flu)</t>
        </r>
      </text>
    </comment>
    <comment ref="R90" authorId="0" guid="{CB9E2424-2B7D-4CEF-9A27-D0CAA8B2C82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Sickness (flu)</t>
        </r>
      </text>
    </comment>
    <comment ref="AB90" authorId="0" guid="{7DD06C6E-9562-41FA-96F8-49C33970C08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sickness</t>
        </r>
      </text>
    </comment>
    <comment ref="AE90" authorId="0" guid="{E25517D2-90F6-4781-BC82-DD5B93A876D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
</t>
        </r>
      </text>
    </comment>
    <comment ref="AF90" authorId="0" guid="{824D39CA-7A26-482F-BB96-F54CF1FC68D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F95" authorId="0" guid="{7361BF6B-3611-4C6B-A69C-FF308BD078B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 mins late</t>
        </r>
      </text>
    </comment>
    <comment ref="J95" authorId="0" guid="{AC2E0EAD-BA14-4FB2-AEFD-62B623FC0E4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N95" authorId="0" guid="{E78E43BA-B5F8-4935-BE93-F67B533DC83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6 mins late</t>
        </r>
      </text>
    </comment>
    <comment ref="Q95" authorId="0" guid="{0164381F-DB0B-43AC-95E7-9ACD6549F4F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 mins late</t>
        </r>
      </text>
    </comment>
    <comment ref="T95" authorId="0" guid="{F1DE57F7-ABEB-41F4-BAAC-41571C47F92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6 mins late</t>
        </r>
      </text>
    </comment>
    <comment ref="R100" authorId="0" guid="{D1471F75-2084-4300-A6F2-BE61118B77E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</t>
        </r>
      </text>
    </comment>
    <comment ref="Y100" authorId="0" guid="{F620BDCF-1F6B-4711-9371-DA35492AA6A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</t>
        </r>
      </text>
    </comment>
    <comment ref="AE100" authorId="0" guid="{7AA4F37D-28C6-4C81-875E-A28A72AB11D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7h sickness (flu)</t>
        </r>
      </text>
    </comment>
    <comment ref="E105" authorId="0" guid="{66FA737F-D144-42AE-B914-F82A655ABFE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M105" authorId="1" guid="{CF55A3DF-2119-4A97-ABAC-DBFAD592CAD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werkt thuis</t>
        </r>
      </text>
    </comment>
    <comment ref="X105" authorId="1" guid="{83BDF3D0-6A16-4495-82AE-C725CE53296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werkt thuis</t>
        </r>
      </text>
    </comment>
    <comment ref="Z105" authorId="1" guid="{F609318C-0C2A-4FDF-B6BA-327B031E664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Nas</t>
        </r>
      </text>
    </comment>
    <comment ref="AE105" authorId="1" guid="{FD8E0FA3-48D9-45F8-B06B-2F934593DD3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 door de rug heen/gevallen</t>
        </r>
      </text>
    </comment>
    <comment ref="AF105" authorId="1" guid="{3905534A-287E-496D-BB4F-1C34199B700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 door de rug heen/gevallen</t>
        </r>
      </text>
    </comment>
    <comment ref="AG105" authorId="1" guid="{13DFDF9C-C828-4DAC-A677-36164D9D1B7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 door de rug heen/gevallen</t>
        </r>
      </text>
    </comment>
    <comment ref="AH105" authorId="1" guid="{E861CC35-CFE6-4BE1-BE82-DBF34E17BBE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 door de rug heen/gevallen</t>
        </r>
      </text>
    </comment>
    <comment ref="J110" authorId="1" guid="{E839C8B2-4342-411C-96C8-AF4C6EF14FA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M110" authorId="1" guid="{30A0FA33-B10F-4B39-83FD-FBC2B7DD7E4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workt thuis</t>
        </r>
      </text>
    </comment>
    <comment ref="Q110" authorId="1" guid="{35BEF03B-31E1-49CE-9759-C9382822C64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Z110" authorId="1" guid="{C774238C-469D-4D24-A577-88267456FCA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-2 tvt</t>
        </r>
      </text>
    </comment>
    <comment ref="AE110" authorId="0" guid="{CAF53FCD-3A28-4660-AE9E-904ACA82397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F110" authorId="0" guid="{53BD6EF1-945C-47CD-BD4C-CABCA63C4DC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G110" authorId="0" guid="{403A7B6E-249D-4A47-BF61-ABD39C24387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115" authorId="0" guid="{FB696F33-89AD-46C2-8117-FC93308C37D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M115" authorId="1" guid="{142C3274-001E-4683-968B-BB7842B99A7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N115" authorId="1" guid="{2651F758-9998-4110-92E9-03C8BCA0F36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unp</t>
        </r>
      </text>
    </comment>
    <comment ref="Q115" authorId="1" guid="{9546F60B-0D91-47A6-B0B8-5B7745CE7AF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R115" authorId="1" guid="{927AB986-F689-4DDA-8D37-E6ED70AF0C3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S115" authorId="1" guid="{61C2626A-9F31-4BE5-8CE9-C5DA9EA2423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T115" authorId="1" guid="{439BEEFC-D432-4202-A53A-9B53C18CF45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AF120" authorId="0" guid="{813A1D9B-CAA3-4FAA-B42C-BF3255E83A3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2h holiday (Ziggo technician)</t>
        </r>
      </text>
    </comment>
    <comment ref="J125" authorId="0" guid="{A236666A-EADD-46E1-AC0C-CF4083B111B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125" authorId="0" guid="{F30F3C1D-ACF1-4200-AD88-67E9B2462E2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M125" authorId="1" guid="{AC0CDB99-22CD-49A5-AEEF-70868781CD1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
</t>
        </r>
      </text>
    </comment>
    <comment ref="T125" authorId="1" guid="{CEC6AF81-BD7E-4B71-840E-684218AE580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vij </t>
        </r>
      </text>
    </comment>
    <comment ref="Q130" authorId="0" guid="{340DD10F-843E-497A-ACCA-EB5C3B54415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 mins late</t>
        </r>
      </text>
    </comment>
    <comment ref="R130" authorId="0" guid="{4AD246D8-49BD-4278-B9DA-C9FA62F95B6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18 mins late</t>
        </r>
      </text>
    </comment>
    <comment ref="AB130" authorId="2" guid="{4123DCAD-7C73-4926-B418-8A4386E1538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Special leave 8h (baby geboren!)</t>
        </r>
      </text>
    </comment>
    <comment ref="AE130" authorId="2" guid="{A39229FF-1492-48FB-8A8A-B18A38376F3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Special leave 8h (baby geboren!)</t>
        </r>
      </text>
    </comment>
    <comment ref="AF130" authorId="2" guid="{5085B2A1-478E-4C67-A0C7-A5296C96090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verlof ivm baby
+4,5 uur tijd voor tijd </t>
        </r>
      </text>
    </comment>
    <comment ref="AG130" authorId="2" guid="{6040FE7D-CBA4-45AF-B5E1-85C4AC01FC4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verlof ivm baby</t>
        </r>
      </text>
    </comment>
    <comment ref="AH130" authorId="2" guid="{9086BED1-4086-483A-9C2F-53B6412B0EA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verlof ivm baby</t>
        </r>
      </text>
    </comment>
    <comment ref="F135" authorId="0" guid="{2BB6E517-64D8-4D9D-BFA5-FBBB8120265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1h holiday (PM)</t>
        </r>
      </text>
    </comment>
    <comment ref="N135" authorId="0" guid="{74260BF4-2520-4409-AFEC-EBD201E29A4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(PM)</t>
        </r>
      </text>
    </comment>
    <comment ref="AA135" authorId="0" guid="{F6BF3E0D-87DE-47DA-B40F-0F487941E14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AB135" authorId="0" guid="{AFC611EA-301C-4927-A33E-0A932BB14D3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AF135" authorId="0" guid="{209DAAA0-83BD-4772-9DEC-52A04E5EAE7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holiday (PM)</t>
        </r>
      </text>
    </comment>
    <comment ref="AG135" authorId="0" guid="{A239EAF8-CB4C-4F30-B9EA-78D7E000186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E140" authorId="1" guid="{49EA2460-0C7D-4588-9842-2DD6A6D9AA0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8 h </t>
        </r>
      </text>
    </comment>
    <comment ref="G140" authorId="0" guid="{37ABFF03-17D6-4D5F-A140-D73EC25BCD4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(PM)</t>
        </r>
      </text>
    </comment>
    <comment ref="K140" authorId="0" guid="{26D2E1FD-B6E4-4B3D-AA23-E890590DDA5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M140" authorId="0" guid="{B8D8FDFF-AF6D-4788-B271-8ABB17E8798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Q140" authorId="0" guid="{1F820066-0F94-4C7C-9B89-1FAF20EC0A0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 mins late</t>
        </r>
      </text>
    </comment>
    <comment ref="R140" authorId="0" guid="{049210DC-E3A9-41A2-84D4-EABC3F65BFF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T140" authorId="0" guid="{A392866E-CFB2-4FA9-A13B-BA4FDB798CD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U140" authorId="0" guid="{92484E45-A045-4035-BFE4-721AFA632E1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X140" authorId="0" guid="{B4F6A246-A26D-4602-ADF5-B6A9718B8E6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Y140" authorId="0" guid="{7D89A174-02F8-4BC5-A5B7-88629DCF797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AA140" authorId="0" guid="{A99FC865-B66D-4AF2-8E89-7441B3AE2B9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AF140" authorId="0" guid="{B065D6EF-6233-40F8-AB96-8D641C35DD2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AH140" authorId="0" guid="{6856EDD8-135C-4E0D-A270-8F3FA45EFCB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S145" authorId="1" guid="{90EC0977-4133-4431-8288-1173BB4C3B8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U145" authorId="1" guid="{4237E775-22A0-4781-88FC-A2C95FA58EE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unp
</t>
        </r>
      </text>
    </comment>
    <comment ref="AB145" authorId="0" guid="{0169AF0A-063C-48F4-B554-AD002EA8374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3h holiday (PM)</t>
        </r>
      </text>
    </comment>
    <comment ref="E153" authorId="2" guid="{2B43F290-9F61-45CC-8455-4C692D32D06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Last working day!
 8h Holiday</t>
        </r>
      </text>
    </comment>
  </commentList>
</comments>
</file>

<file path=xl/comments6.xml><?xml version="1.0" encoding="utf-8"?>
<comments xmlns="http://schemas.openxmlformats.org/spreadsheetml/2006/main">
  <authors>
    <author>Patrick Janssen</author>
    <author>Patrick Ziesen</author>
    <author>Frido Meijer</author>
  </authors>
  <commentList>
    <comment ref="X5" authorId="0" guid="{4DEE6559-CD8F-4C98-9BC3-B5EFAFFFC22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-4 tvt</t>
        </r>
      </text>
    </comment>
    <comment ref="Y5" authorId="1" guid="{FA758052-33CF-4D30-89DF-EB589D6A9BA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AB5" authorId="1" guid="{B9BE6D85-90B5-4495-B534-DD73BC6735B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AC5" authorId="1" guid="{21D3E3FE-E577-49A2-816A-7FD3CF101DD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AD5" authorId="1" guid="{7983C4D0-A43D-4E1B-BC26-5F385DEE9F4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AE5" authorId="1" guid="{97C3CBBE-A1A4-4F37-9352-814B0D10E38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D10" authorId="2" guid="{3EB7E847-81EE-40C7-B4E8-AA39DF8E2C6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G10" authorId="2" guid="{C70BE71A-77F4-4608-9542-104E640E1BB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H10" authorId="2" guid="{0FE97352-6231-4B52-BAF4-C18CD289D80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I10" authorId="2" guid="{7716CC35-A711-4E8E-BBB6-B6621272DC7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J10" authorId="2" guid="{FE90F459-8E50-4C66-8ED8-95CBBF1D9E5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K10" authorId="2" guid="{04F70E39-B90B-4C5D-A25A-5BAA8272BB9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N10" authorId="2" guid="{86D3F278-56B0-46E4-88D2-9DC866EBB51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O10" authorId="2" guid="{118C0B1E-9936-4C4B-BE13-D6748848D0C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P10" authorId="2" guid="{3289C459-7A4A-4418-B2BA-02C641E010D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Q10" authorId="2" guid="{4A28E805-7ABB-45B8-AEBC-91788703E51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R10" authorId="2" guid="{4E525C39-0A29-4F3A-8825-32D9E96A173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U10" authorId="2" guid="{25A1F267-2F64-458C-B8D8-8EBAA8597AF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V10" authorId="2" guid="{0E03B52E-AFAC-49EC-9C2B-6EE5016F3C4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W10" authorId="2" guid="{DDC19359-15C8-436E-86C1-78C744D3108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X10" authorId="2" guid="{4C831271-B0B0-45F1-9C5D-92471D21127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Y10" authorId="2" guid="{95C6AB48-A5D3-4ACF-8B8C-82FBEDD0BEE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(stress due to son)</t>
        </r>
      </text>
    </comment>
    <comment ref="H15" authorId="2" guid="{B579A3B4-FD5E-49A7-AC16-2DB9409AFF4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sickness (flu)</t>
        </r>
      </text>
    </comment>
    <comment ref="I15" authorId="0" guid="{A033057B-621F-436D-A9D0-338149E858F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K15" authorId="2" guid="{C78E8D4E-450C-46BE-A37B-07D3440B795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special (Hospital)</t>
        </r>
      </text>
    </comment>
    <comment ref="N15" authorId="2" guid="{AB7A42FA-80E6-42E6-BFA9-4A5C7DD8C18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P20" authorId="2" guid="{A0C3555A-31AA-4DEF-81A6-B7C417DD301D}" shapeId="0">
      <text>
        <r>
          <rPr>
            <b/>
            <sz val="9"/>
            <color indexed="81"/>
            <rFont val="Tahoma"/>
            <family val="2"/>
          </rPr>
          <t>vrij -tvt</t>
        </r>
      </text>
    </comment>
    <comment ref="H25" authorId="2" guid="{34D57ABE-0EEF-4C1D-9F71-C096D2C109A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holiday</t>
        </r>
      </text>
    </comment>
    <comment ref="J25" authorId="0" guid="{DFD15C0A-90A6-417F-BB89-C52DC189C07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K25" authorId="0" guid="{065E765C-92A5-4588-92C7-8A40EAC8042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N25" authorId="2" guid="{90804D10-5474-4037-8B5B-19E338DDC76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O25" authorId="2" guid="{5E62645F-C80B-430C-AF6B-F96CBC65639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P25" authorId="2" guid="{887D482F-68A8-44A6-84DE-4824CC11EAB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Q25" authorId="2" guid="{FB8372FD-F674-4893-B5D9-2B745BF1B0B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R25" authorId="2" guid="{B39E5574-AC91-4616-A76B-5B5C506D081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AD25" authorId="0" guid="{19DFB022-F9FB-467A-AEA4-9C254DC662D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unp pm</t>
        </r>
      </text>
    </comment>
    <comment ref="J30" authorId="0" guid="{8877291B-DD01-41FD-915A-5BBBF73115B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K30" authorId="0" guid="{679BD956-1FE5-44C7-B6C6-24B73A2E317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N30" authorId="0" guid="{C0A7515A-236E-4A66-9C97-4A19C258709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O30" authorId="0" guid="{46E60701-EDB6-4024-848E-24A11FCD5D1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P30" authorId="0" guid="{45DD7D4F-0686-41C9-BAE1-C57BF6E7985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Q30" authorId="0" guid="{BA262FE8-4B8E-4B08-B283-20818B82591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mac training</t>
        </r>
      </text>
    </comment>
    <comment ref="R30" authorId="0" guid="{EE7C7202-045E-438C-8FC4-9D8D80A218C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mac training</t>
        </r>
      </text>
    </comment>
    <comment ref="AD30" authorId="2" guid="{390C5521-1148-47FE-B9CC-58F2AC49141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V40" authorId="0" guid="{4BC55594-E831-4EBF-9B30-ED9EFDAC51E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kaak chirurg</t>
        </r>
      </text>
    </comment>
    <comment ref="AD40" authorId="0" guid="{2F5B32E8-94EE-4D47-BDE6-0EB73D3BABD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autokeuring</t>
        </r>
      </text>
    </comment>
    <comment ref="H45" authorId="0" guid="{5857C75A-3826-4A69-A82E-E4044D35B1B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dentist</t>
        </r>
      </text>
    </comment>
    <comment ref="N45" authorId="1" guid="{DD135DF4-09C4-4912-8C0C-6D23F146E17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O45" authorId="1" guid="{C8CF3B6B-2F2F-4A94-A9C6-4AD528628E1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P45" authorId="1" guid="{F3D10F83-7880-4CCC-8D03-1F8F19AB13D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H50" authorId="0" guid="{418D4C4E-A934-4153-8518-0756231486B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Q50" authorId="0" guid="{ED3C1A9E-14F0-4557-89B1-709E47B7BA5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mac training</t>
        </r>
      </text>
    </comment>
    <comment ref="R50" authorId="0" guid="{56163410-CBE3-41D7-9CCA-CD8C1CA133A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mac training</t>
        </r>
      </text>
    </comment>
    <comment ref="AE50" authorId="0" guid="{D898E7B4-48A4-42A2-AB28-39A73AF9F4E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G55" authorId="2" guid="{BA615AC1-1741-41CB-911A-52B707C8F1B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-8h TVT (Superbowl!)</t>
        </r>
      </text>
    </comment>
    <comment ref="K55" authorId="2" guid="{FEE7CA01-907D-447E-B7EF-803104F059C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VillaLAN 2013</t>
        </r>
      </text>
    </comment>
    <comment ref="N55" authorId="2" guid="{22812690-4DF4-4573-8640-2AD0E5C1813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VillaLAN 2013</t>
        </r>
      </text>
    </comment>
    <comment ref="O55" authorId="2" guid="{D1243001-BF8E-4CE0-8B3B-D2536BD7D63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VillaLAN 2013</t>
        </r>
      </text>
    </comment>
    <comment ref="P55" authorId="2" guid="{E701B007-6D67-4EDD-97CF-C7351CC21AF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VillaLAN 2013</t>
        </r>
      </text>
    </comment>
    <comment ref="Q55" authorId="2" guid="{CD51BD80-F5D1-4D44-9776-AF05246804B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VillaLAN 2013</t>
        </r>
      </text>
    </comment>
    <comment ref="R55" authorId="2" guid="{AAA2A191-A9C7-4002-B987-EE9BEA35CD2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VillaLAN 2013</t>
        </r>
      </text>
    </comment>
    <comment ref="AB60" authorId="2" guid="{BE43FE2E-14DA-471F-9D4C-A253B82DBB6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C60" authorId="2" guid="{BF8B1488-320E-4CD1-9DD3-E6DC2DE94AF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E60" authorId="2" guid="{840B6D35-15CE-45D5-B1AC-C4DBB49F0E1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X70" authorId="2" guid="{69FB3323-49CD-4C91-8525-59766635E2F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Training Analyse Vaardigheden (13:30 - 17:30)</t>
        </r>
      </text>
    </comment>
    <comment ref="D75" authorId="2" guid="{18E8F653-EAEF-492B-B917-DE8908876F3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X75" authorId="2" guid="{676CEDD3-F314-4E40-AA69-8620C8AB5F2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2,5h sickness</t>
        </r>
      </text>
    </comment>
    <comment ref="Y75" authorId="2" guid="{45941490-9DF5-4B42-A5CE-ACE936E1EE1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1h sickness (started at 10:30)</t>
        </r>
      </text>
    </comment>
    <comment ref="AB75" authorId="0" guid="{7F06441F-ABBB-4DC2-8ED1-158082EBC64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H80" authorId="2" guid="{95098A4F-263C-4892-BE52-B2C80F04768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Q80" authorId="0" guid="{295342D8-7BDE-44DC-8393-48683D74D28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hosp</t>
        </r>
      </text>
    </comment>
    <comment ref="V80" authorId="2" guid="{AC5CC849-5D40-4EF4-B84F-75C59593658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C80" authorId="2" guid="{D6E31DB8-9CBF-4CA0-ACD7-BCE8EFD4DF1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E80" authorId="2" guid="{AB8A39E6-598D-4F52-9320-AC8809BF1A6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-2,25h tvt</t>
        </r>
      </text>
    </comment>
    <comment ref="G85" authorId="0" guid="{B513A15E-E91E-4C3B-8C3B-C8C155044E6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K90" authorId="1" guid="{D192A080-CDE3-4B44-AFB5-AE77C4C263E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N90" authorId="1" guid="{2952E194-B69E-4781-9D82-D3DC4B87DBB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O90" authorId="1" guid="{51324053-DEF4-42C9-9025-B0F49D7B5E0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P90" authorId="1" guid="{EE2AE3D4-49E6-4AAF-A702-6D2A6502843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Q90" authorId="1" guid="{BE437E94-ED78-4080-8797-234BF7D5701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R90" authorId="1" guid="{532AF60E-5580-4F67-90F8-21117C51948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U90" authorId="1" guid="{B8C71B3D-FC7A-45C0-B7A3-33DB1AC2AC4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V90" authorId="1" guid="{36270E28-1B6F-41BA-9870-4D667F4A7A1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W90" authorId="1" guid="{AF3F3E69-E16B-4CBE-B72A-D70677427B6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X90" authorId="1" guid="{6A4CD791-6C6C-4354-9118-981C7E8FC42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Y90" authorId="1" guid="{832728BB-4F14-4A1E-B80D-B85EE7C2390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AB90" authorId="1" guid="{89ED21E7-BA23-45C8-8FDD-9683F4BA159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AC90" authorId="1" guid="{280A1339-5637-4FC4-AF6F-482541F7C10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AD90" authorId="1" guid="{3F8C78FE-EE2D-4EDD-9C9E-79AB6E68332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AE90" authorId="1" guid="{71DA4210-3793-43B0-95EF-BE7934F63E5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K95" authorId="0" guid="{3C968867-B5ED-4F38-8DEC-0E9BBFFEF4D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10:30 tm 14:30</t>
        </r>
      </text>
    </comment>
    <comment ref="N95" authorId="2" guid="{A38F80BF-F82D-4E2F-AED5-38237E1273B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O95" authorId="2" guid="{AAF0423E-2430-42BF-BEFA-3C4AE7B0DFC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P95" authorId="2" guid="{B1880438-E67B-465D-999F-C1537D9DC32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Q95" authorId="2" guid="{9C4C3D5F-7263-428E-A44A-D3E5B0B5709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R95" authorId="2" guid="{E0BAFD1C-A473-4C88-80B3-0506387A251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AD95" authorId="0" guid="{16832049-C1C9-4F4D-BB5F-A485773663E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P100" authorId="1" guid="{D1D0D6F1-92A7-49C7-A860-DCB8495BAFA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will leave 1 hour earlier (holiday)</t>
        </r>
      </text>
    </comment>
    <comment ref="AC100" authorId="2" guid="{ACFDC1C5-2807-4F67-92AB-34DFED949EB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(PM)</t>
        </r>
      </text>
    </comment>
    <comment ref="D105" authorId="0" guid="{A9EC3956-D4B3-4819-B566-190973AD567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 door de rug heen/gevallen</t>
        </r>
      </text>
    </comment>
    <comment ref="P105" authorId="0" guid="{730C5351-ACC5-406F-B63A-15C17DD70DF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-1 tvt</t>
        </r>
      </text>
    </comment>
    <comment ref="R105" authorId="0" guid="{9891E8CB-B6C4-400A-9958-210451D9F6F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dentist &amp; ????</t>
        </r>
      </text>
    </comment>
    <comment ref="Y105" authorId="0" guid="{D3CFFDC3-7FBE-44A4-955F-8EFB67736D2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belasting kan 8 uur worden</t>
        </r>
      </text>
    </comment>
    <comment ref="AD105" authorId="0" guid="{70EF3DFB-D744-4C26-8421-A39A8675C61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AC110" authorId="0" guid="{785B38DA-015F-4DC3-B730-E6098EF6689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110" authorId="0" guid="{2C9EF1B3-63A4-48E8-8CCC-2E4A05BB218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-1 verlof</t>
        </r>
      </text>
    </comment>
    <comment ref="D115" authorId="0" guid="{68F01BC1-9288-4EE8-8AD9-EF985A8E752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unp ovb</t>
        </r>
      </text>
    </comment>
    <comment ref="I115" authorId="0" guid="{F31C52EB-F00A-4653-A048-87CCC3AE08D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dentist</t>
        </r>
      </text>
    </comment>
    <comment ref="I120" authorId="0" guid="{6A289F1E-0552-44E3-9003-360A6D3E958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R120" authorId="1" guid="{A3E053BF-B25C-4791-BBA3-136A5B6E74B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-2,5 uur holiday
-1 uur tvt</t>
        </r>
      </text>
    </comment>
    <comment ref="V120" authorId="1" guid="{707283B5-7BDD-4043-9742-86D79298AF2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N125" authorId="2" guid="{EE1B16EC-F0FE-4446-B856-DF11B8322F4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Carnaval 2013</t>
        </r>
      </text>
    </comment>
    <comment ref="AB125" authorId="2" guid="{CAB84B85-A4D2-48D4-A80C-2180D5FC27A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Dentist (2h special)</t>
        </r>
      </text>
    </comment>
    <comment ref="D130" authorId="1" guid="{17A36D65-923B-4D09-935F-17B3E9BFF19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verlof ivm baby</t>
        </r>
      </text>
    </comment>
    <comment ref="G130" authorId="1" guid="{F0461B6F-C1CC-408B-BF91-8FFCF737BA8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verlof ivm baby</t>
        </r>
      </text>
    </comment>
    <comment ref="H130" authorId="1" guid="{237F6D4D-B8CB-4318-AEDB-182B07A11E5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verlof ivm baby</t>
        </r>
      </text>
    </comment>
    <comment ref="I130" authorId="1" guid="{FD0F89D1-FECF-4455-84FE-4FB1479FC5A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verlof ivm baby</t>
        </r>
      </text>
    </comment>
    <comment ref="J130" authorId="1" guid="{F8FFEEC6-B41B-46E0-BB5F-ACE875CD7AC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verlof ivm baby</t>
        </r>
      </text>
    </comment>
    <comment ref="K130" authorId="1" guid="{42AD1FC2-AE94-4073-87C9-C948A1D0D06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verlof ivm baby</t>
        </r>
      </text>
    </comment>
    <comment ref="AD130" authorId="1" guid="{32A25930-499C-4648-A3C4-4B867FCC41A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-2,5h tvt</t>
        </r>
      </text>
    </comment>
    <comment ref="AE130" authorId="1" guid="{E03C1496-624A-4D5A-A58A-488625F015A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-8h tvt</t>
        </r>
      </text>
    </comment>
    <comment ref="W135" authorId="2" guid="{AEEEC09A-0400-4128-920A-0E0933D0C33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X135" authorId="2" guid="{EFA36AAC-1837-494D-B4D0-5EBA7A5CCD3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Y135" authorId="2" guid="{EE599673-5983-4FFD-B9CC-549E55E44FA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H140" authorId="2" guid="{07510A89-1FC1-4292-A2DE-15FDE6023F6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J140" authorId="2" guid="{3E1F6AA9-F487-4896-975C-9934E539CAD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O140" authorId="2" guid="{DC4E863F-E247-47A9-864A-9D8A104DEA0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Q140" authorId="2" guid="{E24E749C-0612-4889-A40F-6D056F848A6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R140" authorId="0" guid="{17EC506B-8C9F-4E10-9ADD-A98444B3CB5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pm</t>
        </r>
      </text>
    </comment>
    <comment ref="U140" authorId="2" guid="{BB9B4A71-7D31-4A2D-A0F6-BBD50B83FDB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 (lanparty)</t>
        </r>
      </text>
    </comment>
    <comment ref="V140" authorId="2" guid="{0B0F83D5-EB7A-4230-B44C-0D2EA008CC6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
4h holiday</t>
        </r>
      </text>
    </comment>
    <comment ref="X140" authorId="2" guid="{64A08FE0-CB8B-4C04-A4DF-7793CE53D97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AC140" authorId="2" guid="{B91837EF-2200-4367-BE60-964E6C482A5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AE140" authorId="2" guid="{B3AFE2FE-CBD7-454D-8525-77411BADCCA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O145" authorId="0" guid="{67823480-E4FA-4A36-95F1-2349193833B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unp pm</t>
        </r>
      </text>
    </comment>
    <comment ref="R145" authorId="0" guid="{F1EA0A96-E0C4-48B1-8BB3-AC4128F28C1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-tvt vrij</t>
        </r>
      </text>
    </comment>
    <comment ref="W145" authorId="2" guid="{31271080-68EF-4D0C-87F5-9F1CAAA856E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30 mins holiday</t>
        </r>
      </text>
    </comment>
    <comment ref="Y145" authorId="0" guid="{BEA65268-6605-45BF-89CC-03EF4E7CBAA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1p 1 unp</t>
        </r>
      </text>
    </comment>
  </commentList>
</comments>
</file>

<file path=xl/comments7.xml><?xml version="1.0" encoding="utf-8"?>
<comments xmlns="http://schemas.openxmlformats.org/spreadsheetml/2006/main">
  <authors>
    <author>Patrick Ziesen</author>
    <author>Frido Meijer</author>
    <author>Patrick Janssen</author>
  </authors>
  <commentList>
    <comment ref="D10" authorId="0" guid="{3007DBAD-70A2-4632-9416-B66CF395A7A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G10" authorId="0" guid="{47CF9853-727D-4142-90A4-9D4E82F14FF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H10" authorId="0" guid="{2715185C-7C2F-4650-B3A9-74235BC54F3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I10" authorId="0" guid="{E0EF9030-F6D5-4447-A6FC-A40F25744D8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J10" authorId="0" guid="{2ABA8309-45E7-480E-9DB1-E56D2F8FA04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K10" authorId="0" guid="{7B259419-691C-4516-A610-F7548A69185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N10" authorId="0" guid="{20F508A5-7170-4E10-A5A0-96CC8756C2F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O10" authorId="0" guid="{33D56F14-3F51-4EE9-BA77-E2BA3B19452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P10" authorId="0" guid="{B2285F06-0E5A-4EEB-97FA-1F2753ABCBB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Q10" authorId="0" guid="{C5DE83E9-D4A0-4477-A2D0-1670DB47A55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R10" authorId="0" guid="{97E6E9C6-3BE4-43A5-B249-0306FD34839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U10" authorId="0" guid="{A525EF3A-DD4B-42BE-8764-4F4229B14F2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5h sick 
3h Work (re-integration)</t>
        </r>
      </text>
    </comment>
    <comment ref="V10" authorId="0" guid="{4C608B9B-61F7-4577-9880-2E0F451D3944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5h sick 
3h Work (re-integration)</t>
        </r>
      </text>
    </comment>
    <comment ref="W10" authorId="0" guid="{7B22FA4C-4F4C-457B-8FCF-B7EBEC18BC1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 today (as agreed)</t>
        </r>
      </text>
    </comment>
    <comment ref="X10" authorId="0" guid="{5F408171-99D9-4A5F-9FBD-F23B79F7BC7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5h sick 
3h Work (re-integration)
PS: om 11 uur naar de bedrijfsarts</t>
        </r>
      </text>
    </comment>
    <comment ref="Y10" authorId="0" guid="{D882560F-7833-4B97-BCF7-62748B1B31D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5h sick 
3h Work (re-integration)</t>
        </r>
      </text>
    </comment>
    <comment ref="AB10" authorId="0" guid="{C619ED07-5993-47E8-961F-87DEE6CEA29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sick 
4h Work (re-integration)</t>
        </r>
      </text>
    </comment>
    <comment ref="AC10" authorId="0" guid="{09C84442-4F80-4396-9A35-62B910D6178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sick 
4h Work (re-integration)</t>
        </r>
      </text>
    </comment>
    <comment ref="AD10" authorId="0" guid="{64FFB117-6764-440C-A411-73D8358E59D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 today (as agreed)</t>
        </r>
      </text>
    </comment>
    <comment ref="AE10" authorId="0" guid="{0804F384-EDBC-4E38-BB41-322D7E0CF75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sick 
4h Work (re-integration)</t>
        </r>
      </text>
    </comment>
    <comment ref="AF10" authorId="0" guid="{B8565F3C-758B-48F1-8894-8F3ECF78E2E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sick 
4h Work (re-integration)</t>
        </r>
      </text>
    </comment>
    <comment ref="I15" authorId="1" guid="{78EBD702-E35B-4EED-87C2-4A9C780C6DE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(PM)</t>
        </r>
      </text>
    </comment>
    <comment ref="J15" authorId="1" guid="{FD1A295E-2033-4D78-82A2-98D30387312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(AM)</t>
        </r>
      </text>
    </comment>
    <comment ref="K15" authorId="1" guid="{BBBD4EA3-CB74-4960-811D-63EF348F9F5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P15" authorId="1" guid="{999CDD99-5B15-40C2-AC44-13DDFE1E133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(PM)</t>
        </r>
      </text>
    </comment>
    <comment ref="W15" authorId="1" guid="{9581893A-85A5-4F6B-B8C7-27669298CEB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(PM)</t>
        </r>
      </text>
    </comment>
    <comment ref="AD15" authorId="1" guid="{FE6B3203-4744-452A-868A-263B73E29D9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(PM)</t>
        </r>
      </text>
    </comment>
    <comment ref="AF15" authorId="1" guid="{78AB25DE-2069-4EE5-A3BD-2C725FE792E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added 4 hours to HET (07:00 - 19:00)
Last Working Day!!</t>
        </r>
      </text>
    </comment>
    <comment ref="Q20" authorId="2" guid="{27FEFD61-6CEE-4360-999C-F256F388184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R20" authorId="2" guid="{8577DBDD-FBEF-4396-9222-2A6C2FDA4CD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U20" authorId="2" guid="{B7DA9C07-4B3A-429F-8272-4DA04ADED2B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V20" authorId="2" guid="{B2255571-EC78-4640-92D3-BC4039C3F63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W20" authorId="2" guid="{F1A007BE-2A62-4AEB-BB12-DBDE384CF71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X20" authorId="2" guid="{3F75820D-41FF-43A9-B1E8-102AA6FF799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Y20" authorId="2" guid="{33A40C73-FC16-43CE-883F-71739ABEE3F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I25" authorId="2" guid="{09A76A52-5BC7-40F5-8307-A3280609796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</t>
        </r>
      </text>
    </comment>
    <comment ref="K25" authorId="2" guid="{EDE27AE7-44A2-4D21-8AE0-0617B6F99D3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unp</t>
        </r>
      </text>
    </comment>
    <comment ref="P25" authorId="2" guid="{62FB3DF1-3BEE-4985-A985-43871A03C60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werkt va thuis</t>
        </r>
      </text>
    </comment>
    <comment ref="AD25" authorId="2" guid="{9B3FDF2F-F902-4A9A-9656-6F9931E742E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unp</t>
        </r>
      </text>
    </comment>
    <comment ref="AE25" authorId="2" guid="{8998DF83-273C-45F2-808A-1CED675A64B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G30" authorId="1" guid="{82C54FD3-8ABB-4719-B98B-23C426B0F0B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2h huisarts</t>
        </r>
      </text>
    </comment>
    <comment ref="J30" authorId="1" guid="{9F0CC62D-E76B-4F96-B5DF-84C2BE0309C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</t>
        </r>
      </text>
    </comment>
    <comment ref="AE30" authorId="1" guid="{C8D6DE46-8E73-4A40-AC1E-C099D0C3F1A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Shooting video with band</t>
        </r>
      </text>
    </comment>
    <comment ref="AF30" authorId="1" guid="{B0C86385-E48C-4066-8860-EE74F415066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Shooting video with band</t>
        </r>
      </text>
    </comment>
    <comment ref="O40" authorId="2" guid="{83BE85AF-FA68-4C8B-BBF8-B10EE2C6C0E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kaakchirurg operatie</t>
        </r>
      </text>
    </comment>
    <comment ref="AE40" authorId="2" guid="{3B926644-8884-41C1-B2FC-C9A39FADA92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tandarts</t>
        </r>
      </text>
    </comment>
    <comment ref="I45" authorId="2" guid="{195A80BA-CDF1-4891-A36F-C254E3D1447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R45" authorId="2" guid="{5CBF3C64-0D79-41C6-8425-AE89AB3CE62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AB45" authorId="2" guid="{7433F685-7646-4F83-9EFB-54E3C137B7C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C45" authorId="2" guid="{5FDC537E-0F86-4C0C-BB6B-4C01B1CA723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45" authorId="2" guid="{908FEF9D-90ED-4554-831A-B26073B76B3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E45" authorId="2" guid="{6E047A9F-C311-4421-B5E8-89299AC3179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F45" authorId="2" guid="{A00D2F4F-A2AE-408E-93AB-76DEE823C70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D50" authorId="2" guid="{95C98AA3-491F-4E2A-A6C0-D8CCD095343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U50" authorId="2" guid="{691742AD-F849-4D36-B6C1-27E2754199D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V50" authorId="2" guid="{03B40B50-8EC3-4641-B39B-D9F6AF33F02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D55" authorId="1" guid="{C37C30AF-FDC8-48FD-AE79-ADD3DE9BE08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2h dentist
-2,5h tvt</t>
        </r>
      </text>
    </comment>
    <comment ref="Y55" authorId="1" guid="{85F33CA3-BEE3-4407-BE76-1DC56D54A59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-4h TVT</t>
        </r>
      </text>
    </comment>
    <comment ref="D60" authorId="1" guid="{9BC9B813-6550-41E3-9DD1-A46875AC1E7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G60" authorId="1" guid="{8DCEBC3D-F8F2-48CF-8384-0FFB60FEA56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H60" authorId="1" guid="{18177748-BFD7-452A-80B4-03CC29358B3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J60" authorId="1" guid="{0C1629C5-CBE6-48E4-BFE2-63406F6901C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60" authorId="1" guid="{42CD7089-5101-4103-8093-593270EE381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N60" authorId="1" guid="{E0E9E8FE-8D4D-4355-B6AC-DF2584E6178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O60" authorId="1" guid="{C177F229-CAB2-4C51-959E-B11EB1E926E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Q60" authorId="1" guid="{18307BE5-595D-4CFF-ADE5-5A6D62D118B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R60" authorId="1" guid="{6AD52EDF-984C-4F07-B4AC-1F724C47A9B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U60" authorId="1" guid="{D535D751-CD36-406A-97D1-47672F99873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V60" authorId="1" guid="{CDBA9646-33CB-4F63-80FD-ADEF5C234D9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X60" authorId="1" guid="{DDFFDBD8-67FB-4D5B-B482-4B911CD8B88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Y60" authorId="1" guid="{43143478-05FC-4B32-81B8-DDF18488791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B60" authorId="1" guid="{AB4FA74B-F9CD-45D3-A5C1-8D1AFE68AB9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C60" authorId="1" guid="{2BDC8CFF-0D5E-4F70-80C6-F191BFC60E3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E60" authorId="1" guid="{DB1E04B7-FA33-4D6F-B19F-DCDA21142B9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F60" authorId="1" guid="{055EC63F-A2AF-4E81-83BC-6E4D472B37E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G70" authorId="1" guid="{3BA1AAF9-5B81-4056-8689-90D655B4F9E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H70" authorId="1" guid="{98573698-3572-4394-A197-55BEACBC51D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I70" authorId="1" guid="{7A0105E1-9B4A-44E3-B606-AE4F5C86AC6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J70" authorId="1" guid="{D28D5EB8-0297-4B12-8565-B3709BED521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70" authorId="1" guid="{98DDE074-6951-491A-BA4F-865682A7C94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N70" authorId="1" guid="{C0649462-24E7-4312-A486-1AF073252E4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O70" authorId="1" guid="{256ADB39-69E0-4E40-A1C1-B9087396BE5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P70" authorId="1" guid="{65F1D644-064F-4FD1-8945-B3C45FE833D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Q70" authorId="1" guid="{C76A4349-EE4B-433D-A447-A8B75D4B24B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R70" authorId="1" guid="{E74BCB93-3B10-4079-87DB-66C7995F7E2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U70" authorId="1" guid="{E487AE31-9E26-4D12-A4D8-7E9CEEC86D0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V70" authorId="1" guid="{2C69652B-3C41-4658-BF72-113EB707FC8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W70" authorId="1" guid="{2BEE2315-2932-4D07-94AB-FB5EC13AD89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X70" authorId="1" guid="{E1174E90-6995-4AFC-AAE2-400AEF64869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Y70" authorId="1" guid="{995C78B5-D160-46C9-803A-A7C01B6310D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B70" authorId="1" guid="{6273B4A7-35A8-4A70-8BB3-90E4B24287B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C70" authorId="1" guid="{214B40ED-7F89-4788-9BAB-6201DF98F5B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D70" authorId="1" guid="{3C48249F-2A19-4268-B0FE-53A6A55C853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E70" authorId="1" guid="{4C5C0879-D697-4BE0-8643-C76DCA6BDC8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F70" authorId="1" guid="{132A3813-ADA6-4837-BDB6-DFF699FAB7F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D80" authorId="1" guid="{02B2C712-0594-408F-9BC3-A5E1EF4FF36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-8h tvt
Last working day!</t>
        </r>
      </text>
    </comment>
    <comment ref="G85" authorId="2" guid="{1BE25349-525B-4B88-B292-582D3F2B7E8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H85" authorId="2" guid="{A35C1C90-184C-465B-8D78-279505A7191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I85" authorId="2" guid="{44E0B83A-5A6B-4B61-8A2C-71A6EF42DC4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O85" authorId="2" guid="{C7E6B85E-5C29-47ED-A131-EED2EF23DEF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D95" authorId="2" guid="{58BF3C86-33AA-49A1-9163-2DFD2224F21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G95" authorId="2" guid="{9BE7B4BC-A43C-49AF-9DB7-4C8F6DF3DE2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R95" authorId="2" guid="{3A48EBD7-D455-4952-8E03-E6A674777A4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V95" authorId="2" guid="{B709483E-8206-439E-BBDA-4423B14860B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Vrij</t>
        </r>
      </text>
    </comment>
    <comment ref="AE95" authorId="2" guid="{FDC90A65-7745-4189-9C13-98A5600BDAC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J100" authorId="1" guid="{FFA70FD7-62C3-4990-931F-1EAE5EB7D5B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1h holiday (PM)</t>
        </r>
      </text>
    </comment>
    <comment ref="N100" authorId="2" guid="{30CA49E1-CC99-4D43-A199-D70CC8153D7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O100" authorId="2" guid="{E4009F7D-E4E8-4E90-B60D-87A0A9272D5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P100" authorId="2" guid="{BEB78A00-6F03-47CB-9B73-853196AE534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K105" authorId="2" guid="{E5FECDFF-3D8B-4A25-B073-D134CCC2EFE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dentist &amp; oof</t>
        </r>
      </text>
    </comment>
    <comment ref="Y105" authorId="2" guid="{DB214FE8-9117-4DDB-922C-E3B4DB01B52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homework</t>
        </r>
      </text>
    </comment>
    <comment ref="G110" authorId="2" guid="{096F21C0-D377-48B0-BD5D-26BDBE46AFE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H110" authorId="2" guid="{B4B13B69-8649-4DCC-9DCB-932645E9C38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I110" authorId="2" guid="{DE3C2EDE-B80F-4435-BB28-884AA8CA60E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O110" authorId="2" guid="{883FC2E1-2DC7-4702-B498-CA2F58085B3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-tvt 4</t>
        </r>
      </text>
    </comment>
    <comment ref="R110" authorId="2" guid="{110EE44E-A411-4543-909C-E1E1AD2CDC4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D115" authorId="1" guid="{A073A8C1-397B-443D-A100-94D941C7336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unpaid</t>
        </r>
      </text>
    </comment>
    <comment ref="G115" authorId="1" guid="{0CDCF664-A944-4648-9959-3ACA523578A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O115" authorId="2" guid="{97D388D8-A18F-4214-B57E-6AFC6225353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Q115" authorId="2" guid="{7A2161F8-8088-4160-B544-2902ECAFE75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-4,25 tvt</t>
        </r>
      </text>
    </comment>
    <comment ref="I120" authorId="1" guid="{DDCFEB33-2005-4D8F-8128-814D111EE6F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P120" authorId="1" guid="{2AD42A8C-0DD6-4ACF-A9BC-1F37EC2E5DC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(vomiting)</t>
        </r>
      </text>
    </comment>
    <comment ref="AE120" authorId="1" guid="{BE3CC062-E328-4B13-8B13-39BBD1EBD23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0,5h lateness</t>
        </r>
      </text>
    </comment>
    <comment ref="H125" authorId="2" guid="{91FC47DA-1784-4BED-A475-FF09567BEC4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I125" authorId="0" guid="{280FA399-4EC3-4748-9411-9619D609C1A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3h holiday</t>
        </r>
      </text>
    </comment>
    <comment ref="O125" authorId="2" guid="{48719CCC-5C63-4FB1-A717-245705BEBF5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AB125" authorId="2" guid="{EBCD480F-1BED-458C-AAFD-34754937BC0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-6 tvt
Dentist</t>
        </r>
      </text>
    </comment>
    <comment ref="AF125" authorId="2" guid="{C1B3AD93-A3AB-449A-9F70-E6F32ABD08A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R130" authorId="2" guid="{BAA94B6D-6C43-4E5C-931C-228550B260F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Y130" authorId="0" guid="{624B022A-3005-4FE5-9FAE-2648E0BDFE2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uurtje later ivm ophalen nieuwe auto.
= verekend met TVT</t>
        </r>
      </text>
    </comment>
    <comment ref="V135" authorId="1" guid="{0FA14EDD-7B12-4A54-8AF5-3119AA93C30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W135" authorId="1" guid="{3CB63BDC-A81A-45EB-86F1-B27F83AD067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X135" authorId="1" guid="{5F7196D8-2CC4-44A2-B920-55ACF1F2AA7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Y135" authorId="1" guid="{9B8EE889-97A2-4E44-B3CB-36880A2E100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H140" authorId="1" guid="{40BF6D0C-1A9A-4D57-B02B-DF27E4C4DDE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J140" authorId="1" guid="{5D98E1C6-410B-4A97-A736-C3C0AB5E5B4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O140" authorId="1" guid="{E2588393-099C-4705-8B90-00E610A1850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Q140" authorId="1" guid="{9C073809-0F34-4817-ADEF-0895D63D433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V140" authorId="1" guid="{3FFE876D-CAD2-448B-8C3A-F302D1F1A8C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X140" authorId="1" guid="{0554B1D0-8DBE-4707-8D15-7FD1262BD15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</t>
        </r>
      </text>
    </comment>
    <comment ref="AB140" authorId="1" guid="{B91E8AC2-2D89-41BA-8227-A682C071D61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sickness</t>
        </r>
      </text>
    </comment>
    <comment ref="AC140" authorId="1" guid="{D6A80EF5-9FE9-424A-9951-7245BC3E3A4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
1h special leave (hospital)</t>
        </r>
      </text>
    </comment>
    <comment ref="AE140" authorId="1" guid="{D629E04B-2F34-4327-8FE4-072ECA06B29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 0,5h late</t>
        </r>
      </text>
    </comment>
    <comment ref="AF140" authorId="0" guid="{8740ABF3-94E1-4EFB-B73C-93B5A05177A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D145" authorId="2" guid="{0F7FB214-5090-400B-8B16-CF7D1D7DFFC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K145" authorId="2" guid="{47659CDC-5FD4-4306-A224-BF22C77A285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unp</t>
        </r>
      </text>
    </comment>
    <comment ref="X145" authorId="2" guid="{1842EBA9-726A-4DEA-902B-C5F4C74E785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AD145" authorId="2" guid="{C10C610F-61DE-4C4B-8350-9E787E17F3F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1 unp</t>
        </r>
      </text>
    </comment>
    <comment ref="AF145" authorId="2" guid="{DD733B9A-F5B4-4C10-B796-EA15DA4A47F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G150" authorId="0" guid="{04E5F971-1ABF-474E-BEA3-FB8FF203C48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Eerste werkdag MS</t>
        </r>
      </text>
    </comment>
    <comment ref="O150" authorId="1" guid="{2145D596-CA0E-4003-943A-2A1D5586A44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holiday (AM)</t>
        </r>
      </text>
    </comment>
    <comment ref="N155" authorId="0" guid="{C17757A7-5BEA-47A1-85A8-223AFC95831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Eerste werkdag MS</t>
        </r>
      </text>
    </comment>
    <comment ref="N160" authorId="0" guid="{4ECC7F80-8C12-48D1-9EF6-C420341AC3A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Eerste werkdag MS</t>
        </r>
      </text>
    </comment>
    <comment ref="AB160" authorId="0" guid="{BF8B12C9-8BBD-407A-ACFB-19CF1C0A0E2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will go to the doctor and then give feedback to frido</t>
        </r>
      </text>
    </comment>
    <comment ref="AC160" authorId="1" guid="{A413AE8A-6329-4C83-A08A-3DDE121E26C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</t>
        </r>
      </text>
    </comment>
    <comment ref="AD160" authorId="1" guid="{7D956BDA-E9E2-44C2-84CD-AA1EE48944A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sickness, 4h holiday. Went to "Schuldhulpverlening" Called me at around 14:00. Everything went well, but he wasn't feeling too well yet. We agreed he can stay home this afternoon if he promises to be present on Thursday at 9:00 AM for further training.
</t>
        </r>
      </text>
    </comment>
  </commentList>
</comments>
</file>

<file path=xl/comments8.xml><?xml version="1.0" encoding="utf-8"?>
<comments xmlns="http://schemas.openxmlformats.org/spreadsheetml/2006/main">
  <authors>
    <author>Patrick Janssen</author>
    <author>pjanssen</author>
    <author>Frido Meijer</author>
    <author>Patrick Ziesen</author>
  </authors>
  <commentList>
    <comment ref="D3" authorId="0" guid="{550012A0-AFEB-45B0-B4D6-8D073EBABCE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2e Paasdag</t>
        </r>
      </text>
    </comment>
    <comment ref="AG3" authorId="0" guid="{F35CB7CA-FE13-45C9-A4CA-1248F52257A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Koninginnedag </t>
        </r>
      </text>
    </comment>
    <comment ref="R4" authorId="1" guid="{4F89D82C-BBFA-4EFC-A13D-7ECC93DA73CE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office 2010 training voor: 
1. Michael C.
2. Rudi S.
3. Loode E.</t>
        </r>
      </text>
    </comment>
    <comment ref="S4" authorId="1" guid="{B8837736-2E0A-4969-8E2D-C49636589785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office 2010 training voor: 
1. Michael C.
2. Rudi S.
3. Loode E.</t>
        </r>
      </text>
    </comment>
    <comment ref="W4" authorId="1" guid="{780C3C52-D011-4A53-A959-09A05B7B344F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Barry
Wantoo
Maarten 
nick
Pascal B</t>
        </r>
      </text>
    </comment>
    <comment ref="X4" authorId="1" guid="{BA6033FF-7D1B-4DA7-AEFA-AE0E05A78355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Barry
Wanto0
Maarten 
nick
Pascal B</t>
        </r>
      </text>
    </comment>
    <comment ref="Y4" authorId="1" guid="{BB4F03BA-82A0-477E-A127-65AEECACB7FC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Dave Creusen
Erwin Deckers
Gerardus de Haas
Jean Pierre Knubben
Roy Timmermans
Peter Poldervaart
Fred Boekwijt</t>
        </r>
      </text>
    </comment>
    <comment ref="Z4" authorId="1" guid="{665583B2-8893-4FA7-A77C-3E75A81676DB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Dave Creusen
Erwin Deckers
Gerardus de Haas
Jean Pierre Knubben
Roy Timmermans
Peter Poldervaart
Fred Boekwijt</t>
        </r>
      </text>
    </comment>
    <comment ref="AC4" authorId="1" guid="{5CF9A5A5-2768-452A-BC02-EFADA45E0586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Dave Creusen
Erwin Deckers
Gerardus de Haas
Jean Pierre Knubben
Roy Timmermans
Peter Poldervaart
Fred Boekwijt</t>
        </r>
      </text>
    </comment>
    <comment ref="AD4" authorId="1" guid="{0826BF46-1EA6-442D-9706-CC24475D79C1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Lars de Winter
Marvin Machelesen
Raymond Wijermans
</t>
        </r>
      </text>
    </comment>
    <comment ref="AE4" authorId="1" guid="{D81D9209-C7B3-468F-AFD2-32BC96C34C94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Lars de Winter
Marvin Machelesen
Raymond Wijermans
</t>
        </r>
      </text>
    </comment>
    <comment ref="AF4" authorId="1" guid="{E1C87D5E-AAF7-43A2-995C-83FB8B7D4CC1}" shapeId="0">
      <text>
        <r>
          <rPr>
            <b/>
            <sz val="9"/>
            <color indexed="81"/>
            <rFont val="Tahoma"/>
            <family val="2"/>
          </rPr>
          <t>pjanssen:</t>
        </r>
        <r>
          <rPr>
            <sz val="9"/>
            <color indexed="81"/>
            <rFont val="Tahoma"/>
            <family val="2"/>
          </rPr>
          <t xml:space="preserve">
Lars de Winter
Marvin Machelesen
Raymond Wijermans
</t>
        </r>
      </text>
    </comment>
    <comment ref="F5" authorId="2" guid="{0D3B201F-71FC-4B60-930C-7824AFC40A0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special leave (hospital)</t>
        </r>
      </text>
    </comment>
    <comment ref="O5" authorId="3" guid="{A19B4691-A0E5-4CB7-AB4D-58A67B85137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tvt!</t>
        </r>
      </text>
    </comment>
    <comment ref="AF5" authorId="2" guid="{7B1FB06A-413F-44A2-A6F9-2D9585D89E8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E10" authorId="3" guid="{7EDDA312-DD00-4EAC-A8EC-4AA45FBACEB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3h sick 
5h Work (re-integration)</t>
        </r>
      </text>
    </comment>
    <comment ref="F10" authorId="3" guid="{63F6F12B-46AA-4AAF-A9D7-9B98F2A1504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 today (as agreed)</t>
        </r>
      </text>
    </comment>
    <comment ref="G10" authorId="3" guid="{9913856D-F1D0-4CBB-A281-8B4BFBE74772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3h sick 
5h Work (re-integration)</t>
        </r>
      </text>
    </comment>
    <comment ref="H10" authorId="3" guid="{408BC8B9-2202-4CD5-8796-225C2167D8E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3h sick 
5h Work (re-integration)</t>
        </r>
      </text>
    </comment>
    <comment ref="K10" authorId="3" guid="{229C8D6C-9474-4D3D-A3B4-0B4AC8FB94F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sick 
4h Work (re-integration)</t>
        </r>
      </text>
    </comment>
    <comment ref="L10" authorId="3" guid="{8B93DCCF-A197-46DF-961B-51CA13A3C30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sick 
4h Work (re-integration)</t>
        </r>
      </text>
    </comment>
    <comment ref="M10" authorId="3" guid="{D2C7B50D-9684-4128-A897-EF521BDD69D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sick 
4h Work (re-integration)</t>
        </r>
      </text>
    </comment>
    <comment ref="N10" authorId="3" guid="{CF309260-71D8-4D8D-9904-DA9D186B2E0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sick 
4h Work (re-integration)</t>
        </r>
      </text>
    </comment>
    <comment ref="O10" authorId="3" guid="{0299755A-966B-4A04-9DDA-EC76D496F15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sick 
4h Work (re-integration)</t>
        </r>
      </text>
    </comment>
    <comment ref="R10" authorId="2" guid="{E5E6A287-0077-47D3-A54E-E3D38E4AC38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5h worked (re-integration)
3h sickness</t>
        </r>
      </text>
    </comment>
    <comment ref="S10" authorId="2" guid="{21E86895-5C85-46D3-945E-A59B11ECC8D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5h worked (re-integration)
3h sickness</t>
        </r>
      </text>
    </comment>
    <comment ref="T10" authorId="2" guid="{FA85CC0F-364B-45FD-B1D7-311D96336F4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5h worked (re-integration)
3h sickness</t>
        </r>
      </text>
    </comment>
    <comment ref="U10" authorId="2" guid="{1E8A4806-D92A-4867-A376-3C2F9EDE8EB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verlof</t>
        </r>
      </text>
    </comment>
    <comment ref="V10" authorId="2" guid="{C90DDC0A-A46D-43E9-A27B-F2A3D93FF60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verlof</t>
        </r>
      </text>
    </comment>
    <comment ref="Y10" authorId="2" guid="{C3AE54CA-6E70-4568-A4B9-942BF05EF2D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verlof</t>
        </r>
      </text>
    </comment>
    <comment ref="Z10" authorId="2" guid="{B2A47C6F-8F8E-4298-B5B5-955BEFD1558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verlof</t>
        </r>
      </text>
    </comment>
    <comment ref="AA10" authorId="2" guid="{711D3491-B178-40ED-89DF-1E8A20E8A5B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verlof</t>
        </r>
      </text>
    </comment>
    <comment ref="AB10" authorId="2" guid="{60BF9057-C1B4-4FCB-8F02-30B1B9B59E2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verlof</t>
        </r>
      </text>
    </comment>
    <comment ref="AC10" authorId="2" guid="{AE536146-6923-43F2-B9EF-DD26708CFDB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verlof</t>
        </r>
      </text>
    </comment>
    <comment ref="AF10" authorId="2" guid="{F5E5CFC1-44AC-4E17-BB53-64D85A259AC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verlof</t>
        </r>
      </text>
    </comment>
    <comment ref="Y20" authorId="0" guid="{D5E77362-648C-4666-BB91-88584FA9395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Z20" authorId="0" guid="{1AB91F5A-9353-4C9C-8F32-C20C458EC1C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G25" authorId="0" guid="{E02ED030-4E7F-4B2C-A360-494F445C038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unp</t>
        </r>
      </text>
    </comment>
    <comment ref="M30" authorId="2" guid="{EE5A2D0C-A5B1-4F72-B9A1-F12244B2A09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Girlfriend to hospital</t>
        </r>
      </text>
    </comment>
    <comment ref="O30" authorId="2" guid="{7BDBDBA6-08EA-4A2D-9F66-C3386A10A56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(PM)</t>
        </r>
      </text>
    </comment>
    <comment ref="R30" authorId="3" guid="{87485D43-45E0-4945-A8ED-23DA89735A1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 (girlfriend returned from hospital)</t>
        </r>
      </text>
    </comment>
    <comment ref="V30" authorId="3" guid="{734A7AA3-22E6-4B96-B5FD-19D3BEE2AE8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Eerder naar huis ivm emergency vriendin. 6,5 uur holiday</t>
        </r>
      </text>
    </comment>
    <comment ref="AB30" authorId="2" guid="{72989704-8EDB-4ABA-9A6A-E8F46729AB6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C30" authorId="2" guid="{191E8F4D-F8EB-4017-93A6-0A35A23B54F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F30" authorId="2" guid="{718E1D24-61EF-4181-81F4-7A49D64696B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C40" authorId="0" guid="{DD35EFE3-C679-490C-9751-6FE83CB2E22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F40" authorId="0" guid="{8076AA7C-8B12-438C-8CEF-86A36EB176C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O45" authorId="0" guid="{8817E19F-08E4-4127-8BEC-8B2CD8F031C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Z45" authorId="0" guid="{63C968E4-678A-471B-A282-31F9B87CD71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L50" authorId="2" guid="{5DF4E2CB-767A-48AA-ADF5-C41F1145812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</t>
        </r>
      </text>
    </comment>
    <comment ref="AA50" authorId="3" guid="{FAA40156-5C3E-44DB-AC45-B59BCC13F65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PM</t>
        </r>
      </text>
    </comment>
    <comment ref="G55" authorId="2" guid="{87086D3A-86FA-44B1-8971-D50CE033EBE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-2h TVT</t>
        </r>
      </text>
    </comment>
    <comment ref="L55" authorId="2" guid="{49E96E5B-D4E1-4FE8-A8D5-973B7AF6C68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-2,25h TVT</t>
        </r>
      </text>
    </comment>
    <comment ref="O55" authorId="2" guid="{A5D6CB1C-D201-48C9-8CBE-CDC429105C6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3h tvt</t>
        </r>
      </text>
    </comment>
    <comment ref="AB55" authorId="2" guid="{095B7284-4982-45B3-9302-8C33C642973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-8h TVT</t>
        </r>
      </text>
    </comment>
    <comment ref="AC55" authorId="2" guid="{CE8B9F17-E985-4842-901F-DE3FCA32A48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 2013</t>
        </r>
      </text>
    </comment>
    <comment ref="AF55" authorId="2" guid="{33980F42-01DF-4313-BB05-CF9CCF10A94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 2013</t>
        </r>
      </text>
    </comment>
    <comment ref="AG55" authorId="2" guid="{D63C25D7-97A8-41CE-A6C2-7AAC5C41039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Koninginnedag!</t>
        </r>
      </text>
    </comment>
    <comment ref="E60" authorId="2" guid="{D778B865-4CC8-4FD2-AA59-E912BF8A2C5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G60" authorId="2" guid="{FC44AFBF-4D61-4DEE-9FA3-9E98C2E77D1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H60" authorId="2" guid="{E9FFB409-EABB-465A-A54A-4A86A2191BE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B60" authorId="0" guid="{03E914BC-793D-455A-9EBC-7754ACBC051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F60" authorId="3" guid="{8511EA2D-389F-4E3E-A477-C069CF4F47E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minuten te laat</t>
        </r>
      </text>
    </comment>
    <comment ref="R70" authorId="3" guid="{40081B9E-3A25-433D-BD1A-7F51EF49F67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25 jarig huwelijk ouders (8h special leave according to the CAO)</t>
        </r>
      </text>
    </comment>
    <comment ref="O75" authorId="2" guid="{35606DA7-9552-48AB-A0CE-1299FCAAC0E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3h tvt</t>
        </r>
      </text>
    </comment>
    <comment ref="AC75" authorId="3" guid="{332176D3-BB89-4FD7-AC89-BC4308D1D11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2,5h holiday (works from 8 to 13:30h)</t>
        </r>
      </text>
    </comment>
    <comment ref="M85" authorId="0" guid="{75D9118E-6B41-4C4C-8033-60E0CD1B3E5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C85" authorId="0" guid="{8FA31F00-FA31-49E1-BBDB-6EA080153E5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F85" authorId="0" guid="{6C68298D-E081-457A-8C1F-ECDFE504CF3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F95" authorId="0" guid="{FE5EDAD1-2F63-4BF5-A1C2-B750A405D36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U95" authorId="0" guid="{88EAAF5F-BAF8-4D9D-A21F-DA0E5454CB2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H100" authorId="3" guid="{634819AF-6358-4CA2-B397-988242C2680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16-18h tvt (2h)</t>
        </r>
      </text>
    </comment>
    <comment ref="R100" authorId="2" guid="{543DEABD-66D6-4E2D-B5FB-D3E5B07B243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S100" authorId="2" guid="{534434F7-244A-4D18-B56D-8BAC7AABD4A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T100" authorId="2" guid="{5A30FCCD-F475-4704-A94F-B100A69D53C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U100" authorId="2" guid="{37B47CDD-A1E1-45EE-924E-F68DB999395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V100" authorId="2" guid="{A6724C04-002B-45D2-A4EF-32DBE9949B3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G105" authorId="0" guid="{90D8B439-BCCA-49D6-AF0F-50EC5324754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U105" authorId="3" guid="{D01E758F-D9F9-4105-AFC2-3D0279CDB7C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Proficiency test om 10:30 uur!</t>
        </r>
      </text>
    </comment>
    <comment ref="AF105" authorId="0" guid="{0DC5082D-A13B-4123-AB6E-F2016103DA7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V110" authorId="0" guid="{740188EE-A341-43EE-9CCF-01A0117F1AA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C110" authorId="0" guid="{1FE6D1BE-0A88-446E-B5FD-C80A6B390A1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-1 tvt</t>
        </r>
      </text>
    </comment>
    <comment ref="E115" authorId="0" guid="{2ADAD6E6-81AC-4E51-B5CF-02A3F8D5803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F115" authorId="0" guid="{1D57EBC6-E603-4C0E-8606-2B1D59B2193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G115" authorId="0" guid="{9762819D-F5A1-47A6-BE65-FA97343FED8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H115" authorId="0" guid="{88A8181A-CB61-4752-A797-D508C072EBE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K115" authorId="0" guid="{F13D462C-5CBB-4001-BD9C-17F13306A3B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U115" authorId="2" guid="{58712E0D-A3C0-4450-9188-B76E2F33A20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0,5h holiday</t>
        </r>
      </text>
    </comment>
    <comment ref="K120" authorId="2" guid="{2E1AF182-6927-4971-BC1B-0BD3D53A1CE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2h special leave (dentist)
-0,5h tvt</t>
        </r>
      </text>
    </comment>
    <comment ref="U120" authorId="2" guid="{456A9AA6-7269-47AE-9B9D-D0131BE596C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0,5h late (absentheeism)</t>
        </r>
      </text>
    </comment>
    <comment ref="Z120" authorId="3" guid="{975E8C79-959D-4D18-B602-BDD94357A15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AA120" authorId="3" guid="{3F300D9B-EB2A-4044-9DDC-182A10F7E71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Sick</t>
        </r>
      </text>
    </comment>
    <comment ref="E125" authorId="0" guid="{8401D80C-5D72-4E2C-98B1-4786DE6E647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N125" authorId="0" guid="{17030C92-CA22-4ECC-BD8D-E27FD5BE005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inenting </t>
        </r>
      </text>
    </comment>
    <comment ref="V125" authorId="0" guid="{D355099A-888E-477B-A0E2-96207DD5A97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Y125" authorId="0" guid="{15C91650-66FE-468F-95B0-AB9520FB156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F125" authorId="0" guid="{22FC98AF-981C-4088-8666-D2C027C0260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H130" authorId="3" guid="{E9F9EC7E-9C22-4986-A2B4-38A10B107F4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3 uur tvt</t>
        </r>
      </text>
    </comment>
    <comment ref="K130" authorId="3" guid="{7E52752A-46CC-409B-BFF3-3A7AA5E0ADCD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5,5 uur tvt (begrafenis in de middag)</t>
        </r>
      </text>
    </comment>
    <comment ref="O130" authorId="0" guid="{2CF8BC9B-0B3E-46D7-BBB4-3450A23D61B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12:00</t>
        </r>
      </text>
    </comment>
    <comment ref="AC135" authorId="3" guid="{F355F11F-225B-4C72-9845-9529303A389A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PM</t>
        </r>
      </text>
    </comment>
    <comment ref="AF135" authorId="2" guid="{5526C0F4-DF4E-4D0B-9710-E81B7FDDE55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Vrij (verjaardag opa)</t>
        </r>
      </text>
    </comment>
    <comment ref="E140" authorId="2" guid="{2C09E2CC-12EA-4A7D-A194-EFD3E54B18D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works only 4h due to 32h contract!
4h holiday</t>
        </r>
      </text>
    </comment>
    <comment ref="F140" authorId="3" guid="{B5494FA3-95F1-480D-B3D8-EBF7D1F72E9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H145" authorId="0" guid="{FFA33F88-E811-4E49-9E2E-831ED85A1BB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pm 2 p 2 unp</t>
        </r>
      </text>
    </comment>
    <comment ref="V145" authorId="2" guid="{EB139C4A-69FE-4613-8581-88D8E5B43EF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2h holiday</t>
        </r>
      </text>
    </comment>
    <comment ref="AA145" authorId="0" guid="{866CE39D-0986-42D1-B6F9-BA609AC8F67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AC145" authorId="0" guid="{3E74F3E8-F124-4467-BC95-70DE77E791C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F150" authorId="0" guid="{86D5D068-0E82-44E4-9DF6-E410DF488C5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G150" authorId="0" guid="{12C093B2-033E-42A1-8EB1-E6CC20C6662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K150" authorId="2" guid="{F6C85275-CC7E-400E-8278-01B34ECA852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Overslept (1,25h)</t>
        </r>
      </text>
    </comment>
    <comment ref="AB150" authorId="3" guid="{A0A37CC0-F262-4641-9711-839B2B5F3DC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</t>
        </r>
      </text>
    </comment>
    <comment ref="AB155" authorId="2" guid="{E6FAACD3-3DB8-4CB7-ACBB-60847952072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O160" authorId="2" guid="{338F80F5-3A39-45E0-BADB-6A2EBAA8F9F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4h hospital for results of analysis
0,5h holiday</t>
        </r>
      </text>
    </comment>
    <comment ref="Y160" authorId="2" guid="{865AB3F1-0E6D-4DF9-A2EF-02BD830964E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3,25h sickness (flu)</t>
        </r>
      </text>
    </comment>
    <comment ref="Z160" authorId="2" guid="{9A932F3D-3FC8-4AD7-8903-F604D2DEF76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AA160" authorId="2" guid="{AF4B1F28-0770-4D14-B80F-336F0D67EE0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AB160" authorId="2" guid="{92FEBFE5-5C59-4F13-81EC-9D462F14ECD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AC160" authorId="2" guid="{C74766E7-5821-49B7-A1BA-A37B6F0918B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</commentList>
</comments>
</file>

<file path=xl/comments9.xml><?xml version="1.0" encoding="utf-8"?>
<comments xmlns="http://schemas.openxmlformats.org/spreadsheetml/2006/main">
  <authors>
    <author>Patrick Janssen</author>
    <author>Patrick Ziesen</author>
    <author>Frido Meijer</author>
  </authors>
  <commentList>
    <comment ref="L3" authorId="0" guid="{BA679CFB-C8DC-40D8-AC6F-B3C9A4A762F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Hemelvaartsdag</t>
        </r>
      </text>
    </comment>
    <comment ref="W3" authorId="0" guid="{BF035D92-DD42-4036-88C3-F2310625F5A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2e Pinksterdag </t>
        </r>
      </text>
    </comment>
    <comment ref="I5" authorId="1" guid="{A7685728-E334-4649-8402-DD9E758A455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tvt PM</t>
        </r>
      </text>
    </comment>
    <comment ref="M5" authorId="2" guid="{E9162CF9-7044-42D0-B4A9-B2010E38F95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-8h tvt</t>
        </r>
      </text>
    </comment>
    <comment ref="X5" authorId="2" guid="{5B1C7EB6-D07C-4860-847F-94209E06606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Y5" authorId="2" guid="{ED0570EA-DC9C-4026-88D2-CF73EC207B4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Z5" authorId="0" guid="{82AB7714-4F34-4F63-814C-B8CAB608070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am</t>
        </r>
      </text>
    </comment>
    <comment ref="AD5" authorId="0" guid="{5FC179F3-D986-4626-AB57-F9AFD8E562C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 - tvt</t>
        </r>
      </text>
    </comment>
    <comment ref="D10" authorId="1" guid="{3CC6638C-184F-422E-8029-672CEE8F28FB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E10" authorId="1" guid="{01765444-3DD2-417B-B296-6BCBFF28CD3E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last working day
8h holiday</t>
        </r>
      </text>
    </comment>
    <comment ref="T20" authorId="0" guid="{2BCB8EED-42A4-4FAD-8244-074562344C7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X20" authorId="0" guid="{40D20ACA-EFA4-4E11-819F-1AF111958DC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J25" authorId="0" guid="{21699DE3-05CB-49C3-9C10-5C8D7A0FCBF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 huisje</t>
        </r>
      </text>
    </comment>
    <comment ref="K25" authorId="0" guid="{67FD4B9D-D580-4045-BDE8-61D89917F25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R25" authorId="0" guid="{F075FD4E-413D-4816-AC59-A3680CE1CF3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T25" authorId="0" guid="{A487ACB6-2B45-4660-A4B1-BF7CF8A9813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Y25" authorId="0" guid="{8FF815F5-4E3A-4D69-85D3-411097E00C5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AA25" authorId="0" guid="{15AC5BE4-8A8F-4F0E-B8A0-3092CC53CD9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AH25" authorId="0" guid="{FF318EF8-B637-470D-82B3-6F01216DB9A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0" authorId="0" guid="{E9E8E814-CBCC-4D0B-A0EF-461077B6EAA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AE30" authorId="0" guid="{D0057E5A-328B-431F-8239-67686309169F}" shapeId="0">
      <text>
        <r>
          <rPr>
            <b/>
            <sz val="9"/>
            <color indexed="81"/>
            <rFont val="Tahoma"/>
            <family val="2"/>
          </rPr>
          <t xml:space="preserve">Frido Meijer
</t>
        </r>
        <r>
          <rPr>
            <sz val="9"/>
            <color indexed="81"/>
            <rFont val="Tahoma"/>
            <family val="2"/>
          </rPr>
          <t>8h sickness (flu)</t>
        </r>
      </text>
    </comment>
    <comment ref="AF30" authorId="0" guid="{E84C06D1-FE7B-46F2-826F-7BEBF88B694E}" shapeId="0">
      <text>
        <r>
          <rPr>
            <b/>
            <sz val="9"/>
            <color indexed="81"/>
            <rFont val="Tahoma"/>
            <family val="2"/>
          </rPr>
          <t xml:space="preserve">Frido Meijer
</t>
        </r>
        <r>
          <rPr>
            <sz val="9"/>
            <color indexed="81"/>
            <rFont val="Tahoma"/>
            <family val="2"/>
          </rPr>
          <t>8h sickness (flu)</t>
        </r>
      </text>
    </comment>
    <comment ref="D40" authorId="0" guid="{A5D37520-16F5-4720-989B-192AC6030EC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E40" authorId="0" guid="{078EC41F-E5B8-47E9-B9FB-7B6A1C5D136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F40" authorId="0" guid="{7A636B8E-DA5A-40C0-B119-D5F85C36AF7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X45" authorId="0" guid="{A9BE5AEF-42F0-4EEA-915F-43A91601260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
</t>
        </r>
      </text>
    </comment>
    <comment ref="D50" authorId="1" guid="{C4649B30-1A35-479B-AB71-D5ECF1FDD02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</t>
        </r>
      </text>
    </comment>
    <comment ref="Q50" authorId="2" guid="{08FF2480-FDB4-4569-AABD-4FEEBDE77DA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</t>
        </r>
      </text>
    </comment>
    <comment ref="AD50" authorId="2" guid="{0C3EBC0C-6E4D-46B2-9312-DBCAE728EA9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</t>
        </r>
      </text>
    </comment>
    <comment ref="D55" authorId="2" guid="{FF4475F3-B89D-4A1D-BF53-4980580E509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 2013</t>
        </r>
      </text>
    </comment>
    <comment ref="E55" authorId="2" guid="{1E290978-FB16-4CEF-9621-AFEF8A395D7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 2013</t>
        </r>
      </text>
    </comment>
    <comment ref="F55" authorId="2" guid="{8B0589EB-66C6-4FBD-81C0-0A9C63F8A67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 2013</t>
        </r>
      </text>
    </comment>
    <comment ref="I55" authorId="2" guid="{4BDE7E17-AF3F-4EB4-A5DF-1F9E43D994D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 2013</t>
        </r>
      </text>
    </comment>
    <comment ref="J55" authorId="2" guid="{720D50F1-2773-4282-94E4-BBA85CFBF1B9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 2013</t>
        </r>
      </text>
    </comment>
    <comment ref="K55" authorId="2" guid="{08ADF3E9-BCE0-4557-91F9-0E0AA5072C2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 2013</t>
        </r>
      </text>
    </comment>
    <comment ref="L55" authorId="2" guid="{301E0A52-1EC3-4CE2-BC11-119E8D313C5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Hemelvaartsdag!</t>
        </r>
      </text>
    </comment>
    <comment ref="M55" authorId="2" guid="{E42AB54F-AA77-4F48-8FDE-DAB3FFEE5A0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 2013</t>
        </r>
      </text>
    </comment>
    <comment ref="Q60" authorId="2" guid="{59E6C4C2-DD16-4665-AEAC-DA7192AAFEA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Went to doctor for his leg (1.75h special leave)</t>
        </r>
      </text>
    </comment>
    <comment ref="S60" authorId="2" guid="{38EB0CB9-3D62-4B14-B5E2-4469D847191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51 mins late</t>
        </r>
      </text>
    </comment>
    <comment ref="AA60" authorId="0" guid="{FAA5C1F5-8B9A-45DF-B60A-CAE28E31C4E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
</t>
        </r>
      </text>
    </comment>
    <comment ref="F70" authorId="0" guid="{4DE1BEB1-AFCB-4F24-BCAC-663BC226D00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 am</t>
        </r>
      </text>
    </comment>
    <comment ref="AG70" authorId="0" guid="{27817538-C8BB-438F-AE27-25A86C2990D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 pm</t>
        </r>
      </text>
    </comment>
    <comment ref="AH70" authorId="0" guid="{CB7BE080-A48E-4946-BAAE-07FA32A3379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 pm</t>
        </r>
      </text>
    </comment>
    <comment ref="E75" authorId="1" guid="{7D5BF1B9-B4E0-408B-9C93-504DBD544B7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</t>
        </r>
      </text>
    </comment>
    <comment ref="F75" authorId="0" guid="{172B1EEE-078A-44C9-9C1C-500E966F8B1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 am</t>
        </r>
      </text>
    </comment>
    <comment ref="M75" authorId="1" guid="{3AA97FF4-5A37-471B-A0D5-F4902802FDA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-1h tvt</t>
        </r>
      </text>
    </comment>
    <comment ref="P75" authorId="1" guid="{97AD7C6F-ABDC-40A4-B818-B233BAB968F4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-4h tvt</t>
        </r>
      </text>
    </comment>
    <comment ref="Q75" authorId="1" guid="{8E4A49A8-930D-44D8-AE54-5AF0274AAC6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-4h tvt</t>
        </r>
      </text>
    </comment>
    <comment ref="R75" authorId="1" guid="{2DC84420-E91A-4789-8990-A34CCD037301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-8h tvt</t>
        </r>
      </text>
    </comment>
    <comment ref="S75" authorId="1" guid="{622A9837-E3AC-40CC-9D30-00E51D75CB4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-3,5h tvt
-4,5h Holiday</t>
        </r>
      </text>
    </comment>
    <comment ref="T75" authorId="2" guid="{FDF7337A-8A1A-4C01-9605-7466ACF1B32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 - Own Birthday!</t>
        </r>
      </text>
    </comment>
    <comment ref="X75" authorId="2" guid="{9BA6437B-8DC6-4B38-8D68-E71613C9843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</t>
        </r>
      </text>
    </comment>
    <comment ref="Y75" authorId="2" guid="{04E8F081-62E1-4542-9FB0-08A562D5E30C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</t>
        </r>
      </text>
    </comment>
    <comment ref="Z75" authorId="2" guid="{F3F65B94-CC46-447D-9B72-5A64D4922A1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</t>
        </r>
      </text>
    </comment>
    <comment ref="AA75" authorId="2" guid="{2E41ED21-29ED-4A5D-8085-EF789F2815D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</t>
        </r>
      </text>
    </comment>
    <comment ref="AD75" authorId="2" guid="{2B523043-B8AF-4683-8AD0-386A9DCCF1A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</t>
        </r>
      </text>
    </comment>
    <comment ref="AE75" authorId="2" guid="{BA6B462F-DC6C-4D7A-AD09-F06697FBB0F1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</t>
        </r>
      </text>
    </comment>
    <comment ref="AF75" authorId="2" guid="{012A310E-AC05-466B-A5D6-21B7B69EF22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</t>
        </r>
      </text>
    </comment>
    <comment ref="AG75" authorId="2" guid="{AED652C6-3201-435E-9A88-5D96CF4B827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</t>
        </r>
      </text>
    </comment>
    <comment ref="AH75" authorId="2" guid="{C2E35B2D-9797-4D4D-BE44-39094874974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Summer Holiday</t>
        </r>
      </text>
    </comment>
    <comment ref="D85" authorId="0" guid="{97D0BE68-7499-4B25-81D8-B95D699C4E3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M85" authorId="0" guid="{4C6D9F65-7283-4F38-AA0D-04E290CBD04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A85" authorId="2" guid="{14894049-0A00-450C-A170-E5FA4AF8D212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AG85" authorId="0" guid="{C1B206B7-2971-4000-AD7D-674885B9BE9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rechtzaak</t>
        </r>
      </text>
    </comment>
    <comment ref="AH85" authorId="0" guid="{4E6A7A2B-6CFE-41FB-9DC3-1334D8B9E89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D95" authorId="0" guid="{2248B518-5226-4F16-A6C5-0570A3282F4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I95" authorId="0" guid="{7B4BCA9F-44ED-4154-BC73-1BB5A5F7F18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J95" authorId="0" guid="{DAB25332-2860-4708-A57E-0DB3B9B1213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
</t>
        </r>
      </text>
    </comment>
    <comment ref="S95" authorId="2" guid="{64D7735C-2F69-4231-A921-03BD28D7966D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Half day off (PM)</t>
        </r>
      </text>
    </comment>
    <comment ref="T95" authorId="0" guid="{278FAB1A-5844-4C9F-8341-8878FDAC8990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5" authorId="0" guid="{C67CAB25-FD46-43A0-8C5A-200B229C37C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</t>
        </r>
      </text>
    </comment>
    <comment ref="AD95" authorId="0" guid="{5604996D-357E-4F56-A9A3-2DC234E5BE68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AH95" authorId="0" guid="{F319AA50-0155-4D94-9219-FF6818120F3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0" authorId="1" guid="{376AACBC-9C39-46B5-AF71-0FB55B69A2E0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16:30-18:00 holiday</t>
        </r>
      </text>
    </comment>
    <comment ref="S100" authorId="2" guid="{6B83D2B2-DB95-437A-BE03-E46E09A03BA8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7.5h sickness (flu)</t>
        </r>
      </text>
    </comment>
    <comment ref="T100" authorId="2" guid="{77E931CA-3CD5-48BD-9A05-E3B4DD06B03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sickness (flu)</t>
        </r>
      </text>
    </comment>
    <comment ref="AA100" authorId="0" guid="{D5121FFE-552D-4B21-B349-A8E19B55B1F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8h holiday
</t>
        </r>
      </text>
    </comment>
    <comment ref="M105" authorId="0" guid="{0064C4FD-07AB-46DB-8DC2-EFAD073AE4F1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105" authorId="0" guid="{B7590BFA-803A-4D19-9F93-516B4FA258E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AE105" authorId="0" guid="{5C57CB91-E670-423E-A07E-74B16CE514BF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AF105" authorId="0" guid="{66C3FA41-5316-470F-9C1E-85748989B93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ziek</t>
        </r>
      </text>
    </comment>
    <comment ref="D110" authorId="0" guid="{36AFE519-D14B-437F-B363-5131F4AF47D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12:00 voor vergunning</t>
        </r>
      </text>
    </comment>
    <comment ref="M110" authorId="1" guid="{67727490-6AAE-4D3B-A67F-F1A7D2BCFD8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-0,5 tvt</t>
        </r>
      </text>
    </comment>
    <comment ref="Z110" authorId="0" guid="{F059739E-37FE-49D3-A66B-2A67B02651A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AA110" authorId="0" guid="{FAB01DEC-37DD-4B69-AC62-C97B4062AE8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D115" authorId="1" guid="{EC27C828-8060-4B6D-803D-A0D60564899C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-5 uur tvt
-3 uur holiday</t>
        </r>
      </text>
    </comment>
    <comment ref="T115" authorId="1" guid="{AA22CAB8-198B-46FB-99AC-A6AC6BCDEE04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I120" authorId="2" guid="{69A275DD-EB0A-49A4-BD23-8AC20724FCB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J120" authorId="2" guid="{C1FA7B43-6D48-4CD4-B702-6BDA489CF13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K120" authorId="2" guid="{B61D72E9-1009-4E1F-A0C8-F6ED85049A9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L120" authorId="2" guid="{BD8882CF-0920-4FED-BA63-F18AD08429E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Hemelvaartsdag!</t>
        </r>
      </text>
    </comment>
    <comment ref="M120" authorId="2" guid="{5C136CA0-F637-4AD2-A471-590F63359083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Q120" authorId="0" guid="{AC00F7F4-B6F8-4449-AA31-B7C68573229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 am</t>
        </r>
      </text>
    </comment>
    <comment ref="S120" authorId="2" guid="{223081DB-2900-4CC6-8FD9-A8F3C038986A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15 mins late</t>
        </r>
      </text>
    </comment>
    <comment ref="T120" authorId="2" guid="{156D6678-D1FD-461E-B3ED-11F856492EBB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15 mins late</t>
        </r>
      </text>
    </comment>
    <comment ref="Y120" authorId="2" guid="{E6CC1728-2AF8-465B-AE9B-3706591DD5D4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8h holiday</t>
        </r>
      </text>
    </comment>
    <comment ref="Z120" authorId="1" guid="{72A01F53-AEFC-4AAC-93EF-068FF1C75CE4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(PM)</t>
        </r>
      </text>
    </comment>
    <comment ref="AD120" authorId="1" guid="{74C85677-DE0E-498C-A42C-43A6AFD08FF7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5.25h holiday (PM)</t>
        </r>
      </text>
    </comment>
    <comment ref="AF120" authorId="2" guid="{E5BAB7C9-8C8A-4670-A530-F15CDD3A65B7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1.35h absenteeism</t>
        </r>
      </text>
    </comment>
    <comment ref="AG120" authorId="0" guid="{58D7FF4B-E9C2-44F4-9CA5-B76779DB938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 pm</t>
        </r>
      </text>
    </comment>
    <comment ref="AH120" authorId="0" guid="{CDFCB508-D7EF-47FE-8A00-30EDDDE59D89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tpa pm</t>
        </r>
      </text>
    </comment>
    <comment ref="M125" authorId="0" guid="{9B6D6602-3D8A-46F3-B5DE-EC0F21877B0E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S125" authorId="0" guid="{F58436DF-74C5-48D0-AAEC-6B158C2D850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</t>
        </r>
      </text>
    </comment>
    <comment ref="T125" authorId="0" guid="{E0B935E5-B84D-4D82-A7A6-FB7C868F986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Z125" authorId="0" guid="{752DB08A-8DCD-4B54-B3F4-D3616034B54B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</t>
        </r>
      </text>
    </comment>
    <comment ref="AA125" authorId="0" guid="{4756E0A9-E9E8-47F7-98BD-FADA6994E14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MEP </t>
        </r>
      </text>
    </comment>
    <comment ref="S130" authorId="1" guid="{2472D83F-C1F5-4E6B-811C-119C298B91B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16-18h holiday</t>
        </r>
      </text>
    </comment>
    <comment ref="T130" authorId="1" guid="{60FEAEB1-4EB6-4130-B954-DD4D7AAC3D0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AA130" authorId="1" guid="{456B6130-299B-46EF-996B-CA18EE50E07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AH130" authorId="1" guid="{36AE5552-BF11-492B-A6F3-1D7019F293A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 uur ouderschapsverlof</t>
        </r>
      </text>
    </comment>
    <comment ref="M135" authorId="0" guid="{39B226D1-A534-4CA5-98F0-BDF62D0955FD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F145" authorId="0" guid="{4AF98C5B-A7E4-47E7-800C-87961AD712E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pm</t>
        </r>
      </text>
    </comment>
    <comment ref="R145" authorId="1" guid="{2B68ED99-946C-41A4-A79B-CF3528E12CD6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16-18h holiday</t>
        </r>
      </text>
    </comment>
    <comment ref="S145" authorId="1" guid="{62BEAFF4-194F-4CF1-B185-3DB5B2B641B3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16-18h holiday</t>
        </r>
      </text>
    </comment>
    <comment ref="T145" authorId="1" guid="{E4C7B7AD-340D-4DDC-B26A-4D4E46B67F9F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16-18h holiday</t>
        </r>
      </text>
    </comment>
    <comment ref="AA145" authorId="0" guid="{54AF8E7F-0D55-4493-BCAE-BA3A54319455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late
</t>
        </r>
      </text>
    </comment>
    <comment ref="AE145" authorId="1" guid="{887FB07E-8C17-410D-BE01-7349122174E5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1h Special Leave (dokter) 09:30-10:30</t>
        </r>
      </text>
    </comment>
    <comment ref="E150" authorId="1" guid="{B4285B59-EB20-454D-B8C8-08EB362E8A58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4h holiday PM</t>
        </r>
      </text>
    </comment>
    <comment ref="X150" authorId="0" guid="{003AFF10-F230-4FE7-A117-DE03FDB239B2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Y150" authorId="0" guid="{38A72F4F-D729-4110-B7F1-6867F305884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Z150" authorId="0" guid="{E46EF1C8-6923-4B18-B9E1-E834644EEA2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A150" authorId="0" guid="{1396677F-6F6E-47A4-B574-A6CB14D1B98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D150" authorId="0" guid="{26B9BEA8-B8C3-4F64-A710-C4DCA37C82F4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E150" authorId="0" guid="{F7F81D87-B8A7-460A-B6BE-5DC8E55E9E56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F150" authorId="0" guid="{4609B25B-F00A-49EE-A25B-7879FA484C67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G150" authorId="0" guid="{9E6D6B55-8DBF-4F2B-AFD5-3F74FF6999C3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AH150" authorId="0" guid="{551DC8F3-9FD8-45B0-A9E2-880BE0614BBA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vrij</t>
        </r>
      </text>
    </comment>
    <comment ref="M155" authorId="0" guid="{7AA0DA7A-B01A-4EC6-8BD9-6E090498EF1C}" shapeId="0">
      <text>
        <r>
          <rPr>
            <b/>
            <sz val="9"/>
            <color indexed="81"/>
            <rFont val="Tahoma"/>
            <family val="2"/>
          </rPr>
          <t>Patrick Janssen:</t>
        </r>
        <r>
          <rPr>
            <sz val="9"/>
            <color indexed="81"/>
            <rFont val="Tahoma"/>
            <family val="2"/>
          </rPr>
          <t xml:space="preserve">
ovb</t>
        </r>
      </text>
    </comment>
    <comment ref="M160" authorId="1" guid="{7CB551CB-D0D6-4DDA-A679-E50B4AFAA459}" shapeId="0">
      <text>
        <r>
          <rPr>
            <b/>
            <sz val="9"/>
            <color indexed="81"/>
            <rFont val="Tahoma"/>
            <family val="2"/>
          </rPr>
          <t>Patrick Ziesen:</t>
        </r>
        <r>
          <rPr>
            <sz val="9"/>
            <color indexed="81"/>
            <rFont val="Tahoma"/>
            <family val="2"/>
          </rPr>
          <t xml:space="preserve">
8h holiday!</t>
        </r>
      </text>
    </comment>
    <comment ref="Y160" authorId="2" guid="{F0CA4314-FC01-4CF1-AD39-D0A9AF25E56E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 (flu)</t>
        </r>
      </text>
    </comment>
    <comment ref="Z160" authorId="2" guid="{14AB883B-474E-4B40-8854-EAC1A4FE1A86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 (flu)</t>
        </r>
      </text>
    </comment>
    <comment ref="AA160" authorId="2" guid="{C9297DDA-629C-4558-A486-53B5F8F0A19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 (flu)</t>
        </r>
      </text>
    </comment>
    <comment ref="AD160" authorId="2" guid="{A042F338-0038-41B7-B608-D3C1AD2EE91F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 (flu)</t>
        </r>
      </text>
    </comment>
    <comment ref="AE160" authorId="2" guid="{97EC33B1-0FCF-4192-AB9B-9D26E31D6600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 (flu)</t>
        </r>
      </text>
    </comment>
    <comment ref="AF160" authorId="2" guid="{3A051924-E5EC-4923-AA4F-080FB95AD3A5}" shapeId="0">
      <text>
        <r>
          <rPr>
            <b/>
            <sz val="9"/>
            <color indexed="81"/>
            <rFont val="Tahoma"/>
            <family val="2"/>
          </rPr>
          <t>Frido Meijer:</t>
        </r>
        <r>
          <rPr>
            <sz val="9"/>
            <color indexed="81"/>
            <rFont val="Tahoma"/>
            <family val="2"/>
          </rPr>
          <t xml:space="preserve">
Sick (flu)</t>
        </r>
      </text>
    </comment>
  </commentList>
</comments>
</file>

<file path=xl/sharedStrings.xml><?xml version="1.0" encoding="utf-8"?>
<sst xmlns="http://schemas.openxmlformats.org/spreadsheetml/2006/main" count="2786" uniqueCount="213">
  <si>
    <r>
      <rPr>
        <b/>
        <sz val="11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scheme val="minor"/>
      </rPr>
      <t>olidays</t>
    </r>
  </si>
  <si>
    <r>
      <rPr>
        <b/>
        <sz val="11"/>
        <color theme="1"/>
        <rFont val="Calibri"/>
        <family val="2"/>
        <scheme val="minor"/>
      </rPr>
      <t>S</t>
    </r>
    <r>
      <rPr>
        <sz val="8"/>
        <color theme="1"/>
        <rFont val="Calibri"/>
        <family val="2"/>
        <scheme val="minor"/>
      </rPr>
      <t>ickness</t>
    </r>
  </si>
  <si>
    <r>
      <rPr>
        <b/>
        <sz val="11"/>
        <color theme="1"/>
        <rFont val="Calibri"/>
        <family val="2"/>
        <scheme val="minor"/>
      </rPr>
      <t>U</t>
    </r>
    <r>
      <rPr>
        <sz val="8"/>
        <color theme="1"/>
        <rFont val="Calibri"/>
        <family val="2"/>
        <scheme val="minor"/>
      </rPr>
      <t>npaid</t>
    </r>
  </si>
  <si>
    <r>
      <rPr>
        <b/>
        <sz val="11"/>
        <color theme="1"/>
        <rFont val="Calibri"/>
        <family val="2"/>
        <scheme val="minor"/>
      </rPr>
      <t>A</t>
    </r>
    <r>
      <rPr>
        <sz val="8"/>
        <color theme="1"/>
        <rFont val="Calibri"/>
        <family val="2"/>
        <scheme val="minor"/>
      </rPr>
      <t>bsenteism</t>
    </r>
  </si>
  <si>
    <t>Date</t>
  </si>
  <si>
    <t>Totals</t>
  </si>
  <si>
    <t>January</t>
  </si>
  <si>
    <t>Total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</si>
  <si>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</si>
  <si>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</si>
  <si>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</si>
  <si>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</si>
  <si>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</si>
  <si>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</si>
  <si>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</si>
  <si>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</si>
  <si>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</si>
  <si>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</si>
  <si>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</si>
  <si>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Hours Scheduled</t>
  </si>
  <si>
    <t>Sept</t>
  </si>
  <si>
    <t>Oct</t>
  </si>
  <si>
    <t>Nov</t>
  </si>
  <si>
    <t>Dec</t>
  </si>
  <si>
    <t>Aug</t>
  </si>
  <si>
    <t>Feb</t>
  </si>
  <si>
    <t>Jan</t>
  </si>
  <si>
    <t>Total H</t>
  </si>
  <si>
    <t>Total S</t>
  </si>
  <si>
    <t>Total U</t>
  </si>
  <si>
    <t>Total T</t>
  </si>
  <si>
    <t>Total A</t>
  </si>
  <si>
    <t>Calculation for yearly totals</t>
  </si>
  <si>
    <t>Monthly &amp; Yearly overview per Employee</t>
  </si>
  <si>
    <t>Mar</t>
  </si>
  <si>
    <t>Scheduled Hours</t>
  </si>
  <si>
    <t>Total Scheduled</t>
  </si>
  <si>
    <t>Holiday Rate</t>
  </si>
  <si>
    <t>Sickness Rate</t>
  </si>
  <si>
    <t>Unpaid Rate</t>
  </si>
  <si>
    <t>Time for Time Rate</t>
  </si>
  <si>
    <t>Absenteism Rate</t>
  </si>
  <si>
    <t>Holidays Hours</t>
  </si>
  <si>
    <t>Sickness Hours</t>
  </si>
  <si>
    <t>Unpaid Hours</t>
  </si>
  <si>
    <t>Time for Time Hours</t>
  </si>
  <si>
    <t>Absenteism Hours</t>
  </si>
  <si>
    <t>Yearly</t>
  </si>
  <si>
    <t>Monthly &amp; Yearly Team Overview</t>
  </si>
  <si>
    <t>These cells are automatically calculated!</t>
  </si>
  <si>
    <t>Hrs taken over last year</t>
  </si>
  <si>
    <t>Hrs build this year</t>
  </si>
  <si>
    <t>Name</t>
  </si>
  <si>
    <t>Hrs taken this year</t>
  </si>
  <si>
    <t>Holiday Hrs Left</t>
  </si>
  <si>
    <t>Holiday Entitlement</t>
  </si>
  <si>
    <t>They can review it on their salary slip.</t>
  </si>
  <si>
    <t xml:space="preserve">our company. </t>
  </si>
  <si>
    <t>Employees are responsible themself for keeping track of their own entitlement.</t>
  </si>
  <si>
    <t>This calculation is based on employees, who work a full year within</t>
  </si>
  <si>
    <t>Only fill in the yellow cells!</t>
  </si>
  <si>
    <t>Worked</t>
  </si>
  <si>
    <t>Voluntary Attr.</t>
  </si>
  <si>
    <t>Involuntary Attr.</t>
  </si>
  <si>
    <t>Attrition</t>
  </si>
  <si>
    <t>Put a 'x' in the correct cell</t>
  </si>
  <si>
    <t>Total Headcount</t>
  </si>
  <si>
    <t>Attrition (in HC's)</t>
  </si>
  <si>
    <t>Worked Headcount</t>
  </si>
  <si>
    <t>Attrition Monthly</t>
  </si>
  <si>
    <t>Attrition Annualized</t>
  </si>
  <si>
    <t>Staffing</t>
  </si>
  <si>
    <t>Internal Transfer / Layoff</t>
  </si>
  <si>
    <t>Internal Transfer/Layoff</t>
  </si>
  <si>
    <t>Add a comment when filling in Internal Transfer / Layoff</t>
  </si>
  <si>
    <t>Special Leave Hours</t>
  </si>
  <si>
    <r>
      <t>S</t>
    </r>
    <r>
      <rPr>
        <sz val="8"/>
        <color theme="1"/>
        <rFont val="Calibri"/>
        <family val="2"/>
        <scheme val="minor"/>
      </rPr>
      <t>pecial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</t>
    </r>
    <r>
      <rPr>
        <sz val="8"/>
        <color theme="1"/>
        <rFont val="Calibri"/>
        <family val="2"/>
        <scheme val="minor"/>
      </rPr>
      <t>eave</t>
    </r>
  </si>
  <si>
    <r>
      <t>S</t>
    </r>
    <r>
      <rPr>
        <sz val="8"/>
        <color theme="1"/>
        <rFont val="Calibri"/>
        <family val="2"/>
        <scheme val="minor"/>
      </rPr>
      <t>pecial</t>
    </r>
    <r>
      <rPr>
        <b/>
        <sz val="11"/>
        <color theme="1"/>
        <rFont val="Calibri"/>
        <family val="2"/>
        <scheme val="minor"/>
      </rPr>
      <t xml:space="preserve"> L</t>
    </r>
    <r>
      <rPr>
        <sz val="8"/>
        <color theme="1"/>
        <rFont val="Calibri"/>
        <family val="2"/>
        <scheme val="minor"/>
      </rPr>
      <t>eave</t>
    </r>
  </si>
  <si>
    <t>When someone earns time-for-time, write the correct hours</t>
  </si>
  <si>
    <t>in the yellow cell of that month.</t>
  </si>
  <si>
    <t>When someone uses his time-for-time, substract these hours</t>
  </si>
  <si>
    <t>in that specific month.</t>
  </si>
  <si>
    <t>Example:</t>
  </si>
  <si>
    <t>Agent builds 3 time for time hours in january</t>
  </si>
  <si>
    <t>Agent uses 2 time for time hours in february</t>
  </si>
  <si>
    <t>value in february: -2</t>
  </si>
  <si>
    <t>total: 1</t>
  </si>
  <si>
    <t>Special Leave Rate</t>
  </si>
  <si>
    <t>Open time-for-time hrs</t>
  </si>
  <si>
    <t>Only fill in the grey cells!</t>
  </si>
  <si>
    <t>Only fill in the purple cells</t>
  </si>
  <si>
    <t>Only fill in the blue cells!</t>
  </si>
  <si>
    <t>Staff Planning Sheet</t>
  </si>
  <si>
    <t>Fill in the year:</t>
  </si>
  <si>
    <t>Fill in the team:</t>
  </si>
  <si>
    <t>Instructions:</t>
  </si>
  <si>
    <t>Never fill in white cells, only the coloured ones</t>
  </si>
  <si>
    <t>Employee List</t>
  </si>
  <si>
    <t>Employee name</t>
  </si>
  <si>
    <t>Fill in the names of your employees. These names will appear automatically on all other tabs.</t>
  </si>
  <si>
    <t>Red tabs are required to fill in</t>
  </si>
  <si>
    <t>Yellow tabs are extra tools</t>
  </si>
  <si>
    <t>Purple tabs are reports</t>
  </si>
  <si>
    <t>Green tabs are monthly tabs</t>
  </si>
  <si>
    <t>Bjorn Haagen</t>
  </si>
  <si>
    <t>Dominique Daemen</t>
  </si>
  <si>
    <t>Erwin Deckers</t>
  </si>
  <si>
    <t>Fred Boekwijt</t>
  </si>
  <si>
    <t>Marvin Machelesen</t>
  </si>
  <si>
    <t>Michael Callemeijn</t>
  </si>
  <si>
    <t>Tiemen Schumacher</t>
  </si>
  <si>
    <t>Employee NR</t>
  </si>
  <si>
    <t>Loode Evers</t>
  </si>
  <si>
    <t>Marco Smeekes</t>
  </si>
  <si>
    <t>If you work 32h you only receive 4/5 of the 208 or 224h</t>
  </si>
  <si>
    <t>Holiday Hr left after June</t>
  </si>
  <si>
    <t>Hr Difference between HR and PZ</t>
  </si>
  <si>
    <t>Barry Berendhuysen</t>
  </si>
  <si>
    <t>Dave Creusen</t>
  </si>
  <si>
    <t>Mark Meijer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</si>
  <si>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</si>
  <si>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</si>
  <si>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</si>
  <si>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</si>
  <si>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</si>
  <si>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</si>
  <si>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</si>
  <si>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</si>
  <si>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</si>
  <si>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</si>
  <si>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</si>
  <si>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</si>
  <si>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Requested date:</t>
  </si>
  <si>
    <t>Name:</t>
  </si>
  <si>
    <t>Dates:</t>
  </si>
  <si>
    <t>Agents:</t>
  </si>
  <si>
    <t>Cap login:</t>
  </si>
  <si>
    <t>Total Training Hours</t>
  </si>
  <si>
    <t>Wishlist for certain days when a lot of people want a day off. (carnaval, around xmas, etc …)</t>
  </si>
  <si>
    <t>Productivity calculation</t>
  </si>
  <si>
    <t># FTE</t>
  </si>
  <si>
    <t>Training Hours</t>
  </si>
  <si>
    <t>Holiday Hours</t>
  </si>
  <si>
    <t>TM Hours</t>
  </si>
  <si>
    <t>Admin Hours</t>
  </si>
  <si>
    <t>Labour Productivity</t>
  </si>
  <si>
    <t>Paid Productivity</t>
  </si>
  <si>
    <t>YEAR</t>
  </si>
  <si>
    <t>Productivity Workbook</t>
  </si>
  <si>
    <t>Team:</t>
  </si>
  <si>
    <t>Year:</t>
  </si>
  <si>
    <t>P&amp;L Hours agents</t>
  </si>
  <si>
    <t>Action Labour Time (hrs)</t>
  </si>
  <si>
    <t># FTE Hours agents</t>
  </si>
  <si>
    <t>Chat Time (min)</t>
  </si>
  <si>
    <t xml:space="preserve">(!) Target Productivity &gt; </t>
  </si>
  <si>
    <t>Frido Meijer</t>
  </si>
  <si>
    <t>Jean Pierre Knubben</t>
  </si>
  <si>
    <t>Patrick Janssen</t>
  </si>
  <si>
    <t>Patrick Ziesen</t>
  </si>
  <si>
    <t>Microsoft PSS TS NL</t>
  </si>
  <si>
    <r>
      <t xml:space="preserve">Request for next year </t>
    </r>
    <r>
      <rPr>
        <b/>
        <sz val="10"/>
        <color theme="1"/>
        <rFont val="Calibri"/>
        <family val="2"/>
        <scheme val="minor"/>
      </rPr>
      <t>(agents still need to request this on the first working day in the new year in the DB!)</t>
    </r>
  </si>
  <si>
    <t>08:00/16:30</t>
  </si>
  <si>
    <t>Shift</t>
  </si>
  <si>
    <t>x</t>
  </si>
  <si>
    <t>Total FTE Agents</t>
  </si>
  <si>
    <t>Forum Time (hrs) &amp; Social Media</t>
  </si>
  <si>
    <t>Team</t>
  </si>
  <si>
    <t>1. MGMT</t>
  </si>
  <si>
    <t>2. Phone</t>
  </si>
  <si>
    <t>3. Online</t>
  </si>
  <si>
    <t>Last Year</t>
  </si>
  <si>
    <t>Holiday Hrs build in 2011 until MONTH (HR Data)</t>
  </si>
  <si>
    <t>Holiday Days Left</t>
  </si>
  <si>
    <t>Holiday Weeks Left</t>
  </si>
  <si>
    <t xml:space="preserve">Marc Linssen </t>
  </si>
  <si>
    <t>Different working hours</t>
  </si>
  <si>
    <t>Manuel Sperti</t>
  </si>
  <si>
    <t xml:space="preserve">Left the MS TS team </t>
  </si>
  <si>
    <t>Not part of the MS team.</t>
  </si>
  <si>
    <t>Jim van der Weijden</t>
  </si>
  <si>
    <t>Dennis van 't Hul</t>
  </si>
  <si>
    <t>Joop Kiefte</t>
  </si>
  <si>
    <t>Loek Moling</t>
  </si>
  <si>
    <t>Bastiaan Franssen</t>
  </si>
  <si>
    <t>Kevin Ploum</t>
  </si>
  <si>
    <t>Davy Smeets</t>
  </si>
  <si>
    <t>Niels Lievaart</t>
  </si>
  <si>
    <t>Thom van Bodegraven</t>
  </si>
  <si>
    <t>Bas Boermans</t>
  </si>
  <si>
    <t>Robin Nieuwenhuis</t>
  </si>
  <si>
    <t>Tot Scheduled Agents</t>
  </si>
  <si>
    <t>Tot Scheduled OH</t>
  </si>
  <si>
    <t>Staffing OH</t>
  </si>
  <si>
    <t>Scheduled Hours Agents</t>
  </si>
  <si>
    <t>Scheduled Hours Staff</t>
  </si>
  <si>
    <t xml:space="preserve">Agents Operatie Hours </t>
  </si>
  <si>
    <t>Support Operatie Hours</t>
  </si>
  <si>
    <t>Shrinkage Agents</t>
  </si>
  <si>
    <t>Shrinkage Support</t>
  </si>
  <si>
    <t>Agents</t>
  </si>
  <si>
    <t>OH</t>
  </si>
  <si>
    <t>Holiday rate PLUS</t>
  </si>
  <si>
    <t>2013</t>
  </si>
  <si>
    <t>Tim Wouters</t>
  </si>
  <si>
    <t>2&amp;3</t>
  </si>
  <si>
    <t>v.1.51</t>
  </si>
  <si>
    <t>Bjorn H</t>
  </si>
  <si>
    <t>Mark M</t>
  </si>
  <si>
    <t>1/2/3-1-2014</t>
  </si>
  <si>
    <t>Erik Jaspers</t>
  </si>
  <si>
    <t>Leo Wijnands</t>
  </si>
  <si>
    <t>Danny Ummels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</si>
</sst>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64" formatCode="[$-F800]dddd\,\ mmmm\ dd\,\ yyyy"/>
    <numFmt numFmtId="165" formatCode="0.0"/>
    <numFmt numFmtId="166" formatCode="[$-413]mmm/yy;@"/>
    <numFmt numFmtId="167" formatCode="&quot;$&quot;#,##0\ ;\(&quot;$&quot;#,##0\)"/>
    <numFmt numFmtId="168" formatCode="&quot;£&quot;#,##0;\-&quot;£&quot;#,##0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;\-#,##0;&quot;-&quot;"/>
    <numFmt numFmtId="174" formatCode="#,##0.0;\-#,##0.0;&quot;-&quot;"/>
    <numFmt numFmtId="175" formatCode="_-* #,##0.00\ &quot;€&quot;_-;\-* #,##0.00\ &quot;€&quot;_-;_-* &quot;-&quot;??\ &quot;€&quot;_-;_-@_-"/>
    <numFmt numFmtId="176" formatCode="#,##0.00&quot; $&quot;;\-#,##0.00&quot; $&quot;"/>
    <numFmt numFmtId="177" formatCode="0_);[Red]\(0\)"/>
    <numFmt numFmtId="178" formatCode="0.00_)"/>
    <numFmt numFmtId="179" formatCode="0%;\(0%\)"/>
    <numFmt numFmtId="180" formatCode="\ \ @"/>
    <numFmt numFmtId="181" formatCode="\ \ \ \ @"/>
    <numFmt numFmtId="182" formatCode="\W\I\-000.\9\5"/>
    <numFmt numFmtId="183" formatCode="mmmm"/>
    <numFmt numFmtId="184" formatCode="mmm"/>
    <numFmt numFmtId="185" formatCode=";;;"/>
  </numFmts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Century Gothic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Century Gothic"/>
      <family val="2"/>
    </font>
    <font>
      <b/>
      <sz val="8"/>
      <name val="Century Gothic"/>
      <family val="2"/>
    </font>
    <font>
      <sz val="10"/>
      <color indexed="14"/>
      <name val="Arial"/>
      <family val="2"/>
    </font>
    <font>
      <sz val="10"/>
      <name val="Times New Roman"/>
      <family val="1"/>
    </font>
    <font>
      <b/>
      <sz val="36"/>
      <name val="Times New Roman"/>
      <family val="1"/>
    </font>
    <font>
      <sz val="6"/>
      <name val="Geneva"/>
    </font>
    <font>
      <sz val="7"/>
      <name val="Small Fonts"/>
      <family val="2"/>
    </font>
    <font>
      <b/>
      <i/>
      <sz val="16"/>
      <name val="Helv"/>
    </font>
    <font>
      <sz val="10"/>
      <color indexed="10"/>
      <name val="Arial"/>
      <family val="2"/>
    </font>
    <font>
      <b/>
      <i/>
      <sz val="9"/>
      <name val="Century Gothic"/>
      <family val="2"/>
    </font>
    <font>
      <b/>
      <sz val="11"/>
      <name val="Century Gothic"/>
      <family val="2"/>
    </font>
    <font>
      <sz val="10"/>
      <color indexed="8"/>
      <name val="MS Sans Serif"/>
      <family val="2"/>
    </font>
    <font>
      <b/>
      <sz val="8"/>
      <name val="MS Sans Serif"/>
      <family val="2"/>
    </font>
    <font>
      <b/>
      <sz val="12"/>
      <name val="Century Gothic"/>
      <family val="2"/>
    </font>
    <font>
      <sz val="8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lightGray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gray0625"/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62">
    <xf numFmtId="0" fontId="0" fillId="0" borderId="0"/>
    <xf numFmtId="0" fontId="24" fillId="0" borderId="0" applyNumberFormat="0" applyFill="0" applyBorder="0" applyAlignment="0" applyProtection="0"/>
    <xf numFmtId="167" fontId="25" fillId="17" borderId="22">
      <alignment horizontal="center" vertical="center"/>
    </xf>
    <xf numFmtId="167" fontId="25" fillId="17" borderId="22">
      <alignment horizontal="center" vertical="center"/>
    </xf>
    <xf numFmtId="167" fontId="25" fillId="17" borderId="22">
      <alignment horizontal="center" vertical="center"/>
    </xf>
    <xf numFmtId="168" fontId="25" fillId="0" borderId="0" applyFill="0" applyBorder="0" applyAlignment="0"/>
    <xf numFmtId="168" fontId="25" fillId="0" borderId="0" applyFill="0" applyBorder="0" applyAlignment="0"/>
    <xf numFmtId="168" fontId="25" fillId="0" borderId="0" applyFill="0" applyBorder="0" applyAlignment="0"/>
    <xf numFmtId="169" fontId="26" fillId="0" borderId="0" applyFill="0" applyBorder="0" applyAlignment="0"/>
    <xf numFmtId="170" fontId="26" fillId="0" borderId="0" applyFill="0" applyBorder="0" applyAlignment="0"/>
    <xf numFmtId="171" fontId="26" fillId="0" borderId="0" applyFill="0" applyBorder="0" applyAlignment="0"/>
    <xf numFmtId="172" fontId="26" fillId="0" borderId="0" applyFill="0" applyBorder="0" applyAlignment="0"/>
    <xf numFmtId="173" fontId="26" fillId="0" borderId="0" applyFill="0" applyBorder="0" applyAlignment="0"/>
    <xf numFmtId="174" fontId="26" fillId="0" borderId="0" applyFill="0" applyBorder="0" applyAlignment="0"/>
    <xf numFmtId="169" fontId="26" fillId="0" borderId="0" applyFill="0" applyBorder="0" applyAlignment="0"/>
    <xf numFmtId="173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27" fillId="18" borderId="0" applyNumberFormat="0" applyFont="0"/>
    <xf numFmtId="169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4" fontId="26" fillId="0" borderId="0" applyFill="0" applyBorder="0" applyAlignment="0"/>
    <xf numFmtId="0" fontId="28" fillId="19" borderId="0" applyNumberFormat="0" applyFill="0" applyAlignment="0" applyProtection="0">
      <alignment horizontal="centerContinuous" vertical="center"/>
    </xf>
    <xf numFmtId="0" fontId="28" fillId="19" borderId="0" applyNumberFormat="0" applyFill="0" applyAlignment="0" applyProtection="0">
      <alignment horizontal="centerContinuous" vertical="center"/>
    </xf>
    <xf numFmtId="0" fontId="28" fillId="19" borderId="0" applyNumberFormat="0" applyFill="0" applyAlignment="0" applyProtection="0">
      <alignment horizontal="centerContinuous" vertical="center"/>
    </xf>
    <xf numFmtId="173" fontId="29" fillId="0" borderId="0" applyFill="0" applyBorder="0" applyAlignment="0"/>
    <xf numFmtId="169" fontId="29" fillId="0" borderId="0" applyFill="0" applyBorder="0" applyAlignment="0"/>
    <xf numFmtId="173" fontId="29" fillId="0" borderId="0" applyFill="0" applyBorder="0" applyAlignment="0"/>
    <xf numFmtId="174" fontId="29" fillId="0" borderId="0" applyFill="0" applyBorder="0" applyAlignment="0"/>
    <xf numFmtId="169" fontId="29" fillId="0" borderId="0" applyFill="0" applyBorder="0" applyAlignment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2" fontId="25" fillId="0" borderId="0" applyFont="0" applyFill="0" applyBorder="0" applyAlignment="0" applyProtection="0"/>
    <xf numFmtId="2" fontId="25" fillId="0" borderId="0" applyFont="0" applyFill="0" applyBorder="0" applyAlignment="0" applyProtection="0"/>
    <xf numFmtId="2" fontId="25" fillId="0" borderId="0" applyFont="0" applyFill="0" applyBorder="0" applyAlignment="0" applyProtection="0"/>
    <xf numFmtId="38" fontId="30" fillId="20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23" applyNumberFormat="0" applyAlignment="0" applyProtection="0">
      <alignment horizontal="left" vertical="center"/>
    </xf>
    <xf numFmtId="0" fontId="32" fillId="0" borderId="24">
      <alignment horizontal="left"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6" fontId="25" fillId="0" borderId="0">
      <protection locked="0"/>
    </xf>
    <xf numFmtId="176" fontId="25" fillId="0" borderId="0">
      <protection locked="0"/>
    </xf>
    <xf numFmtId="176" fontId="25" fillId="0" borderId="0">
      <protection locked="0"/>
    </xf>
    <xf numFmtId="176" fontId="25" fillId="0" borderId="0">
      <protection locked="0"/>
    </xf>
    <xf numFmtId="176" fontId="25" fillId="0" borderId="0">
      <protection locked="0"/>
    </xf>
    <xf numFmtId="176" fontId="25" fillId="0" borderId="0">
      <protection locked="0"/>
    </xf>
    <xf numFmtId="0" fontId="34" fillId="21" borderId="25">
      <alignment horizontal="center"/>
    </xf>
    <xf numFmtId="0" fontId="34" fillId="21" borderId="25">
      <alignment horizontal="center"/>
    </xf>
    <xf numFmtId="0" fontId="34" fillId="21" borderId="25">
      <alignment horizontal="center"/>
    </xf>
    <xf numFmtId="0" fontId="29" fillId="0" borderId="26" applyNumberFormat="0" applyFill="0" applyAlignment="0" applyProtection="0"/>
    <xf numFmtId="0" fontId="35" fillId="21" borderId="27" applyNumberFormat="0" applyFont="0" applyBorder="0" applyAlignment="0" applyProtection="0">
      <alignment horizontal="center"/>
    </xf>
    <xf numFmtId="0" fontId="35" fillId="21" borderId="27" applyNumberFormat="0" applyFont="0" applyBorder="0" applyAlignment="0" applyProtection="0">
      <alignment horizontal="center"/>
    </xf>
    <xf numFmtId="0" fontId="35" fillId="21" borderId="27" applyNumberFormat="0" applyFont="0" applyBorder="0" applyAlignment="0" applyProtection="0">
      <alignment horizontal="center"/>
    </xf>
    <xf numFmtId="10" fontId="30" fillId="22" borderId="1" applyNumberFormat="0" applyBorder="0" applyAlignment="0" applyProtection="0"/>
    <xf numFmtId="173" fontId="36" fillId="0" borderId="0" applyFill="0" applyBorder="0" applyAlignment="0"/>
    <xf numFmtId="169" fontId="36" fillId="0" borderId="0" applyFill="0" applyBorder="0" applyAlignment="0"/>
    <xf numFmtId="173" fontId="36" fillId="0" borderId="0" applyFill="0" applyBorder="0" applyAlignment="0"/>
    <xf numFmtId="174" fontId="36" fillId="0" borderId="0" applyFill="0" applyBorder="0" applyAlignment="0"/>
    <xf numFmtId="169" fontId="36" fillId="0" borderId="0" applyFill="0" applyBorder="0" applyAlignment="0"/>
    <xf numFmtId="0" fontId="34" fillId="0" borderId="0" applyNumberFormat="0" applyFont="0" applyFill="0" applyBorder="0" applyAlignment="0">
      <alignment vertical="center"/>
    </xf>
    <xf numFmtId="0" fontId="34" fillId="0" borderId="0" applyNumberFormat="0" applyFont="0" applyFill="0" applyBorder="0" applyAlignment="0">
      <alignment vertical="center"/>
    </xf>
    <xf numFmtId="0" fontId="34" fillId="0" borderId="0" applyNumberFormat="0" applyFont="0" applyFill="0" applyBorder="0" applyAlignment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8" applyBorder="0"/>
    <xf numFmtId="177" fontId="25" fillId="23" borderId="0" applyNumberFormat="0" applyFont="0" applyBorder="0" applyAlignment="0" applyProtection="0"/>
    <xf numFmtId="177" fontId="25" fillId="23" borderId="0" applyNumberFormat="0" applyFont="0" applyBorder="0" applyAlignment="0" applyProtection="0"/>
    <xf numFmtId="177" fontId="25" fillId="23" borderId="0" applyNumberFormat="0" applyFont="0" applyBorder="0" applyAlignment="0" applyProtection="0"/>
    <xf numFmtId="37" fontId="40" fillId="0" borderId="0"/>
    <xf numFmtId="37" fontId="40" fillId="0" borderId="0"/>
    <xf numFmtId="37" fontId="40" fillId="0" borderId="0"/>
    <xf numFmtId="178" fontId="4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24" borderId="0" applyNumberFormat="0" applyFont="0"/>
    <xf numFmtId="0" fontId="27" fillId="25" borderId="0" applyNumberFormat="0" applyFont="0"/>
    <xf numFmtId="172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73" fontId="42" fillId="0" borderId="0" applyFill="0" applyBorder="0" applyAlignment="0"/>
    <xf numFmtId="169" fontId="42" fillId="0" borderId="0" applyFill="0" applyBorder="0" applyAlignment="0"/>
    <xf numFmtId="173" fontId="42" fillId="0" borderId="0" applyFill="0" applyBorder="0" applyAlignment="0"/>
    <xf numFmtId="174" fontId="42" fillId="0" borderId="0" applyFill="0" applyBorder="0" applyAlignment="0"/>
    <xf numFmtId="169" fontId="42" fillId="0" borderId="0" applyFill="0" applyBorder="0" applyAlignment="0"/>
    <xf numFmtId="177" fontId="25" fillId="26" borderId="0" applyNumberFormat="0" applyFont="0" applyBorder="0" applyAlignment="0" applyProtection="0"/>
    <xf numFmtId="177" fontId="25" fillId="26" borderId="0" applyNumberFormat="0" applyFont="0" applyBorder="0" applyAlignment="0" applyProtection="0"/>
    <xf numFmtId="177" fontId="25" fillId="26" borderId="0" applyNumberFormat="0" applyFont="0" applyBorder="0" applyAlignment="0" applyProtection="0"/>
    <xf numFmtId="0" fontId="43" fillId="27" borderId="29" applyNumberFormat="0" applyBorder="0" applyAlignment="0">
      <alignment horizontal="center"/>
    </xf>
    <xf numFmtId="0" fontId="43" fillId="27" borderId="29" applyNumberFormat="0" applyBorder="0" applyAlignment="0">
      <alignment horizontal="center"/>
    </xf>
    <xf numFmtId="0" fontId="43" fillId="27" borderId="29" applyNumberFormat="0" applyBorder="0" applyAlignment="0">
      <alignment horizontal="center"/>
    </xf>
    <xf numFmtId="0" fontId="44" fillId="19" borderId="1" applyNumberFormat="0" applyFill="0" applyAlignment="0" applyProtection="0">
      <alignment horizontal="centerContinuous" vertical="center"/>
    </xf>
    <xf numFmtId="0" fontId="44" fillId="19" borderId="1" applyNumberFormat="0" applyFill="0" applyAlignment="0" applyProtection="0">
      <alignment horizontal="centerContinuous" vertical="center"/>
    </xf>
    <xf numFmtId="0" fontId="44" fillId="19" borderId="1" applyNumberFormat="0" applyFill="0" applyAlignment="0" applyProtection="0">
      <alignment horizontal="centerContinuous" vertical="center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9" fontId="26" fillId="0" borderId="0" applyFill="0" applyBorder="0" applyAlignment="0"/>
    <xf numFmtId="180" fontId="26" fillId="0" borderId="0" applyFill="0" applyBorder="0" applyAlignment="0"/>
    <xf numFmtId="181" fontId="26" fillId="0" borderId="0" applyFill="0" applyBorder="0" applyAlignment="0"/>
    <xf numFmtId="0" fontId="27" fillId="28" borderId="0" applyNumberFormat="0" applyFont="0"/>
    <xf numFmtId="0" fontId="25" fillId="0" borderId="30" applyNumberFormat="0" applyFont="0" applyFill="0" applyAlignment="0" applyProtection="0"/>
    <xf numFmtId="0" fontId="25" fillId="0" borderId="30" applyNumberFormat="0" applyFont="0" applyFill="0" applyAlignment="0" applyProtection="0"/>
    <xf numFmtId="0" fontId="25" fillId="0" borderId="30" applyNumberFormat="0" applyFont="0" applyFill="0" applyAlignment="0" applyProtection="0"/>
    <xf numFmtId="0" fontId="25" fillId="0" borderId="30" applyNumberFormat="0" applyFont="0" applyFill="0" applyAlignment="0" applyProtection="0"/>
    <xf numFmtId="0" fontId="25" fillId="0" borderId="30" applyNumberFormat="0" applyFont="0" applyFill="0" applyAlignment="0" applyProtection="0"/>
    <xf numFmtId="0" fontId="25" fillId="0" borderId="30" applyNumberFormat="0" applyFont="0" applyFill="0" applyAlignment="0" applyProtection="0"/>
    <xf numFmtId="0" fontId="46" fillId="0" borderId="29" applyNumberFormat="0" applyBorder="0" applyProtection="0">
      <alignment horizontal="center"/>
    </xf>
    <xf numFmtId="0" fontId="46" fillId="0" borderId="29" applyNumberFormat="0" applyBorder="0" applyProtection="0">
      <alignment horizontal="center"/>
    </xf>
    <xf numFmtId="0" fontId="46" fillId="0" borderId="29" applyNumberFormat="0" applyBorder="0" applyProtection="0">
      <alignment horizontal="center"/>
    </xf>
    <xf numFmtId="0" fontId="44" fillId="0" borderId="21" applyNumberFormat="0" applyFont="0" applyBorder="0" applyAlignment="0" applyProtection="0">
      <alignment horizontal="centerContinuous" vertical="center"/>
    </xf>
    <xf numFmtId="0" fontId="44" fillId="0" borderId="21" applyNumberFormat="0" applyFont="0" applyBorder="0" applyAlignment="0" applyProtection="0">
      <alignment horizontal="centerContinuous" vertical="center"/>
    </xf>
    <xf numFmtId="0" fontId="44" fillId="0" borderId="21" applyNumberFormat="0" applyFont="0" applyBorder="0" applyAlignment="0" applyProtection="0">
      <alignment horizontal="centerContinuous" vertical="center"/>
    </xf>
    <xf numFmtId="182" fontId="47" fillId="21" borderId="0" applyNumberFormat="0" applyFont="0" applyFill="0" applyBorder="0" applyAlignment="0">
      <alignment horizontal="centerContinuous" vertical="center"/>
      <protection locked="0"/>
    </xf>
    <xf numFmtId="182" fontId="47" fillId="21" borderId="0" applyNumberFormat="0" applyFont="0" applyFill="0" applyBorder="0" applyAlignment="0">
      <alignment horizontal="centerContinuous" vertical="center"/>
      <protection locked="0"/>
    </xf>
    <xf numFmtId="182" fontId="47" fillId="21" borderId="0" applyNumberFormat="0" applyFont="0" applyFill="0" applyBorder="0" applyAlignment="0">
      <alignment horizontal="centerContinuous" vertical="center"/>
      <protection locked="0"/>
    </xf>
    <xf numFmtId="37" fontId="30" fillId="29" borderId="0" applyNumberFormat="0" applyBorder="0" applyAlignment="0" applyProtection="0"/>
    <xf numFmtId="37" fontId="30" fillId="0" borderId="0"/>
    <xf numFmtId="37" fontId="30" fillId="0" borderId="0"/>
    <xf numFmtId="37" fontId="30" fillId="0" borderId="0"/>
    <xf numFmtId="3" fontId="48" fillId="0" borderId="26" applyProtection="0"/>
    <xf numFmtId="0" fontId="28" fillId="19" borderId="0" applyNumberFormat="0" applyFill="0" applyAlignment="0">
      <alignment horizontal="centerContinuous" vertical="center"/>
    </xf>
    <xf numFmtId="0" fontId="28" fillId="19" borderId="0" applyNumberFormat="0" applyFill="0" applyAlignment="0">
      <alignment horizontal="centerContinuous" vertical="center"/>
    </xf>
    <xf numFmtId="0" fontId="28" fillId="19" borderId="0" applyNumberFormat="0" applyFill="0" applyAlignment="0">
      <alignment horizontal="centerContinuous" vertical="center"/>
    </xf>
    <xf numFmtId="9" fontId="49" fillId="0" borderId="0" applyFont="0" applyFill="0" applyBorder="0" applyAlignment="0" applyProtection="0"/>
    <xf numFmtId="0" fontId="50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1" fillId="0" borderId="0" xfId="0" applyNumberFormat="1" applyFont="1" applyAlignment="1">
      <alignment textRotation="90"/>
    </xf>
    <xf numFmtId="0" fontId="0" fillId="0" borderId="3" xfId="0" applyBorder="1"/>
    <xf numFmtId="0" fontId="4" fillId="6" borderId="4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1" fillId="0" borderId="0" xfId="0" applyFont="1"/>
    <xf numFmtId="0" fontId="5" fillId="0" borderId="5" xfId="0" applyFon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/>
    <xf numFmtId="0" fontId="0" fillId="0" borderId="0" xfId="0" applyAlignme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10" fontId="5" fillId="4" borderId="1" xfId="0" applyNumberFormat="1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0" fontId="5" fillId="0" borderId="0" xfId="0" applyFont="1"/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8" fillId="0" borderId="0" xfId="0" applyFont="1"/>
    <xf numFmtId="0" fontId="5" fillId="7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9" fillId="0" borderId="13" xfId="0" applyFont="1" applyBorder="1" applyAlignment="1">
      <alignment textRotation="90"/>
    </xf>
    <xf numFmtId="0" fontId="9" fillId="0" borderId="0" xfId="0" applyFont="1" applyBorder="1" applyAlignment="1">
      <alignment textRotation="90"/>
    </xf>
    <xf numFmtId="0" fontId="9" fillId="0" borderId="14" xfId="0" applyFont="1" applyBorder="1" applyAlignment="1">
      <alignment textRotation="90"/>
    </xf>
    <xf numFmtId="0" fontId="5" fillId="0" borderId="18" xfId="0" applyFont="1" applyBorder="1" applyAlignment="1">
      <alignment horizontal="center"/>
    </xf>
    <xf numFmtId="0" fontId="5" fillId="0" borderId="0" xfId="0" applyFont="1" applyFill="1" applyBorder="1"/>
    <xf numFmtId="0" fontId="0" fillId="0" borderId="0" xfId="0" applyBorder="1"/>
    <xf numFmtId="0" fontId="6" fillId="0" borderId="0" xfId="0" applyFont="1" applyFill="1" applyBorder="1"/>
    <xf numFmtId="0" fontId="5" fillId="8" borderId="1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8" borderId="9" xfId="0" applyNumberFormat="1" applyFont="1" applyFill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11" fillId="0" borderId="0" xfId="0" applyFont="1"/>
    <xf numFmtId="0" fontId="9" fillId="0" borderId="0" xfId="0" applyFont="1"/>
    <xf numFmtId="0" fontId="5" fillId="9" borderId="1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4" fillId="0" borderId="1" xfId="0" applyFont="1" applyFill="1" applyBorder="1"/>
    <xf numFmtId="165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165" fontId="4" fillId="6" borderId="4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2" fontId="4" fillId="6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164" fontId="3" fillId="11" borderId="0" xfId="0" applyNumberFormat="1" applyFont="1" applyFill="1" applyAlignment="1">
      <alignment textRotation="90"/>
    </xf>
    <xf numFmtId="0" fontId="0" fillId="0" borderId="0" xfId="0" applyFont="1"/>
    <xf numFmtId="2" fontId="0" fillId="12" borderId="1" xfId="0" applyNumberFormat="1" applyFill="1" applyBorder="1"/>
    <xf numFmtId="2" fontId="5" fillId="13" borderId="1" xfId="0" applyNumberFormat="1" applyFont="1" applyFill="1" applyBorder="1" applyAlignment="1">
      <alignment horizontal="center"/>
    </xf>
    <xf numFmtId="2" fontId="0" fillId="13" borderId="1" xfId="0" applyNumberFormat="1" applyFill="1" applyBorder="1"/>
    <xf numFmtId="0" fontId="17" fillId="12" borderId="1" xfId="0" applyFont="1" applyFill="1" applyBorder="1" applyAlignment="1">
      <alignment textRotation="60"/>
    </xf>
    <xf numFmtId="0" fontId="18" fillId="12" borderId="1" xfId="0" applyFont="1" applyFill="1" applyBorder="1" applyAlignment="1">
      <alignment horizontal="left" textRotation="60"/>
    </xf>
    <xf numFmtId="2" fontId="5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14" borderId="1" xfId="0" applyFont="1" applyFill="1" applyBorder="1"/>
    <xf numFmtId="14" fontId="8" fillId="14" borderId="1" xfId="0" applyNumberFormat="1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ont="1" applyFill="1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60"/>
    </xf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 wrapText="1"/>
    </xf>
    <xf numFmtId="0" fontId="1" fillId="12" borderId="1" xfId="0" applyFont="1" applyFill="1" applyBorder="1"/>
    <xf numFmtId="0" fontId="0" fillId="15" borderId="1" xfId="0" applyFill="1" applyBorder="1" applyAlignment="1"/>
    <xf numFmtId="0" fontId="0" fillId="0" borderId="1" xfId="0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3" fillId="15" borderId="1" xfId="0" applyFont="1" applyFill="1" applyBorder="1" applyAlignment="1"/>
    <xf numFmtId="0" fontId="22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9" fontId="4" fillId="0" borderId="1" xfId="160" applyFont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/>
    <xf numFmtId="9" fontId="6" fillId="0" borderId="19" xfId="160" applyFont="1" applyBorder="1" applyAlignment="1">
      <alignment horizontal="center"/>
    </xf>
    <xf numFmtId="164" fontId="6" fillId="0" borderId="31" xfId="0" applyNumberFormat="1" applyFont="1" applyBorder="1"/>
    <xf numFmtId="0" fontId="6" fillId="2" borderId="32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3" xfId="0" applyFont="1" applyBorder="1"/>
    <xf numFmtId="9" fontId="6" fillId="0" borderId="32" xfId="160" applyFont="1" applyBorder="1" applyAlignment="1">
      <alignment horizontal="center"/>
    </xf>
    <xf numFmtId="9" fontId="6" fillId="0" borderId="33" xfId="160" applyFont="1" applyBorder="1" applyAlignment="1">
      <alignment horizontal="center"/>
    </xf>
    <xf numFmtId="9" fontId="5" fillId="0" borderId="0" xfId="160" applyFont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1" fillId="0" borderId="0" xfId="0" applyFont="1"/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0" fillId="0" borderId="0" xfId="0" applyFill="1"/>
    <xf numFmtId="0" fontId="6" fillId="0" borderId="32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54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55" fillId="0" borderId="0" xfId="161" applyFont="1" applyAlignment="1">
      <alignment horizontal="center" wrapText="1"/>
    </xf>
    <xf numFmtId="0" fontId="6" fillId="0" borderId="0" xfId="0" applyFont="1" applyAlignment="1">
      <alignment horizontal="center"/>
    </xf>
    <xf numFmtId="0" fontId="50" fillId="0" borderId="0" xfId="161" applyAlignment="1">
      <alignment horizontal="center" wrapText="1"/>
    </xf>
    <xf numFmtId="9" fontId="57" fillId="0" borderId="1" xfId="160" applyFont="1" applyBorder="1" applyAlignment="1">
      <alignment horizontal="center"/>
    </xf>
    <xf numFmtId="9" fontId="58" fillId="7" borderId="1" xfId="0" applyNumberFormat="1" applyFont="1" applyFill="1" applyBorder="1" applyAlignment="1">
      <alignment horizontal="center"/>
    </xf>
    <xf numFmtId="9" fontId="57" fillId="0" borderId="9" xfId="160" applyFont="1" applyBorder="1" applyAlignment="1">
      <alignment horizontal="center"/>
    </xf>
    <xf numFmtId="2" fontId="10" fillId="9" borderId="1" xfId="0" applyNumberFormat="1" applyFont="1" applyFill="1" applyBorder="1" applyAlignment="1">
      <alignment horizontal="center"/>
    </xf>
    <xf numFmtId="183" fontId="6" fillId="0" borderId="0" xfId="0" applyNumberFormat="1" applyFont="1" applyAlignment="1">
      <alignment horizontal="right"/>
    </xf>
    <xf numFmtId="184" fontId="1" fillId="0" borderId="1" xfId="0" applyNumberFormat="1" applyFont="1" applyBorder="1" applyAlignment="1">
      <alignment horizontal="center" vertical="top" wrapText="1"/>
    </xf>
    <xf numFmtId="0" fontId="0" fillId="11" borderId="0" xfId="0" applyFill="1"/>
    <xf numFmtId="0" fontId="5" fillId="11" borderId="5" xfId="0" applyFont="1" applyFill="1" applyBorder="1" applyAlignment="1">
      <alignment horizontal="right"/>
    </xf>
    <xf numFmtId="0" fontId="0" fillId="11" borderId="6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9" fillId="11" borderId="5" xfId="0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center"/>
    </xf>
    <xf numFmtId="185" fontId="9" fillId="0" borderId="0" xfId="0" applyNumberFormat="1" applyFont="1" applyAlignment="1">
      <alignment horizontal="center"/>
    </xf>
    <xf numFmtId="14" fontId="8" fillId="14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textRotation="60"/>
    </xf>
    <xf numFmtId="2" fontId="5" fillId="0" borderId="0" xfId="0" applyNumberFormat="1" applyFont="1" applyBorder="1" applyAlignment="1">
      <alignment horizontal="center"/>
    </xf>
    <xf numFmtId="14" fontId="8" fillId="14" borderId="1" xfId="0" applyNumberFormat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top"/>
    </xf>
    <xf numFmtId="0" fontId="61" fillId="11" borderId="0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19" fillId="0" borderId="1" xfId="0" applyFont="1" applyBorder="1"/>
    <xf numFmtId="0" fontId="19" fillId="0" borderId="27" xfId="0" applyFont="1" applyBorder="1"/>
    <xf numFmtId="0" fontId="19" fillId="0" borderId="0" xfId="0" applyFont="1" applyBorder="1"/>
    <xf numFmtId="164" fontId="3" fillId="11" borderId="0" xfId="0" applyNumberFormat="1" applyFont="1" applyFill="1" applyAlignment="1">
      <alignment horizontal="center" textRotation="90"/>
    </xf>
    <xf numFmtId="165" fontId="4" fillId="2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textRotation="90"/>
    </xf>
    <xf numFmtId="165" fontId="4" fillId="3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4" fillId="6" borderId="4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0" xfId="0" applyNumberFormat="1" applyFont="1" applyFill="1" applyAlignment="1">
      <alignment horizontal="left" textRotation="90"/>
    </xf>
    <xf numFmtId="164" fontId="3" fillId="11" borderId="0" xfId="0" applyNumberFormat="1" applyFont="1" applyFill="1" applyAlignment="1">
      <alignment horizontal="left" textRotation="90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 textRotation="90"/>
    </xf>
    <xf numFmtId="0" fontId="0" fillId="0" borderId="0" xfId="0" applyAlignment="1">
      <alignment horizontal="left" textRotation="70" wrapText="1"/>
    </xf>
    <xf numFmtId="0" fontId="5" fillId="0" borderId="36" xfId="0" applyFont="1" applyBorder="1" applyAlignment="1">
      <alignment horizontal="center"/>
    </xf>
    <xf numFmtId="0" fontId="5" fillId="11" borderId="1" xfId="0" applyFont="1" applyFill="1" applyBorder="1" applyAlignment="1">
      <alignment horizontal="left" vertical="center"/>
    </xf>
    <xf numFmtId="49" fontId="60" fillId="11" borderId="9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0" fontId="1" fillId="11" borderId="0" xfId="0" applyFont="1" applyFill="1"/>
    <xf numFmtId="0" fontId="6" fillId="11" borderId="0" xfId="0" applyFont="1" applyFill="1"/>
    <xf numFmtId="0" fontId="4" fillId="31" borderId="1" xfId="0" applyNumberFormat="1" applyFont="1" applyFill="1" applyBorder="1" applyAlignment="1">
      <alignment horizontal="center" vertical="center"/>
    </xf>
    <xf numFmtId="0" fontId="4" fillId="31" borderId="4" xfId="0" applyNumberFormat="1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/>
    </xf>
    <xf numFmtId="0" fontId="4" fillId="31" borderId="4" xfId="0" applyFont="1" applyFill="1" applyBorder="1" applyAlignment="1">
      <alignment horizontal="center"/>
    </xf>
    <xf numFmtId="0" fontId="4" fillId="31" borderId="1" xfId="0" applyNumberFormat="1" applyFont="1" applyFill="1" applyBorder="1" applyAlignment="1">
      <alignment horizontal="center"/>
    </xf>
    <xf numFmtId="165" fontId="4" fillId="31" borderId="4" xfId="0" applyNumberFormat="1" applyFont="1" applyFill="1" applyBorder="1" applyAlignment="1">
      <alignment horizontal="center"/>
    </xf>
    <xf numFmtId="165" fontId="4" fillId="31" borderId="1" xfId="0" applyNumberFormat="1" applyFont="1" applyFill="1" applyBorder="1" applyAlignment="1">
      <alignment horizontal="center"/>
    </xf>
    <xf numFmtId="2" fontId="4" fillId="31" borderId="4" xfId="0" applyNumberFormat="1" applyFont="1" applyFill="1" applyBorder="1" applyAlignment="1">
      <alignment horizontal="center"/>
    </xf>
    <xf numFmtId="0" fontId="0" fillId="5" borderId="0" xfId="0" applyFill="1"/>
    <xf numFmtId="16" fontId="0" fillId="0" borderId="1" xfId="0" applyNumberFormat="1" applyBorder="1"/>
    <xf numFmtId="0" fontId="4" fillId="30" borderId="1" xfId="0" applyFont="1" applyFill="1" applyBorder="1" applyAlignment="1">
      <alignment horizontal="center" vertical="center"/>
    </xf>
    <xf numFmtId="49" fontId="0" fillId="0" borderId="0" xfId="0" applyNumberFormat="1"/>
    <xf numFmtId="2" fontId="0" fillId="0" borderId="1" xfId="0" applyNumberFormat="1" applyBorder="1"/>
    <xf numFmtId="0" fontId="8" fillId="31" borderId="1" xfId="0" applyFont="1" applyFill="1" applyBorder="1"/>
    <xf numFmtId="2" fontId="62" fillId="2" borderId="1" xfId="0" applyNumberFormat="1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0" fillId="33" borderId="1" xfId="0" applyFill="1" applyBorder="1"/>
    <xf numFmtId="0" fontId="4" fillId="31" borderId="19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10" fontId="5" fillId="11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textRotation="60"/>
    </xf>
    <xf numFmtId="0" fontId="0" fillId="0" borderId="1" xfId="0" applyFont="1" applyBorder="1" applyAlignment="1">
      <alignment horizontal="left" vertical="center" textRotation="60"/>
    </xf>
    <xf numFmtId="0" fontId="8" fillId="0" borderId="0" xfId="0" applyFont="1" applyBorder="1" applyAlignment="1">
      <alignment wrapText="1"/>
    </xf>
    <xf numFmtId="0" fontId="0" fillId="0" borderId="35" xfId="0" applyBorder="1"/>
    <xf numFmtId="165" fontId="4" fillId="31" borderId="4" xfId="0" applyNumberFormat="1" applyFont="1" applyFill="1" applyBorder="1" applyAlignment="1">
      <alignment horizontal="center" vertical="center"/>
    </xf>
    <xf numFmtId="1" fontId="4" fillId="31" borderId="1" xfId="0" applyNumberFormat="1" applyFont="1" applyFill="1" applyBorder="1" applyAlignment="1">
      <alignment horizontal="center"/>
    </xf>
    <xf numFmtId="2" fontId="4" fillId="31" borderId="1" xfId="0" applyNumberFormat="1" applyFont="1" applyFill="1" applyBorder="1" applyAlignment="1">
      <alignment horizontal="center"/>
    </xf>
    <xf numFmtId="164" fontId="3" fillId="5" borderId="0" xfId="0" applyNumberFormat="1" applyFont="1" applyFill="1" applyAlignment="1">
      <alignment textRotation="90"/>
    </xf>
    <xf numFmtId="0" fontId="4" fillId="5" borderId="4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164" fontId="3" fillId="5" borderId="0" xfId="0" applyNumberFormat="1" applyFont="1" applyFill="1" applyAlignment="1">
      <alignment horizontal="left" textRotation="90"/>
    </xf>
    <xf numFmtId="0" fontId="4" fillId="5" borderId="4" xfId="0" applyNumberFormat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164" fontId="3" fillId="34" borderId="0" xfId="0" applyNumberFormat="1" applyFont="1" applyFill="1" applyAlignment="1">
      <alignment textRotation="90"/>
    </xf>
    <xf numFmtId="0" fontId="0" fillId="0" borderId="0" xfId="0" quotePrefix="1"/>
    <xf numFmtId="49" fontId="0" fillId="0" borderId="0" xfId="0" quotePrefix="1" applyNumberFormat="1"/>
    <xf numFmtId="2" fontId="4" fillId="6" borderId="4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4" fillId="31" borderId="15" xfId="0" applyFont="1" applyFill="1" applyBorder="1" applyAlignment="1">
      <alignment horizontal="center"/>
    </xf>
    <xf numFmtId="0" fontId="4" fillId="31" borderId="16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0" fillId="0" borderId="0" xfId="0" applyFont="1" applyBorder="1"/>
    <xf numFmtId="0" fontId="4" fillId="30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5" fillId="31" borderId="1" xfId="0" applyFont="1" applyFill="1" applyBorder="1"/>
    <xf numFmtId="0" fontId="61" fillId="11" borderId="5" xfId="0" applyFont="1" applyFill="1" applyBorder="1" applyAlignment="1">
      <alignment horizontal="right"/>
    </xf>
    <xf numFmtId="2" fontId="4" fillId="4" borderId="1" xfId="0" applyNumberFormat="1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/>
    </xf>
    <xf numFmtId="0" fontId="4" fillId="35" borderId="1" xfId="0" applyFont="1" applyFill="1" applyBorder="1" applyAlignment="1">
      <alignment horizontal="center"/>
    </xf>
    <xf numFmtId="0" fontId="8" fillId="0" borderId="35" xfId="0" applyFont="1" applyBorder="1" applyAlignment="1">
      <alignment wrapText="1"/>
    </xf>
    <xf numFmtId="0" fontId="0" fillId="11" borderId="38" xfId="0" applyFill="1" applyBorder="1"/>
    <xf numFmtId="1" fontId="4" fillId="2" borderId="1" xfId="0" applyNumberFormat="1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top"/>
    </xf>
    <xf numFmtId="0" fontId="12" fillId="11" borderId="0" xfId="0" applyFont="1" applyFill="1" applyAlignment="1">
      <alignment horizontal="center"/>
    </xf>
    <xf numFmtId="0" fontId="13" fillId="11" borderId="0" xfId="0" applyFont="1" applyFill="1" applyBorder="1" applyAlignment="1">
      <alignment horizontal="left"/>
    </xf>
    <xf numFmtId="0" fontId="21" fillId="11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6" fillId="7" borderId="28" xfId="0" applyFont="1" applyFill="1" applyBorder="1" applyAlignment="1">
      <alignment horizontal="center" wrapText="1"/>
    </xf>
    <xf numFmtId="0" fontId="56" fillId="7" borderId="24" xfId="0" applyFont="1" applyFill="1" applyBorder="1" applyAlignment="1">
      <alignment horizontal="center" wrapText="1"/>
    </xf>
    <xf numFmtId="0" fontId="56" fillId="7" borderId="27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16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62">
    <cellStyle name="=C:\WINNT\SYSTEM32\COMMAND.COM" xfId="1"/>
    <cellStyle name="Actual Date" xfId="2"/>
    <cellStyle name="Actual Date 2" xfId="3"/>
    <cellStyle name="Actual Date 3" xfId="4"/>
    <cellStyle name="Calc Currency (0)" xfId="5"/>
    <cellStyle name="Calc Currency (0) 2" xfId="6"/>
    <cellStyle name="Calc Currency (0) 3" xfId="7"/>
    <cellStyle name="Calc Currency (2)" xfId="8"/>
    <cellStyle name="Calc Percent (0)" xfId="9"/>
    <cellStyle name="Calc Percent (1)" xfId="10"/>
    <cellStyle name="Calc Percent (2)" xfId="11"/>
    <cellStyle name="Calc Units (0)" xfId="12"/>
    <cellStyle name="Calc Units (1)" xfId="13"/>
    <cellStyle name="Calc Units (2)" xfId="14"/>
    <cellStyle name="Comma [00]" xfId="15"/>
    <cellStyle name="Comma0" xfId="16"/>
    <cellStyle name="Comma0 2" xfId="17"/>
    <cellStyle name="Comma0 3" xfId="18"/>
    <cellStyle name="complete" xfId="19"/>
    <cellStyle name="Currency [00]" xfId="20"/>
    <cellStyle name="Currency0" xfId="21"/>
    <cellStyle name="Currency0 2" xfId="22"/>
    <cellStyle name="Currency0 3" xfId="23"/>
    <cellStyle name="Date" xfId="24"/>
    <cellStyle name="Date 2" xfId="25"/>
    <cellStyle name="Date 3" xfId="26"/>
    <cellStyle name="Date Short" xfId="27"/>
    <cellStyle name="DE-SELECT" xfId="28"/>
    <cellStyle name="DE-SELECT 2" xfId="29"/>
    <cellStyle name="DE-SELECT 3" xfId="30"/>
    <cellStyle name="Enter Currency (0)" xfId="31"/>
    <cellStyle name="Enter Currency (2)" xfId="32"/>
    <cellStyle name="Enter Units (0)" xfId="33"/>
    <cellStyle name="Enter Units (1)" xfId="34"/>
    <cellStyle name="Enter Units (2)" xfId="35"/>
    <cellStyle name="Euro" xfId="36"/>
    <cellStyle name="Euro 2" xfId="37"/>
    <cellStyle name="Euro 3" xfId="38"/>
    <cellStyle name="Fixed" xfId="39"/>
    <cellStyle name="Fixed 2" xfId="40"/>
    <cellStyle name="Fixed 3" xfId="41"/>
    <cellStyle name="Grey" xfId="42"/>
    <cellStyle name="HEADER" xfId="43"/>
    <cellStyle name="Header1" xfId="44"/>
    <cellStyle name="Header2" xfId="45"/>
    <cellStyle name="Heading 1 2" xfId="46"/>
    <cellStyle name="Heading 1 2 2" xfId="47"/>
    <cellStyle name="Heading 1 2 3" xfId="48"/>
    <cellStyle name="Heading 1 3" xfId="49"/>
    <cellStyle name="Heading 1 4" xfId="50"/>
    <cellStyle name="Heading 1 5" xfId="51"/>
    <cellStyle name="Heading 2 2" xfId="52"/>
    <cellStyle name="Heading 2 2 2" xfId="53"/>
    <cellStyle name="Heading 2 2 3" xfId="54"/>
    <cellStyle name="Heading 2 3" xfId="55"/>
    <cellStyle name="Heading 2 4" xfId="56"/>
    <cellStyle name="Heading 2 5" xfId="57"/>
    <cellStyle name="Heading1" xfId="58"/>
    <cellStyle name="Heading1 2" xfId="59"/>
    <cellStyle name="Heading1 3" xfId="60"/>
    <cellStyle name="Heading2" xfId="61"/>
    <cellStyle name="Heading2 2" xfId="62"/>
    <cellStyle name="Heading2 3" xfId="63"/>
    <cellStyle name="Hi Lite" xfId="64"/>
    <cellStyle name="Hi Lite 2" xfId="65"/>
    <cellStyle name="Hi Lite 3" xfId="66"/>
    <cellStyle name="HIGHLIGHT" xfId="67"/>
    <cellStyle name="HiLite" xfId="68"/>
    <cellStyle name="HiLite 2" xfId="69"/>
    <cellStyle name="HiLite 3" xfId="70"/>
    <cellStyle name="Hyperlink" xfId="161" builtinId="8"/>
    <cellStyle name="Input [yellow]" xfId="71"/>
    <cellStyle name="Link Currency (0)" xfId="72"/>
    <cellStyle name="Link Currency (2)" xfId="73"/>
    <cellStyle name="Link Units (0)" xfId="74"/>
    <cellStyle name="Link Units (1)" xfId="75"/>
    <cellStyle name="Link Units (2)" xfId="76"/>
    <cellStyle name="LOCKED" xfId="77"/>
    <cellStyle name="LOCKED 2" xfId="78"/>
    <cellStyle name="LOCKED 3" xfId="79"/>
    <cellStyle name="Map Labels" xfId="80"/>
    <cellStyle name="Map Labels 2" xfId="81"/>
    <cellStyle name="Map Labels 3" xfId="82"/>
    <cellStyle name="Map Legend" xfId="83"/>
    <cellStyle name="Map Legend 2" xfId="84"/>
    <cellStyle name="Map Legend 3" xfId="85"/>
    <cellStyle name="Map Title" xfId="86"/>
    <cellStyle name="Map Title 2" xfId="87"/>
    <cellStyle name="Map Title 3" xfId="88"/>
    <cellStyle name="names" xfId="89"/>
    <cellStyle name="New" xfId="90"/>
    <cellStyle name="New 2" xfId="91"/>
    <cellStyle name="New 3" xfId="92"/>
    <cellStyle name="no dec" xfId="93"/>
    <cellStyle name="no dec 2" xfId="94"/>
    <cellStyle name="no dec 3" xfId="95"/>
    <cellStyle name="Normal" xfId="0" builtinId="0"/>
    <cellStyle name="Normal - Style1" xfId="96"/>
    <cellStyle name="Normal 2" xfId="97"/>
    <cellStyle name="Normal 2 2" xfId="98"/>
    <cellStyle name="Normal 2 3" xfId="99"/>
    <cellStyle name="Normal 3" xfId="100"/>
    <cellStyle name="Normal 3 2" xfId="101"/>
    <cellStyle name="Normal 3 3" xfId="102"/>
    <cellStyle name="Normal 4" xfId="103"/>
    <cellStyle name="Normal 5" xfId="104"/>
    <cellStyle name="Normal 6" xfId="105"/>
    <cellStyle name="On Hold" xfId="106"/>
    <cellStyle name="Pending" xfId="107"/>
    <cellStyle name="Percent" xfId="160" builtinId="5"/>
    <cellStyle name="Percent [0]" xfId="108"/>
    <cellStyle name="Percent [00]" xfId="109"/>
    <cellStyle name="Percent [2]" xfId="110"/>
    <cellStyle name="Percent [2] 2" xfId="111"/>
    <cellStyle name="Percent [2] 3" xfId="112"/>
    <cellStyle name="Percent 2" xfId="113"/>
    <cellStyle name="Percent 3" xfId="114"/>
    <cellStyle name="Percent 4" xfId="115"/>
    <cellStyle name="PrePop Currency (0)" xfId="116"/>
    <cellStyle name="PrePop Currency (2)" xfId="117"/>
    <cellStyle name="PrePop Units (0)" xfId="118"/>
    <cellStyle name="PrePop Units (1)" xfId="119"/>
    <cellStyle name="PrePop Units (2)" xfId="120"/>
    <cellStyle name="re-install" xfId="121"/>
    <cellStyle name="re-install 2" xfId="122"/>
    <cellStyle name="re-install 3" xfId="123"/>
    <cellStyle name="REMOVED" xfId="124"/>
    <cellStyle name="REMOVED 2" xfId="125"/>
    <cellStyle name="REMOVED 3" xfId="126"/>
    <cellStyle name="SELECT" xfId="127"/>
    <cellStyle name="SELECT 2" xfId="128"/>
    <cellStyle name="SELECT 3" xfId="129"/>
    <cellStyle name="Style 1" xfId="130"/>
    <cellStyle name="Style 1 2" xfId="131"/>
    <cellStyle name="Style 1 3" xfId="132"/>
    <cellStyle name="Text Indent A" xfId="133"/>
    <cellStyle name="Text Indent B" xfId="134"/>
    <cellStyle name="Text Indent C" xfId="135"/>
    <cellStyle name="To Do" xfId="136"/>
    <cellStyle name="Total 2" xfId="137"/>
    <cellStyle name="Total 2 2" xfId="138"/>
    <cellStyle name="Total 2 3" xfId="139"/>
    <cellStyle name="Total 3" xfId="140"/>
    <cellStyle name="Total 4" xfId="141"/>
    <cellStyle name="Total 5" xfId="142"/>
    <cellStyle name="undo-style" xfId="143"/>
    <cellStyle name="undo-style 2" xfId="144"/>
    <cellStyle name="undo-style 3" xfId="145"/>
    <cellStyle name="UN-HiLite" xfId="146"/>
    <cellStyle name="UN-HiLite 2" xfId="147"/>
    <cellStyle name="UN-HiLite 3" xfId="148"/>
    <cellStyle name="UNLOCKED" xfId="149"/>
    <cellStyle name="UNLOCKED 2" xfId="150"/>
    <cellStyle name="UNLOCKED 3" xfId="151"/>
    <cellStyle name="Unprot" xfId="152"/>
    <cellStyle name="Unprot$" xfId="153"/>
    <cellStyle name="Unprot$ 2" xfId="154"/>
    <cellStyle name="Unprot$ 3" xfId="155"/>
    <cellStyle name="Unprotect" xfId="156"/>
    <cellStyle name="UnSelect" xfId="157"/>
    <cellStyle name="UnSelect 2" xfId="158"/>
    <cellStyle name="UnSelect 3" xfId="159"/>
  </cellStyles>
  <dxfs count="128"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lor rgb="FF002060"/>
      </font>
    </dxf>
    <dxf>
      <font>
        <b val="0"/>
        <i/>
        <color rgb="FF00B0F0"/>
      </font>
    </dxf>
    <dxf>
      <font>
        <b/>
        <i/>
        <color rgb="FF002060"/>
      </font>
    </dxf>
    <dxf>
      <font>
        <b val="0"/>
        <i/>
        <color rgb="FF00B0F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33CC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33CC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33CC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33CCFF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F0"/>
      </font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F0"/>
      </font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F0"/>
      </font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F0"/>
      </font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F0"/>
      </font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F0"/>
      </font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F0"/>
      </font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F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CCFFCC"/>
      <color rgb="FF33CCFF"/>
      <color rgb="FFFFFFCC"/>
      <color rgb="FFFFCC99"/>
      <color rgb="FFCCCCFF"/>
      <color rgb="FFEAEAEA"/>
      <color rgb="FFCCFFFF"/>
      <color rgb="FFF8F8F8"/>
      <color rgb="FFE97171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476251</xdr:colOff>
      <xdr:row>1</xdr:row>
      <xdr:rowOff>19050</xdr:rowOff>
    </xdr:from>
    <xdr:to>
      <xdr:col>11</xdr:col>
      <xdr:colOff>323850</xdr:colOff>
      <xdr:row>3</xdr:row>
      <xdr:rowOff>189067</xdr:rowOff>
    </xdr:to>
    <xdr:pic>
      <xdr:nvPicPr>
        <xdr:cNvPr id="2" name="Picture 1" descr="Microsoft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43451" y="209550"/>
          <a:ext cx="2285999" cy="55101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</xdr:row>
      <xdr:rowOff>47625</xdr:rowOff>
    </xdr:from>
    <xdr:to>
      <xdr:col>4</xdr:col>
      <xdr:colOff>257175</xdr:colOff>
      <xdr:row>3</xdr:row>
      <xdr:rowOff>142875</xdr:rowOff>
    </xdr:to>
    <xdr:pic>
      <xdr:nvPicPr>
        <xdr:cNvPr id="52225" name="Picture 1" descr="http://www.teamcornwall.com/teleperformance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075" y="238125"/>
          <a:ext cx="2476500" cy="4762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219075</xdr:colOff>
      <xdr:row>22</xdr:row>
      <xdr:rowOff>38100</xdr:rowOff>
    </xdr:from>
    <xdr:to>
      <xdr:col>9</xdr:col>
      <xdr:colOff>561975</xdr:colOff>
      <xdr:row>27</xdr:row>
      <xdr:rowOff>9525</xdr:rowOff>
    </xdr:to>
    <xdr:pic>
      <xdr:nvPicPr>
        <xdr:cNvPr id="6" name="Picture 5" descr="globe_logo.gi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095875" y="4229100"/>
          <a:ext cx="952500" cy="923925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175" Type="http://schemas.openxmlformats.org/officeDocument/2006/relationships/revisionLog" Target="revisionLog175.xml"/><Relationship Id="rId159" Type="http://schemas.openxmlformats.org/officeDocument/2006/relationships/revisionLog" Target="revisionLog159.xml"/><Relationship Id="rId154" Type="http://schemas.openxmlformats.org/officeDocument/2006/relationships/revisionLog" Target="revisionLog154.xml"/><Relationship Id="rId138" Type="http://schemas.openxmlformats.org/officeDocument/2006/relationships/revisionLog" Target="revisionLog138.xml"/><Relationship Id="rId133" Type="http://schemas.openxmlformats.org/officeDocument/2006/relationships/revisionLog" Target="revisionLog133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70" Type="http://schemas.openxmlformats.org/officeDocument/2006/relationships/revisionLog" Target="revisionLog170.xml"/><Relationship Id="rId191" Type="http://schemas.openxmlformats.org/officeDocument/2006/relationships/revisionLog" Target="revisionLog7.xml"/><Relationship Id="rId196" Type="http://schemas.openxmlformats.org/officeDocument/2006/relationships/revisionLog" Target="revisionLog12.xml"/><Relationship Id="rId107" Type="http://schemas.openxmlformats.org/officeDocument/2006/relationships/revisionLog" Target="revisionLog107.xml"/><Relationship Id="rId149" Type="http://schemas.openxmlformats.org/officeDocument/2006/relationships/revisionLog" Target="revisionLog149.xml"/><Relationship Id="rId144" Type="http://schemas.openxmlformats.org/officeDocument/2006/relationships/revisionLog" Target="revisionLog144.xml"/><Relationship Id="rId128" Type="http://schemas.openxmlformats.org/officeDocument/2006/relationships/revisionLog" Target="revisionLog128.xml"/><Relationship Id="rId123" Type="http://schemas.openxmlformats.org/officeDocument/2006/relationships/revisionLog" Target="revisionLog123.xml"/><Relationship Id="rId102" Type="http://schemas.openxmlformats.org/officeDocument/2006/relationships/revisionLog" Target="revisionLog102.xml"/><Relationship Id="rId79" Type="http://schemas.openxmlformats.org/officeDocument/2006/relationships/revisionLog" Target="revisionLog79.xml"/><Relationship Id="rId186" Type="http://schemas.openxmlformats.org/officeDocument/2006/relationships/revisionLog" Target="revisionLog183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165" Type="http://schemas.openxmlformats.org/officeDocument/2006/relationships/revisionLog" Target="revisionLog165.xml"/><Relationship Id="rId181" Type="http://schemas.openxmlformats.org/officeDocument/2006/relationships/revisionLog" Target="revisionLog1.xml"/><Relationship Id="rId139" Type="http://schemas.openxmlformats.org/officeDocument/2006/relationships/revisionLog" Target="revisionLog139.xml"/><Relationship Id="rId134" Type="http://schemas.openxmlformats.org/officeDocument/2006/relationships/revisionLog" Target="revisionLog134.xml"/><Relationship Id="rId118" Type="http://schemas.openxmlformats.org/officeDocument/2006/relationships/revisionLog" Target="revisionLog118.xml"/><Relationship Id="rId113" Type="http://schemas.openxmlformats.org/officeDocument/2006/relationships/revisionLog" Target="revisionLog113.xml"/><Relationship Id="rId100" Type="http://schemas.openxmlformats.org/officeDocument/2006/relationships/revisionLog" Target="revisionLog100.xml"/><Relationship Id="rId168" Type="http://schemas.openxmlformats.org/officeDocument/2006/relationships/revisionLog" Target="revisionLog168.xml"/><Relationship Id="rId147" Type="http://schemas.openxmlformats.org/officeDocument/2006/relationships/revisionLog" Target="revisionLog147.xml"/><Relationship Id="rId126" Type="http://schemas.openxmlformats.org/officeDocument/2006/relationships/revisionLog" Target="revisionLog126.xml"/><Relationship Id="rId105" Type="http://schemas.openxmlformats.org/officeDocument/2006/relationships/revisionLog" Target="revisionLog105.xml"/><Relationship Id="rId77" Type="http://schemas.openxmlformats.org/officeDocument/2006/relationships/revisionLog" Target="revisionLog77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55" Type="http://schemas.openxmlformats.org/officeDocument/2006/relationships/revisionLog" Target="revisionLog155.xml"/><Relationship Id="rId171" Type="http://schemas.openxmlformats.org/officeDocument/2006/relationships/revisionLog" Target="revisionLog171.xml"/><Relationship Id="rId176" Type="http://schemas.openxmlformats.org/officeDocument/2006/relationships/revisionLog" Target="revisionLog176.xml"/><Relationship Id="rId192" Type="http://schemas.openxmlformats.org/officeDocument/2006/relationships/revisionLog" Target="revisionLog8.xml"/><Relationship Id="rId197" Type="http://schemas.openxmlformats.org/officeDocument/2006/relationships/revisionLog" Target="revisionLog13.xml"/><Relationship Id="rId184" Type="http://schemas.openxmlformats.org/officeDocument/2006/relationships/revisionLog" Target="revisionLog181.xml"/><Relationship Id="rId189" Type="http://schemas.openxmlformats.org/officeDocument/2006/relationships/revisionLog" Target="revisionLog5.xml"/><Relationship Id="rId163" Type="http://schemas.openxmlformats.org/officeDocument/2006/relationships/revisionLog" Target="revisionLog163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29" Type="http://schemas.openxmlformats.org/officeDocument/2006/relationships/revisionLog" Target="revisionLog129.xml"/><Relationship Id="rId124" Type="http://schemas.openxmlformats.org/officeDocument/2006/relationships/revisionLog" Target="revisionLog124.xml"/><Relationship Id="rId108" Type="http://schemas.openxmlformats.org/officeDocument/2006/relationships/revisionLog" Target="revisionLog108.xml"/><Relationship Id="rId103" Type="http://schemas.openxmlformats.org/officeDocument/2006/relationships/revisionLog" Target="revisionLog103.xml"/><Relationship Id="rId116" Type="http://schemas.openxmlformats.org/officeDocument/2006/relationships/revisionLog" Target="revisionLog116.xml"/><Relationship Id="rId158" Type="http://schemas.openxmlformats.org/officeDocument/2006/relationships/revisionLog" Target="revisionLog158.xml"/><Relationship Id="rId137" Type="http://schemas.openxmlformats.org/officeDocument/2006/relationships/revisionLog" Target="revisionLog137.xml"/><Relationship Id="rId174" Type="http://schemas.openxmlformats.org/officeDocument/2006/relationships/revisionLog" Target="revisionLog174.xml"/><Relationship Id="rId132" Type="http://schemas.openxmlformats.org/officeDocument/2006/relationships/revisionLog" Target="revisionLog132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45" Type="http://schemas.openxmlformats.org/officeDocument/2006/relationships/revisionLog" Target="revisionLog145.xml"/><Relationship Id="rId161" Type="http://schemas.openxmlformats.org/officeDocument/2006/relationships/revisionLog" Target="revisionLog161.xml"/><Relationship Id="rId166" Type="http://schemas.openxmlformats.org/officeDocument/2006/relationships/revisionLog" Target="revisionLog166.xml"/><Relationship Id="rId182" Type="http://schemas.openxmlformats.org/officeDocument/2006/relationships/revisionLog" Target="revisionLog2.xml"/><Relationship Id="rId187" Type="http://schemas.openxmlformats.org/officeDocument/2006/relationships/revisionLog" Target="revisionLog184.xml"/><Relationship Id="rId195" Type="http://schemas.openxmlformats.org/officeDocument/2006/relationships/revisionLog" Target="revisionLog11.xml"/><Relationship Id="rId179" Type="http://schemas.openxmlformats.org/officeDocument/2006/relationships/revisionLog" Target="revisionLog179.xml"/><Relationship Id="rId153" Type="http://schemas.openxmlformats.org/officeDocument/2006/relationships/revisionLog" Target="revisionLog153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90" Type="http://schemas.openxmlformats.org/officeDocument/2006/relationships/revisionLog" Target="revisionLog6.xml"/><Relationship Id="rId119" Type="http://schemas.openxmlformats.org/officeDocument/2006/relationships/revisionLog" Target="revisionLog119.xml"/><Relationship Id="rId114" Type="http://schemas.openxmlformats.org/officeDocument/2006/relationships/revisionLog" Target="revisionLog114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164" Type="http://schemas.openxmlformats.org/officeDocument/2006/relationships/revisionLog" Target="revisionLog164.xml"/><Relationship Id="rId143" Type="http://schemas.openxmlformats.org/officeDocument/2006/relationships/revisionLog" Target="revisionLog143.xml"/><Relationship Id="rId122" Type="http://schemas.openxmlformats.org/officeDocument/2006/relationships/revisionLog" Target="revisionLog122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35" Type="http://schemas.openxmlformats.org/officeDocument/2006/relationships/revisionLog" Target="revisionLog135.xml"/><Relationship Id="rId151" Type="http://schemas.openxmlformats.org/officeDocument/2006/relationships/revisionLog" Target="revisionLog151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4.xml"/><Relationship Id="rId185" Type="http://schemas.openxmlformats.org/officeDocument/2006/relationships/revisionLog" Target="revisionLog182.xml"/><Relationship Id="rId169" Type="http://schemas.openxmlformats.org/officeDocument/2006/relationships/revisionLog" Target="revisionLog169.xml"/><Relationship Id="rId148" Type="http://schemas.openxmlformats.org/officeDocument/2006/relationships/revisionLog" Target="revisionLog148.xml"/><Relationship Id="rId101" Type="http://schemas.openxmlformats.org/officeDocument/2006/relationships/revisionLog" Target="revisionLog101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80" Type="http://schemas.openxmlformats.org/officeDocument/2006/relationships/revisionLog" Target="revisionLog180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9.xml"/><Relationship Id="rId109" Type="http://schemas.openxmlformats.org/officeDocument/2006/relationships/revisionLog" Target="revisionLog109.xml"/><Relationship Id="rId188" Type="http://schemas.openxmlformats.org/officeDocument/2006/relationships/revisionLog" Target="revisionLog4.xml"/><Relationship Id="rId167" Type="http://schemas.openxmlformats.org/officeDocument/2006/relationships/revisionLog" Target="revisionLog167.xml"/><Relationship Id="rId146" Type="http://schemas.openxmlformats.org/officeDocument/2006/relationships/revisionLog" Target="revisionLog146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120" Type="http://schemas.openxmlformats.org/officeDocument/2006/relationships/revisionLog" Target="revisionLog120.xml"/><Relationship Id="rId125" Type="http://schemas.openxmlformats.org/officeDocument/2006/relationships/revisionLog" Target="revisionLog125.xml"/><Relationship Id="rId141" Type="http://schemas.openxmlformats.org/officeDocument/2006/relationships/revisionLog" Target="revisionLog141.xml"/><Relationship Id="rId183" Type="http://schemas.openxmlformats.org/officeDocument/2006/relationships/revisionLog" Target="revisionLog3.xml"/><Relationship Id="rId162" Type="http://schemas.openxmlformats.org/officeDocument/2006/relationships/revisionLog" Target="revisionLog162.xml"/><Relationship Id="rId92" Type="http://schemas.openxmlformats.org/officeDocument/2006/relationships/revisionLog" Target="revisionLog92.xml"/><Relationship Id="rId178" Type="http://schemas.openxmlformats.org/officeDocument/2006/relationships/revisionLog" Target="revisionLog178.xml"/><Relationship Id="rId157" Type="http://schemas.openxmlformats.org/officeDocument/2006/relationships/revisionLog" Target="revisionLog157.xml"/><Relationship Id="rId136" Type="http://schemas.openxmlformats.org/officeDocument/2006/relationships/revisionLog" Target="revisionLog136.xml"/><Relationship Id="rId131" Type="http://schemas.openxmlformats.org/officeDocument/2006/relationships/revisionLog" Target="revisionLog131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15" Type="http://schemas.openxmlformats.org/officeDocument/2006/relationships/revisionLog" Target="revisionLog115.xml"/><Relationship Id="rId199" Type="http://schemas.openxmlformats.org/officeDocument/2006/relationships/revisionLog" Target="revisionLog15.xml"/><Relationship Id="rId82" Type="http://schemas.openxmlformats.org/officeDocument/2006/relationships/revisionLog" Target="revisionLog82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C22DB22-C3FD-4346-AF67-7B260A62EBC4}" diskRevisions="1" revisionId="5068" version="199">
  <header guid="{77A7F939-73AE-4030-B296-C47D7BE87C9C}" dateTime="2013-06-18T10:20:53" maxSheetId="26" userName="Frido Meijer" r:id="rId75" minRId="185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43CA03F-3FA5-4956-9480-C73EBB9A59E5}" dateTime="2013-06-18T11:21:17" maxSheetId="26" userName="Frido Meijer" r:id="rId76" minRId="185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E4D7DB99-738A-43A7-899C-94516AF5289F}" dateTime="2013-06-18T11:22:20" maxSheetId="26" userName="Frido Meijer" r:id="rId77" minRId="188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24889F9-8A7D-4700-8FBC-3ED3079700B4}" dateTime="2013-06-18T12:03:23" maxSheetId="26" userName="Frido Meijer" r:id="rId78" minRId="1908" maxRId="191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3E8753B4-2F98-4096-8590-B526819F7525}" dateTime="2013-06-18T12:03:51" maxSheetId="26" userName="Frido Meijer" r:id="rId79" minRId="1938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8AEB0D8-B433-4FBF-9A48-46E04C6D1A04}" dateTime="2013-06-18T12:04:58" maxSheetId="26" userName="Frido Meijer" r:id="rId80" minRId="196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2D732C3-CEB8-4B3F-B39E-611CD80404D1}" dateTime="2013-06-18T15:20:40" maxSheetId="26" userName="Frido Meijer" r:id="rId8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75B8A29-271A-4716-B011-E2AD872BE68F}" dateTime="2013-06-18T16:01:06" maxSheetId="26" userName="Frido Meijer" r:id="rId82" minRId="199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FFE313D-7B9D-4CFA-A4C0-8DAB00A12438}" dateTime="2013-06-19T08:54:58" maxSheetId="26" userName="Patrick Janssen" r:id="rId83" minRId="199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EA35FDA-35AF-4C3F-909E-B5EB1DD6AE1E}" dateTime="2013-06-19T09:11:11" maxSheetId="26" userName="Frido Meijer" r:id="rId84" minRId="2029" maxRId="203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A5B4222-A752-411B-98CB-8BF357F94940}" dateTime="2013-06-19T12:16:20" maxSheetId="26" userName="Patrick Janssen" r:id="rId85" minRId="2059" maxRId="206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4F52467-5E8A-4088-8835-F2C3C02D4098}" dateTime="2013-06-19T12:17:37" maxSheetId="26" userName="Patrick Janssen" r:id="rId86" minRId="2094" maxRId="209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9F1A07A8-191B-4AF0-BAB7-D049E58825C5}" dateTime="2013-06-19T12:23:23" maxSheetId="26" userName="Patrick Janssen" r:id="rId87" minRId="209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ACBB7A1B-05AE-43C0-9D79-F8C8810E7195}" dateTime="2013-06-19T13:43:26" maxSheetId="26" userName="Patrick Janssen" r:id="rId88" minRId="2129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E2B15232-BEBC-432B-B52C-3CEE3E817E8E}" dateTime="2013-06-19T13:50:57" maxSheetId="26" userName="Patrick Janssen" r:id="rId89" minRId="2130" maxRId="213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C4B1F4AE-35AC-4360-99B8-CE4201EC3F60}" dateTime="2013-06-19T13:56:05" maxSheetId="26" userName="Patrick Janssen" r:id="rId90" minRId="2165" maxRId="216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EC2DFF6-CB64-44FA-A12F-EE2075E30A1D}" dateTime="2013-06-19T16:26:18" maxSheetId="26" userName="Patrick Janssen" r:id="rId91" minRId="216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AA522B6A-542D-426E-BDFE-9C3147A07662}" dateTime="2013-06-19T16:29:28" maxSheetId="26" userName="Patrick Janssen" r:id="rId9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4043BE5-B4E3-42C8-932A-94CEE95513C9}" dateTime="2013-06-20T08:16:20" maxSheetId="26" userName="Patrick Janssen" r:id="rId93" minRId="220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9B9B0A9C-BD10-4F50-A876-09ECFDFAAE0A}" dateTime="2013-06-20T09:33:05" maxSheetId="26" userName="Patrick Janssen" r:id="rId94" minRId="2233" maxRId="223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12644F5-5EA4-46A2-A1E9-C264E34F4948}" dateTime="2013-06-20T09:42:17" maxSheetId="26" userName="Frido Meijer" r:id="rId9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A212816D-270D-4F5A-AAC8-9BE00F242BB6}" dateTime="2013-06-20T09:43:09" maxSheetId="26" userName="Frido Meijer" r:id="rId96" minRId="226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6BE806D-5628-463A-8620-8BF13C8D3421}" dateTime="2013-06-20T09:43:39" maxSheetId="26" userName="Frido Meijer" r:id="rId97" minRId="2292" maxRId="229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6EBB536-E0C7-4695-8970-CAEA613EFE03}" dateTime="2013-06-20T09:52:15" maxSheetId="26" userName="Frido Meijer" r:id="rId98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F9B1498D-504A-4D2C-9187-1F355FE25C72}" dateTime="2013-06-20T11:09:43" maxSheetId="26" userName="Patrick Ziesen" r:id="rId99" minRId="232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9D886F66-E67A-4514-A7D4-767272D33DC1}" dateTime="2013-06-20T11:28:00" maxSheetId="26" userName="Patrick Janssen" r:id="rId100" minRId="235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3DCC1E4-124D-47F3-A3E2-F9EB2E020B09}" dateTime="2013-06-20T11:28:10" maxSheetId="26" userName="Patrick Janssen" r:id="rId10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292518C-B6E8-4E56-8065-3A342C338DF7}" dateTime="2013-06-20T13:20:58" maxSheetId="26" userName="Patrick Ziesen" r:id="rId102" minRId="239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1CF57C1-5AD9-423C-9D01-8FC066A4ECC1}" dateTime="2013-06-20T13:54:47" maxSheetId="26" userName="Frido Meijer" r:id="rId10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F64E309B-08E5-4E13-B9E6-3D28C1EE7F34}" dateTime="2013-06-20T14:55:02" maxSheetId="26" userName="Patrick Janssen" r:id="rId104" minRId="245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9FE189EE-38AA-4DC4-ADFD-763E6C94AB11}" dateTime="2013-06-20T15:39:34" maxSheetId="26" userName="Patrick Ziesen" r:id="rId105" minRId="248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BCF4B231-AB9C-4D17-AABF-5CFD2A9258E3}" dateTime="2013-06-20T16:17:19" maxSheetId="26" userName="Patrick Janssen" r:id="rId10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DCC8F50F-850B-4AB0-8931-0265933F51C0}" dateTime="2013-06-20T16:27:08" maxSheetId="26" userName="Patrick Janssen" r:id="rId107" minRId="255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3501BE92-FBC4-4AB4-A691-1A8057345FFB}" dateTime="2013-06-21T08:34:57" maxSheetId="26" userName="Patrick Janssen" r:id="rId108" minRId="2586" maxRId="258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5BD9E86-CEB2-435F-94C3-0534F2EBD1BF}" dateTime="2013-06-21T08:35:07" maxSheetId="26" userName="Patrick Janssen" r:id="rId109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2FE9332-C985-40E4-970B-161EDE6FE164}" dateTime="2013-06-21T08:46:01" maxSheetId="26" userName="Patrick Janssen" r:id="rId110" minRId="265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9E7DF48A-F90F-41C9-A161-4DBBDB4DCC8D}" dateTime="2013-06-21T09:35:04" maxSheetId="26" userName="Frido Meijer" r:id="rId111" minRId="268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3114C2E1-C8E7-452E-9D72-C3C6609EFA2F}" dateTime="2013-06-21T09:51:36" maxSheetId="26" userName="Frido Meijer" r:id="rId112" minRId="2714" maxRId="271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3A033F35-E0CC-488A-8246-ECAA75F9434F}" dateTime="2013-06-21T09:51:41" maxSheetId="26" userName="Frido Meijer" r:id="rId11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949FC6C6-305C-4B2D-8E66-124EADFD47EF}" dateTime="2013-06-21T10:22:29" maxSheetId="26" userName="Patrick Janssen" r:id="rId114" minRId="2772" maxRId="277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4CCBC85-A698-4D41-A636-DEDB27245CE1}" dateTime="2013-06-21T11:23:29" maxSheetId="26" userName="Frido Meijer" r:id="rId115" minRId="280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2F11F35-BF50-48B2-ADDF-B3CD7274EDD4}" dateTime="2013-06-21T12:03:55" maxSheetId="26" userName="Patrick Janssen" r:id="rId11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DCF52CD0-4C71-4960-8AF7-1058553BEC54}" dateTime="2013-06-21T12:25:14" maxSheetId="26" userName="Frido Meijer" r:id="rId117" minRId="283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6BEA7D9-87E8-42D5-9558-F52BB3C12726}" dateTime="2013-06-24T09:31:50" maxSheetId="26" userName="Frido Meijer" r:id="rId118" minRId="2864" maxRId="286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B2CE04F7-75D3-4C46-A921-AFAA28509997}" dateTime="2013-06-24T09:41:50" maxSheetId="26" userName="Frido Meijer" r:id="rId119" minRId="2894" maxRId="289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C318CFD0-3C47-4DE3-BA52-4F773E48713A}" dateTime="2013-06-24T09:48:36" maxSheetId="26" userName="Frido Meijer" r:id="rId120" minRId="2926" maxRId="293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C2880C55-116F-4E6E-8D2A-93BB8C383B1C}" dateTime="2013-06-24T09:48:48" maxSheetId="26" userName="Frido Meijer" r:id="rId121" minRId="293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B5390268-E07A-4C3E-A2B2-6D709ECDCD6A}" dateTime="2013-06-24T17:16:58" maxSheetId="26" userName="Frido Meijer" r:id="rId122" minRId="293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6953287-B5D9-4837-AF1E-8BDCD0E41460}" dateTime="2013-06-24T17:17:30" maxSheetId="26" userName="Frido Meijer" r:id="rId123" minRId="293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FA017A6-3D7B-4DD8-AE25-DB0BB2E36969}" dateTime="2013-06-25T08:10:27" maxSheetId="26" userName="Patrick Janssen" r:id="rId124" minRId="2934" maxRId="293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A444FB29-00A4-400A-967F-C47629E0CB78}" dateTime="2013-06-25T10:02:34" maxSheetId="26" userName="Frido Meijer" r:id="rId125" minRId="2968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987B363D-4D65-4C0D-AE80-5A61CFF11768}" dateTime="2013-06-25T11:25:29" maxSheetId="26" userName="Patrick Janssen" r:id="rId126" minRId="299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6BAC586-2C09-479D-8E20-CC1AD7FF64D3}" dateTime="2013-06-26T09:04:21" maxSheetId="26" userName="Patrick Janssen" r:id="rId127" minRId="2998" maxRId="300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014F267-8AE1-4813-B5A1-5E83F7C35409}" dateTime="2013-06-26T09:10:20" maxSheetId="26" userName="Frido Meijer" r:id="rId128" minRId="303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C6B7289C-EF27-48EB-BD0B-D9AA9779828C}" dateTime="2013-06-26T09:21:51" maxSheetId="26" userName="Patrick Janssen" r:id="rId129" minRId="306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D6FEFD58-D8A4-410D-8868-8F879332B281}" dateTime="2013-06-26T09:26:57" maxSheetId="26" userName="Frido Meijer" r:id="rId13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953243D-AE44-44EF-8290-B42F88259811}" dateTime="2013-06-26T09:30:19" maxSheetId="26" userName="Patrick Janssen" r:id="rId13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EA887875-9BAC-4FD1-AFE8-8A27919E2C3E}" dateTime="2013-06-26T09:30:48" maxSheetId="26" userName="Frido Meijer" r:id="rId132" minRId="3155" maxRId="315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436187AD-50E3-4C1A-BB9C-3979AC1ABFB9}" dateTime="2013-06-26T15:03:29" maxSheetId="26" userName="Patrick Ziesen" r:id="rId133" minRId="318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B023D2D4-57C4-4F11-A3E5-EDFC0FFDAC45}" dateTime="2013-06-26T15:46:48" maxSheetId="26" userName="Frido Meijer" r:id="rId13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DD5C3056-C744-4957-A922-43C881BA92CA}" dateTime="2013-06-27T09:13:06" maxSheetId="26" userName="Frido Meijer" r:id="rId135" minRId="3248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1BFEBC4-8AE1-423E-A93B-07F05B0FF8DF}" dateTime="2013-06-27T09:13:40" maxSheetId="26" userName="Frido Meijer" r:id="rId136" minRId="327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FCE3FB0-6303-4FBE-9C3C-490B912AFA56}" dateTime="2013-06-27T10:02:44" maxSheetId="26" userName="Patrick Janssen" r:id="rId137" minRId="3278" maxRId="328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F54591DB-6472-42BB-AFBA-3945D2FA5EA3}" dateTime="2013-06-27T10:24:25" maxSheetId="26" userName="Frido Meijer" r:id="rId138" minRId="331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40F3FFC8-AC2F-42C9-A42F-D181D989871C}" dateTime="2013-06-27T14:49:49" maxSheetId="26" userName="Patrick Ziesen" r:id="rId139" minRId="334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7E21884C-A5EA-4C0F-83E3-3D17FCDAA34F}" dateTime="2013-06-27T17:28:42" maxSheetId="26" userName="Patrick Ziesen" r:id="rId140" minRId="3378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7D5F2B0-2F85-41C7-BBC0-1EC390747C7D}" dateTime="2013-06-28T08:31:39" maxSheetId="26" userName="Patrick Janssen" r:id="rId141" minRId="341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390579E-9CFA-47A8-99DB-55A8F7F27708}" dateTime="2013-06-28T09:25:54" maxSheetId="26" userName="Patrick Janssen" r:id="rId142" minRId="3446" maxRId="344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D49CC894-38C9-45B1-8528-3AD44E097970}" dateTime="2013-06-28T09:42:42" maxSheetId="26" userName="Frido Meijer" r:id="rId143" minRId="3479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4BA990C6-EF43-42F5-8BF9-10C8F586DCE6}" dateTime="2013-06-28T09:43:06" maxSheetId="26" userName="Frido Meijer" r:id="rId14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24E4692-B434-490B-8AAE-D4CEE70CFBBA}" dateTime="2013-06-28T09:54:35" maxSheetId="26" userName="Frido Meijer" r:id="rId145" minRId="353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F65C4D90-B0B4-4D41-A1B9-EB8F961EB0C0}" dateTime="2013-06-28T16:00:56" maxSheetId="26" userName="Frido Meijer" r:id="rId146" minRId="356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CFB8BE9C-AD88-4D8D-8697-079173BD30D6}" dateTime="2013-06-28T17:24:50" maxSheetId="26" userName="Frido Meijer" r:id="rId147" minRId="359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C7A1C55-16C5-4592-96B5-A5863817B05B}" dateTime="2013-07-01T08:38:39" maxSheetId="26" userName="Patrick Ziesen" r:id="rId148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51192CB-1B55-4C70-A82F-A72A42E2BD7D}" dateTime="2013-07-01T09:23:45" maxSheetId="26" userName="Patrick Ziesen" r:id="rId149" minRId="365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4F1A6410-6361-4127-9DDB-7DFCDC8AFD92}" dateTime="2013-07-01T09:24:56" maxSheetId="26" userName="Patrick Ziesen" r:id="rId15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28CDD5E9-C9AA-42BD-BE6D-D282A369C431}" dateTime="2013-07-01T09:27:11" maxSheetId="26" userName="Patrick Ziesen" r:id="rId15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959A19BE-9887-444C-A973-6D420860A378}" dateTime="2013-07-01T09:32:18" maxSheetId="26" userName="Patrick Ziesen" r:id="rId152" minRId="375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7FCD69EB-9453-4D8E-AEED-5A7246E0AE01}" dateTime="2013-07-01T09:41:21" maxSheetId="26" userName="Patrick Ziesen" r:id="rId153" minRId="379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78E9B38F-BA6A-4DBB-BEA1-893EE9FE0E49}" dateTime="2013-07-01T11:31:37" maxSheetId="26" userName="Patrick Ziesen" r:id="rId154" minRId="382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F0FC80B-2C62-4D61-8226-ADEA0D5387EF}" dateTime="2013-07-01T12:06:55" maxSheetId="26" userName="Patrick Ziesen" r:id="rId155" minRId="3826" maxRId="382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E8D6529B-DD83-4C70-BEFE-86A2C76C4D94}" dateTime="2013-07-01T12:16:05" maxSheetId="26" userName="Patrick Ziesen" r:id="rId156" minRId="3861" maxRId="386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59A548E-8833-4D27-BD16-FFF14147D28F}" dateTime="2013-07-01T13:08:14" maxSheetId="26" userName="Patrick Ziesen" r:id="rId157" minRId="3863" maxRId="388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F9E0EAB-E6F5-40AF-A256-4FAAB5AC47AD}" dateTime="2013-07-01T18:10:21" maxSheetId="26" userName="Patrick Ziesen" r:id="rId158" minRId="392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A3765C63-B3D7-4898-9434-0821F3BE8BE1}" dateTime="2013-07-01T18:11:03" maxSheetId="26" userName="Patrick Ziesen" r:id="rId159" minRId="395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3877E45-7E55-40D0-8EB1-B53A64E66F88}" dateTime="2013-07-02T08:38:47" maxSheetId="26" userName="Patrick Ziesen" r:id="rId16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28E9655F-7305-49AE-A758-5B8805CE4FE9}" dateTime="2013-07-02T09:07:03" maxSheetId="26" userName="Patrick Ziesen" r:id="rId16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29D12B4-D268-420C-9E43-454011D4A5A6}" dateTime="2013-07-02T09:41:11" maxSheetId="26" userName="Patrick Ziesen" r:id="rId162" minRId="4021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D0803EA-26F9-406A-A908-1D7D1E825A10}" dateTime="2013-07-02T12:57:11" maxSheetId="26" userName="Patrick Ziesen" r:id="rId163" minRId="405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295B485-4586-43FC-866E-6296A7FF678E}" dateTime="2013-07-03T08:21:07" maxSheetId="26" userName="Patrick Ziesen" r:id="rId16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4A72D675-4680-4DB3-926C-A463DCD13189}" dateTime="2013-07-03T08:24:57" maxSheetId="26" userName="Patrick Ziesen" r:id="rId165" minRId="4089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F2BAC9E-2EA6-4260-BE27-E8566F9DE8D7}" dateTime="2013-07-03T08:33:35" maxSheetId="26" userName="Patrick Ziesen" r:id="rId166" minRId="409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BB075A7-AFA9-4B09-8B51-872058568814}" dateTime="2013-07-03T08:33:41" maxSheetId="26" userName="Patrick Ziesen" r:id="rId167" minRId="412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7AB401F-3203-4EA4-A060-96B94F5A2F29}" dateTime="2013-07-03T09:23:02" maxSheetId="26" userName="Patrick Ziesen" r:id="rId168" minRId="412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207F6EDA-4280-414F-9E7D-31597B29878E}" dateTime="2013-07-03T09:27:23" maxSheetId="26" userName="Patrick Ziesen" r:id="rId169" minRId="4159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1585917-85C7-47A4-B6F9-AAE3BB42A6C7}" dateTime="2013-07-03T13:39:55" maxSheetId="26" userName="Patrick Ziesen" r:id="rId170" minRId="419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DA2B9A0-9981-497B-B8CB-FD91D2597683}" dateTime="2013-07-03T17:52:18" maxSheetId="26" userName="Patrick Ziesen" r:id="rId171" minRId="422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70CF9BA3-B906-4525-A9E3-C3D679B7EF0E}" dateTime="2013-07-04T08:24:17" maxSheetId="26" userName="Patrick Ziesen" r:id="rId17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7892E16E-4ECD-4061-90C3-FDBEC92AFE56}" dateTime="2013-07-04T09:10:33" maxSheetId="26" userName="Patrick Ziesen" r:id="rId173" minRId="4294" maxRId="429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A18BCDB8-FC04-4387-9809-5FB6A85C3106}" dateTime="2013-07-04T09:36:56" maxSheetId="26" userName="Patrick Ziesen" r:id="rId174" minRId="4329" maxRId="433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03D79A9-BC3D-4620-AA40-6361D2F5BC4A}" dateTime="2013-07-04T09:38:27" maxSheetId="26" userName="Patrick Ziesen" r:id="rId17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7372C623-E729-4231-BA24-CF54DC4F6A38}" dateTime="2013-07-04T10:37:32" maxSheetId="26" userName="Patrick Ziesen" r:id="rId176" minRId="439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141C189C-6EA8-4D7A-81DB-5AEE568E1646}" dateTime="2013-07-04T11:15:14" maxSheetId="26" userName="Patrick Ziesen" r:id="rId177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7BFEB1C6-449F-420B-92B1-44608D211D9E}" dateTime="2013-07-04T11:45:06" maxSheetId="26" userName="Patrick Ziesen" r:id="rId178" minRId="4464" maxRId="446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5A29300A-E543-4B3B-A1DA-CB612BBE8FF7}" dateTime="2013-07-04T14:21:40" maxSheetId="26" userName="Patrick Ziesen" r:id="rId179" minRId="450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7BD0771-A1E5-4D6A-A971-A759E2E63B90}" dateTime="2013-07-05T08:09:05" maxSheetId="26" userName="Frido Meijer" r:id="rId180" minRId="453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9FA91D5-9110-47E8-9405-966E49CD08F9}" dateTime="2013-07-05T09:35:35" maxSheetId="26" userName="Frido Meijer" r:id="rId181" minRId="4563" maxRId="457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EECA3BA9-8CC1-4A65-8AA0-3396E15E1D0A}" dateTime="2013-07-05T10:05:29" maxSheetId="26" userName="Frido Meijer" r:id="rId182" minRId="4601" maxRId="460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96330C7-CDCF-4AAA-94C7-53828ED958C2}" dateTime="2013-07-05T15:35:56" maxSheetId="26" userName="Frido Meijer" r:id="rId183" minRId="460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7F0BFC5-774F-4A34-9E75-F89976B44F45}" dateTime="2013-07-05T15:37:08" maxSheetId="26" userName="Frido Meijer" r:id="rId184" minRId="463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625334D5-DC20-40A0-BBF0-9F2D67773C0C}" dateTime="2013-07-05T15:37:50" maxSheetId="26" userName="Frido Meijer" r:id="rId18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0CF85143-5C3F-49E0-9867-551FCC30B90A}" dateTime="2013-07-05T15:38:00" maxSheetId="26" userName="Frido Meijer" r:id="rId18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31E05293-10A2-4C15-8740-9378A3ADE89F}" dateTime="2013-07-08T09:31:08" maxSheetId="26" userName="Frido Meijer" r:id="rId187" minRId="469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73D68161-2D07-4CD0-B25D-9F0CEC53B845}" dateTime="2013-07-08T09:41:43" maxSheetId="26" userName="Frido Meijer" r:id="rId188" minRId="472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C941AD5E-179A-4982-B9ED-DAB3D7906063}" dateTime="2013-07-08T10:39:17" maxSheetId="26" userName="Patrick Ziesen" r:id="rId189" minRId="4727" maxRId="4728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3A999A0B-76EA-4925-83C8-BCF75EBCABBA}" dateTime="2013-07-08T11:00:37" maxSheetId="26" userName="Patrick Ziesen" r:id="rId190" minRId="476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3698F133-9C6D-40F8-BFB7-C1AA4350CA08}" dateTime="2013-07-08T12:16:39" maxSheetId="26" userName="Frido Meijer" r:id="rId191" minRId="4796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336052C4-4AD7-4895-A43D-99B773650A68}" dateTime="2013-07-08T13:17:22" maxSheetId="26" userName="Frido Meijer" r:id="rId19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C31AF30D-9FF5-44EC-9D77-1389CF5EECA3}" dateTime="2013-07-08T15:38:39" maxSheetId="26" userName="Patrick Ziesen" r:id="rId193" minRId="4860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7E8CDBEC-F00F-4F66-B4E1-C905012C6112}" dateTime="2013-07-09T09:45:06" maxSheetId="26" userName="Frido Meijer" r:id="rId194" minRId="4894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FDA37057-B11B-471D-8361-4A07FEFE3926}" dateTime="2013-07-09T09:57:42" maxSheetId="26" userName="Patrick Ziesen" r:id="rId195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A77AEC9A-9F38-47B9-918A-2C0893285F82}" dateTime="2013-07-09T10:09:36" maxSheetId="26" userName="Patrick Ziesen" r:id="rId196" minRId="4928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43BB0D10-67D8-4574-ADC3-2B155449C2C5}" dateTime="2013-07-09T10:22:48" maxSheetId="26" userName="Frido Meijer" r:id="rId197" minRId="4962" maxRId="4963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AEB1E50D-69E7-4541-AEE8-D27234A2475D}" dateTime="2013-07-09T11:01:32" maxSheetId="26" userName="Patrick Ziesen" r:id="rId198" minRId="4997" maxRId="5002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  <header guid="{8C22DB22-C3FD-4346-AF67-7B260A62EBC4}" dateTime="2013-07-09T11:01:43" maxSheetId="26" userName="Patrick Ziesen" r:id="rId199">
    <sheetIdMap count="2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3" sId="18">
    <nc r="V100">
      <v>8</v>
    </nc>
  </rcc>
  <rcc rId="4564" sId="18">
    <nc r="W100">
      <v>8</v>
    </nc>
  </rcc>
  <rcc rId="4565" sId="18">
    <nc r="X100">
      <v>8</v>
    </nc>
  </rcc>
  <rcc rId="4566" sId="18">
    <nc r="Y100">
      <v>8</v>
    </nc>
  </rcc>
  <rcc rId="4567" sId="18">
    <nc r="Z100">
      <v>8</v>
    </nc>
  </rcc>
  <rcmt sheetId="18" cell="V100" guid="{00000000-0000-0000-0000-000000000000}" action="delete" author="Frido Meijer"/>
  <rcc rId="4568" sId="18">
    <nc r="AC100">
      <v>8</v>
    </nc>
  </rcc>
  <rcc rId="4569" sId="18">
    <nc r="AD100">
      <v>8</v>
    </nc>
  </rcc>
  <rcc rId="4570" sId="18">
    <nc r="AE100">
      <v>8</v>
    </nc>
  </rcc>
  <rcc rId="4571" sId="18">
    <nc r="AF100">
      <v>8</v>
    </nc>
  </rcc>
  <rcc rId="4572" sId="18">
    <nc r="AG100">
      <v>8</v>
    </nc>
  </rcc>
  <rcmt sheetId="18" cell="V100" guid="{A8EDBE41-35A7-42D1-909B-1AC71FBED2ED}" author="Frido Meijer" newLength="25"/>
  <rcmt sheetId="18" cell="W100" guid="{3A078014-60F2-449C-AE96-1AF1406945FF}" author="Frido Meijer" newLength="25"/>
  <rcmt sheetId="18" cell="X100" guid="{342E2369-5097-4232-BDC3-0A08B67428D5}" author="Frido Meijer" newLength="25"/>
  <rcmt sheetId="18" cell="Y100" guid="{82227F7F-53F6-4D4C-B893-76D7EB01FA97}" author="Frido Meijer" newLength="25"/>
  <rcmt sheetId="18" cell="Z100" guid="{1BA91606-16DF-4C15-B3AA-C1D37C550781}" author="Frido Meijer" newLength="25"/>
  <rcmt sheetId="18" cell="AC100" guid="{8C42EFCB-BCDE-4E24-987C-531CEA636413}" author="Frido Meijer" newLength="25"/>
  <rcmt sheetId="18" cell="AD100" guid="{685C8BAB-CDD2-4635-AA85-C2F08C6BE6A4}" author="Frido Meijer" newLength="25"/>
  <rcmt sheetId="18" cell="AE100" guid="{D4432468-C3D4-4D10-A36B-5CBC6F56847A}" author="Frido Meijer" newLength="25"/>
  <rcmt sheetId="18" cell="AF100" guid="{5331A68B-69E0-4195-8059-14359871E1CB}" author="Frido Meijer" newLength="25"/>
  <rcmt sheetId="18" cell="AG100" guid="{12FE527B-021D-46A4-82F8-B6E91C37A997}" author="Frido Meijer" newLength="25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4" sId="6">
    <oc r="I16">
      <f>-8-8-8-8+1.5+0.5-8-8-8</f>
    </oc>
    <nc r="I16">
      <f>-8-8-8-8+1.5+0.5+0.5-8-8-8</f>
    </nc>
  </rcc>
  <rcmt sheetId="6" cell="I16" guid="{00000000-0000-0000-0000-000000000000}" action="delete" author="Frido Meijer"/>
  <rcmt sheetId="6" cell="I16" guid="{428C886F-0DC8-490A-9617-81E0CE6A772C}" author="Frido Meijer" newLength="213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7" sId="16">
    <oc r="W25">
      <v>4</v>
    </oc>
    <nc r="W25">
      <v>8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0" sId="16">
    <nc r="X145">
      <v>4</v>
    </nc>
  </rcc>
  <rcmt sheetId="16" cell="X145" guid="{89328A77-3660-4B92-B369-7B34E70F0F77}" author="Patrick Ziesen" newLength="32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Rows" hidden="1" oldHidden="1">
    <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formula>
    <old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July!$B$4:$AJ$140</formula>
    <oldFormula>July!$B$4:$AJ$140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August!$B$4:$AJ$140</formula>
    <oldFormula>August!$B$4:$AJ$140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H32" start="0" length="0">
    <dxf>
      <numFmt numFmtId="2" formatCode="0.00"/>
    </dxf>
  </rfmt>
  <rcc rId="2453" sId="6">
    <oc r="H32">
      <f>0.25+0.25-0.75+0.25</f>
    </oc>
    <nc r="H32">
      <f>0.25+0.25-0.75+0.25+0.25</f>
    </nc>
  </rcc>
  <rcmt sheetId="6" cell="H32" guid="{4E2D9A5C-B092-4073-A9DB-DADCADB8AB95}" author="Patrick Janssen" oldLength="115" newLength="33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6" sId="16">
    <oc r="W130">
      <v>2</v>
    </oc>
    <nc r="W130">
      <v>2.5</v>
    </nc>
  </rcc>
  <rfmt sheetId="16" sqref="W130">
    <dxf>
      <numFmt numFmtId="2" formatCode="0.00"/>
    </dxf>
  </rfmt>
  <rcmt sheetId="16" cell="W130" guid="{00000000-0000-0000-0000-000000000000}" action="delete" author="Patrick Ziesen"/>
  <rcmt sheetId="16" cell="W130" guid="{F14997E0-F405-4F6E-A7E1-2027F0E24742}" author="Patrick Ziesen" newLength="35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Rows" hidden="1" oldHidden="1">
    <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formula>
    <old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July!$B$4:$AJ$140</formula>
    <oldFormula>July!$B$4:$AJ$140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August!$B$4:$AJ$140</formula>
    <oldFormula>August!$B$4:$AJ$140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3" sId="16">
    <nc r="AA45">
      <v>8</v>
    </nc>
  </rcc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6" sId="16">
    <nc r="X45">
      <v>0</v>
    </nc>
  </rcc>
  <rcc rId="2587" sId="16">
    <nc r="X49">
      <v>0.2</v>
    </nc>
  </rcc>
  <rfmt sheetId="16" sqref="X49" start="0" length="2147483647">
    <dxf>
      <font>
        <sz val="8"/>
      </font>
    </dxf>
  </rfmt>
  <rfmt sheetId="16" sqref="X49" start="0" length="2147483647">
    <dxf>
      <font>
        <sz val="9"/>
      </font>
    </dxf>
  </rfmt>
  <rfmt sheetId="16" sqref="X49">
    <dxf>
      <numFmt numFmtId="1" formatCode="0"/>
    </dxf>
  </rfmt>
  <rfmt sheetId="16" sqref="X49">
    <dxf>
      <numFmt numFmtId="165" formatCode="0.0"/>
    </dxf>
  </rfmt>
  <rcmt sheetId="16" cell="X45" guid="{E63D962D-2572-4B43-A21A-040917D5A6C1}" author="Patrick Janssen" newLength="22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7" cell="L60" guid="{819E8902-FDD3-4642-9D7D-CD45B7D3A6C8}" author="Patrick Ziesen" newLength="40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2" sId="6">
    <oc r="H32">
      <f>0.25+0.25-0.75+0.25+0.25</f>
    </oc>
    <nc r="H32">
      <f>0.25+0.25-0.75+0.25+0.25+0.25</f>
    </nc>
  </rcc>
  <rcmt sheetId="6" cell="H32" guid="{5547222D-CBC4-4DD2-B0A4-23F2027BD596}" author="Patrick Janssen" oldLength="148" newLength="33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685" sheetId="18" source="E115:I115" destination="V115:Z115" sourceSheetId="19">
    <rfmt sheetId="18" sqref="V11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rgb="FFFFFFCC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W11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rgb="FFFFFFCC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X11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rgb="FFFFFFCC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Y11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rgb="FFFFFFCC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8" sqref="Z115" start="0" length="0">
      <dxf>
        <font>
          <b/>
          <sz val="9"/>
          <color theme="1"/>
          <name val="Calibri"/>
          <scheme val="minor"/>
        </font>
        <fill>
          <patternFill patternType="solid">
            <bgColor rgb="FFFFFFCC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mt sheetId="19" cell="E115" guid="{00000000-0000-0000-0000-000000000000}" action="delete" author="Patrick Janssen"/>
  <rcmt sheetId="19" cell="F115" guid="{00000000-0000-0000-0000-000000000000}" action="delete" author="Patrick Janssen"/>
  <rcmt sheetId="19" cell="G115" guid="{00000000-0000-0000-0000-000000000000}" action="delete" author="Patrick Janssen"/>
  <rcmt sheetId="19" cell="H115" guid="{00000000-0000-0000-0000-000000000000}" action="delete" author="Patrick Janssen"/>
  <rcmt sheetId="19" cell="I115" guid="{00000000-0000-0000-0000-000000000000}" action="delete" author="Patrick Janssen"/>
  <rfmt sheetId="19" sqref="E111" start="0" length="0">
    <dxf>
      <fill>
        <patternFill>
          <bgColor rgb="FFFFFFCC"/>
        </patternFill>
      </fill>
    </dxf>
  </rfmt>
  <rfmt sheetId="19" sqref="F111" start="0" length="0">
    <dxf>
      <fill>
        <patternFill>
          <bgColor rgb="FFFFFFCC"/>
        </patternFill>
      </fill>
    </dxf>
  </rfmt>
  <rfmt sheetId="19" sqref="G111" start="0" length="0">
    <dxf>
      <fill>
        <patternFill>
          <bgColor rgb="FFFFFFCC"/>
        </patternFill>
      </fill>
    </dxf>
  </rfmt>
  <rfmt sheetId="19" sqref="H111" start="0" length="0">
    <dxf>
      <fill>
        <patternFill>
          <bgColor rgb="FFFFFFCC"/>
        </patternFill>
      </fill>
    </dxf>
  </rfmt>
  <rfmt sheetId="19" sqref="I111" start="0" length="0">
    <dxf>
      <fill>
        <patternFill>
          <bgColor rgb="FFFFFFCC"/>
        </patternFill>
      </fill>
    </dxf>
  </rfmt>
  <rfmt sheetId="19" sqref="E112" start="0" length="0">
    <dxf>
      <fill>
        <patternFill>
          <bgColor rgb="FFFFFFCC"/>
        </patternFill>
      </fill>
    </dxf>
  </rfmt>
  <rfmt sheetId="19" sqref="F112" start="0" length="0">
    <dxf>
      <fill>
        <patternFill>
          <bgColor rgb="FFFFFFCC"/>
        </patternFill>
      </fill>
    </dxf>
  </rfmt>
  <rfmt sheetId="19" sqref="G112" start="0" length="0">
    <dxf>
      <fill>
        <patternFill>
          <bgColor rgb="FFFFFFCC"/>
        </patternFill>
      </fill>
    </dxf>
  </rfmt>
  <rfmt sheetId="19" sqref="H112" start="0" length="0">
    <dxf>
      <fill>
        <patternFill>
          <bgColor rgb="FFFFFFCC"/>
        </patternFill>
      </fill>
    </dxf>
  </rfmt>
  <rfmt sheetId="19" sqref="I112" start="0" length="0">
    <dxf>
      <fill>
        <patternFill>
          <bgColor rgb="FFFFFFCC"/>
        </patternFill>
      </fill>
    </dxf>
  </rfmt>
  <rfmt sheetId="19" sqref="E113" start="0" length="0">
    <dxf>
      <fill>
        <patternFill>
          <bgColor rgb="FFFFFFCC"/>
        </patternFill>
      </fill>
    </dxf>
  </rfmt>
  <rfmt sheetId="19" sqref="F113" start="0" length="0">
    <dxf>
      <fill>
        <patternFill>
          <bgColor rgb="FFFFFFCC"/>
        </patternFill>
      </fill>
    </dxf>
  </rfmt>
  <rfmt sheetId="19" sqref="G113" start="0" length="0">
    <dxf>
      <fill>
        <patternFill>
          <bgColor rgb="FFFFFFCC"/>
        </patternFill>
      </fill>
    </dxf>
  </rfmt>
  <rfmt sheetId="19" sqref="H113" start="0" length="0">
    <dxf>
      <fill>
        <patternFill>
          <bgColor rgb="FFFFFFCC"/>
        </patternFill>
      </fill>
    </dxf>
  </rfmt>
  <rfmt sheetId="19" sqref="I113" start="0" length="0">
    <dxf>
      <fill>
        <patternFill>
          <bgColor rgb="FFFFFFCC"/>
        </patternFill>
      </fill>
    </dxf>
  </rfmt>
  <rfmt sheetId="19" sqref="E114" start="0" length="0">
    <dxf>
      <fill>
        <patternFill>
          <bgColor rgb="FFFFFFCC"/>
        </patternFill>
      </fill>
      <border outline="0">
        <bottom style="thin">
          <color indexed="64"/>
        </bottom>
      </border>
    </dxf>
  </rfmt>
  <rfmt sheetId="19" sqref="F114" start="0" length="0">
    <dxf>
      <fill>
        <patternFill>
          <bgColor rgb="FFFFFFCC"/>
        </patternFill>
      </fill>
      <border outline="0">
        <bottom style="thin">
          <color indexed="64"/>
        </bottom>
      </border>
    </dxf>
  </rfmt>
  <rfmt sheetId="19" sqref="G114" start="0" length="0">
    <dxf>
      <fill>
        <patternFill>
          <bgColor rgb="FFFFFFCC"/>
        </patternFill>
      </fill>
      <border outline="0">
        <bottom style="thin">
          <color indexed="64"/>
        </bottom>
      </border>
    </dxf>
  </rfmt>
  <rfmt sheetId="19" sqref="H114" start="0" length="0">
    <dxf>
      <fill>
        <patternFill>
          <bgColor rgb="FFFFFFCC"/>
        </patternFill>
      </fill>
      <border outline="0">
        <bottom style="thin">
          <color indexed="64"/>
        </bottom>
      </border>
    </dxf>
  </rfmt>
  <rfmt sheetId="19" sqref="I114" start="0" length="0">
    <dxf>
      <fill>
        <patternFill>
          <bgColor rgb="FFFFFFCC"/>
        </patternFill>
      </fill>
      <border outline="0">
        <bottom style="thin">
          <color indexed="64"/>
        </bottom>
      </border>
    </dxf>
  </rfmt>
  <rfmt sheetId="19" sqref="E115" start="0" length="0">
    <dxf>
      <font>
        <b/>
        <sz val="9"/>
        <color theme="1"/>
        <name val="Calibri"/>
        <scheme val="minor"/>
      </font>
      <fill>
        <patternFill patternType="solid">
          <bgColor rgb="FFFFFFCC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9" sqref="F115" start="0" length="0">
    <dxf>
      <font>
        <b/>
        <sz val="9"/>
        <color theme="1"/>
        <name val="Calibri"/>
        <scheme val="minor"/>
      </font>
      <fill>
        <patternFill patternType="solid">
          <bgColor rgb="FFFFFFCC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9" sqref="G115" start="0" length="0">
    <dxf>
      <font>
        <b/>
        <sz val="9"/>
        <color theme="1"/>
        <name val="Calibri"/>
        <scheme val="minor"/>
      </font>
      <fill>
        <patternFill patternType="solid">
          <bgColor rgb="FFFFFFCC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9" sqref="H115" start="0" length="0">
    <dxf>
      <font>
        <b/>
        <sz val="9"/>
        <color theme="1"/>
        <name val="Calibri"/>
        <scheme val="minor"/>
      </font>
      <fill>
        <patternFill patternType="solid">
          <bgColor rgb="FFFFFFCC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9" sqref="I115" start="0" length="0">
    <dxf>
      <font>
        <b/>
        <sz val="9"/>
        <color theme="1"/>
        <name val="Calibri"/>
        <scheme val="minor"/>
      </font>
      <fill>
        <patternFill patternType="solid">
          <bgColor rgb="FFFFFFCC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4" sId="16">
    <nc r="X135">
      <v>0</v>
    </nc>
  </rcc>
  <rcc rId="2715" sId="16">
    <nc r="X136">
      <v>8</v>
    </nc>
  </rcc>
  <rcmt sheetId="16" cell="X135" guid="{39632E21-B0B3-4ACD-959D-2B646E868D66}" author="Patrick Janssen" newLength="22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2" sId="17">
    <nc r="R40">
      <v>8</v>
    </nc>
  </rcc>
  <rcc rId="2773" sId="18">
    <nc r="E40">
      <v>8</v>
    </nc>
  </rcc>
  <rcmt sheetId="17" cell="R40" guid="{929FD033-F5DD-4B20-BC94-A83119028158}" author="Patrick Janssen" newLength="22"/>
  <rcmt sheetId="18" cell="E40" guid="{989D5649-0388-48B5-8E9B-9EF808556534}" author="Patrick Janssen" newLength="22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August!$B$4:$AJ$164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6" sId="17">
    <nc r="E100">
      <v>0</v>
    </nc>
  </rcc>
  <rcmt sheetId="17" cell="E100" guid="{B4608893-EB9F-4578-899E-0B47D398C90C}" author="Frido Meijer" newLength="34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7" cell="H100" guid="{00000000-0000-0000-0000-000000000000}" action="delete" author="Patrick Janssen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5" sId="17">
    <nc r="U155">
      <v>0</v>
    </nc>
  </rcc>
  <rcmt sheetId="17" cell="U155" guid="{CE99BFB4-57DB-424C-AD92-33EB2AD91BBC}" author="Frido Meijer" newLength="57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4" sId="17">
    <nc r="E30">
      <v>8</v>
    </nc>
  </rcc>
  <rcc rId="2865" sId="17">
    <nc r="F30">
      <v>8</v>
    </nc>
  </rcc>
  <rcmt sheetId="17" cell="E30" guid="{F0A6FD1E-BA9E-42F7-97CE-C50F78E7A519}" author="Frido Meijer" newLength="25"/>
  <rcmt sheetId="17" cell="F30" guid="{E74C6820-6C61-449C-B3DF-A810B9DC886F}" author="Frido Meijer" newLength="25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4" sId="17">
    <nc r="AG160">
      <v>8</v>
    </nc>
  </rcc>
  <rcc rId="2895" sId="17">
    <nc r="AH160">
      <v>8</v>
    </nc>
  </rcc>
  <rcc rId="2896" sId="18">
    <nc r="D160">
      <v>8</v>
    </nc>
  </rcc>
  <rcc rId="2897" sId="18">
    <nc r="E160">
      <v>8</v>
    </nc>
  </rcc>
  <rcmt sheetId="17" cell="AG160" guid="{A247BC2D-C73F-4344-A96C-34D578EDA4F2}" author="Frido Meijer" newLength="25"/>
  <rcmt sheetId="17" cell="AH160" guid="{8939B7C9-76EA-49AA-925D-34A5E91E6FF0}" author="Frido Meijer" newLength="25"/>
  <rcmt sheetId="18" cell="D160" guid="{5D5FB951-6269-47BB-8ABA-F9F2DFD2B52C}" author="Frido Meijer" newLength="25"/>
  <rcmt sheetId="18" cell="E160" guid="{9C0118A9-D0EC-494D-A178-D881A9787879}" author="Frido Meijer" newLength="25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8" sId="17">
    <nc r="V25">
      <v>8</v>
    </nc>
  </rcc>
  <rcmt sheetId="17" cell="V25" guid="{99CCC165-28C0-4DBD-B525-EE492D2A50C5}" author="Patrick Ziesen" newLength="43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17">
    <nc r="Y160">
      <v>8</v>
    </nc>
  </rcc>
  <rcc rId="2927" sId="17">
    <nc r="Z160">
      <v>8</v>
    </nc>
  </rcc>
  <rcc rId="2928" sId="17">
    <nc r="AA160">
      <v>8</v>
    </nc>
  </rcc>
  <rcc rId="2929" sId="17">
    <nc r="AB160">
      <v>8</v>
    </nc>
  </rcc>
  <rcc rId="2930" sId="17">
    <nc r="AC160">
      <v>8</v>
    </nc>
  </rcc>
  <rcmt sheetId="17" cell="Y160" guid="{D6045115-2288-48B6-A102-69A3AD12F45C}" author="Frido Meijer" newLength="25"/>
  <rcmt sheetId="17" cell="Z160" guid="{D585FC05-BFFA-4850-BB99-79F4FC7668B8}" author="Frido Meijer" newLength="25"/>
  <rcmt sheetId="17" cell="AA160" guid="{DB01D484-6448-4916-BBAC-19D63817818D}" author="Frido Meijer" newLength="25"/>
  <rcmt sheetId="17" cell="AB160" guid="{B71E8C33-6F5C-4125-9400-B1892C695FAF}" author="Frido Meijer" newLength="25"/>
  <rcmt sheetId="17" cell="AC160" guid="{17DA31F2-311D-4F39-8BA6-25C51A358C33}" author="Frido Meijer" newLength="25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1" sId="17">
    <nc r="AF160">
      <v>8</v>
    </nc>
  </rcc>
  <rcmt sheetId="17" cell="AF160" guid="{C88B24D4-826F-4523-BAEB-7F3C5B7065DE}" author="Frido Meijer" newLength="25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2" sId="6">
    <oc r="H16">
      <f>0.5+0.4+0.5+0.5+0.5+0.5+0.5+0.5+0.5+0.5+0.5</f>
    </oc>
    <nc r="H16">
      <f>0.5+0.4+0.5+0.5+0.5+0.5+0.5+0.5+0.5+0.5+0.5+0.5</f>
    </nc>
  </rcc>
  <rcmt sheetId="6" cell="H16" guid="{A7AE9240-0779-4616-B384-B4626D2B2702}" author="Frido Meijer" oldLength="278" newLength="22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3" sId="6">
    <oc r="H7">
      <f>0.6+0.5+0.3+0.75</f>
    </oc>
    <nc r="H7">
      <f>0.6+0.5+0.3+0.75+0.8</f>
    </nc>
  </rcc>
  <rcmt sheetId="6" cell="H7" guid="{67B02A3A-7839-4DA5-BAEE-33C46E60083A}" author="Frido Meijer" oldLength="111" newLength="22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16">
    <nc r="AA96">
      <v>8</v>
    </nc>
  </rcc>
  <rcc rId="2935" sId="16">
    <nc r="AB96">
      <v>8</v>
    </nc>
  </rcc>
  <rcmt sheetId="16" cell="AA95" guid="{EEC56EBF-F997-4F52-957C-4DE36048D457}" author="Patrick Janssen" newLength="22"/>
  <rcmt sheetId="16" cell="AB95" guid="{FC7A5ABD-759C-457D-9D4E-7AD2B7C7A1D8}" author="Patrick Janssen" newLength="22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August!$B$4:$AJ$164</formula>
    <oldFormula>August!$B$4:$AJ$164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8" sId="6">
    <oc r="H16">
      <f>0.5+0.4+0.5+0.5+0.5+0.5+0.5+0.5+0.5+0.5+0.5+0.5</f>
    </oc>
    <nc r="H16">
      <f>0.5+0.4+0.5+0.5+0.5+0.5+0.5+0.5+0.5+0.5+0.5+0.5+0.5</f>
    </nc>
  </rcc>
  <rcmt sheetId="6" cell="H16" guid="{89F3DD53-25F6-4343-97C9-9EB3C3F219D3}" author="Frido Meijer" oldLength="300" newLength="22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7" sId="6">
    <oc r="H32">
      <f>0.25+0.25-0.75+0.25+0.25+0.25</f>
    </oc>
    <nc r="H32">
      <f>0.25+0.25-0.75+0.25+0.25+0.25+0.5</f>
    </nc>
  </rcc>
  <rcmt sheetId="6" cell="H32" guid="{DB475DE1-0371-44B3-8BB4-24AA70E3C973}" author="Patrick Janssen" oldLength="181" newLength="49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8" sId="16">
    <nc r="AB95">
      <v>0</v>
    </nc>
  </rcc>
  <rcc rId="2999" sId="16">
    <nc r="AA95">
      <v>0</v>
    </nc>
  </rcc>
  <rcc rId="3000" sId="16">
    <nc r="AC135">
      <v>0</v>
    </nc>
  </rcc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August!$B$4:$AJ$164</formula>
    <oldFormula>August!$B$4:$AJ$164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3" sId="6">
    <oc r="H16">
      <f>0.5+0.4+0.5+0.5+0.5+0.5+0.5+0.5+0.5+0.5+0.5+0.5+0.5</f>
    </oc>
    <nc r="H16">
      <f>0.5+0.4+0.5+0.5+0.5+0.5+0.5+0.5+0.5+0.5+0.5+0.5+0.5+0.5</f>
    </nc>
  </rcc>
  <rcmt sheetId="6" cell="H16" guid="{694F394D-7875-4BB2-8354-2EC297282747}" author="Frido Meijer" oldLength="322" newLength="22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2" sId="17">
    <nc r="F40">
      <v>8</v>
    </nc>
  </rcc>
  <rcmt sheetId="17" cell="F40" guid="{32C3F1E8-4FB0-483A-8DCF-8B988B969DDC}" author="Patrick Janssen" newLength="22"/>
  <rdn rId="0" localSheetId="17" customView="1" name="Z_1587CBCC_2CC7_4525_8A49_E261AB2E1606_.wvu.Rows" hidden="1" oldHidden="1"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FilterData" hidden="1" oldHidden="1">
    <formula>July!$B$4:$AJ$164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August!$B$4:$AJ$164</formula>
    <oldFormula>August!$B$4:$AJ$164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2" sId="17">
    <nc r="V135">
      <v>4</v>
    </nc>
  </rcc>
  <rcc rId="4963" sId="17">
    <nc r="R5">
      <v>4</v>
    </nc>
  </rcc>
  <rcmt sheetId="17" cell="R5" guid="{63C1F9CE-9C51-4862-9A31-21D739C3DBCE}" author="Frido Meijer" newLength="40"/>
  <rcmt sheetId="17" cell="V135" guid="{84AB1E1A-54DF-4646-9F61-1601431557C6}" author="Frido Meijer" newLength="30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Rows" hidden="1" oldHidden="1">
    <formula>March!$6:$9,March!$11:$14,March!$16:$19,March!$21:$24,March!$26:$29,March!$31:$34,March!$36:$39,March!$41:$44,March!$46:$49,March!$51:$54,March!$56:$59,March!$61:$64,March!$66:$69,March!$71:$74,March!$76:$79,March!$81:$84,March!$86:$89,March!$91:$94,March!$96:$99,March!$101:$104,March!$106:$109,March!$111:$114,March!$116:$119,March!$121:$124,March!$126:$129,March!$131:$134,March!$136:$139,March!$141:$144,March!$146:$149,March!$151:$154,March!$156:$159,March!$161:$164</formula>
    <oldFormula>March!$6:$9,March!$11:$14,March!$16:$19,March!$21:$24,March!$26:$29,March!$31:$34,March!$36:$39,March!$41:$44,March!$46:$49,March!$51:$54,March!$56:$59,March!$61:$64,March!$66:$69,March!$71:$74,March!$76:$79,March!$81:$84,March!$86:$89,March!$91:$94,March!$96:$99,March!$101:$104,March!$106:$109,March!$111:$114,March!$116:$119,March!$121:$124,March!$126:$129,March!$131:$134,March!$136:$139,March!$141:$144,March!$146:$149,March!$151:$154,March!$156:$159,March!$161:$164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7" cell="H160" guid="{4ECCEAC5-1521-4A4B-886C-E07AD4F6703D}" author="Frido Meijer" newLength="52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</rdn>
  <rdn rId="0" localSheetId="17" customView="1" name="Z_1587CBCC_2CC7_4525_8A49_E261AB2E1606_.wvu.FilterData" hidden="1" oldHidden="1">
    <formula>July!$B$4:$AJ$164</formula>
    <oldFormula>July!$B$4:$AJ$164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August!$B$4:$AJ$164</formula>
    <oldFormula>August!$B$4:$AJ$164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5" sId="6">
    <oc r="H20">
      <f>0.7</f>
    </oc>
    <nc r="H20">
      <f>0.7+0.5</f>
    </nc>
  </rcc>
  <rcc rId="3156" sId="6">
    <nc r="H10">
      <f>0.5</f>
    </nc>
  </rcc>
  <rcmt sheetId="6" cell="H10" guid="{6A995A3A-4C4B-4DC4-8A42-EDEACD2722BD}" author="Frido Meijer" newLength="36"/>
  <rcmt sheetId="6" cell="H20" guid="{EBB48F8A-B880-4413-8E17-C683E0BD24AA}" author="Frido Meijer" oldLength="36" newLength="22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5" sId="16" odxf="1" dxf="1" numFmtId="4">
    <nc r="AC130">
      <v>2.5</v>
    </nc>
    <odxf>
      <numFmt numFmtId="0" formatCode="General"/>
    </odxf>
    <ndxf>
      <numFmt numFmtId="2" formatCode="0.00"/>
    </ndxf>
  </rcc>
  <rcmt sheetId="16" cell="AC130" guid="{987DB562-A867-4C12-9D54-7C9E93676CEF}" author="Patrick Ziesen" newLength="35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Rows" hidden="1" oldHidden="1">
    <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formula>
    <old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July!$B$4:$AJ$140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August!$B$4:$AJ$140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6" sqref="AC130">
    <dxf>
      <numFmt numFmtId="165" formatCode="0.0"/>
    </dxf>
  </rfmt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8" sId="16">
    <nc r="AD55">
      <v>4</v>
    </nc>
  </rcc>
  <rcmt sheetId="16" cell="AD55" guid="{0A67BC77-03A1-45B5-AC7C-410F37492724}" author="Frido Meijer" newLength="32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7" sId="6">
    <oc r="H16">
      <f>0.5+0.4+0.5+0.5+0.5+0.5+0.5+0.5+0.5+0.5+0.5+0.5+0.5+0.5</f>
    </oc>
    <nc r="H16">
      <f>0.5+0.4+0.5+0.5+0.5+0.5+0.5+0.5+0.5+0.5+0.5+0.5+0.5+0.5+0.5</f>
    </nc>
  </rcc>
  <rcmt sheetId="6" cell="H16" guid="{569240C7-4F41-4DE8-A0CF-F0F3A337175A}" author="Frido Meijer" oldLength="344" newLength="22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8" sId="16">
    <nc r="AD25">
      <v>8</v>
    </nc>
  </rcc>
  <rcc rId="3279" sId="16">
    <nc r="AC105">
      <v>1</v>
    </nc>
  </rcc>
  <rcc rId="3280" sId="6">
    <oc r="H32">
      <f>0.25+0.25-0.75+0.25+0.25+0.25+0.5</f>
    </oc>
    <nc r="H32">
      <f>0.25+0.25-0.75+0.25+0.25+0.25+0.5+0.25+0.25</f>
    </nc>
  </rcc>
  <rcc rId="3281" sId="16">
    <nc r="AC25">
      <v>8</v>
    </nc>
  </rcc>
  <rcmt sheetId="6" cell="H32" guid="{988C5197-8299-4186-B228-37246B40FBBB}" author="Patrick Janssen" oldLength="230" newLength="47"/>
  <rcmt sheetId="16" cell="AC25" guid="{D866B0C0-B4E6-4BDA-959A-DB4C74FD6B71}" author="Patrick Janssen" newLength="22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1587CBCC_2CC7_4525_8A49_E261AB2E1606_.wvu.FilterData" hidden="1" oldHidden="1">
    <formula>July!$B$4:$AJ$164</formula>
    <oldFormula>July!$B$4:$AJ$164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August!$B$4:$AJ$164</formula>
    <oldFormula>August!$B$4:$AJ$164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16">
    <nc r="AD30">
      <v>4</v>
    </nc>
  </rcc>
  <rcmt sheetId="16" cell="AD30" guid="{465D9C8B-7291-4CBB-88AB-000F75D798E7}" author="Frido Meijer" newLength="32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3" sId="16">
    <nc r="AD150">
      <v>1</v>
    </nc>
  </rcc>
  <rcmt sheetId="16" cell="AD150" guid="{1E04680F-67FC-4BFB-BD5C-9C4D2216120B}" author="Patrick Ziesen" newLength="32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Rows" hidden="1" oldHidden="1">
    <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formula>
    <old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7" sId="17">
    <nc r="L25">
      <v>2</v>
    </nc>
  </rcc>
  <rcc rId="4998" sId="17">
    <nc r="M25">
      <v>2</v>
    </nc>
  </rcc>
  <rcc rId="4999" sId="17">
    <nc r="N25">
      <v>2</v>
    </nc>
  </rcc>
  <rcc rId="5000" sId="17">
    <nc r="O25">
      <v>2</v>
    </nc>
  </rcc>
  <rcc rId="5001" sId="17">
    <nc r="R128">
      <v>8</v>
    </nc>
  </rcc>
  <rcc rId="5002" sId="17">
    <nc r="R125">
      <v>0</v>
    </nc>
  </rcc>
  <rcmt sheetId="17" cell="L25" guid="{31BF8468-92A5-4882-A90B-F080E62B3F6F}" author="Patrick Ziesen" newLength="39"/>
  <rcmt sheetId="17" cell="M25" guid="{0263FC44-1243-43CC-BA01-BC853AE17D86}" author="Patrick Ziesen" newLength="39"/>
  <rcmt sheetId="17" cell="N25" guid="{6E896327-20E6-4BDC-9931-27EFDB40C805}" author="Patrick Ziesen" newLength="39"/>
  <rcmt sheetId="17" cell="O25" guid="{9CA26DDC-FE30-44AC-BA27-FF6898391FB1}" author="Patrick Ziesen" newLength="39"/>
  <rcmt sheetId="17" cell="R125" guid="{83B9D048-39A4-4467-A09C-2872A8ACF75D}" author="Patrick Ziesen" newLength="50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8" sId="6">
    <nc r="H13">
      <f>0.42</f>
    </nc>
  </rcc>
  <rcmt sheetId="6" cell="H13" guid="{605069E9-BACC-4EA7-98A1-A8D9C7866979}" author="Patrick Ziesen" newLength="44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Rows" hidden="1" oldHidden="1">
    <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formula>
    <old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3" sId="6">
    <oc r="H32">
      <f>0.25+0.25-0.75+0.25+0.25+0.25+0.5+0.25+0.25</f>
    </oc>
    <nc r="H32">
      <f>0.25+0.25-0.75+0.25+0.25+0.25+0.5+0.25+0.25+0.25</f>
    </nc>
  </rcc>
  <rcmt sheetId="6" cell="H32" guid="{5B2FDAA7-8731-4A9E-9403-2EEA74001DC9}" author="Patrick Janssen" oldLength="277" newLength="33"/>
  <rdn rId="0" localSheetId="16" customView="1" name="Z_1587CBCC_2CC7_4525_8A49_E261AB2E1606_.wvu.Rows" hidden="1" oldHidden="1"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1587CBCC_2CC7_4525_8A49_E261AB2E1606_.wvu.FilterData" hidden="1" oldHidden="1">
    <formula>July!$B$4:$AJ$164</formula>
    <oldFormula>July!$B$4:$AJ$164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August!$B$4:$AJ$164</formula>
    <oldFormula>August!$B$4:$AJ$164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6" sId="6">
    <oc r="H10">
      <f>0.5</f>
    </oc>
    <nc r="H10">
      <f>0.5+0.5</f>
    </nc>
  </rcc>
  <rcc rId="3447" sId="6">
    <oc r="H20">
      <f>0.7+0.5</f>
    </oc>
    <nc r="H20">
      <f>0.7+0.5+0.5</f>
    </nc>
  </rcc>
  <rcmt sheetId="6" cell="H10" guid="{AD8366FE-5BB3-4867-86AC-AE8C4A756732}" author="Frido Meijer" oldLength="36" newLength="32"/>
  <rcmt sheetId="6" cell="H20" guid="{91B708FA-6D9D-4327-ABF5-9F0FB286D8A9}" author="Frido Meijer" oldLength="58" newLength="32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1587CBCC_2CC7_4525_8A49_E261AB2E1606_.wvu.FilterData" hidden="1" oldHidden="1">
    <formula>July!$B$4:$AJ$164</formula>
    <oldFormula>July!$B$4:$AJ$164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August!$B$4:$AJ$164</formula>
    <oldFormula>August!$B$4:$AJ$164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9" sId="16">
    <nc r="AE99">
      <v>0.2</v>
    </nc>
  </rcc>
  <rfmt sheetId="16" sqref="AE99">
    <dxf>
      <numFmt numFmtId="165" formatCode="0.0"/>
    </dxf>
  </rfmt>
  <rcmt sheetId="16" cell="AE95" guid="{88C9E9BC-EF99-4F8C-A6C9-6C572A6A2FF2}" author="Frido Meijer" newLength="26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17">
    <nc r="H25">
      <v>8</v>
    </nc>
  </rcc>
  <rcmt sheetId="17" cell="H25" guid="{3275C56F-743A-468B-A2A6-05CAED40D171}" author="Frido Meijer" newLength="25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5" sId="16">
    <nc r="AE50">
      <v>2</v>
    </nc>
  </rcc>
  <rcmt sheetId="16" cell="AE50" guid="{A53818C8-B8C5-4C94-B6A7-41D8C8C07E02}" author="Frido Meijer" newLength="21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4" sId="6">
    <oc r="H27">
      <f>0.25</f>
    </oc>
    <nc r="H27">
      <f>0.25+0.35</f>
    </nc>
  </rcc>
  <rcmt sheetId="6" cell="H27" guid="{81030CA2-E64B-4344-A4A9-3E993F324903}" author="Frido Meijer" oldLength="37" newLength="23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6" cell="AH145" guid="{00000000-0000-0000-0000-000000000000}" action="delete" author="Patrick Ziesen"/>
  <rdn rId="0" localSheetId="16" customView="1" name="Z_98CBC5BF_8C89_48A4_860E_9C56014CD200_.wvu.Rows" hidden="1" oldHidden="1">
    <old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oldFormula>
  </rdn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7" sId="17">
    <nc r="D30">
      <v>8</v>
    </nc>
  </rcc>
  <rcmt sheetId="17" cell="D30" guid="{71658973-9489-4E50-958D-4BA7064CC797}" author="Frido Meijer" newLength="25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7" sId="17">
    <nc r="F100">
      <v>4</v>
    </nc>
  </rcc>
  <rcmt sheetId="17" cell="F100" guid="{620E2A63-70EE-4504-9A95-59A21DBBDBC7}" author="Patrick Ziesen" newLength="32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1" sId="6">
    <nc r="I21">
      <f>6</f>
    </nc>
  </rcc>
  <rcmt sheetId="6" cell="I21" guid="{6C569471-945D-4739-A9C3-3087EF7B067B}" author="Patrick Ziesen" newLength="68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5" sId="17">
    <nc r="D25">
      <v>4</v>
    </nc>
  </rcc>
  <rcmt sheetId="17" cell="D25" guid="{71C53403-96BF-47D5-BD57-37A352383C80}" author="Patrick Ziesen" newLength="32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6" sId="17">
    <nc r="K85">
      <v>8</v>
    </nc>
  </rcc>
  <rcc rId="3827" sId="17">
    <nc r="O85">
      <v>4</v>
    </nc>
  </rcc>
  <rcmt sheetId="17" cell="K85" guid="{5C7D9F21-B5D3-4773-B70A-5EE8527E986B}" author="Patrick Ziesen" newLength="27"/>
  <rcmt sheetId="17" cell="O85" guid="{A092C999-A03C-456D-B119-2E267BA08649}" author="Patrick Ziesen" newLength="30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17">
    <nc r="G88">
      <v>4</v>
    </nc>
  </rcc>
  <rcc rId="3862" sId="17">
    <oc r="G85">
      <v>4</v>
    </oc>
    <nc r="G85">
      <v>0</v>
    </nc>
  </rcc>
  <rcmt sheetId="17" cell="E85" guid="{00000000-0000-0000-0000-000000000000}" action="delete" author="Patrick Janssen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5" start="0" length="0">
    <dxf>
      <fill>
        <patternFill>
          <bgColor rgb="FFFF0000"/>
        </patternFill>
      </fill>
    </dxf>
  </rfmt>
  <rcc rId="3863" sId="5">
    <nc r="AB6" t="inlineStr">
      <is>
        <t>x</t>
      </is>
    </nc>
  </rcc>
  <rcc rId="3864" sId="5">
    <nc r="AB9" t="inlineStr">
      <is>
        <t>x</t>
      </is>
    </nc>
  </rcc>
  <rcc rId="3865" sId="5">
    <nc r="AB10" t="inlineStr">
      <is>
        <t>x</t>
      </is>
    </nc>
  </rcc>
  <rcc rId="3866" sId="5">
    <nc r="AB11" t="inlineStr">
      <is>
        <t>x</t>
      </is>
    </nc>
  </rcc>
  <rcc rId="3867" sId="5">
    <nc r="AB13" t="inlineStr">
      <is>
        <t>x</t>
      </is>
    </nc>
  </rcc>
  <rcc rId="3868" sId="5">
    <nc r="AB14" t="inlineStr">
      <is>
        <t>x</t>
      </is>
    </nc>
  </rcc>
  <rcc rId="3869" sId="5">
    <nc r="AB15" t="inlineStr">
      <is>
        <t>x</t>
      </is>
    </nc>
  </rcc>
  <rcc rId="3870" sId="5">
    <nc r="AB16" t="inlineStr">
      <is>
        <t>x</t>
      </is>
    </nc>
  </rcc>
  <rcc rId="3871" sId="5">
    <nc r="AB17" t="inlineStr">
      <is>
        <t>x</t>
      </is>
    </nc>
  </rcc>
  <rcc rId="3872" sId="5">
    <nc r="AB19" t="inlineStr">
      <is>
        <t>x</t>
      </is>
    </nc>
  </rcc>
  <rcc rId="3873" sId="5">
    <nc r="AB22" t="inlineStr">
      <is>
        <t>x</t>
      </is>
    </nc>
  </rcc>
  <rcc rId="3874" sId="5">
    <nc r="AB24" t="inlineStr">
      <is>
        <t>x</t>
      </is>
    </nc>
  </rcc>
  <rcc rId="3875" sId="5">
    <nc r="AB25" t="inlineStr">
      <is>
        <t>x</t>
      </is>
    </nc>
  </rcc>
  <rcc rId="3876" sId="5">
    <nc r="AB26" t="inlineStr">
      <is>
        <t>x</t>
      </is>
    </nc>
  </rcc>
  <rcc rId="3877" sId="5">
    <nc r="AB27" t="inlineStr">
      <is>
        <t>x</t>
      </is>
    </nc>
  </rcc>
  <rcc rId="3878" sId="5">
    <nc r="AB28" t="inlineStr">
      <is>
        <t>x</t>
      </is>
    </nc>
  </rcc>
  <rcc rId="3879" sId="5">
    <nc r="AB29" t="inlineStr">
      <is>
        <t>x</t>
      </is>
    </nc>
  </rcc>
  <rcc rId="3880" sId="5">
    <nc r="AB30" t="inlineStr">
      <is>
        <t>x</t>
      </is>
    </nc>
  </rcc>
  <rcc rId="3881" sId="5">
    <nc r="AB31" t="inlineStr">
      <is>
        <t>x</t>
      </is>
    </nc>
  </rcc>
  <rcc rId="3882" sId="5">
    <nc r="AB32" t="inlineStr">
      <is>
        <t>x</t>
      </is>
    </nc>
  </rcc>
  <rcc rId="3883" sId="5">
    <nc r="AB34" t="inlineStr">
      <is>
        <t>x</t>
      </is>
    </nc>
  </rcc>
  <rcc rId="3884" sId="5">
    <nc r="AB35" t="inlineStr">
      <is>
        <t>x</t>
      </is>
    </nc>
  </rcc>
  <rcc rId="3885" sId="5">
    <nc r="AB36" t="inlineStr">
      <is>
        <t>x</t>
      </is>
    </nc>
  </rcc>
  <rcc rId="3886" sId="5">
    <nc r="AB37" t="inlineStr">
      <is>
        <t>x</t>
      </is>
    </nc>
  </rcc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6">
    <nc r="I12">
      <f>1.5</f>
    </nc>
  </rcc>
  <rcmt sheetId="6" cell="I12" guid="{61354D19-1B5D-4D2B-9A11-BF1C25E010FD}" author="Patrick Ziesen" newLength="33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4" sId="6">
    <oc r="I21">
      <f>6</f>
    </oc>
    <nc r="I21">
      <f>6.5</f>
    </nc>
  </rcc>
  <rcmt sheetId="6" cell="I21" guid="{00000000-0000-0000-0000-000000000000}" action="delete" author="Patrick Ziesen"/>
  <rcmt sheetId="6" cell="I21" guid="{535215E5-FBB0-429D-A403-84373E01EAC8}" author="Patrick Ziesen" newLength="66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7" customView="1" name="Z_98CBC5BF_8C89_48A4_860E_9C56014CD200_.wvu.Rows" hidden="1" oldHidden="1"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$156:$159,July!$161:$164</oldFormula>
  </rdn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1" sId="6">
    <nc r="I20">
      <f>0.42</f>
    </nc>
  </rcc>
  <rcmt sheetId="6" cell="I20" guid="{363DB35C-67BE-433B-80E0-1460A7E15658}" author="Patrick Ziesen" newLength="37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17">
    <oc r="E85">
      <v>4</v>
    </oc>
    <nc r="E85">
      <v>0</v>
    </nc>
  </rcc>
  <rcmt sheetId="17" cell="E85" guid="{00000000-0000-0000-0000-000000000000}" action="delete" author="Patrick Ziesen"/>
  <rcmt sheetId="17" cell="E85" guid="{2AAB833F-DEF7-4276-9D70-FC071C186152}" author="Patrick Ziesen" newLength="33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sqref="F60">
    <dxf>
      <fill>
        <patternFill>
          <bgColor rgb="FFFF0000"/>
        </patternFill>
      </fill>
    </dxf>
  </rfmt>
  <rfmt sheetId="17" sqref="M60" start="0" length="0">
    <dxf>
      <fill>
        <patternFill>
          <bgColor rgb="FFFF0000"/>
        </patternFill>
      </fill>
    </dxf>
  </rfmt>
  <rfmt sheetId="17" sqref="T60" start="0" length="0">
    <dxf>
      <fill>
        <patternFill>
          <bgColor rgb="FFFF0000"/>
        </patternFill>
      </fill>
    </dxf>
  </rfmt>
  <rfmt sheetId="17" sqref="AA60" start="0" length="0">
    <dxf>
      <fill>
        <patternFill>
          <bgColor rgb="FFFF0000"/>
        </patternFill>
      </fill>
    </dxf>
  </rfmt>
  <rfmt sheetId="17" sqref="AH60" start="0" length="0">
    <dxf>
      <fill>
        <patternFill>
          <bgColor rgb="FFFF0000"/>
        </patternFill>
      </fill>
    </dxf>
  </rfmt>
  <rfmt sheetId="18" sqref="J60" start="0" length="0">
    <dxf>
      <fill>
        <patternFill>
          <bgColor rgb="FFFF0000"/>
        </patternFill>
      </fill>
    </dxf>
  </rfmt>
  <rfmt sheetId="18" sqref="Q60" start="0" length="0">
    <dxf>
      <fill>
        <patternFill>
          <bgColor rgb="FFFF0000"/>
        </patternFill>
      </fill>
    </dxf>
  </rfmt>
  <rfmt sheetId="18" sqref="X60" start="0" length="0">
    <dxf>
      <fill>
        <patternFill>
          <bgColor rgb="FFFF0000"/>
        </patternFill>
      </fill>
    </dxf>
  </rfmt>
  <rfmt sheetId="18" sqref="AE60" start="0" length="0">
    <dxf>
      <fill>
        <patternFill>
          <bgColor rgb="FFFF0000"/>
        </patternFill>
      </fill>
    </dxf>
  </rfmt>
  <rfmt sheetId="19" sqref="G60" start="0" length="0">
    <dxf>
      <fill>
        <patternFill>
          <bgColor rgb="FFFF0000"/>
        </patternFill>
      </fill>
    </dxf>
  </rfmt>
  <rfmt sheetId="19" sqref="N60" start="0" length="0">
    <dxf>
      <fill>
        <patternFill>
          <bgColor rgb="FFFF0000"/>
        </patternFill>
      </fill>
    </dxf>
  </rfmt>
  <rfmt sheetId="19" sqref="U60" start="0" length="0">
    <dxf>
      <fill>
        <patternFill>
          <bgColor rgb="FFFF0000"/>
        </patternFill>
      </fill>
    </dxf>
  </rfmt>
  <rfmt sheetId="19" sqref="AB60" start="0" length="0">
    <dxf>
      <fill>
        <patternFill>
          <bgColor rgb="FFFF0000"/>
        </patternFill>
      </fill>
    </dxf>
  </rfmt>
  <rfmt sheetId="20" sqref="E60" start="0" length="0">
    <dxf>
      <fill>
        <patternFill>
          <bgColor rgb="FFFF0000"/>
        </patternFill>
      </fill>
    </dxf>
  </rfmt>
  <rfmt sheetId="20" sqref="L60" start="0" length="0">
    <dxf>
      <fill>
        <patternFill>
          <bgColor rgb="FFFF0000"/>
        </patternFill>
      </fill>
    </dxf>
  </rfmt>
  <rfmt sheetId="20" sqref="S60" start="0" length="0">
    <dxf>
      <fill>
        <patternFill>
          <bgColor rgb="FFFF0000"/>
        </patternFill>
      </fill>
    </dxf>
  </rfmt>
  <rfmt sheetId="20" sqref="Z60" start="0" length="0">
    <dxf>
      <fill>
        <patternFill>
          <bgColor rgb="FFFF0000"/>
        </patternFill>
      </fill>
    </dxf>
  </rfmt>
  <rfmt sheetId="20" sqref="AG60" start="0" length="0">
    <dxf>
      <fill>
        <patternFill>
          <bgColor rgb="FFFF0000"/>
        </patternFill>
      </fill>
    </dxf>
  </rfmt>
  <rfmt sheetId="21" sqref="I60" start="0" length="0">
    <dxf>
      <fill>
        <patternFill>
          <bgColor rgb="FFFF0000"/>
        </patternFill>
      </fill>
    </dxf>
  </rfmt>
  <rfmt sheetId="21" sqref="P60" start="0" length="0">
    <dxf>
      <fill>
        <patternFill>
          <bgColor rgb="FFFF0000"/>
        </patternFill>
      </fill>
    </dxf>
  </rfmt>
  <rfmt sheetId="21" sqref="W60" start="0" length="0">
    <dxf>
      <fill>
        <patternFill>
          <bgColor rgb="FFFF0000"/>
        </patternFill>
      </fill>
    </dxf>
  </rfmt>
  <rfmt sheetId="21" sqref="AD60" start="0" length="0">
    <dxf>
      <fill>
        <patternFill>
          <bgColor rgb="FFFF0000"/>
        </patternFill>
      </fill>
    </dxf>
  </rfmt>
  <rfmt sheetId="22" sqref="G60" start="0" length="0">
    <dxf>
      <fill>
        <patternFill>
          <bgColor rgb="FFFF0000"/>
        </patternFill>
      </fill>
    </dxf>
  </rfmt>
  <rfmt sheetId="22" sqref="N60" start="0" length="0">
    <dxf>
      <fill>
        <patternFill>
          <bgColor rgb="FFFF0000"/>
        </patternFill>
      </fill>
    </dxf>
  </rfmt>
  <rfmt sheetId="22" sqref="U60" start="0" length="0">
    <dxf>
      <fill>
        <patternFill>
          <bgColor rgb="FFFF0000"/>
        </patternFill>
      </fill>
    </dxf>
  </rfmt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9" sId="17" odxf="1" dxf="1">
    <oc r="B75">
      <f>'Hours Scheduled'!B18</f>
    </oc>
    <nc r="B75">
      <f>'Hours Scheduled'!B18</f>
    </nc>
    <odxf>
      <font>
        <strike val="0"/>
        <sz val="10"/>
      </font>
    </odxf>
    <ndxf>
      <font>
        <strike/>
        <sz val="10"/>
        <color rgb="FFFF0000"/>
      </font>
    </ndxf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17">
    <nc r="F156">
      <v>8</v>
    </nc>
  </rcc>
  <rcmt sheetId="17" cell="F155" guid="{1046EC09-58FA-4372-A3FE-75E585630FE4}" author="Patrick Ziesen" newLength="49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17">
    <nc r="F155">
      <v>0</v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5" sId="6">
    <oc r="I20">
      <f>0.42</f>
    </oc>
    <nc r="I20">
      <f>0.42+0.75</f>
    </nc>
  </rcc>
  <rcmt sheetId="6" cell="I20" guid="{A3D6B7C1-A4A1-4FC8-A68D-D2AA1A61314C}" author="Patrick Ziesen" oldLength="37" newLength="30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8" cell="V95" guid="{00000000-0000-0000-0000-000000000000}" action="delete" author="Patrick Ziesen"/>
  <rcc rId="4159" sId="18">
    <nc r="V95">
      <v>6</v>
    </nc>
  </rcc>
  <rcmt sheetId="18" cell="V95" guid="{1E0555F4-C4C8-45F2-B4C2-09439B983F52}" author="Patrick Ziesen" newLength="54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3" sId="17">
    <nc r="F105">
      <v>2</v>
    </nc>
  </rcc>
  <rcmt sheetId="17" cell="F105" guid="{084B1C4C-48C7-4F32-9175-7C5F1BE9D270}" author="Patrick Ziesen" newLength="32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7" sId="17">
    <nc r="L20">
      <v>4</v>
    </nc>
  </rcc>
  <rcmt sheetId="17" cell="L20" guid="{2CA8904A-F6B1-4568-8CCC-C28072DE1E6B}" author="Patrick Ziesen" newLength="30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4" sId="17">
    <nc r="G121">
      <v>8</v>
    </nc>
  </rcc>
  <rcc rId="4295" sId="17">
    <nc r="G120">
      <v>0</v>
    </nc>
  </rcc>
  <rcmt sheetId="17" cell="G120" guid="{E0414440-2662-4013-AB5E-82FE561789E2}" author="Patrick Ziesen" newLength="49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$121:$124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9" sId="17">
    <nc r="G155">
      <v>0</v>
    </nc>
  </rcc>
  <rcc rId="4330" sId="17">
    <nc r="G156">
      <v>8</v>
    </nc>
  </rcc>
  <rcmt sheetId="17" cell="G155" guid="{1F603C61-56D2-4748-8F60-AE5920C5A3EB}" author="Patrick Ziesen" newLength="49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7" sId="17">
    <nc r="G95">
      <v>1</v>
    </nc>
  </rcc>
  <rcmt sheetId="17" cell="G95" guid="{508313DF-3857-4CEB-A84C-72A3A69AE2C6}" author="Patrick Ziesen" newLength="96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,July!$161:$164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,July!$161:$164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4" sId="17">
    <nc r="G115">
      <v>1</v>
    </nc>
  </rcc>
  <rcc rId="4465" sId="6">
    <oc r="H27">
      <f>0.25+0.35</f>
    </oc>
    <nc r="H27">
      <f>0.25+0.35</f>
    </nc>
  </rcc>
  <rcc rId="4466" sId="6">
    <nc r="I27">
      <f>-2.63</f>
    </nc>
  </rcc>
  <rcmt sheetId="6" cell="I27" guid="{9E89DB48-603E-4EB1-B1A7-9824B854DA6D}" author="Patrick Ziesen" newLength="37"/>
  <rcmt sheetId="17" cell="G115" guid="{C6979C8A-0DB0-40B1-842B-DD1FBF1036AC}" author="Patrick Ziesen" newLength="42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0" sId="17">
    <nc r="G25">
      <v>2</v>
    </nc>
  </rcc>
  <rcmt sheetId="17" cell="G25" guid="{3864561E-91B5-4419-B292-16ECCBB72E17}" author="Patrick Ziesen" newLength="41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6" cell="I16" guid="{00000000-0000-0000-0000-000000000000}" action="delete" author="Frido Meijer"/>
  <rcc rId="4534" sId="6">
    <oc r="I16">
      <f>-8-8-8-8-8-8</f>
    </oc>
    <nc r="I16">
      <f>-8-8-8-8+1.5-8-8</f>
    </nc>
  </rcc>
  <rcmt sheetId="6" cell="I16" guid="{B7FED327-94CF-4A02-A34B-87ED6A4266A2}" author="Frido Meijer" newLength="150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6" cell="I16" guid="{00000000-0000-0000-0000-000000000000}" action="delete" author="Frido Meijer"/>
  <rcc rId="4635" sId="6">
    <oc r="I16">
      <f>-8-8-8-8+1.5-8-8</f>
    </oc>
    <nc r="I16">
      <f>-8-8-8-8+1.5-8-8-8</f>
    </nc>
  </rcc>
  <rcmt sheetId="6" cell="I16" guid="{F1020E14-1225-4636-B726-F0802B87867D}" author="Frido Meijer" newLength="169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5" sId="6">
    <oc r="I16">
      <f>-8-8-8-8+1.5-8-8-8</f>
    </oc>
    <nc r="I16">
      <f>-8-8-8-8+1.5+0.5-8-8-8</f>
    </nc>
  </rcc>
  <rcmt sheetId="6" cell="I16" guid="{A3EC6B8A-BD51-49E7-8E02-7A48355BF0D2}" author="Frido Meijer" oldLength="169" newLength="36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1" sId="17" odxf="1" dxf="1">
    <nc r="AF120">
      <v>8</v>
    </nc>
    <odxf>
      <alignment vertical="top" readingOrder="0"/>
    </odxf>
    <ndxf>
      <alignment vertical="center" readingOrder="0"/>
    </ndxf>
  </rcc>
  <rcc rId="4602" sId="17" odxf="1" dxf="1">
    <nc r="AG120">
      <v>8</v>
    </nc>
    <odxf>
      <alignment vertical="top" readingOrder="0"/>
    </odxf>
    <ndxf>
      <alignment vertical="center" readingOrder="0"/>
    </ndxf>
  </rcc>
  <rcc rId="4603" sId="17" odxf="1" dxf="1">
    <nc r="AH120">
      <v>8</v>
    </nc>
    <odxf>
      <alignment vertical="top" readingOrder="0"/>
    </odxf>
    <ndxf>
      <alignment vertical="center" readingOrder="0"/>
    </ndxf>
  </rcc>
  <rcc rId="4604" sId="18" odxf="1" dxf="1">
    <nc r="D120">
      <v>8</v>
    </nc>
    <odxf>
      <alignment vertical="top" readingOrder="0"/>
    </odxf>
    <ndxf>
      <alignment vertical="center" readingOrder="0"/>
    </ndxf>
  </rcc>
  <rcc rId="4605" sId="18" odxf="1" dxf="1">
    <nc r="E120">
      <v>8</v>
    </nc>
    <odxf>
      <alignment vertical="top" readingOrder="0"/>
    </odxf>
    <ndxf>
      <alignment vertical="center" readingOrder="0"/>
    </ndxf>
  </rcc>
  <rcmt sheetId="17" cell="AF120" guid="{BE5E531F-56F6-41CC-BF87-A6723251B15A}" author="Frido Meijer" newLength="25"/>
  <rcmt sheetId="17" cell="AG120" guid="{EE09B3BC-C315-45A2-9EE3-68D7BB60F439}" author="Frido Meijer" newLength="25"/>
  <rcmt sheetId="17" cell="AH120" guid="{84DA93E8-ED2E-4138-A2B8-4D6DDBCE87FA}" author="Frido Meijer" newLength="25"/>
  <rcmt sheetId="18" cell="D120" guid="{934340A3-E137-4705-9C8B-4027D65A8032}" author="Frido Meijer" newLength="25"/>
  <rcmt sheetId="18" cell="E120" guid="{799BC00E-826D-4C90-9A62-4AF0C18F1FA6}" author="Frido Meijer" newLength="25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6" sId="17">
    <nc r="AA55">
      <v>0</v>
    </nc>
  </rcc>
  <rcmt sheetId="17" cell="AA55" guid="{61673081-883D-4C94-A346-2F74D926F663}" author="Frido Meijer" newLength="34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6" sId="17">
    <nc r="M20">
      <v>8</v>
    </nc>
  </rcc>
  <rcmt sheetId="17" cell="M20" guid="{01BA42C5-3116-481E-8653-E1174313ADEA}" author="Frido Meijer" newLength="39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7" cell="H160" guid="{00000000-0000-0000-0000-000000000000}" action="delete" author="Frido Meijer"/>
  <rcc rId="4727" sId="17">
    <nc r="H163">
      <v>4</v>
    </nc>
  </rcc>
  <rcc rId="4728" sId="17">
    <nc r="H160">
      <v>4</v>
    </nc>
  </rcc>
  <rcmt sheetId="17" cell="H160" guid="{10B63C6A-B7CF-4742-BE3A-E7305D30B0A7}" author="Patrick Ziesen" newLength="55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2" sId="17">
    <nc r="K25">
      <v>2</v>
    </nc>
  </rcc>
  <rcmt sheetId="17" cell="K25" guid="{7F0D16F8-60C5-4BD0-9F9A-1A28D6F272A9}" author="Patrick Ziesen" newLength="39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6" sId="18">
    <nc r="AE163">
      <v>8</v>
    </nc>
  </rcc>
  <rcmt sheetId="18" cell="AE160" guid="{06D84608-ED39-4869-A456-0347A979AB0A}" author="Frido Meijer" newLength="69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1" sId="17">
    <nc r="D120">
      <v>8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6" cell="AC135" guid="{00000000-0000-0000-0000-000000000000}" action="delete" author="Frido Meijer"/>
  <rcc rId="1852" sId="16">
    <nc r="AC138">
      <v>0.5</v>
    </nc>
  </rcc>
  <rfmt sheetId="16" sqref="AC138">
    <dxf>
      <numFmt numFmtId="165" formatCode="0.0"/>
    </dxf>
  </rfmt>
  <rcmt sheetId="16" cell="AC135" guid="{4AB551C3-D7D0-4D54-AF52-CBB3B11A499D}" author="Frido Meijer" newLength="51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0" sId="16">
    <nc r="AB135">
      <v>4</v>
    </nc>
  </rcc>
  <rcmt sheetId="16" cell="AB135" guid="{C1B7FFD1-BB3A-4344-B27C-701AC7AD53D0}" author="Frido Meijer" newLength="30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16">
    <nc r="U135">
      <v>4</v>
    </nc>
  </rcc>
  <rcc rId="1909" sId="16">
    <oc r="AB135">
      <v>4</v>
    </oc>
    <nc r="AB135"/>
  </rcc>
  <rcmt sheetId="16" cell="AB135" guid="{00000000-0000-0000-0000-000000000000}" action="delete" author="Frido Meijer"/>
  <rcc rId="1910" sId="16">
    <nc r="V50">
      <v>4</v>
    </nc>
  </rcc>
  <rcmt sheetId="16" cell="V50" guid="{E2FCF662-7EF4-4284-98DC-D0A877617293}" author="Frido Meijer" newLength="30"/>
  <rcmt sheetId="16" cell="U135" guid="{B42E6350-53B9-4BAF-ADF1-5D01CE25DFC0}" author="Frido Meijer" newLength="30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938" sheetId="16" source="V50" destination="U50" sourceSheetId="16">
    <rfmt sheetId="16" sqref="U50" start="0" length="0">
      <dxf>
        <font>
          <b/>
          <sz val="9"/>
          <color theme="1"/>
          <name val="Calibri"/>
          <scheme val="minor"/>
        </font>
        <fill>
          <patternFill patternType="solid">
            <bgColor rgb="FFFFFFCC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6" sqref="V50" start="0" length="0">
    <dxf>
      <font>
        <b/>
        <sz val="9"/>
        <color theme="1"/>
        <name val="Calibri"/>
        <scheme val="minor"/>
      </font>
      <fill>
        <patternFill patternType="solid">
          <bgColor rgb="FFFFFFCC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Rows" hidden="1" oldHidden="1">
    <formula>March!$6:$9,March!$11:$14,March!$16:$19,March!$21:$24,March!$26:$29,March!$31:$34,March!$36:$39,March!$41:$44,March!$46:$49,March!$51:$54,March!$56:$59,March!$61:$64,March!$66:$69,March!$71:$74,March!$76:$79,March!$81:$84,March!$86:$89,March!$91:$94,March!$96:$99,March!$101:$104,March!$106:$109,March!$111:$114,March!$116:$119,March!$121:$124,March!$126:$129,March!$131:$134,March!$136:$139,March!$141:$144,March!$146:$149,March!$151:$154,March!$156:$159,March!$161:$164</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July!$B$4:$AJ$164</formula>
    <oldFormula>July!$B$4:$AJ$164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August!$B$4:$AJ$164</formula>
    <oldFormula>August!$B$4:$AJ$164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6" sId="16" odxf="1" dxf="1">
    <nc r="V155">
      <v>4</v>
    </nc>
    <odxf>
      <alignment vertical="center" readingOrder="0"/>
    </odxf>
    <ndxf>
      <alignment vertical="top" readingOrder="0"/>
    </ndxf>
  </rcc>
  <rcmt sheetId="16" cell="V155" guid="{DE6062E8-E452-4818-8979-0493FCC038C5}" author="Frido Meijer" newLength="30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5" sId="16">
    <nc r="U100">
      <v>2</v>
    </nc>
  </rcc>
  <rcmt sheetId="16" cell="U100" guid="{AC097CED-3BD1-4FE6-98DC-F45DA69A6206}" author="Frido Meijer" newLength="30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6" sId="16">
    <nc r="V110">
      <v>0</v>
    </nc>
  </rcc>
  <rcmt sheetId="16" cell="V110" guid="{3B37D679-6EFC-4FBF-89E6-40CEB3B80FFB}" author="Patrick Janssen" oldLength="21" newLength="22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9" sId="16">
    <nc r="V30">
      <v>4</v>
    </nc>
  </rcc>
  <rcc rId="2030" sId="16" odxf="1" dxf="1">
    <nc r="V160">
      <v>4</v>
    </nc>
    <odxf>
      <alignment vertical="center" readingOrder="0"/>
    </odxf>
    <ndxf>
      <alignment vertical="top" readingOrder="0"/>
    </ndxf>
  </rcc>
  <rcmt sheetId="16" cell="V30" guid="{BF122D88-08FA-4763-9872-E13740951A01}" author="Frido Meijer" newLength="30"/>
  <rcmt sheetId="16" cell="V160" guid="{4E1447E4-3DF6-42E3-ACB9-4E3D555B8595}" author="Frido Meijer" newLength="30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9" sId="16">
    <nc r="AE85">
      <v>0</v>
    </nc>
  </rcc>
  <rcc rId="2060" sId="16">
    <nc r="AB85">
      <v>0</v>
    </nc>
  </rcc>
  <rcc rId="2061" sId="17">
    <nc r="H85">
      <v>4</v>
    </nc>
  </rcc>
  <rcmt sheetId="16" cell="AB85" guid="{400FF65C-9735-4786-BC98-116C495FCAFD}" author="Patrick Janssen" newLength="21"/>
  <rcmt sheetId="16" cell="AE85" guid="{7D165C69-BF18-45A6-847C-571616026A94}" author="Patrick Janssen" newLength="21"/>
  <rcmt sheetId="17" cell="H85" guid="{CFB764E0-6D49-45B4-887C-A6930E797A4E}" author="Patrick Janssen" newLength="21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4" sId="17">
    <nc r="G85">
      <v>4</v>
    </nc>
  </rcc>
  <rcc rId="2095" sId="17">
    <oc r="H85">
      <v>4</v>
    </oc>
    <nc r="H85"/>
  </rcc>
  <rcmt sheetId="17" cell="H85" guid="{00000000-0000-0000-0000-000000000000}" action="delete" author="Patrick Janssen"/>
  <rcmt sheetId="17" cell="G85" guid="{976BE876-2B98-457A-A425-8D6EC0663513}" author="Patrick Janssen" newLength="24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6" sId="16">
    <nc r="V95">
      <v>4</v>
    </nc>
  </rcc>
  <rcmt sheetId="16" cell="V95" guid="{1B7708F8-C870-4322-A1C9-0B97DFAED328}" author="Patrick Janssen" newLength="22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9" sId="16">
    <nc r="W25">
      <v>4</v>
    </nc>
  </rcc>
  <rcmt sheetId="16" cell="W25" guid="{86CAEFA4-7EEA-4B40-8688-72203ED55F41}" author="Patrick Janssen" newLength="20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0" sId="16">
    <oc r="AB85">
      <v>0</v>
    </oc>
    <nc r="AB85">
      <v>4</v>
    </nc>
  </rcc>
  <rcc rId="2131" sId="16">
    <oc r="AE85">
      <v>0</v>
    </oc>
    <nc r="AE85">
      <v>4</v>
    </nc>
  </rcc>
  <rcc rId="2132" sId="16">
    <oc r="AD85">
      <v>4</v>
    </oc>
    <nc r="AD85">
      <v>8</v>
    </nc>
  </rcc>
  <rcmt sheetId="16" cell="AB85" guid="{C74E03F9-A436-461C-B0DC-9D05ACFA56AE}" author="Patrick Janssen" oldLength="21" newLength="20"/>
  <rcmt sheetId="16" cell="AE85" guid="{B11698B1-DD5E-434B-B593-B3D35DF59E07}" author="Patrick Janssen" oldLength="21" newLength="20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7" cell="K130" guid="{00000000-0000-0000-0000-000000000000}" action="delete" author="Patrick Ziesen"/>
  <rcc rId="4860" sId="6">
    <oc r="I21">
      <f>6.5</f>
    </oc>
    <nc r="I21">
      <f>6.5-2-4</f>
    </nc>
  </rcc>
  <rcmt sheetId="6" cell="I21" guid="{A6DA7566-28F7-4F07-9A04-787810FF585E}" author="Patrick Ziesen" oldLength="66" newLength="38"/>
  <rcmt sheetId="17" cell="K130" guid="{77AD9A6F-8F2B-4D49-BCC8-CFE84569F1BB}" author="Patrick Ziesen" newLength="24"/>
  <rcmt sheetId="17" cell="N130" guid="{967A3C84-810A-4CB5-ADDE-651F8C4D4EE3}" author="Patrick Ziesen" newLength="27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formula>
    <oldFormula>July!$6:$9,July!$11:$14,July!$16:$19,July!$21:$24,July!$26:$29,July!$31:$34,July!$36:$39,July!$41:$44,July!$46:$49,July!$51:$54,July!$56:$59,July!$61:$64,July!$66:$69,July!$71:$74,July!$76:$79,July!$81:$84,July!$91:$94,July!$96:$99,July!$101:$104,July!$106:$109,July!$111:$114,July!$116:$119,July!$126:$129,July!$131:$134,July!$136:$139,July!$141:$144,July!$146:$149,July!$151:$154</oldFormula>
  </rdn>
  <rdn rId="0" localSheetId="17" customView="1" name="Z_98CBC5BF_8C89_48A4_860E_9C56014CD200_.wvu.FilterData" hidden="1" oldHidden="1">
    <formula>July!$B$4:$AJ$164</formula>
    <oldFormula>July!$B$4:$AJ$164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August!$B$4:$AJ$164</formula>
    <oldFormula>August!$B$4:$AJ$164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5" sId="16">
    <oc r="AE85">
      <v>4</v>
    </oc>
    <nc r="AE85">
      <v>8</v>
    </nc>
  </rcc>
  <rcmt sheetId="16" cell="AE85" guid="{00000000-0000-0000-0000-000000000000}" action="delete" author="Patrick Janssen"/>
  <rcc rId="2166" sId="16">
    <oc r="AD85">
      <v>8</v>
    </oc>
    <nc r="AD85">
      <v>4</v>
    </nc>
  </rcc>
  <rcmt sheetId="16" cell="AE85" guid="{2C2B45C3-50FD-4886-97E0-357182E54C69}" author="Patrick Janssen" newLength="40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67" sId="6">
    <oc r="H32">
      <f>0.25+0.25-0.75</f>
    </oc>
    <nc r="H32">
      <f>0.25+0.25-0.75+0.25</f>
    </nc>
  </rcc>
  <rcmt sheetId="6" cell="H32" guid="{619C4D9A-7212-44DC-883A-1D31D7FCB74F}" author="Patrick Janssen" oldLength="82" newLength="33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0" sId="6">
    <oc r="H14">
      <v>0.5</v>
    </oc>
    <nc r="H14">
      <f>0.5+0.5</f>
    </nc>
  </rcc>
  <rcmt sheetId="6" cell="H14" guid="{7010F6F2-FC7D-4E1C-B770-4E6392EC6B05}" author="Patrick Janssen" oldLength="32" newLength="32"/>
  <rcv guid="{1587CBCC-2CC7-4525-8A49-E261AB2E1606}" action="delete"/>
  <rdn rId="0" localSheetId="2" customView="1" name="Z_1587CBCC_2CC7_4525_8A49_E261AB2E1606_.wvu.FilterData" hidden="1" oldHidden="1">
    <formula>'Employee List'!$A$3:$C$25</formula>
    <oldFormula>'Employee List'!$A$3:$C$25</oldFormula>
  </rdn>
  <rdn rId="0" localSheetId="4" customView="1" name="Z_1587CBCC_2CC7_4525_8A49_E261AB2E1606_.wvu.Rows" hidden="1" oldHidden="1">
    <formula>Productivity!$1:$1</formula>
    <oldFormula>Productivity!$1:$1</oldFormula>
  </rdn>
  <rdn rId="0" localSheetId="4" customView="1" name="Z_1587CBCC_2CC7_4525_8A49_E261AB2E1606_.wvu.Cols" hidden="1" oldHidden="1">
    <formula>Productivity!$E:$E,Productivity!$S:$S</formula>
    <oldFormula>Productivity!$E:$E,Productivity!$S:$S</oldFormula>
  </rdn>
  <rdn rId="0" localSheetId="6" customView="1" name="Z_1587CBCC_2CC7_4525_8A49_E261AB2E1606_.wvu.FilterData" hidden="1" oldHidden="1">
    <formula>'Time for Time'!$A$4:$P$43</formula>
    <oldFormula>'Time for Time'!$A$4:$P$43</oldFormula>
  </rdn>
  <rdn rId="0" localSheetId="7" customView="1" name="Z_1587CBCC_2CC7_4525_8A49_E261AB2E1606_.wvu.Cols" hidden="1" oldHidden="1">
    <formula>'Holiday Entitlement'!$C:$C,'Holiday Entitlement'!$I:$K</formula>
    <oldFormula>'Holiday Entitlement'!$C:$C,'Holiday Entitlement'!$I:$K</oldFormula>
  </rdn>
  <rdn rId="0" localSheetId="7" customView="1" name="Z_1587CBCC_2CC7_4525_8A49_E261AB2E1606_.wvu.FilterData" hidden="1" oldHidden="1">
    <formula>'Holiday Entitlement'!$A$4:$L$44</formula>
    <oldFormula>'Holiday Entitlement'!$A$4:$L$44</oldFormula>
  </rdn>
  <rdn rId="0" localSheetId="10" customView="1" name="Z_1587CBCC_2CC7_4525_8A49_E261AB2E1606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1587CBCC_2CC7_4525_8A49_E261AB2E1606_.wvu.Cols" hidden="1" oldHidden="1">
    <formula>'Employee Overview'!$R:$V</formula>
    <oldFormula>'Employee Overview'!$R:$V</oldFormula>
  </rdn>
  <rdn rId="0" localSheetId="11" customView="1" name="Z_1587CBCC_2CC7_4525_8A49_E261AB2E1606_.wvu.Rows" hidden="1" oldHidden="1">
    <formula>January!$1:$1,January!$141:$144,January!$146:$149</formula>
    <oldFormula>January!$1:$1,January!$141:$144,January!$146:$149</oldFormula>
  </rdn>
  <rdn rId="0" localSheetId="11" customView="1" name="Z_1587CBCC_2CC7_4525_8A49_E261AB2E1606_.wvu.FilterData" hidden="1" oldHidden="1">
    <formula>January!$B$4:$AJ$140</formula>
    <oldFormula>January!$B$4:$AJ$140</oldFormula>
  </rdn>
  <rdn rId="0" localSheetId="12" customView="1" name="Z_1587CBCC_2CC7_4525_8A49_E261AB2E1606_.wvu.FilterData" hidden="1" oldHidden="1">
    <formula>February!$B$4:$AJ$149</formula>
    <oldFormula>February!$B$4:$AJ$149</oldFormula>
  </rdn>
  <rdn rId="0" localSheetId="13" customView="1" name="Z_1587CBCC_2CC7_4525_8A49_E261AB2E1606_.wvu.FilterData" hidden="1" oldHidden="1">
    <formula>March!$B$4:$AJ$149</formula>
    <oldFormula>March!$B$4:$AJ$149</oldFormula>
  </rdn>
  <rdn rId="0" localSheetId="14" customView="1" name="Z_1587CBCC_2CC7_4525_8A49_E261AB2E1606_.wvu.FilterData" hidden="1" oldHidden="1">
    <formula>April!$B$4:$AJ$164</formula>
    <oldFormula>April!$B$4:$AJ$164</oldFormula>
  </rdn>
  <rdn rId="0" localSheetId="15" customView="1" name="Z_1587CBCC_2CC7_4525_8A49_E261AB2E1606_.wvu.Rows" hidden="1" oldHidden="1">
    <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formula>
    <oldFormula>May!$6:$9,May!$11:$14,May!$16:$19,May!$21:$24,May!$26:$29,May!$31:$34,May!$36:$39,May!$41:$44,May!$46:$49,May!$51:$54,May!$56:$59,May!$61:$64,May!$66:$69,May!$71:$74,May!$76:$79,May!$81:$84,May!$86:$89,May!$91:$94,May!$96:$99,May!$101:$104,May!$106:$109,May!$111:$114,May!$116:$119,May!$121:$124,May!$126:$129,May!$131:$134,May!$136:$139,May!$141:$144,May!$146:$149,May!$151:$154,May!$156:$159,May!$161:$164</oldFormula>
  </rdn>
  <rdn rId="0" localSheetId="15" customView="1" name="Z_1587CBCC_2CC7_4525_8A49_E261AB2E1606_.wvu.FilterData" hidden="1" oldHidden="1">
    <formula>May!$A$4:$AJ$164</formula>
    <oldFormula>May!$A$4:$AJ$164</oldFormula>
  </rdn>
  <rdn rId="0" localSheetId="16" customView="1" name="Z_1587CBCC_2CC7_4525_8A49_E261AB2E1606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1587CBCC_2CC7_4525_8A49_E261AB2E1606_.wvu.FilterData" hidden="1" oldHidden="1">
    <formula>June!$B$4:$AJ$164</formula>
    <oldFormula>June!$B$4:$AJ$164</oldFormula>
  </rdn>
  <rdn rId="0" localSheetId="17" customView="1" name="Z_1587CBCC_2CC7_4525_8A49_E261AB2E1606_.wvu.Rows" hidden="1" oldHidden="1">
    <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formula>
    <oldFormula>July!$6:$19,July!$21:$24,July!$26:$29,July!$31:$39,July!$41:$44,July!$46:$49,July!$51:$54,July!$56:$59,July!$61:$69,July!$71:$74,July!$76:$84,July!$86:$94,July!$96:$99,July!$101:$104,July!$106:$109,July!$111:$114,July!$116:$119,July!$121:$124,July!$126:$129,July!$131:$134,July!$136:$144,July!$146:$149,July!$151:$154,July!$156:$159,July!$161:$164</oldFormula>
  </rdn>
  <rdn rId="0" localSheetId="17" customView="1" name="Z_1587CBCC_2CC7_4525_8A49_E261AB2E1606_.wvu.FilterData" hidden="1" oldHidden="1">
    <formula>July!$B$4:$AJ$140</formula>
    <oldFormula>July!$B$4:$AJ$140</oldFormula>
  </rdn>
  <rdn rId="0" localSheetId="18" customView="1" name="Z_1587CBCC_2CC7_4525_8A49_E261AB2E1606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1587CBCC_2CC7_4525_8A49_E261AB2E1606_.wvu.FilterData" hidden="1" oldHidden="1">
    <formula>August!$B$4:$AJ$140</formula>
    <oldFormula>August!$B$4:$AJ$140</oldFormula>
  </rdn>
  <rdn rId="0" localSheetId="19" customView="1" name="Z_1587CBCC_2CC7_4525_8A49_E261AB2E1606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1587CBCC_2CC7_4525_8A49_E261AB2E1606_.wvu.FilterData" hidden="1" oldHidden="1">
    <formula>September!$B$4:$AJ$184</formula>
    <oldFormula>September!$B$4:$AJ$184</oldFormula>
  </rdn>
  <rdn rId="0" localSheetId="20" customView="1" name="Z_1587CBCC_2CC7_4525_8A49_E261AB2E1606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1587CBCC_2CC7_4525_8A49_E261AB2E1606_.wvu.FilterData" hidden="1" oldHidden="1">
    <formula>October!$B$4:$AJ$184</formula>
    <oldFormula>October!$B$4:$AJ$184</oldFormula>
  </rdn>
  <rdn rId="0" localSheetId="21" customView="1" name="Z_1587CBCC_2CC7_4525_8A49_E261AB2E1606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1587CBCC_2CC7_4525_8A49_E261AB2E1606_.wvu.FilterData" hidden="1" oldHidden="1">
    <formula>November!$B$4:$AJ$184</formula>
    <oldFormula>November!$B$4:$AJ$184</oldFormula>
  </rdn>
  <rdn rId="0" localSheetId="22" customView="1" name="Z_1587CBCC_2CC7_4525_8A49_E261AB2E1606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1587CBCC_2CC7_4525_8A49_E261AB2E1606_.wvu.FilterData" hidden="1" oldHidden="1">
    <formula>December!$B$4:$AJ$184</formula>
    <oldFormula>December!$B$4:$AJ$184</oldFormula>
  </rdn>
  <rdn rId="0" localSheetId="25" customView="1" name="Z_1587CBCC_2CC7_4525_8A49_E261AB2E1606_.wvu.Rows" hidden="1" oldHidden="1">
    <formula>'Training Hours Overview year'!$1:$1</formula>
    <oldFormula>'Training Hours Overview year'!$1:$1</oldFormula>
  </rdn>
  <rdn rId="0" localSheetId="25" customView="1" name="Z_1587CBCC_2CC7_4525_8A49_E261AB2E1606_.wvu.Cols" hidden="1" oldHidden="1">
    <formula>'Training Hours Overview year'!$B:$B</formula>
    <oldFormula>'Training Hours Overview year'!$B:$B</oldFormula>
  </rdn>
  <rdn rId="0" localSheetId="25" customView="1" name="Z_1587CBCC_2CC7_4525_8A49_E261AB2E1606_.wvu.FilterData" hidden="1" oldHidden="1">
    <formula>'Training Hours Overview year'!$A$2:$O$31</formula>
    <oldFormula>'Training Hours Overview year'!$A$2:$O$31</oldFormula>
  </rdn>
  <rcv guid="{1587CBCC-2CC7-4525-8A49-E261AB2E1606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3" sId="16">
    <nc r="W135">
      <v>0</v>
    </nc>
  </rcc>
  <rcc rId="2234" sId="16">
    <nc r="W136">
      <v>8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3" sId="16">
    <nc r="W124">
      <v>0.5</v>
    </nc>
  </rcc>
  <rfmt sheetId="16" sqref="W124">
    <dxf>
      <numFmt numFmtId="165" formatCode="0.0"/>
    </dxf>
  </rfmt>
  <rcmt sheetId="16" cell="W120" guid="{B8D4DE03-6D32-4C28-BF31-DF76CC2B60C3}" author="Frido Meijer" newLength="28"/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2" sId="6">
    <oc r="H16">
      <f>0.5+0.4+0.5+0.5+0.5+0.5+0.5+0.5+0.5+0.5</f>
    </oc>
    <nc r="H16">
      <f>0.5+0.4+0.5+0.5+0.5+0.5+0.5+0.5+0.5+0.5+0.5</f>
    </nc>
  </rcc>
  <rcc rId="2293" sId="6">
    <oc r="G16">
      <f>0.5+0.5+0.5+1.75+0.5+0.5+0.5+0.5+0.45+0.5+0.5</f>
    </oc>
    <nc r="G16">
      <f>0.5+0.5+0.5+1.75+0.5+0.5+0.5+0.5+0.45+0.5+0.5+0.5</f>
    </nc>
  </rcc>
  <rcmt sheetId="6" cell="H16" guid="{A85D54E7-4510-4165-B89F-409DC117956F}" author="Frido Meijer" oldLength="234" newLength="44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000A-81ED-4920-B6AF-4B234775AEC9}" action="delete"/>
  <rdn rId="0" localSheetId="2" customView="1" name="Z_C5D9000A_81ED_4920_B6AF_4B234775AEC9_.wvu.FilterData" hidden="1" oldHidden="1">
    <formula>'Employee List'!$A$3:$C$25</formula>
    <oldFormula>'Employee List'!$A$3:$C$25</oldFormula>
  </rdn>
  <rdn rId="0" localSheetId="4" customView="1" name="Z_C5D9000A_81ED_4920_B6AF_4B234775AEC9_.wvu.Rows" hidden="1" oldHidden="1">
    <formula>Productivity!$1:$1</formula>
    <oldFormula>Productivity!$1:$1</oldFormula>
  </rdn>
  <rdn rId="0" localSheetId="4" customView="1" name="Z_C5D9000A_81ED_4920_B6AF_4B234775AEC9_.wvu.Cols" hidden="1" oldHidden="1">
    <formula>Productivity!$E:$E,Productivity!$S:$S</formula>
    <oldFormula>Productivity!$E:$E,Productivity!$S:$S</oldFormula>
  </rdn>
  <rdn rId="0" localSheetId="6" customView="1" name="Z_C5D9000A_81ED_4920_B6AF_4B234775AEC9_.wvu.FilterData" hidden="1" oldHidden="1">
    <formula>'Time for Time'!$A$4:$P$43</formula>
    <oldFormula>'Time for Time'!$A$4:$P$43</oldFormula>
  </rdn>
  <rdn rId="0" localSheetId="7" customView="1" name="Z_C5D9000A_81ED_4920_B6AF_4B234775AEC9_.wvu.Cols" hidden="1" oldHidden="1">
    <formula>'Holiday Entitlement'!$C:$C,'Holiday Entitlement'!$I:$K</formula>
    <oldFormula>'Holiday Entitlement'!$C:$C,'Holiday Entitlement'!$I:$K</oldFormula>
  </rdn>
  <rdn rId="0" localSheetId="7" customView="1" name="Z_C5D9000A_81ED_4920_B6AF_4B234775AEC9_.wvu.FilterData" hidden="1" oldHidden="1">
    <formula>'Holiday Entitlement'!$A$4:$L$44</formula>
    <oldFormula>'Holiday Entitlement'!$A$4:$L$44</oldFormula>
  </rdn>
  <rdn rId="0" localSheetId="10" customView="1" name="Z_C5D9000A_81ED_4920_B6AF_4B234775AEC9_.wvu.Cols" hidden="1" oldHidden="1">
    <formula>'Employee Overview'!$R:$V</formula>
    <oldFormula>'Employee Overview'!$R:$V</oldFormula>
  </rdn>
  <rdn rId="0" localSheetId="11" customView="1" name="Z_C5D9000A_81ED_4920_B6AF_4B234775AEC9_.wvu.Rows" hidden="1" oldHidden="1">
    <formula>January!$1:$1,January!$141:$144,January!$146:$149</formula>
    <oldFormula>January!$1:$1,January!$141:$144,January!$146:$149</oldFormula>
  </rdn>
  <rdn rId="0" localSheetId="11" customView="1" name="Z_C5D9000A_81ED_4920_B6AF_4B234775AEC9_.wvu.FilterData" hidden="1" oldHidden="1">
    <formula>January!$B$4:$AJ$140</formula>
    <oldFormula>January!$B$4:$AJ$140</oldFormula>
  </rdn>
  <rdn rId="0" localSheetId="12" customView="1" name="Z_C5D9000A_81ED_4920_B6AF_4B234775AEC9_.wvu.FilterData" hidden="1" oldHidden="1">
    <formula>February!$B$4:$AJ$149</formula>
    <oldFormula>February!$B$4:$AJ$149</oldFormula>
  </rdn>
  <rdn rId="0" localSheetId="13" customView="1" name="Z_C5D9000A_81ED_4920_B6AF_4B234775AEC9_.wvu.FilterData" hidden="1" oldHidden="1">
    <formula>March!$B$4:$AJ$149</formula>
    <oldFormula>March!$B$4:$AJ$149</oldFormula>
  </rdn>
  <rdn rId="0" localSheetId="14" customView="1" name="Z_C5D9000A_81ED_4920_B6AF_4B234775AEC9_.wvu.FilterData" hidden="1" oldHidden="1">
    <formula>April!$B$4:$AJ$164</formula>
    <oldFormula>April!$B$4:$AJ$164</oldFormula>
  </rdn>
  <rdn rId="0" localSheetId="15" customView="1" name="Z_C5D9000A_81ED_4920_B6AF_4B234775AEC9_.wvu.FilterData" hidden="1" oldHidden="1">
    <formula>May!$A$4:$AJ$164</formula>
    <oldFormula>May!$A$4:$AJ$164</oldFormula>
  </rdn>
  <rdn rId="0" localSheetId="16" customView="1" name="Z_C5D9000A_81ED_4920_B6AF_4B234775AEC9_.wvu.Rows" hidden="1" oldHidden="1">
    <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formula>
    <oldFormula>June!$6:$9,June!$11:$14,June!$16:$19,June!$21:$24,June!$26:$29,June!$31:$34,June!$36:$39,June!$41:$44,June!$46:$49,June!$51:$54,June!$56:$59,June!$61:$64,June!$66:$69,June!$71:$74,June!$76:$79,June!$81:$84,June!$86:$89,June!$91:$94,June!$96:$99,June!$101:$104,June!$106:$109,June!$111:$114,June!$116:$119,June!$121:$124,June!$126:$129,June!$131:$134,June!$136:$139,June!$141:$144,June!$146:$149,June!$151:$154,June!$156:$159,June!$161:$164</oldFormula>
  </rdn>
  <rdn rId="0" localSheetId="16" customView="1" name="Z_C5D9000A_81ED_4920_B6AF_4B234775AEC9_.wvu.FilterData" hidden="1" oldHidden="1">
    <formula>June!$B$4:$AJ$164</formula>
    <oldFormula>June!$B$4:$AJ$164</oldFormula>
  </rdn>
  <rdn rId="0" localSheetId="17" customView="1" name="Z_C5D9000A_81ED_4920_B6AF_4B234775AEC9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C5D9000A_81ED_4920_B6AF_4B234775AEC9_.wvu.FilterData" hidden="1" oldHidden="1">
    <formula>July!$B$4:$AJ$140</formula>
    <oldFormula>July!$B$4:$AJ$140</oldFormula>
  </rdn>
  <rdn rId="0" localSheetId="18" customView="1" name="Z_C5D9000A_81ED_4920_B6AF_4B234775AEC9_.wvu.Rows" hidden="1" oldHidden="1">
    <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formula>
    <oldFormula>August!$6:$9,August!$11:$14,August!$16:$19,August!$21:$24,August!$26:$29,August!$31:$34,August!$36:$39,August!$41:$44,August!$46:$49,August!$51:$54,August!$56:$59,August!$61:$64,August!$66:$69,August!$71:$74,August!$76:$79,August!$81:$84,August!$86:$89,August!$91:$94,August!$96:$99,August!$101:$104,August!$106:$109,August!$111:$114,August!$116:$119,August!$121:$124,August!$126:$129,August!$131:$134,August!$136:$139,August!$141:$144,August!$146:$149,August!$151:$154,August!$156:$159,August!$161:$164</oldFormula>
  </rdn>
  <rdn rId="0" localSheetId="18" customView="1" name="Z_C5D9000A_81ED_4920_B6AF_4B234775AEC9_.wvu.FilterData" hidden="1" oldHidden="1">
    <formula>August!$B$4:$AJ$140</formula>
    <oldFormula>August!$B$4:$AJ$140</oldFormula>
  </rdn>
  <rdn rId="0" localSheetId="19" customView="1" name="Z_C5D9000A_81ED_4920_B6AF_4B234775AEC9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C5D9000A_81ED_4920_B6AF_4B234775AEC9_.wvu.FilterData" hidden="1" oldHidden="1">
    <formula>September!$B$4:$AJ$184</formula>
    <oldFormula>September!$B$4:$AJ$184</oldFormula>
  </rdn>
  <rdn rId="0" localSheetId="20" customView="1" name="Z_C5D9000A_81ED_4920_B6AF_4B234775AEC9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C5D9000A_81ED_4920_B6AF_4B234775AEC9_.wvu.FilterData" hidden="1" oldHidden="1">
    <formula>October!$B$4:$AJ$184</formula>
    <oldFormula>October!$B$4:$AJ$184</oldFormula>
  </rdn>
  <rdn rId="0" localSheetId="21" customView="1" name="Z_C5D9000A_81ED_4920_B6AF_4B234775AEC9_.wvu.FilterData" hidden="1" oldHidden="1">
    <formula>November!$B$4:$AJ$184</formula>
    <oldFormula>November!$B$4:$AJ$184</oldFormula>
  </rdn>
  <rdn rId="0" localSheetId="22" customView="1" name="Z_C5D9000A_81ED_4920_B6AF_4B234775AEC9_.wvu.FilterData" hidden="1" oldHidden="1">
    <formula>December!$B$4:$AJ$184</formula>
    <oldFormula>December!$B$4:$AJ$184</oldFormula>
  </rdn>
  <rdn rId="0" localSheetId="25" customView="1" name="Z_C5D9000A_81ED_4920_B6AF_4B234775AEC9_.wvu.Rows" hidden="1" oldHidden="1">
    <formula>'Training Hours Overview year'!$1:$1</formula>
    <oldFormula>'Training Hours Overview year'!$1:$1</oldFormula>
  </rdn>
  <rdn rId="0" localSheetId="25" customView="1" name="Z_C5D9000A_81ED_4920_B6AF_4B234775AEC9_.wvu.Cols" hidden="1" oldHidden="1">
    <formula>'Training Hours Overview year'!$B:$B</formula>
    <oldFormula>'Training Hours Overview year'!$B:$B</oldFormula>
  </rdn>
  <rdn rId="0" localSheetId="25" customView="1" name="Z_C5D9000A_81ED_4920_B6AF_4B234775AEC9_.wvu.FilterData" hidden="1" oldHidden="1">
    <formula>'Training Hours Overview year'!$A$2:$O$31</formula>
    <oldFormula>'Training Hours Overview year'!$A$2:$O$31</oldFormula>
  </rdn>
  <rcv guid="{C5D9000A-81ED-4920-B6AF-4B234775AEC9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2" sId="16">
    <nc r="W130">
      <v>2</v>
    </nc>
  </rcc>
  <rcmt sheetId="16" cell="W130" guid="{210DB882-9AE8-4932-8050-B7FEA594D5DB}" author="Patrick Ziesen" newLength="31"/>
  <rcv guid="{98CBC5BF-8C89-48A4-860E-9C56014CD200}" action="delete"/>
  <rdn rId="0" localSheetId="2" customView="1" name="Z_98CBC5BF_8C89_48A4_860E_9C56014CD200_.wvu.FilterData" hidden="1" oldHidden="1">
    <formula>'Employee List'!$A$3:$C$25</formula>
    <oldFormula>'Employee List'!$A$3:$C$25</oldFormula>
  </rdn>
  <rdn rId="0" localSheetId="4" customView="1" name="Z_98CBC5BF_8C89_48A4_860E_9C56014CD200_.wvu.Rows" hidden="1" oldHidden="1">
    <formula>Productivity!$1:$1</formula>
    <oldFormula>Productivity!$1:$1</oldFormula>
  </rdn>
  <rdn rId="0" localSheetId="4" customView="1" name="Z_98CBC5BF_8C89_48A4_860E_9C56014CD200_.wvu.Cols" hidden="1" oldHidden="1">
    <formula>Productivity!$E:$E,Productivity!$S:$S</formula>
    <oldFormula>Productivity!$E:$E,Productivity!$S:$S</oldFormula>
  </rdn>
  <rdn rId="0" localSheetId="6" customView="1" name="Z_98CBC5BF_8C89_48A4_860E_9C56014CD200_.wvu.FilterData" hidden="1" oldHidden="1">
    <formula>'Time for Time'!$A$4:$P$43</formula>
    <oldFormula>'Time for Time'!$A$4:$P$43</oldFormula>
  </rdn>
  <rdn rId="0" localSheetId="7" customView="1" name="Z_98CBC5BF_8C89_48A4_860E_9C56014CD200_.wvu.Cols" hidden="1" oldHidden="1">
    <formula>'Holiday Entitlement'!$I:$K</formula>
    <oldFormula>'Holiday Entitlement'!$I:$K</oldFormula>
  </rdn>
  <rdn rId="0" localSheetId="7" customView="1" name="Z_98CBC5BF_8C89_48A4_860E_9C56014CD200_.wvu.FilterData" hidden="1" oldHidden="1">
    <formula>'Holiday Entitlement'!$A$4:$L$44</formula>
    <oldFormula>'Holiday Entitlement'!$A$4:$L$44</oldFormula>
  </rdn>
  <rdn rId="0" localSheetId="10" customView="1" name="Z_98CBC5BF_8C89_48A4_860E_9C56014CD200_.wvu.Rows" hidden="1" oldHidden="1">
    <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formula>
    <oldFormula>'Employee Overview'!$6:$9,'Employee Overview'!$11:$14,'Employee Overview'!$16:$19,'Employee Overview'!$21:$24,'Employee Overview'!$26:$29,'Employee Overview'!$31:$34,'Employee Overview'!$36:$39,'Employee Overview'!$41:$44,'Employee Overview'!$46:$49,'Employee Overview'!$51:$54,'Employee Overview'!$56:$59,'Employee Overview'!$61:$64,'Employee Overview'!$66:$69,'Employee Overview'!$71:$74,'Employee Overview'!$76:$79,'Employee Overview'!$81:$84,'Employee Overview'!$86:$89,'Employee Overview'!$91:$94,'Employee Overview'!$96:$99,'Employee Overview'!$101:$104,'Employee Overview'!$106:$109,'Employee Overview'!$111:$114,'Employee Overview'!$116:$119,'Employee Overview'!$121:$124,'Employee Overview'!$126:$129,'Employee Overview'!$131:$134,'Employee Overview'!$136:$139,'Employee Overview'!$141:$144,'Employee Overview'!$146:$149,'Employee Overview'!$151:$154,'Employee Overview'!$156:$159,'Employee Overview'!$161:$164,'Employee Overview'!$166:$169,'Employee Overview'!$171:$174,'Employee Overview'!$176:$179,'Employee Overview'!$181:$184,'Employee Overview'!$186:$189,'Employee Overview'!$191:$194,'Employee Overview'!$196:$199,'Employee Overview'!$201:$204</oldFormula>
  </rdn>
  <rdn rId="0" localSheetId="10" customView="1" name="Z_98CBC5BF_8C89_48A4_860E_9C56014CD200_.wvu.Cols" hidden="1" oldHidden="1">
    <formula>'Employee Overview'!$R:$V</formula>
    <oldFormula>'Employee Overview'!$R:$V</oldFormula>
  </rdn>
  <rdn rId="0" localSheetId="11" customView="1" name="Z_98CBC5BF_8C89_48A4_860E_9C56014CD200_.wvu.Rows" hidden="1" oldHidden="1">
    <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formula>
    <oldFormula>January!$1:$1,January!$6:$9,January!$11:$14,January!$16:$19,January!$21:$24,January!$26:$29,January!$31:$34,January!$36:$39,January!$41:$44,January!$46:$49,January!$51:$54,January!$56:$59,January!$61:$64,January!$66:$69,January!$71:$74,January!$76:$79,January!$81:$84,January!$86:$89,January!$91:$94,January!$96:$99,January!$101:$104,January!$106:$109,January!$111:$114,January!$116:$119,January!$121:$124,January!$126:$129,January!$131:$134,January!$136:$139,January!$141:$144,January!$146:$149</oldFormula>
  </rdn>
  <rdn rId="0" localSheetId="11" customView="1" name="Z_98CBC5BF_8C89_48A4_860E_9C56014CD200_.wvu.FilterData" hidden="1" oldHidden="1">
    <formula>January!$B$4:$AJ$140</formula>
    <oldFormula>January!$B$4:$AJ$140</oldFormula>
  </rdn>
  <rdn rId="0" localSheetId="12" customView="1" name="Z_98CBC5BF_8C89_48A4_860E_9C56014CD200_.wvu.Rows" hidden="1" oldHidden="1">
    <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formula>
    <oldFormula>February!$6:$9,February!$11:$14,February!$16:$19,February!$21:$24,February!$26:$29,February!$31:$34,February!$36:$39,February!$41:$44,February!$46:$49,February!$51:$54,February!$56:$59,February!$61:$64,February!$66:$69,February!$71:$74,February!$76:$79,February!$81:$84,February!$86:$89,February!$91:$94,February!$96:$99,February!$101:$104,February!$106:$109,February!$111:$114,February!$116:$119,February!$121:$124,February!$126:$129,February!$131:$134,February!$136:$139,February!$141:$144,February!$146:$149</oldFormula>
  </rdn>
  <rdn rId="0" localSheetId="12" customView="1" name="Z_98CBC5BF_8C89_48A4_860E_9C56014CD200_.wvu.FilterData" hidden="1" oldHidden="1">
    <formula>February!$B$4:$AJ$149</formula>
    <oldFormula>February!$B$4:$AJ$149</oldFormula>
  </rdn>
  <rdn rId="0" localSheetId="13" customView="1" name="Z_98CBC5BF_8C89_48A4_860E_9C56014CD200_.wvu.Rows" hidden="1" oldHidden="1">
    <formula>March!$150:$164</formula>
    <oldFormula>March!$150:$164</oldFormula>
  </rdn>
  <rdn rId="0" localSheetId="13" customView="1" name="Z_98CBC5BF_8C89_48A4_860E_9C56014CD200_.wvu.FilterData" hidden="1" oldHidden="1">
    <formula>March!$B$4:$AJ$149</formula>
    <oldFormula>March!$B$4:$AJ$149</oldFormula>
  </rdn>
  <rdn rId="0" localSheetId="14" customView="1" name="Z_98CBC5BF_8C89_48A4_860E_9C56014CD200_.wvu.Rows" hidden="1" oldHidden="1">
    <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formula>
    <oldFormula>April!$6:$9,April!$11:$14,April!$16:$19,April!$21:$24,April!$26:$29,April!$31:$34,April!$36:$39,April!$41:$44,April!$46:$49,April!$51:$54,April!$56:$59,April!$61:$64,April!$66:$69,April!$71:$74,April!$76:$79,April!$81:$84,April!$86:$89,April!$91:$94,April!$96:$99,April!$101:$104,April!$106:$109,April!$111:$114,April!$116:$119,April!$121:$124,April!$126:$129,April!$131:$134,April!$136:$139,April!$141:$144,April!$146:$149,April!$151:$154,April!$156:$159,April!$161:$164</oldFormula>
  </rdn>
  <rdn rId="0" localSheetId="14" customView="1" name="Z_98CBC5BF_8C89_48A4_860E_9C56014CD200_.wvu.FilterData" hidden="1" oldHidden="1">
    <formula>April!$B$4:$AJ$164</formula>
    <oldFormula>April!$B$4:$AJ$164</oldFormula>
  </rdn>
  <rdn rId="0" localSheetId="15" customView="1" name="Z_98CBC5BF_8C89_48A4_860E_9C56014CD200_.wvu.Rows" hidden="1" oldHidden="1">
    <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formula>
    <oldFormula>May!$6:$19,May!$21:$24,May!$26:$29,May!$31:$39,May!$41:$44,May!$46:$49,May!$51:$54,May!$56:$59,May!$61:$69,May!$71:$74,May!$76:$84,May!$86:$94,May!$96:$99,May!$101:$104,May!$106:$109,May!$111:$114,May!$116:$119,May!$121:$124,May!$126:$129,May!$131:$134,May!$136:$144,May!$146:$149,May!$151:$154,May!$156:$159,May!$161:$164</oldFormula>
  </rdn>
  <rdn rId="0" localSheetId="15" customView="1" name="Z_98CBC5BF_8C89_48A4_860E_9C56014CD200_.wvu.FilterData" hidden="1" oldHidden="1">
    <formula>May!$A$4:$AJ$164</formula>
    <oldFormula>May!$A$4:$AJ$164</oldFormula>
  </rdn>
  <rdn rId="0" localSheetId="16" customView="1" name="Z_98CBC5BF_8C89_48A4_860E_9C56014CD200_.wvu.Rows" hidden="1" oldHidden="1">
    <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formula>
    <oldFormula>June!$6:$19,June!$21:$24,June!$26:$29,June!$31:$39,June!$41:$44,June!$46:$49,June!$51:$54,June!$56:$59,June!$61:$69,June!$71:$74,June!$76:$84,June!$86:$94,June!$96:$99,June!$101:$104,June!$106:$109,June!$111:$114,June!$116:$119,June!$121:$124,June!$126:$129,June!$131:$134,June!$136:$144,June!$146:$149,June!$151:$154,June!$156:$159,June!$161:$164</oldFormula>
  </rdn>
  <rdn rId="0" localSheetId="16" customView="1" name="Z_98CBC5BF_8C89_48A4_860E_9C56014CD200_.wvu.FilterData" hidden="1" oldHidden="1">
    <formula>June!$B$4:$AJ$164</formula>
    <oldFormula>June!$B$4:$AJ$164</oldFormula>
  </rdn>
  <rdn rId="0" localSheetId="17" customView="1" name="Z_98CBC5BF_8C89_48A4_860E_9C56014CD200_.wvu.Rows" hidden="1" oldHidden="1">
    <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formula>
    <oldFormula>July!$6:$9,July!$11:$14,July!$16:$19,July!$21:$24,July!$26:$29,July!$31:$34,July!$36:$39,July!$41:$44,July!$46:$49,July!$51:$54,July!$56:$59,July!$61:$64,July!$66:$69,July!$71:$74,July!$76:$79,July!$81:$84,July!$86:$89,July!$91:$94,July!$96:$99,July!$101:$104,July!$106:$109,July!$111:$114,July!$116:$119,July!$121:$124,July!$126:$129,July!$131:$134,July!$136:$139,July!$141:$144,July!$146:$149,July!$151:$154,July!$156:$159,July!$161:$164</oldFormula>
  </rdn>
  <rdn rId="0" localSheetId="17" customView="1" name="Z_98CBC5BF_8C89_48A4_860E_9C56014CD200_.wvu.FilterData" hidden="1" oldHidden="1">
    <formula>July!$B$4:$AJ$140</formula>
    <oldFormula>July!$B$4:$AJ$140</oldFormula>
  </rdn>
  <rdn rId="0" localSheetId="18" customView="1" name="Z_98CBC5BF_8C89_48A4_860E_9C56014CD200_.wvu.Rows" hidden="1" oldHidden="1">
    <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formula>
    <oldFormula>August!$6:$19,August!$21:$24,August!$26:$29,August!$31:$39,August!$41:$44,August!$46:$49,August!$51:$54,August!$56:$59,August!$61:$69,August!$71:$74,August!$76:$84,August!$86:$94,August!$96:$99,August!$101:$104,August!$106:$109,August!$111:$114,August!$116:$119,August!$121:$124,August!$126:$129,August!$131:$134,August!$136:$144,August!$146:$149,August!$151:$154,August!$156:$159,August!$161:$164</oldFormula>
  </rdn>
  <rdn rId="0" localSheetId="18" customView="1" name="Z_98CBC5BF_8C89_48A4_860E_9C56014CD200_.wvu.FilterData" hidden="1" oldHidden="1">
    <formula>August!$B$4:$AJ$140</formula>
    <oldFormula>August!$B$4:$AJ$140</oldFormula>
  </rdn>
  <rdn rId="0" localSheetId="19" customView="1" name="Z_98CBC5BF_8C89_48A4_860E_9C56014CD200_.wvu.Rows" hidden="1" oldHidden="1">
    <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formula>
    <oldFormula>September!$6:$9,September!$11:$14,September!$16:$19,September!$21:$24,September!$26:$29,September!$31:$34,September!$36:$39,September!$41:$44,September!$46:$49,September!$51:$54,September!$56:$59,September!$61:$64,September!$66:$69,September!$71:$74,September!$76:$79,September!$81:$84,September!$86:$89,September!$91:$94,September!$96:$99,September!$101:$104,September!$106:$109,September!$111:$114,September!$116:$119,September!$121:$124,September!$126:$129,September!$131:$134,September!$136:$139,September!$141:$144,September!$146:$149,September!$151:$154,September!$156:$159,September!$161:$164,September!$166:$169,September!$171:$174,September!$176:$179,September!$181:$184</oldFormula>
  </rdn>
  <rdn rId="0" localSheetId="19" customView="1" name="Z_98CBC5BF_8C89_48A4_860E_9C56014CD200_.wvu.FilterData" hidden="1" oldHidden="1">
    <formula>September!$B$4:$AJ$184</formula>
    <oldFormula>September!$B$4:$AJ$184</oldFormula>
  </rdn>
  <rdn rId="0" localSheetId="20" customView="1" name="Z_98CBC5BF_8C89_48A4_860E_9C56014CD200_.wvu.Rows" hidden="1" oldHidden="1">
    <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formula>
    <oldFormula>October!$6:$9,October!$11:$14,October!$16:$19,October!$21:$24,October!$26:$29,October!$31:$34,October!$36:$39,October!$41:$44,October!$46:$49,October!$51:$54,October!$56:$59,October!$61:$64,October!$66:$69,October!$71:$74,October!$76:$79,October!$81:$84,October!$86:$89,October!$91:$94,October!$96:$99,October!$101:$104,October!$106:$109,October!$111:$114,October!$116:$119,October!$121:$124,October!$126:$129,October!$131:$134,October!$136:$139,October!$141:$144,October!$146:$149,October!$151:$154,October!$156:$159,October!$161:$164,October!$166:$169,October!$171:$174,October!$176:$179,October!$181:$184</oldFormula>
  </rdn>
  <rdn rId="0" localSheetId="20" customView="1" name="Z_98CBC5BF_8C89_48A4_860E_9C56014CD200_.wvu.FilterData" hidden="1" oldHidden="1">
    <formula>October!$B$4:$AJ$184</formula>
    <oldFormula>October!$B$4:$AJ$184</oldFormula>
  </rdn>
  <rdn rId="0" localSheetId="21" customView="1" name="Z_98CBC5BF_8C89_48A4_860E_9C56014CD200_.wvu.Rows" hidden="1" oldHidden="1">
    <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formula>
    <oldFormula>November!$6:$9,November!$11:$14,November!$16:$19,November!$21:$24,November!$26:$29,November!$31:$34,November!$36:$39,November!$41:$44,November!$46:$49,November!$51:$54,November!$56:$59,November!$61:$64,November!$66:$69,November!$71:$74,November!$76:$79,November!$81:$84,November!$86:$89,November!$91:$94,November!$96:$99,November!$101:$104,November!$106:$109,November!$111:$114,November!$116:$119,November!$121:$124,November!$126:$129,November!$131:$134,November!$136:$139,November!$141:$144,November!$146:$149,November!$151:$154,November!$156:$159,November!$161:$164,November!$166:$169,November!$171:$174,November!$176:$179,November!$181:$184</oldFormula>
  </rdn>
  <rdn rId="0" localSheetId="21" customView="1" name="Z_98CBC5BF_8C89_48A4_860E_9C56014CD200_.wvu.FilterData" hidden="1" oldHidden="1">
    <formula>November!$B$4:$AJ$184</formula>
    <oldFormula>November!$B$4:$AJ$184</oldFormula>
  </rdn>
  <rdn rId="0" localSheetId="22" customView="1" name="Z_98CBC5BF_8C89_48A4_860E_9C56014CD200_.wvu.Rows" hidden="1" oldHidden="1">
    <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formula>
    <oldFormula>December!$6:$9,December!$11:$14,December!$16:$19,December!$21:$24,December!$26:$29,December!$31:$34,December!$36:$39,December!$41:$44,December!$46:$49,December!$51:$54,December!$56:$59,December!$61:$64,December!$66:$69,December!$71:$74,December!$76:$79,December!$81:$84,December!$86:$89,December!$91:$94,December!$96:$99,December!$101:$104,December!$106:$109,December!$111:$114,December!$116:$119,December!$121:$124,December!$126:$129,December!$131:$134,December!$136:$139,December!$141:$144,December!$146:$149,December!$151:$154,December!$156:$159,December!$161:$164,December!$166:$169,December!$171:$174,December!$176:$179,December!$181:$184</oldFormula>
  </rdn>
  <rdn rId="0" localSheetId="22" customView="1" name="Z_98CBC5BF_8C89_48A4_860E_9C56014CD200_.wvu.FilterData" hidden="1" oldHidden="1">
    <formula>December!$B$4:$AJ$184</formula>
    <oldFormula>December!$B$4:$AJ$184</oldFormula>
  </rdn>
  <rdn rId="0" localSheetId="25" customView="1" name="Z_98CBC5BF_8C89_48A4_860E_9C56014CD200_.wvu.Rows" hidden="1" oldHidden="1">
    <formula>'Training Hours Overview year'!$1:$1</formula>
    <oldFormula>'Training Hours Overview year'!$1:$1</oldFormula>
  </rdn>
  <rdn rId="0" localSheetId="25" customView="1" name="Z_98CBC5BF_8C89_48A4_860E_9C56014CD200_.wvu.FilterData" hidden="1" oldHidden="1">
    <formula>'Training Hours Overview year'!$A$2:$O$31</formula>
    <oldFormula>'Training Hours Overview year'!$A$2:$O$31</oldFormula>
  </rdn>
  <rcv guid="{98CBC5BF-8C89-48A4-860E-9C56014CD20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77A7F939-73AE-4030-B296-C47D7BE87C9C}" name="Patrick Janssen" id="-1144349473" dateTime="2013-06-18T10:48:03"/>
  <userInfo guid="{18AEB0D8-B433-4FBF-9A48-46E04C6D1A04}" name="Jorrit Karreman" id="-1431261535" dateTime="2013-06-18T13:49:54"/>
  <userInfo guid="{DCC8F50F-850B-4AB0-8931-0265933F51C0}" name="Patrick Janssen" id="-1144356787" dateTime="2013-06-21T08:05:3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6.bin"/><Relationship Id="rId7" Type="http://schemas.openxmlformats.org/officeDocument/2006/relationships/printerSettings" Target="../printerSettings/printerSettings70.bin"/><Relationship Id="rId2" Type="http://schemas.openxmlformats.org/officeDocument/2006/relationships/printerSettings" Target="../printerSettings/printerSettings65.bin"/><Relationship Id="rId1" Type="http://schemas.openxmlformats.org/officeDocument/2006/relationships/printerSettings" Target="../printerSettings/printerSettings64.bin"/><Relationship Id="rId6" Type="http://schemas.openxmlformats.org/officeDocument/2006/relationships/printerSettings" Target="../printerSettings/printerSettings69.bin"/><Relationship Id="rId5" Type="http://schemas.openxmlformats.org/officeDocument/2006/relationships/printerSettings" Target="../printerSettings/printerSettings68.bin"/><Relationship Id="rId4" Type="http://schemas.openxmlformats.org/officeDocument/2006/relationships/printerSettings" Target="../printerSettings/printerSettings6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73.bin"/><Relationship Id="rId7" Type="http://schemas.openxmlformats.org/officeDocument/2006/relationships/printerSettings" Target="../printerSettings/printerSettings77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6" Type="http://schemas.openxmlformats.org/officeDocument/2006/relationships/printerSettings" Target="../printerSettings/printerSettings76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Relationship Id="rId9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5" Type="http://schemas.openxmlformats.org/officeDocument/2006/relationships/printerSettings" Target="../printerSettings/printerSettings82.bin"/><Relationship Id="rId4" Type="http://schemas.openxmlformats.org/officeDocument/2006/relationships/printerSettings" Target="../printerSettings/printerSettings81.bin"/><Relationship Id="rId9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87.bin"/><Relationship Id="rId7" Type="http://schemas.openxmlformats.org/officeDocument/2006/relationships/printerSettings" Target="../printerSettings/printerSettings91.bin"/><Relationship Id="rId2" Type="http://schemas.openxmlformats.org/officeDocument/2006/relationships/printerSettings" Target="../printerSettings/printerSettings86.bin"/><Relationship Id="rId1" Type="http://schemas.openxmlformats.org/officeDocument/2006/relationships/printerSettings" Target="../printerSettings/printerSettings85.bin"/><Relationship Id="rId6" Type="http://schemas.openxmlformats.org/officeDocument/2006/relationships/printerSettings" Target="../printerSettings/printerSettings90.bin"/><Relationship Id="rId5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88.bin"/><Relationship Id="rId9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94.bin"/><Relationship Id="rId7" Type="http://schemas.openxmlformats.org/officeDocument/2006/relationships/printerSettings" Target="../printerSettings/printerSettings98.bin"/><Relationship Id="rId2" Type="http://schemas.openxmlformats.org/officeDocument/2006/relationships/printerSettings" Target="../printerSettings/printerSettings93.bin"/><Relationship Id="rId1" Type="http://schemas.openxmlformats.org/officeDocument/2006/relationships/printerSettings" Target="../printerSettings/printerSettings92.bin"/><Relationship Id="rId6" Type="http://schemas.openxmlformats.org/officeDocument/2006/relationships/printerSettings" Target="../printerSettings/printerSettings97.bin"/><Relationship Id="rId5" Type="http://schemas.openxmlformats.org/officeDocument/2006/relationships/printerSettings" Target="../printerSettings/printerSettings96.bin"/><Relationship Id="rId4" Type="http://schemas.openxmlformats.org/officeDocument/2006/relationships/printerSettings" Target="../printerSettings/printerSettings95.bin"/><Relationship Id="rId9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.vml"/><Relationship Id="rId3" Type="http://schemas.openxmlformats.org/officeDocument/2006/relationships/printerSettings" Target="../printerSettings/printerSettings101.bin"/><Relationship Id="rId7" Type="http://schemas.openxmlformats.org/officeDocument/2006/relationships/printerSettings" Target="../printerSettings/printerSettings105.bin"/><Relationship Id="rId2" Type="http://schemas.openxmlformats.org/officeDocument/2006/relationships/printerSettings" Target="../printerSettings/printerSettings100.bin"/><Relationship Id="rId1" Type="http://schemas.openxmlformats.org/officeDocument/2006/relationships/printerSettings" Target="../printerSettings/printerSettings99.bin"/><Relationship Id="rId6" Type="http://schemas.openxmlformats.org/officeDocument/2006/relationships/printerSettings" Target="../printerSettings/printerSettings104.bin"/><Relationship Id="rId5" Type="http://schemas.openxmlformats.org/officeDocument/2006/relationships/printerSettings" Target="../printerSettings/printerSettings103.bin"/><Relationship Id="rId4" Type="http://schemas.openxmlformats.org/officeDocument/2006/relationships/printerSettings" Target="../printerSettings/printerSettings102.bin"/><Relationship Id="rId9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0.vml"/><Relationship Id="rId3" Type="http://schemas.openxmlformats.org/officeDocument/2006/relationships/printerSettings" Target="../printerSettings/printerSettings108.bin"/><Relationship Id="rId7" Type="http://schemas.openxmlformats.org/officeDocument/2006/relationships/printerSettings" Target="../printerSettings/printerSettings112.bin"/><Relationship Id="rId2" Type="http://schemas.openxmlformats.org/officeDocument/2006/relationships/printerSettings" Target="../printerSettings/printerSettings107.bin"/><Relationship Id="rId1" Type="http://schemas.openxmlformats.org/officeDocument/2006/relationships/printerSettings" Target="../printerSettings/printerSettings106.bin"/><Relationship Id="rId6" Type="http://schemas.openxmlformats.org/officeDocument/2006/relationships/printerSettings" Target="../printerSettings/printerSettings111.bin"/><Relationship Id="rId5" Type="http://schemas.openxmlformats.org/officeDocument/2006/relationships/printerSettings" Target="../printerSettings/printerSettings110.bin"/><Relationship Id="rId4" Type="http://schemas.openxmlformats.org/officeDocument/2006/relationships/printerSettings" Target="../printerSettings/printerSettings109.bin"/><Relationship Id="rId9" Type="http://schemas.openxmlformats.org/officeDocument/2006/relationships/comments" Target="../comments10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1.vml"/><Relationship Id="rId3" Type="http://schemas.openxmlformats.org/officeDocument/2006/relationships/printerSettings" Target="../printerSettings/printerSettings115.bin"/><Relationship Id="rId7" Type="http://schemas.openxmlformats.org/officeDocument/2006/relationships/printerSettings" Target="../printerSettings/printerSettings119.bin"/><Relationship Id="rId2" Type="http://schemas.openxmlformats.org/officeDocument/2006/relationships/printerSettings" Target="../printerSettings/printerSettings114.bin"/><Relationship Id="rId1" Type="http://schemas.openxmlformats.org/officeDocument/2006/relationships/printerSettings" Target="../printerSettings/printerSettings113.bin"/><Relationship Id="rId6" Type="http://schemas.openxmlformats.org/officeDocument/2006/relationships/printerSettings" Target="../printerSettings/printerSettings118.bin"/><Relationship Id="rId5" Type="http://schemas.openxmlformats.org/officeDocument/2006/relationships/printerSettings" Target="../printerSettings/printerSettings117.bin"/><Relationship Id="rId4" Type="http://schemas.openxmlformats.org/officeDocument/2006/relationships/printerSettings" Target="../printerSettings/printerSettings116.bin"/><Relationship Id="rId9" Type="http://schemas.openxmlformats.org/officeDocument/2006/relationships/comments" Target="../comments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2.vml"/><Relationship Id="rId3" Type="http://schemas.openxmlformats.org/officeDocument/2006/relationships/printerSettings" Target="../printerSettings/printerSettings122.bin"/><Relationship Id="rId7" Type="http://schemas.openxmlformats.org/officeDocument/2006/relationships/printerSettings" Target="../printerSettings/printerSettings126.bin"/><Relationship Id="rId2" Type="http://schemas.openxmlformats.org/officeDocument/2006/relationships/printerSettings" Target="../printerSettings/printerSettings121.bin"/><Relationship Id="rId1" Type="http://schemas.openxmlformats.org/officeDocument/2006/relationships/printerSettings" Target="../printerSettings/printerSettings120.bin"/><Relationship Id="rId6" Type="http://schemas.openxmlformats.org/officeDocument/2006/relationships/printerSettings" Target="../printerSettings/printerSettings125.bin"/><Relationship Id="rId5" Type="http://schemas.openxmlformats.org/officeDocument/2006/relationships/printerSettings" Target="../printerSettings/printerSettings124.bin"/><Relationship Id="rId4" Type="http://schemas.openxmlformats.org/officeDocument/2006/relationships/printerSettings" Target="../printerSettings/printerSettings123.bin"/><Relationship Id="rId9" Type="http://schemas.openxmlformats.org/officeDocument/2006/relationships/comments" Target="../comments12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3.vml"/><Relationship Id="rId3" Type="http://schemas.openxmlformats.org/officeDocument/2006/relationships/printerSettings" Target="../printerSettings/printerSettings129.bin"/><Relationship Id="rId7" Type="http://schemas.openxmlformats.org/officeDocument/2006/relationships/printerSettings" Target="../printerSettings/printerSettings133.bin"/><Relationship Id="rId2" Type="http://schemas.openxmlformats.org/officeDocument/2006/relationships/printerSettings" Target="../printerSettings/printerSettings128.bin"/><Relationship Id="rId1" Type="http://schemas.openxmlformats.org/officeDocument/2006/relationships/printerSettings" Target="../printerSettings/printerSettings127.bin"/><Relationship Id="rId6" Type="http://schemas.openxmlformats.org/officeDocument/2006/relationships/printerSettings" Target="../printerSettings/printerSettings132.bin"/><Relationship Id="rId5" Type="http://schemas.openxmlformats.org/officeDocument/2006/relationships/printerSettings" Target="../printerSettings/printerSettings131.bin"/><Relationship Id="rId4" Type="http://schemas.openxmlformats.org/officeDocument/2006/relationships/printerSettings" Target="../printerSettings/printerSettings130.bin"/><Relationship Id="rId9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4.vml"/><Relationship Id="rId3" Type="http://schemas.openxmlformats.org/officeDocument/2006/relationships/printerSettings" Target="../printerSettings/printerSettings136.bin"/><Relationship Id="rId7" Type="http://schemas.openxmlformats.org/officeDocument/2006/relationships/printerSettings" Target="../printerSettings/printerSettings140.bin"/><Relationship Id="rId2" Type="http://schemas.openxmlformats.org/officeDocument/2006/relationships/printerSettings" Target="../printerSettings/printerSettings135.bin"/><Relationship Id="rId1" Type="http://schemas.openxmlformats.org/officeDocument/2006/relationships/printerSettings" Target="../printerSettings/printerSettings134.bin"/><Relationship Id="rId6" Type="http://schemas.openxmlformats.org/officeDocument/2006/relationships/printerSettings" Target="../printerSettings/printerSettings139.bin"/><Relationship Id="rId5" Type="http://schemas.openxmlformats.org/officeDocument/2006/relationships/printerSettings" Target="../printerSettings/printerSettings138.bin"/><Relationship Id="rId4" Type="http://schemas.openxmlformats.org/officeDocument/2006/relationships/printerSettings" Target="../printerSettings/printerSettings137.bin"/><Relationship Id="rId9" Type="http://schemas.openxmlformats.org/officeDocument/2006/relationships/comments" Target="../comments14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5.vml"/><Relationship Id="rId3" Type="http://schemas.openxmlformats.org/officeDocument/2006/relationships/printerSettings" Target="../printerSettings/printerSettings143.bin"/><Relationship Id="rId7" Type="http://schemas.openxmlformats.org/officeDocument/2006/relationships/printerSettings" Target="../printerSettings/printerSettings147.bin"/><Relationship Id="rId2" Type="http://schemas.openxmlformats.org/officeDocument/2006/relationships/printerSettings" Target="../printerSettings/printerSettings142.bin"/><Relationship Id="rId1" Type="http://schemas.openxmlformats.org/officeDocument/2006/relationships/printerSettings" Target="../printerSettings/printerSettings141.bin"/><Relationship Id="rId6" Type="http://schemas.openxmlformats.org/officeDocument/2006/relationships/printerSettings" Target="../printerSettings/printerSettings146.bin"/><Relationship Id="rId5" Type="http://schemas.openxmlformats.org/officeDocument/2006/relationships/printerSettings" Target="../printerSettings/printerSettings145.bin"/><Relationship Id="rId4" Type="http://schemas.openxmlformats.org/officeDocument/2006/relationships/printerSettings" Target="../printerSettings/printerSettings144.bin"/><Relationship Id="rId9" Type="http://schemas.openxmlformats.org/officeDocument/2006/relationships/comments" Target="../comments15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6.vml"/><Relationship Id="rId3" Type="http://schemas.openxmlformats.org/officeDocument/2006/relationships/printerSettings" Target="../printerSettings/printerSettings150.bin"/><Relationship Id="rId7" Type="http://schemas.openxmlformats.org/officeDocument/2006/relationships/printerSettings" Target="../printerSettings/printerSettings154.bin"/><Relationship Id="rId2" Type="http://schemas.openxmlformats.org/officeDocument/2006/relationships/printerSettings" Target="../printerSettings/printerSettings149.bin"/><Relationship Id="rId1" Type="http://schemas.openxmlformats.org/officeDocument/2006/relationships/printerSettings" Target="../printerSettings/printerSettings148.bin"/><Relationship Id="rId6" Type="http://schemas.openxmlformats.org/officeDocument/2006/relationships/printerSettings" Target="../printerSettings/printerSettings153.bin"/><Relationship Id="rId5" Type="http://schemas.openxmlformats.org/officeDocument/2006/relationships/printerSettings" Target="../printerSettings/printerSettings152.bin"/><Relationship Id="rId4" Type="http://schemas.openxmlformats.org/officeDocument/2006/relationships/printerSettings" Target="../printerSettings/printerSettings151.bin"/><Relationship Id="rId9" Type="http://schemas.openxmlformats.org/officeDocument/2006/relationships/comments" Target="../comments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7.bin"/><Relationship Id="rId7" Type="http://schemas.openxmlformats.org/officeDocument/2006/relationships/printerSettings" Target="../printerSettings/printerSettings161.bin"/><Relationship Id="rId2" Type="http://schemas.openxmlformats.org/officeDocument/2006/relationships/printerSettings" Target="../printerSettings/printerSettings156.bin"/><Relationship Id="rId1" Type="http://schemas.openxmlformats.org/officeDocument/2006/relationships/printerSettings" Target="../printerSettings/printerSettings155.bin"/><Relationship Id="rId6" Type="http://schemas.openxmlformats.org/officeDocument/2006/relationships/printerSettings" Target="../printerSettings/printerSettings160.bin"/><Relationship Id="rId5" Type="http://schemas.openxmlformats.org/officeDocument/2006/relationships/printerSettings" Target="../printerSettings/printerSettings159.bin"/><Relationship Id="rId4" Type="http://schemas.openxmlformats.org/officeDocument/2006/relationships/printerSettings" Target="../printerSettings/printerSettings158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4.bin"/><Relationship Id="rId7" Type="http://schemas.openxmlformats.org/officeDocument/2006/relationships/printerSettings" Target="../printerSettings/printerSettings168.bin"/><Relationship Id="rId2" Type="http://schemas.openxmlformats.org/officeDocument/2006/relationships/printerSettings" Target="../printerSettings/printerSettings163.bin"/><Relationship Id="rId1" Type="http://schemas.openxmlformats.org/officeDocument/2006/relationships/printerSettings" Target="../printerSettings/printerSettings162.bin"/><Relationship Id="rId6" Type="http://schemas.openxmlformats.org/officeDocument/2006/relationships/printerSettings" Target="../printerSettings/printerSettings167.bin"/><Relationship Id="rId5" Type="http://schemas.openxmlformats.org/officeDocument/2006/relationships/printerSettings" Target="../printerSettings/printerSettings166.bin"/><Relationship Id="rId4" Type="http://schemas.openxmlformats.org/officeDocument/2006/relationships/printerSettings" Target="../printerSettings/printerSettings165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1.bin"/><Relationship Id="rId7" Type="http://schemas.openxmlformats.org/officeDocument/2006/relationships/printerSettings" Target="../printerSettings/printerSettings175.bin"/><Relationship Id="rId2" Type="http://schemas.openxmlformats.org/officeDocument/2006/relationships/printerSettings" Target="../printerSettings/printerSettings170.bin"/><Relationship Id="rId1" Type="http://schemas.openxmlformats.org/officeDocument/2006/relationships/printerSettings" Target="../printerSettings/printerSettings169.bin"/><Relationship Id="rId6" Type="http://schemas.openxmlformats.org/officeDocument/2006/relationships/printerSettings" Target="../printerSettings/printerSettings174.bin"/><Relationship Id="rId5" Type="http://schemas.openxmlformats.org/officeDocument/2006/relationships/printerSettings" Target="../printerSettings/printerSettings173.bin"/><Relationship Id="rId4" Type="http://schemas.openxmlformats.org/officeDocument/2006/relationships/printerSettings" Target="../printerSettings/printerSettings17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b.webfolders.partners.extranet.microsoft.com/t4hreportingdata/NetAgent/ChatFlashReportEST.xls" TargetMode="External"/><Relationship Id="rId3" Type="http://schemas.openxmlformats.org/officeDocument/2006/relationships/printerSettings" Target="../printerSettings/printerSettings24.bin"/><Relationship Id="rId7" Type="http://schemas.openxmlformats.org/officeDocument/2006/relationships/hyperlink" Target="file:///\\corp.twenty4help.com\Dortmund\MS_Management\EUROPEAN_STAFF\SUMMARY_PROGRAMS\OPERATIONAL_DETAIL_DATA\TRACKING_TOOL\PSS\CAP\CURRENT_MONTH" TargetMode="Externa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11" Type="http://schemas.openxmlformats.org/officeDocument/2006/relationships/comments" Target="../comments2.xml"/><Relationship Id="rId5" Type="http://schemas.openxmlformats.org/officeDocument/2006/relationships/printerSettings" Target="../printerSettings/printerSettings26.bin"/><Relationship Id="rId10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5.bin"/><Relationship Id="rId9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10" Type="http://schemas.microsoft.com/office/2006/relationships/wsSortMap" Target="wsSortMap1.xml"/><Relationship Id="rId4" Type="http://schemas.openxmlformats.org/officeDocument/2006/relationships/printerSettings" Target="../printerSettings/printerSettings39.bin"/><Relationship Id="rId9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printerSettings" Target="../printerSettings/printerSettings45.bin"/><Relationship Id="rId7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10" Type="http://schemas.microsoft.com/office/2006/relationships/wsSortMap" Target="wsSortMap2.xml"/><Relationship Id="rId4" Type="http://schemas.openxmlformats.org/officeDocument/2006/relationships/printerSettings" Target="../printerSettings/printerSettings46.bin"/><Relationship Id="rId9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2.bin"/><Relationship Id="rId7" Type="http://schemas.openxmlformats.org/officeDocument/2006/relationships/printerSettings" Target="../printerSettings/printerSettings56.bin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Relationship Id="rId6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4.bin"/><Relationship Id="rId4" Type="http://schemas.openxmlformats.org/officeDocument/2006/relationships/printerSettings" Target="../printerSettings/printerSettings5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7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Relationship Id="rId6" Type="http://schemas.openxmlformats.org/officeDocument/2006/relationships/printerSettings" Target="../printerSettings/printerSettings62.bin"/><Relationship Id="rId5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6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E97171"/>
  </sheetPr>
  <dimension ref="B7:J27"/>
  <sheetViews>
    <sheetView showGridLines="0" workbookViewId="0">
      <selection activeCell="K15" sqref="K15"/>
    </sheetView>
  </sheetViews>
  <sheetFormatPr defaultColWidth="9.140625" defaultRowHeight="15" x14ac:dyDescent="0.25"/>
  <cols>
    <col min="1" max="5" width="9.140625" style="148"/>
    <col min="6" max="6" width="15.85546875" style="148" customWidth="1"/>
    <col min="7" max="16384" width="9.140625" style="148"/>
  </cols>
  <sheetData>
    <row r="7" spans="4:10" x14ac:dyDescent="0.25">
      <c r="D7" s="261" t="s">
        <v>92</v>
      </c>
      <c r="E7" s="261"/>
      <c r="F7" s="261"/>
      <c r="G7" s="261"/>
      <c r="H7" s="261"/>
      <c r="I7" s="261"/>
    </row>
    <row r="8" spans="4:10" ht="15.75" x14ac:dyDescent="0.25">
      <c r="D8" s="261"/>
      <c r="E8" s="261"/>
      <c r="F8" s="261"/>
      <c r="G8" s="261"/>
      <c r="H8" s="261"/>
      <c r="I8" s="261"/>
      <c r="J8" s="197" t="s">
        <v>206</v>
      </c>
    </row>
    <row r="11" spans="4:10" ht="15.75" thickBot="1" x14ac:dyDescent="0.3">
      <c r="F11" s="262" t="s">
        <v>93</v>
      </c>
      <c r="G11" s="262"/>
    </row>
    <row r="12" spans="4:10" ht="37.5" customHeight="1" thickBot="1" x14ac:dyDescent="0.3">
      <c r="F12" s="194" t="s">
        <v>203</v>
      </c>
      <c r="G12" s="195"/>
    </row>
    <row r="13" spans="4:10" ht="15" customHeight="1" x14ac:dyDescent="0.25"/>
    <row r="15" spans="4:10" x14ac:dyDescent="0.25">
      <c r="F15" s="264" t="s">
        <v>94</v>
      </c>
      <c r="G15" s="264"/>
    </row>
    <row r="16" spans="4:10" x14ac:dyDescent="0.25">
      <c r="D16" s="263" t="s">
        <v>160</v>
      </c>
      <c r="E16" s="263"/>
      <c r="F16" s="263"/>
      <c r="G16" s="263"/>
      <c r="H16" s="263"/>
      <c r="I16" s="263"/>
    </row>
    <row r="17" spans="2:9" x14ac:dyDescent="0.25">
      <c r="D17" s="263"/>
      <c r="E17" s="263"/>
      <c r="F17" s="263"/>
      <c r="G17" s="263"/>
      <c r="H17" s="263"/>
      <c r="I17" s="263"/>
    </row>
    <row r="22" spans="2:9" x14ac:dyDescent="0.25">
      <c r="B22" s="196" t="s">
        <v>95</v>
      </c>
    </row>
    <row r="23" spans="2:9" x14ac:dyDescent="0.25">
      <c r="B23" s="148" t="s">
        <v>96</v>
      </c>
    </row>
    <row r="24" spans="2:9" x14ac:dyDescent="0.25">
      <c r="B24" s="148" t="s">
        <v>100</v>
      </c>
    </row>
    <row r="25" spans="2:9" x14ac:dyDescent="0.25">
      <c r="B25" s="148" t="s">
        <v>101</v>
      </c>
    </row>
    <row r="26" spans="2:9" x14ac:dyDescent="0.25">
      <c r="B26" s="148" t="s">
        <v>102</v>
      </c>
    </row>
    <row r="27" spans="2:9" x14ac:dyDescent="0.25">
      <c r="B27" s="148" t="s">
        <v>103</v>
      </c>
    </row>
  </sheetData>
  <customSheetViews>
    <customSheetView guid="{98CBC5BF-8C89-48A4-860E-9C56014CD200}" showGridLines="0">
      <selection activeCell="K15" sqref="K15"/>
      <pageMargins left="0.7" right="0.7" top="0.75" bottom="0.75" header="0.3" footer="0.3"/>
      <pageSetup paperSize="9" orientation="portrait" r:id="rId1"/>
    </customSheetView>
    <customSheetView guid="{1BC25061-32D5-45DE-83F9-EFA3A1092E03}" showGridLines="0">
      <selection activeCell="G21" sqref="G21"/>
      <pageMargins left="0.7" right="0.7" top="0.75" bottom="0.75" header="0.3" footer="0.3"/>
      <pageSetup paperSize="9" orientation="portrait" r:id="rId2"/>
    </customSheetView>
    <customSheetView guid="{CF917189-7AB9-4E55-816F-ACFC7FA45C05}" showGridLines="0">
      <selection activeCell="O20" sqref="O20"/>
      <pageMargins left="0.7" right="0.7" top="0.75" bottom="0.75" header="0.3" footer="0.3"/>
      <pageSetup paperSize="9" orientation="portrait" r:id="rId3"/>
    </customSheetView>
    <customSheetView guid="{4155806E-C0D0-4CC9-9B31-04245B7DD4C8}" showGridLines="0">
      <selection activeCell="O20" sqref="O20"/>
      <pageMargins left="0.7" right="0.7" top="0.75" bottom="0.75" header="0.3" footer="0.3"/>
      <pageSetup paperSize="9" orientation="portrait" r:id="rId4"/>
    </customSheetView>
    <customSheetView guid="{1587CBCC-2CC7-4525-8A49-E261AB2E1606}" showPageBreaks="1" showGridLines="0">
      <selection activeCell="O20" sqref="O20"/>
      <pageMargins left="0.7" right="0.7" top="0.75" bottom="0.75" header="0.3" footer="0.3"/>
      <pageSetup paperSize="9" orientation="portrait" r:id="rId5"/>
    </customSheetView>
    <customSheetView guid="{C5D9000A-81ED-4920-B6AF-4B234775AEC9}" showGridLines="0">
      <selection activeCell="O20" sqref="O20"/>
      <pageMargins left="0.7" right="0.7" top="0.75" bottom="0.75" header="0.3" footer="0.3"/>
      <pageSetup paperSize="9" orientation="portrait" r:id="rId6"/>
    </customSheetView>
  </customSheetViews>
  <mergeCells count="4">
    <mergeCell ref="D7:I8"/>
    <mergeCell ref="F11:G11"/>
    <mergeCell ref="D16:I17"/>
    <mergeCell ref="F15:G15"/>
  </mergeCells>
  <pageMargins left="0.7" right="0.7" top="0.75" bottom="0.75" header="0.3" footer="0.3"/>
  <pageSetup paperSize="9"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CCCFF"/>
  </sheetPr>
  <dimension ref="B2:V217"/>
  <sheetViews>
    <sheetView showGridLines="0" workbookViewId="0">
      <selection activeCell="I45" sqref="I45"/>
    </sheetView>
  </sheetViews>
  <sheetFormatPr defaultRowHeight="15" outlineLevelRow="1" x14ac:dyDescent="0.25"/>
  <cols>
    <col min="2" max="2" width="18.140625" customWidth="1"/>
    <col min="3" max="3" width="10.28515625" bestFit="1" customWidth="1"/>
    <col min="16" max="16" width="2.42578125" customWidth="1"/>
    <col min="18" max="22" width="9.140625" hidden="1" customWidth="1"/>
  </cols>
  <sheetData>
    <row r="2" spans="2:22" ht="18.75" x14ac:dyDescent="0.3">
      <c r="B2" s="20" t="s">
        <v>33</v>
      </c>
      <c r="H2" s="36" t="s">
        <v>49</v>
      </c>
    </row>
    <row r="3" spans="2:22" ht="18.75" x14ac:dyDescent="0.3">
      <c r="B3" s="20"/>
      <c r="R3" s="21" t="s">
        <v>32</v>
      </c>
      <c r="S3" s="21"/>
      <c r="T3" s="21"/>
      <c r="U3" s="21"/>
      <c r="V3" s="21"/>
    </row>
    <row r="4" spans="2:22" x14ac:dyDescent="0.25">
      <c r="D4" s="17" t="s">
        <v>6</v>
      </c>
      <c r="E4" s="17" t="s">
        <v>8</v>
      </c>
      <c r="F4" s="17" t="s">
        <v>9</v>
      </c>
      <c r="G4" s="17" t="s">
        <v>10</v>
      </c>
      <c r="H4" s="17" t="s">
        <v>11</v>
      </c>
      <c r="I4" s="17" t="s">
        <v>12</v>
      </c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7" t="s">
        <v>18</v>
      </c>
      <c r="Q4" s="15" t="s">
        <v>7</v>
      </c>
      <c r="R4" s="17" t="s">
        <v>27</v>
      </c>
      <c r="S4" s="17" t="s">
        <v>28</v>
      </c>
      <c r="T4" s="17" t="s">
        <v>29</v>
      </c>
      <c r="U4" s="17" t="s">
        <v>30</v>
      </c>
      <c r="V4" s="17" t="s">
        <v>31</v>
      </c>
    </row>
    <row r="5" spans="2:22" ht="15.75" thickBot="1" x14ac:dyDescent="0.3">
      <c r="B5" s="13" t="str">
        <f>'Employee List'!B4</f>
        <v>Barry Berendhuysen</v>
      </c>
      <c r="C5" t="s">
        <v>0</v>
      </c>
      <c r="D5" s="2">
        <f>January!AJ5</f>
        <v>24</v>
      </c>
      <c r="E5" s="2">
        <f>February!AJ5</f>
        <v>0</v>
      </c>
      <c r="F5" s="2">
        <f>March!AJ5</f>
        <v>0</v>
      </c>
      <c r="G5" s="2">
        <f>April!AJ5</f>
        <v>8</v>
      </c>
      <c r="H5" s="2">
        <f>May!AJ5</f>
        <v>20</v>
      </c>
      <c r="I5" s="2">
        <f>June!AJ5</f>
        <v>8</v>
      </c>
      <c r="J5" s="2">
        <f>July!AJ5</f>
        <v>4</v>
      </c>
      <c r="K5" s="2">
        <f>August!AJ5</f>
        <v>88</v>
      </c>
      <c r="L5" s="2">
        <f>September!AJ5</f>
        <v>0</v>
      </c>
      <c r="M5" s="2">
        <f>October!AJ5</f>
        <v>0</v>
      </c>
      <c r="N5" s="2">
        <f>November!AJ5</f>
        <v>0</v>
      </c>
      <c r="O5" s="2">
        <f>December!AJ5</f>
        <v>0</v>
      </c>
      <c r="Q5" s="22">
        <f>SUM(D5:O5)</f>
        <v>152</v>
      </c>
      <c r="R5" t="e">
        <f>Q5+Q10+Q15+Q20+Q25+Q30+Q35+Q40+Q45+Q50+Q55+Q60+Q65+Q70+Q75+Q80+Q85+Q90+Q95+Q100+Q105+#REF!+#REF!+Q110+Q115+Q120+Q125+Q130+Q135+Q140</f>
        <v>#REF!</v>
      </c>
      <c r="S5" t="e">
        <f>Q6+Q11+Q16+Q21+Q26+Q31+Q36+Q41+Q46+Q51+Q56+Q61+Q66+Q71+Q76+Q81+Q86+Q91+Q96+Q101+Q106+#REF!+#REF!+Q111+Q116+Q121+Q126+Q131+Q136+Q141</f>
        <v>#REF!</v>
      </c>
      <c r="T5" t="e">
        <f>Q7+Q12+Q17+Q22+Q27+Q32+Q37+Q42+Q47+Q52+Q57+Q62+Q67+Q72+Q77+Q82+Q87+Q92+Q97+Q102+Q107+#REF!+#REF!+Q112+Q117+Q122+Q127+Q132+Q137+Q142</f>
        <v>#REF!</v>
      </c>
      <c r="U5" t="e">
        <f>Q8+Q13+Q18+Q23+Q28+Q33+Q38+Q43+Q48+Q53+Q58+Q63+Q68+Q73+Q78+Q83+Q88+Q93+Q98+Q103+Q108+#REF!+#REF!+Q113+Q118+Q123+Q128+Q133+Q138+Q143</f>
        <v>#REF!</v>
      </c>
      <c r="V5" t="e">
        <f>Q9+Q14+Q19+Q24+Q29+Q34+Q39+Q44+Q49+Q54+Q59+Q64+Q69+Q74+Q79+Q84+Q89+Q94+Q99+Q104+Q109+#REF!+#REF!+Q114+Q119+Q124+Q129+Q134+Q139+Q144</f>
        <v>#REF!</v>
      </c>
    </row>
    <row r="6" spans="2:22" ht="15.75" hidden="1" outlineLevel="1" thickTop="1" x14ac:dyDescent="0.25">
      <c r="B6" s="10"/>
      <c r="C6" s="1" t="s">
        <v>1</v>
      </c>
      <c r="D6" s="3">
        <f>January!AJ6</f>
        <v>8</v>
      </c>
      <c r="E6" s="3">
        <f>February!AJ6</f>
        <v>40</v>
      </c>
      <c r="F6" s="3">
        <f>March!AJ6</f>
        <v>0</v>
      </c>
      <c r="G6" s="3">
        <f>April!AJ6</f>
        <v>0</v>
      </c>
      <c r="H6" s="3">
        <f>May!AJ6</f>
        <v>0</v>
      </c>
      <c r="I6" s="3">
        <f>June!AJ6</f>
        <v>0</v>
      </c>
      <c r="J6" s="3">
        <f>July!AJ6</f>
        <v>0</v>
      </c>
      <c r="K6" s="3">
        <f>August!AJ6</f>
        <v>0</v>
      </c>
      <c r="L6" s="3">
        <f>September!AJ6</f>
        <v>0</v>
      </c>
      <c r="M6" s="3">
        <f>October!AJ6</f>
        <v>0</v>
      </c>
      <c r="N6" s="3">
        <f>November!AJ6</f>
        <v>0</v>
      </c>
      <c r="O6" s="3">
        <f>December!AJ6</f>
        <v>0</v>
      </c>
      <c r="Q6" s="23">
        <f t="shared" ref="Q6:Q69" si="0">SUM(D6:O6)</f>
        <v>48</v>
      </c>
    </row>
    <row r="7" spans="2:22" hidden="1" outlineLevel="1" x14ac:dyDescent="0.25">
      <c r="B7" s="11"/>
      <c r="C7" s="1" t="s">
        <v>2</v>
      </c>
      <c r="D7" s="4">
        <f>January!AJ7</f>
        <v>0</v>
      </c>
      <c r="E7" s="4">
        <f>February!AJ7</f>
        <v>0</v>
      </c>
      <c r="F7" s="4">
        <f>March!AJ7</f>
        <v>0</v>
      </c>
      <c r="G7" s="4">
        <f>April!AJ7</f>
        <v>0</v>
      </c>
      <c r="H7" s="4">
        <f>May!AJ7</f>
        <v>0</v>
      </c>
      <c r="I7" s="4">
        <f>June!AJ7</f>
        <v>0</v>
      </c>
      <c r="J7" s="4">
        <f>July!AJ7</f>
        <v>0</v>
      </c>
      <c r="K7" s="4">
        <f>August!AJ7</f>
        <v>0</v>
      </c>
      <c r="L7" s="4">
        <f>September!AJ7</f>
        <v>0</v>
      </c>
      <c r="M7" s="4">
        <f>October!AJ7</f>
        <v>0</v>
      </c>
      <c r="N7" s="4">
        <f>November!AJ7</f>
        <v>0</v>
      </c>
      <c r="O7" s="4">
        <f>December!AJ7</f>
        <v>0</v>
      </c>
      <c r="Q7" s="24">
        <f t="shared" si="0"/>
        <v>0</v>
      </c>
    </row>
    <row r="8" spans="2:22" hidden="1" outlineLevel="1" x14ac:dyDescent="0.25">
      <c r="B8" s="11"/>
      <c r="C8" s="54" t="s">
        <v>76</v>
      </c>
      <c r="D8" s="5">
        <f>January!AJ8</f>
        <v>0</v>
      </c>
      <c r="E8" s="5">
        <f>February!AJ8</f>
        <v>0</v>
      </c>
      <c r="F8" s="5">
        <f>March!AJ8</f>
        <v>0</v>
      </c>
      <c r="G8" s="5">
        <f>April!AJ8</f>
        <v>4</v>
      </c>
      <c r="H8" s="5">
        <f>May!AJ8</f>
        <v>0</v>
      </c>
      <c r="I8" s="5">
        <f>June!AJ8</f>
        <v>0</v>
      </c>
      <c r="J8" s="5">
        <f>July!AJ8</f>
        <v>0</v>
      </c>
      <c r="K8" s="5">
        <f>August!AJ8</f>
        <v>0</v>
      </c>
      <c r="L8" s="5">
        <f>September!AJ8</f>
        <v>0</v>
      </c>
      <c r="M8" s="5">
        <f>October!AJ8</f>
        <v>0</v>
      </c>
      <c r="N8" s="5">
        <f>November!AJ8</f>
        <v>0</v>
      </c>
      <c r="O8" s="5">
        <f>December!AJ8</f>
        <v>0</v>
      </c>
      <c r="Q8" s="25">
        <f t="shared" si="0"/>
        <v>4</v>
      </c>
    </row>
    <row r="9" spans="2:22" ht="15.75" hidden="1" outlineLevel="1" thickBot="1" x14ac:dyDescent="0.3">
      <c r="B9" s="11"/>
      <c r="C9" s="9" t="s">
        <v>3</v>
      </c>
      <c r="D9" s="8">
        <f>January!AJ9</f>
        <v>0</v>
      </c>
      <c r="E9" s="8">
        <f>February!AJ9</f>
        <v>0</v>
      </c>
      <c r="F9" s="8">
        <f>March!AJ9</f>
        <v>0</v>
      </c>
      <c r="G9" s="8">
        <f>April!AJ9</f>
        <v>0</v>
      </c>
      <c r="H9" s="8">
        <f>May!AJ9</f>
        <v>0</v>
      </c>
      <c r="I9" s="8">
        <f>June!AJ9</f>
        <v>0</v>
      </c>
      <c r="J9" s="8">
        <f>July!AJ9</f>
        <v>0</v>
      </c>
      <c r="K9" s="8">
        <f>August!AJ9</f>
        <v>0</v>
      </c>
      <c r="L9" s="8">
        <f>September!AJ9</f>
        <v>0</v>
      </c>
      <c r="M9" s="8">
        <f>October!AJ9</f>
        <v>0</v>
      </c>
      <c r="N9" s="8">
        <f>November!AJ9</f>
        <v>0</v>
      </c>
      <c r="O9" s="8">
        <f>December!AJ9</f>
        <v>0</v>
      </c>
      <c r="Q9" s="26">
        <f t="shared" si="0"/>
        <v>0</v>
      </c>
    </row>
    <row r="10" spans="2:22" ht="16.5" collapsed="1" thickTop="1" thickBot="1" x14ac:dyDescent="0.3">
      <c r="B10" s="13" t="str">
        <f>'Employee List'!B5</f>
        <v>Bas Boermans</v>
      </c>
      <c r="C10" t="s">
        <v>0</v>
      </c>
      <c r="D10" s="2">
        <f>January!AJ10</f>
        <v>16</v>
      </c>
      <c r="E10" s="2">
        <f>February!AJ10</f>
        <v>0</v>
      </c>
      <c r="F10" s="2">
        <f>March!AJ10</f>
        <v>0</v>
      </c>
      <c r="G10" s="2">
        <f>April!AJ10</f>
        <v>64</v>
      </c>
      <c r="H10" s="2">
        <f>May!AJ10</f>
        <v>16</v>
      </c>
      <c r="I10" s="2">
        <f>June!AJ10</f>
        <v>0</v>
      </c>
      <c r="J10" s="2">
        <f>July!AJ10</f>
        <v>0</v>
      </c>
      <c r="K10" s="2">
        <f>August!AJ10</f>
        <v>0</v>
      </c>
      <c r="L10" s="2">
        <f>September!AJ10</f>
        <v>0</v>
      </c>
      <c r="M10" s="2">
        <f>October!AJ10</f>
        <v>0</v>
      </c>
      <c r="N10" s="2">
        <f>November!AJ10</f>
        <v>0</v>
      </c>
      <c r="O10" s="2">
        <f>December!AJ10</f>
        <v>0</v>
      </c>
      <c r="Q10" s="22">
        <f t="shared" si="0"/>
        <v>96</v>
      </c>
    </row>
    <row r="11" spans="2:22" ht="15.75" hidden="1" outlineLevel="1" thickTop="1" x14ac:dyDescent="0.25">
      <c r="B11" s="10"/>
      <c r="C11" s="1" t="s">
        <v>1</v>
      </c>
      <c r="D11" s="3">
        <f>January!AJ11</f>
        <v>72</v>
      </c>
      <c r="E11" s="3">
        <f>February!AJ11</f>
        <v>128</v>
      </c>
      <c r="F11" s="3">
        <f>March!AJ11</f>
        <v>140</v>
      </c>
      <c r="G11" s="3">
        <f>April!AJ11</f>
        <v>46</v>
      </c>
      <c r="H11" s="3">
        <f>May!AJ11</f>
        <v>0</v>
      </c>
      <c r="I11" s="3">
        <f>June!AJ11</f>
        <v>0</v>
      </c>
      <c r="J11" s="3">
        <f>July!AJ11</f>
        <v>0</v>
      </c>
      <c r="K11" s="3">
        <f>August!AJ11</f>
        <v>0</v>
      </c>
      <c r="L11" s="3">
        <f>September!AJ11</f>
        <v>0</v>
      </c>
      <c r="M11" s="3">
        <f>October!AJ11</f>
        <v>0</v>
      </c>
      <c r="N11" s="3">
        <f>November!AJ11</f>
        <v>0</v>
      </c>
      <c r="O11" s="3">
        <f>December!AJ11</f>
        <v>0</v>
      </c>
      <c r="Q11" s="23">
        <f t="shared" si="0"/>
        <v>386</v>
      </c>
    </row>
    <row r="12" spans="2:22" hidden="1" outlineLevel="1" x14ac:dyDescent="0.25">
      <c r="B12" s="11"/>
      <c r="C12" s="1" t="s">
        <v>2</v>
      </c>
      <c r="D12" s="4">
        <f>January!AJ12</f>
        <v>0</v>
      </c>
      <c r="E12" s="4">
        <f>February!AJ12</f>
        <v>0</v>
      </c>
      <c r="F12" s="4">
        <f>March!AJ12</f>
        <v>0</v>
      </c>
      <c r="G12" s="4">
        <f>April!AJ12</f>
        <v>0</v>
      </c>
      <c r="H12" s="4">
        <f>May!AJ12</f>
        <v>0</v>
      </c>
      <c r="I12" s="4">
        <f>June!AJ12</f>
        <v>0</v>
      </c>
      <c r="J12" s="4">
        <f>July!AJ12</f>
        <v>0</v>
      </c>
      <c r="K12" s="4">
        <f>August!AJ12</f>
        <v>0</v>
      </c>
      <c r="L12" s="4">
        <f>September!AJ12</f>
        <v>0</v>
      </c>
      <c r="M12" s="4">
        <f>October!AJ12</f>
        <v>0</v>
      </c>
      <c r="N12" s="4">
        <f>November!AJ12</f>
        <v>0</v>
      </c>
      <c r="O12" s="4">
        <f>December!AJ12</f>
        <v>0</v>
      </c>
      <c r="Q12" s="24">
        <f t="shared" si="0"/>
        <v>0</v>
      </c>
    </row>
    <row r="13" spans="2:22" hidden="1" outlineLevel="1" x14ac:dyDescent="0.25">
      <c r="B13" s="11"/>
      <c r="C13" s="54" t="s">
        <v>76</v>
      </c>
      <c r="D13" s="5">
        <f>January!AJ13</f>
        <v>2.5</v>
      </c>
      <c r="E13" s="5">
        <f>February!AJ13</f>
        <v>0</v>
      </c>
      <c r="F13" s="5">
        <f>March!AJ13</f>
        <v>0</v>
      </c>
      <c r="G13" s="5">
        <f>April!AJ13</f>
        <v>0</v>
      </c>
      <c r="H13" s="5">
        <f>May!AJ13</f>
        <v>0</v>
      </c>
      <c r="I13" s="5">
        <f>June!AJ13</f>
        <v>0</v>
      </c>
      <c r="J13" s="5">
        <f>July!AJ13</f>
        <v>0</v>
      </c>
      <c r="K13" s="5">
        <f>August!AJ13</f>
        <v>0</v>
      </c>
      <c r="L13" s="5">
        <f>September!AJ13</f>
        <v>0</v>
      </c>
      <c r="M13" s="5">
        <f>October!AJ13</f>
        <v>0</v>
      </c>
      <c r="N13" s="5">
        <f>November!AJ13</f>
        <v>0</v>
      </c>
      <c r="O13" s="5">
        <f>December!AJ13</f>
        <v>0</v>
      </c>
      <c r="Q13" s="25">
        <f t="shared" si="0"/>
        <v>2.5</v>
      </c>
    </row>
    <row r="14" spans="2:22" ht="15.75" hidden="1" outlineLevel="1" thickBot="1" x14ac:dyDescent="0.3">
      <c r="B14" s="11"/>
      <c r="C14" s="9" t="s">
        <v>3</v>
      </c>
      <c r="D14" s="8">
        <f>January!AJ14</f>
        <v>0</v>
      </c>
      <c r="E14" s="8">
        <f>February!AJ14</f>
        <v>0</v>
      </c>
      <c r="F14" s="8">
        <f>March!AJ14</f>
        <v>0</v>
      </c>
      <c r="G14" s="8">
        <f>April!AJ14</f>
        <v>0</v>
      </c>
      <c r="H14" s="8">
        <f>May!AJ14</f>
        <v>0</v>
      </c>
      <c r="I14" s="8">
        <f>June!AJ14</f>
        <v>0</v>
      </c>
      <c r="J14" s="8">
        <f>July!AJ14</f>
        <v>0</v>
      </c>
      <c r="K14" s="8">
        <f>August!AJ14</f>
        <v>0</v>
      </c>
      <c r="L14" s="8">
        <f>September!AJ14</f>
        <v>0</v>
      </c>
      <c r="M14" s="8">
        <f>October!AJ14</f>
        <v>0</v>
      </c>
      <c r="N14" s="8">
        <f>November!AJ14</f>
        <v>0</v>
      </c>
      <c r="O14" s="8">
        <f>December!AJ14</f>
        <v>0</v>
      </c>
      <c r="Q14" s="26">
        <f t="shared" si="0"/>
        <v>0</v>
      </c>
    </row>
    <row r="15" spans="2:22" ht="16.5" collapsed="1" thickTop="1" thickBot="1" x14ac:dyDescent="0.3">
      <c r="B15" s="13" t="str">
        <f>'Employee List'!B6</f>
        <v>Bastiaan Franssen</v>
      </c>
      <c r="C15" t="s">
        <v>0</v>
      </c>
      <c r="D15" s="2">
        <f>January!AJ15</f>
        <v>18</v>
      </c>
      <c r="E15" s="2">
        <f>February!AJ15</f>
        <v>8</v>
      </c>
      <c r="F15" s="2">
        <f>March!AJ15</f>
        <v>28</v>
      </c>
      <c r="G15" s="2">
        <f>April!AJ15</f>
        <v>0</v>
      </c>
      <c r="H15" s="2">
        <f>May!AJ15</f>
        <v>0</v>
      </c>
      <c r="I15" s="2">
        <f>June!AJ15</f>
        <v>0</v>
      </c>
      <c r="J15" s="2">
        <f>July!AJ15</f>
        <v>0</v>
      </c>
      <c r="K15" s="2">
        <f>August!AJ15</f>
        <v>0</v>
      </c>
      <c r="L15" s="2">
        <f>September!AJ15</f>
        <v>0</v>
      </c>
      <c r="M15" s="2">
        <f>October!AJ15</f>
        <v>0</v>
      </c>
      <c r="N15" s="2">
        <f>November!AJ15</f>
        <v>0</v>
      </c>
      <c r="O15" s="2">
        <f>December!AJ15</f>
        <v>0</v>
      </c>
      <c r="Q15" s="22">
        <f t="shared" si="0"/>
        <v>54</v>
      </c>
    </row>
    <row r="16" spans="2:22" ht="15.75" hidden="1" outlineLevel="1" thickTop="1" x14ac:dyDescent="0.25">
      <c r="B16" s="10"/>
      <c r="C16" s="1" t="s">
        <v>1</v>
      </c>
      <c r="D16" s="3">
        <f>January!AJ16</f>
        <v>0</v>
      </c>
      <c r="E16" s="3">
        <f>February!AJ16</f>
        <v>12</v>
      </c>
      <c r="F16" s="3">
        <f>March!AJ16</f>
        <v>0</v>
      </c>
      <c r="G16" s="3">
        <f>April!AJ16</f>
        <v>0</v>
      </c>
      <c r="H16" s="3">
        <f>May!AJ16</f>
        <v>0</v>
      </c>
      <c r="I16" s="3">
        <f>June!AJ16</f>
        <v>0</v>
      </c>
      <c r="J16" s="3">
        <f>July!AJ16</f>
        <v>0</v>
      </c>
      <c r="K16" s="3">
        <f>August!AJ16</f>
        <v>0</v>
      </c>
      <c r="L16" s="3">
        <f>September!AJ16</f>
        <v>0</v>
      </c>
      <c r="M16" s="3">
        <f>October!AJ16</f>
        <v>0</v>
      </c>
      <c r="N16" s="3">
        <f>November!AJ16</f>
        <v>0</v>
      </c>
      <c r="O16" s="3">
        <f>December!AJ16</f>
        <v>0</v>
      </c>
      <c r="Q16" s="23">
        <f t="shared" si="0"/>
        <v>12</v>
      </c>
    </row>
    <row r="17" spans="2:17" hidden="1" outlineLevel="1" x14ac:dyDescent="0.25">
      <c r="B17" s="11"/>
      <c r="C17" s="1" t="s">
        <v>2</v>
      </c>
      <c r="D17" s="4">
        <f>January!AJ17</f>
        <v>0</v>
      </c>
      <c r="E17" s="4">
        <f>February!AJ17</f>
        <v>0</v>
      </c>
      <c r="F17" s="4">
        <f>March!AJ17</f>
        <v>0</v>
      </c>
      <c r="G17" s="4">
        <f>April!AJ17</f>
        <v>0</v>
      </c>
      <c r="H17" s="4">
        <f>May!AJ17</f>
        <v>0</v>
      </c>
      <c r="I17" s="4">
        <f>June!AJ17</f>
        <v>0</v>
      </c>
      <c r="J17" s="4">
        <f>July!AJ17</f>
        <v>0</v>
      </c>
      <c r="K17" s="4">
        <f>August!AJ17</f>
        <v>0</v>
      </c>
      <c r="L17" s="4">
        <f>September!AJ17</f>
        <v>0</v>
      </c>
      <c r="M17" s="4">
        <f>October!AJ17</f>
        <v>0</v>
      </c>
      <c r="N17" s="4">
        <f>November!AJ17</f>
        <v>0</v>
      </c>
      <c r="O17" s="4">
        <f>December!AJ17</f>
        <v>0</v>
      </c>
      <c r="Q17" s="24">
        <f t="shared" si="0"/>
        <v>0</v>
      </c>
    </row>
    <row r="18" spans="2:17" hidden="1" outlineLevel="1" x14ac:dyDescent="0.25">
      <c r="B18" s="11"/>
      <c r="C18" s="54" t="s">
        <v>76</v>
      </c>
      <c r="D18" s="5">
        <f>January!AJ18</f>
        <v>0</v>
      </c>
      <c r="E18" s="5">
        <f>February!AJ18</f>
        <v>8</v>
      </c>
      <c r="F18" s="5">
        <f>March!AJ18</f>
        <v>0</v>
      </c>
      <c r="G18" s="5">
        <f>April!AJ18</f>
        <v>0</v>
      </c>
      <c r="H18" s="5">
        <f>May!AJ18</f>
        <v>0</v>
      </c>
      <c r="I18" s="5">
        <f>June!AJ18</f>
        <v>0</v>
      </c>
      <c r="J18" s="5">
        <f>July!AJ18</f>
        <v>0</v>
      </c>
      <c r="K18" s="5">
        <f>August!AJ18</f>
        <v>0</v>
      </c>
      <c r="L18" s="5">
        <f>September!AJ18</f>
        <v>0</v>
      </c>
      <c r="M18" s="5">
        <f>October!AJ18</f>
        <v>0</v>
      </c>
      <c r="N18" s="5">
        <f>November!AJ18</f>
        <v>0</v>
      </c>
      <c r="O18" s="5">
        <f>December!AJ18</f>
        <v>0</v>
      </c>
      <c r="Q18" s="25">
        <f t="shared" si="0"/>
        <v>8</v>
      </c>
    </row>
    <row r="19" spans="2:17" ht="15.75" hidden="1" outlineLevel="1" thickBot="1" x14ac:dyDescent="0.3">
      <c r="B19" s="11"/>
      <c r="C19" s="9" t="s">
        <v>3</v>
      </c>
      <c r="D19" s="8">
        <f>January!AJ19</f>
        <v>0</v>
      </c>
      <c r="E19" s="8">
        <f>February!AJ19</f>
        <v>0</v>
      </c>
      <c r="F19" s="8">
        <f>March!AJ19</f>
        <v>0</v>
      </c>
      <c r="G19" s="8">
        <f>April!AJ19</f>
        <v>0</v>
      </c>
      <c r="H19" s="8">
        <f>May!AJ19</f>
        <v>0</v>
      </c>
      <c r="I19" s="8">
        <f>June!AJ19</f>
        <v>0</v>
      </c>
      <c r="J19" s="8">
        <f>July!AJ19</f>
        <v>0</v>
      </c>
      <c r="K19" s="8">
        <f>August!AJ19</f>
        <v>0</v>
      </c>
      <c r="L19" s="8">
        <f>September!AJ19</f>
        <v>0</v>
      </c>
      <c r="M19" s="8">
        <f>October!AJ19</f>
        <v>0</v>
      </c>
      <c r="N19" s="8">
        <f>November!AJ19</f>
        <v>0</v>
      </c>
      <c r="O19" s="8">
        <f>December!AJ19</f>
        <v>0</v>
      </c>
      <c r="Q19" s="26">
        <f t="shared" si="0"/>
        <v>0</v>
      </c>
    </row>
    <row r="20" spans="2:17" ht="16.5" collapsed="1" thickTop="1" thickBot="1" x14ac:dyDescent="0.3">
      <c r="B20" s="13" t="str">
        <f>'Employee List'!B7</f>
        <v>Bjorn Haagen</v>
      </c>
      <c r="C20" t="s">
        <v>0</v>
      </c>
      <c r="D20" s="2">
        <f>January!AJ20</f>
        <v>8</v>
      </c>
      <c r="E20" s="2">
        <f>February!AJ20</f>
        <v>0</v>
      </c>
      <c r="F20" s="2">
        <f>March!AJ20</f>
        <v>64</v>
      </c>
      <c r="G20" s="2">
        <f>April!AJ20</f>
        <v>16</v>
      </c>
      <c r="H20" s="2">
        <f>May!AJ20</f>
        <v>16</v>
      </c>
      <c r="I20" s="2">
        <f>June!AJ20</f>
        <v>12</v>
      </c>
      <c r="J20" s="2">
        <f>July!AJ20</f>
        <v>12</v>
      </c>
      <c r="K20" s="2">
        <f>August!AJ20</f>
        <v>0</v>
      </c>
      <c r="L20" s="2">
        <f>September!AJ20</f>
        <v>0</v>
      </c>
      <c r="M20" s="2">
        <f>October!AJ20</f>
        <v>0</v>
      </c>
      <c r="N20" s="2">
        <f>November!AJ20</f>
        <v>0</v>
      </c>
      <c r="O20" s="2">
        <f>December!AJ20</f>
        <v>56</v>
      </c>
      <c r="Q20" s="22">
        <f t="shared" si="0"/>
        <v>184</v>
      </c>
    </row>
    <row r="21" spans="2:17" ht="15.75" hidden="1" outlineLevel="1" thickTop="1" x14ac:dyDescent="0.25">
      <c r="B21" s="10"/>
      <c r="C21" s="1" t="s">
        <v>1</v>
      </c>
      <c r="D21" s="3">
        <f>January!AJ21</f>
        <v>0</v>
      </c>
      <c r="E21" s="3">
        <f>February!AJ21</f>
        <v>0</v>
      </c>
      <c r="F21" s="3">
        <f>March!AJ21</f>
        <v>0</v>
      </c>
      <c r="G21" s="3">
        <f>April!AJ21</f>
        <v>0</v>
      </c>
      <c r="H21" s="3">
        <f>May!AJ21</f>
        <v>0</v>
      </c>
      <c r="I21" s="3">
        <f>June!AJ21</f>
        <v>0</v>
      </c>
      <c r="J21" s="3">
        <f>July!AJ21</f>
        <v>0</v>
      </c>
      <c r="K21" s="3">
        <f>August!AJ21</f>
        <v>0</v>
      </c>
      <c r="L21" s="3">
        <f>September!AJ21</f>
        <v>0</v>
      </c>
      <c r="M21" s="3">
        <f>October!AJ21</f>
        <v>0</v>
      </c>
      <c r="N21" s="3">
        <f>November!AJ21</f>
        <v>0</v>
      </c>
      <c r="O21" s="3">
        <f>December!AJ21</f>
        <v>0</v>
      </c>
      <c r="Q21" s="23">
        <f t="shared" si="0"/>
        <v>0</v>
      </c>
    </row>
    <row r="22" spans="2:17" hidden="1" outlineLevel="1" x14ac:dyDescent="0.25">
      <c r="B22" s="11"/>
      <c r="C22" s="1" t="s">
        <v>2</v>
      </c>
      <c r="D22" s="4">
        <f>January!AJ22</f>
        <v>0</v>
      </c>
      <c r="E22" s="4">
        <f>February!AJ22</f>
        <v>0</v>
      </c>
      <c r="F22" s="4">
        <f>March!AJ22</f>
        <v>0</v>
      </c>
      <c r="G22" s="4">
        <f>April!AJ22</f>
        <v>0</v>
      </c>
      <c r="H22" s="4">
        <f>May!AJ22</f>
        <v>0</v>
      </c>
      <c r="I22" s="4">
        <f>June!AJ22</f>
        <v>0</v>
      </c>
      <c r="J22" s="4">
        <f>July!AJ22</f>
        <v>0</v>
      </c>
      <c r="K22" s="4">
        <f>August!AJ22</f>
        <v>0</v>
      </c>
      <c r="L22" s="4">
        <f>September!AJ22</f>
        <v>0</v>
      </c>
      <c r="M22" s="4">
        <f>October!AJ22</f>
        <v>0</v>
      </c>
      <c r="N22" s="4">
        <f>November!AJ22</f>
        <v>0</v>
      </c>
      <c r="O22" s="4">
        <f>December!AJ22</f>
        <v>0</v>
      </c>
      <c r="Q22" s="24">
        <f t="shared" si="0"/>
        <v>0</v>
      </c>
    </row>
    <row r="23" spans="2:17" hidden="1" outlineLevel="1" x14ac:dyDescent="0.25">
      <c r="B23" s="11"/>
      <c r="C23" s="54" t="s">
        <v>76</v>
      </c>
      <c r="D23" s="5">
        <f>January!AJ23</f>
        <v>0</v>
      </c>
      <c r="E23" s="5">
        <f>February!AJ23</f>
        <v>0</v>
      </c>
      <c r="F23" s="5">
        <f>March!AJ23</f>
        <v>0</v>
      </c>
      <c r="G23" s="5">
        <f>April!AJ23</f>
        <v>0</v>
      </c>
      <c r="H23" s="5">
        <f>May!AJ23</f>
        <v>0</v>
      </c>
      <c r="I23" s="5">
        <f>June!AJ23</f>
        <v>0</v>
      </c>
      <c r="J23" s="5">
        <f>July!AJ23</f>
        <v>0</v>
      </c>
      <c r="K23" s="5">
        <f>August!AJ23</f>
        <v>0</v>
      </c>
      <c r="L23" s="5">
        <f>September!AJ23</f>
        <v>0</v>
      </c>
      <c r="M23" s="5">
        <f>October!AJ23</f>
        <v>0</v>
      </c>
      <c r="N23" s="5">
        <f>November!AJ23</f>
        <v>0</v>
      </c>
      <c r="O23" s="5">
        <f>December!AJ23</f>
        <v>0</v>
      </c>
      <c r="Q23" s="25">
        <f t="shared" si="0"/>
        <v>0</v>
      </c>
    </row>
    <row r="24" spans="2:17" ht="15.75" hidden="1" outlineLevel="1" thickBot="1" x14ac:dyDescent="0.3">
      <c r="B24" s="11"/>
      <c r="C24" s="9" t="s">
        <v>3</v>
      </c>
      <c r="D24" s="8">
        <f>January!AJ24</f>
        <v>0</v>
      </c>
      <c r="E24" s="8">
        <f>February!AJ24</f>
        <v>0</v>
      </c>
      <c r="F24" s="8">
        <f>March!AJ24</f>
        <v>0</v>
      </c>
      <c r="G24" s="8">
        <f>April!AJ24</f>
        <v>0</v>
      </c>
      <c r="H24" s="8">
        <f>May!AJ24</f>
        <v>0</v>
      </c>
      <c r="I24" s="8">
        <f>June!AJ24</f>
        <v>0</v>
      </c>
      <c r="J24" s="8">
        <f>July!AJ24</f>
        <v>0</v>
      </c>
      <c r="K24" s="8">
        <f>August!AJ24</f>
        <v>0</v>
      </c>
      <c r="L24" s="8">
        <f>September!AJ24</f>
        <v>0</v>
      </c>
      <c r="M24" s="8">
        <f>October!AJ24</f>
        <v>0</v>
      </c>
      <c r="N24" s="8">
        <f>November!AJ24</f>
        <v>0</v>
      </c>
      <c r="O24" s="8">
        <f>December!AJ24</f>
        <v>0</v>
      </c>
      <c r="Q24" s="26">
        <f t="shared" si="0"/>
        <v>0</v>
      </c>
    </row>
    <row r="25" spans="2:17" ht="16.5" collapsed="1" thickTop="1" thickBot="1" x14ac:dyDescent="0.3">
      <c r="B25" s="13" t="str">
        <f>'Employee List'!B8</f>
        <v>Dave Creusen</v>
      </c>
      <c r="C25" t="s">
        <v>0</v>
      </c>
      <c r="D25" s="2">
        <f>January!AJ25</f>
        <v>16</v>
      </c>
      <c r="E25" s="2">
        <f>February!AJ25</f>
        <v>44</v>
      </c>
      <c r="F25" s="2">
        <f>March!AJ25</f>
        <v>6.5</v>
      </c>
      <c r="G25" s="2">
        <f>April!AJ25</f>
        <v>8</v>
      </c>
      <c r="H25" s="2">
        <f>May!AJ25</f>
        <v>14</v>
      </c>
      <c r="I25" s="2">
        <f>June!AJ25</f>
        <v>88</v>
      </c>
      <c r="J25" s="2">
        <f>July!AJ25</f>
        <v>32</v>
      </c>
      <c r="K25" s="2">
        <f>August!AJ25</f>
        <v>80</v>
      </c>
      <c r="L25" s="2">
        <f>September!AJ25</f>
        <v>0</v>
      </c>
      <c r="M25" s="2">
        <f>October!AJ25</f>
        <v>0</v>
      </c>
      <c r="N25" s="2">
        <f>November!AJ25</f>
        <v>0</v>
      </c>
      <c r="O25" s="2">
        <f>December!AJ25</f>
        <v>0</v>
      </c>
      <c r="Q25" s="22">
        <f t="shared" si="0"/>
        <v>288.5</v>
      </c>
    </row>
    <row r="26" spans="2:17" ht="15.75" hidden="1" outlineLevel="1" thickTop="1" x14ac:dyDescent="0.25">
      <c r="B26" s="10"/>
      <c r="C26" s="1" t="s">
        <v>1</v>
      </c>
      <c r="D26" s="3">
        <f>January!AJ26</f>
        <v>32</v>
      </c>
      <c r="E26" s="3">
        <f>February!AJ26</f>
        <v>0</v>
      </c>
      <c r="F26" s="3">
        <f>March!AJ26</f>
        <v>0</v>
      </c>
      <c r="G26" s="3">
        <f>April!AJ26</f>
        <v>0</v>
      </c>
      <c r="H26" s="3">
        <f>May!AJ26</f>
        <v>0</v>
      </c>
      <c r="I26" s="3">
        <f>June!AJ26</f>
        <v>0</v>
      </c>
      <c r="J26" s="3">
        <f>July!AJ26</f>
        <v>0</v>
      </c>
      <c r="K26" s="3">
        <f>August!AJ26</f>
        <v>0</v>
      </c>
      <c r="L26" s="3">
        <f>September!AJ26</f>
        <v>0</v>
      </c>
      <c r="M26" s="3">
        <f>October!AJ26</f>
        <v>0</v>
      </c>
      <c r="N26" s="3">
        <f>November!AJ26</f>
        <v>0</v>
      </c>
      <c r="O26" s="3">
        <f>December!AJ26</f>
        <v>0</v>
      </c>
      <c r="Q26" s="23">
        <f t="shared" si="0"/>
        <v>32</v>
      </c>
    </row>
    <row r="27" spans="2:17" hidden="1" outlineLevel="1" x14ac:dyDescent="0.25">
      <c r="B27" s="11"/>
      <c r="C27" s="1" t="s">
        <v>2</v>
      </c>
      <c r="D27" s="4">
        <f>January!AJ27</f>
        <v>8</v>
      </c>
      <c r="E27" s="4">
        <f>February!AJ27</f>
        <v>8</v>
      </c>
      <c r="F27" s="4">
        <f>March!AJ27</f>
        <v>9.5</v>
      </c>
      <c r="G27" s="4">
        <f>April!AJ27</f>
        <v>8</v>
      </c>
      <c r="H27" s="4">
        <f>May!AJ27</f>
        <v>0</v>
      </c>
      <c r="I27" s="4">
        <f>June!AJ27</f>
        <v>0</v>
      </c>
      <c r="J27" s="4">
        <f>July!AJ27</f>
        <v>0</v>
      </c>
      <c r="K27" s="4">
        <f>August!AJ27</f>
        <v>0</v>
      </c>
      <c r="L27" s="4">
        <f>September!AJ27</f>
        <v>0</v>
      </c>
      <c r="M27" s="4">
        <f>October!AJ27</f>
        <v>0</v>
      </c>
      <c r="N27" s="4">
        <f>November!AJ27</f>
        <v>0</v>
      </c>
      <c r="O27" s="4">
        <f>December!AJ27</f>
        <v>0</v>
      </c>
      <c r="Q27" s="24">
        <f t="shared" si="0"/>
        <v>33.5</v>
      </c>
    </row>
    <row r="28" spans="2:17" hidden="1" outlineLevel="1" x14ac:dyDescent="0.25">
      <c r="B28" s="11"/>
      <c r="C28" s="54" t="s">
        <v>76</v>
      </c>
      <c r="D28" s="5">
        <f>January!AJ28</f>
        <v>0</v>
      </c>
      <c r="E28" s="5">
        <f>February!AJ28</f>
        <v>0</v>
      </c>
      <c r="F28" s="5">
        <f>March!AJ28</f>
        <v>0</v>
      </c>
      <c r="G28" s="5">
        <f>April!AJ28</f>
        <v>0</v>
      </c>
      <c r="H28" s="5">
        <f>May!AJ28</f>
        <v>8</v>
      </c>
      <c r="I28" s="5">
        <f>June!AJ28</f>
        <v>0</v>
      </c>
      <c r="J28" s="5">
        <f>July!AJ28</f>
        <v>0</v>
      </c>
      <c r="K28" s="5">
        <f>August!AJ28</f>
        <v>0</v>
      </c>
      <c r="L28" s="5">
        <f>September!AJ28</f>
        <v>0</v>
      </c>
      <c r="M28" s="5">
        <f>October!AJ28</f>
        <v>0</v>
      </c>
      <c r="N28" s="5">
        <f>November!AJ28</f>
        <v>0</v>
      </c>
      <c r="O28" s="5">
        <f>December!AJ28</f>
        <v>0</v>
      </c>
      <c r="Q28" s="25">
        <f t="shared" si="0"/>
        <v>8</v>
      </c>
    </row>
    <row r="29" spans="2:17" ht="15.75" hidden="1" outlineLevel="1" thickBot="1" x14ac:dyDescent="0.3">
      <c r="B29" s="11"/>
      <c r="C29" s="9" t="s">
        <v>3</v>
      </c>
      <c r="D29" s="8">
        <f>January!AJ29</f>
        <v>0.45</v>
      </c>
      <c r="E29" s="8">
        <f>February!AJ29</f>
        <v>0.5</v>
      </c>
      <c r="F29" s="8">
        <f>March!AJ29</f>
        <v>0</v>
      </c>
      <c r="G29" s="8">
        <f>April!AJ29</f>
        <v>0</v>
      </c>
      <c r="H29" s="8">
        <f>May!AJ29</f>
        <v>0.45</v>
      </c>
      <c r="I29" s="8">
        <f>June!AJ29</f>
        <v>0</v>
      </c>
      <c r="J29" s="8">
        <f>July!AJ29</f>
        <v>0</v>
      </c>
      <c r="K29" s="8">
        <f>August!AJ29</f>
        <v>0</v>
      </c>
      <c r="L29" s="8">
        <f>September!AJ29</f>
        <v>0</v>
      </c>
      <c r="M29" s="8">
        <f>October!AJ29</f>
        <v>0</v>
      </c>
      <c r="N29" s="8">
        <f>November!AJ29</f>
        <v>0</v>
      </c>
      <c r="O29" s="8">
        <f>December!AJ29</f>
        <v>0</v>
      </c>
      <c r="Q29" s="26">
        <f t="shared" si="0"/>
        <v>1.4</v>
      </c>
    </row>
    <row r="30" spans="2:17" ht="16.5" collapsed="1" thickTop="1" thickBot="1" x14ac:dyDescent="0.3">
      <c r="B30" s="13" t="str">
        <f>'Employee List'!B9</f>
        <v>Davy Smeets</v>
      </c>
      <c r="C30" t="s">
        <v>0</v>
      </c>
      <c r="D30" s="2">
        <f>January!AJ30</f>
        <v>80</v>
      </c>
      <c r="E30" s="2">
        <f>February!AJ30</f>
        <v>8</v>
      </c>
      <c r="F30" s="2">
        <f>March!AJ30</f>
        <v>20</v>
      </c>
      <c r="G30" s="2">
        <f>April!AJ30</f>
        <v>50.5</v>
      </c>
      <c r="H30" s="2">
        <f>May!AJ30</f>
        <v>0</v>
      </c>
      <c r="I30" s="2">
        <f>June!AJ30</f>
        <v>24</v>
      </c>
      <c r="J30" s="2">
        <f>July!AJ30</f>
        <v>24</v>
      </c>
      <c r="K30" s="2">
        <f>August!AJ30</f>
        <v>80</v>
      </c>
      <c r="L30" s="2">
        <f>September!AJ30</f>
        <v>0</v>
      </c>
      <c r="M30" s="2">
        <f>October!AJ30</f>
        <v>0</v>
      </c>
      <c r="N30" s="2">
        <f>November!AJ30</f>
        <v>0</v>
      </c>
      <c r="O30" s="2">
        <f>December!AJ30</f>
        <v>0</v>
      </c>
      <c r="Q30" s="22">
        <f t="shared" si="0"/>
        <v>286.5</v>
      </c>
    </row>
    <row r="31" spans="2:17" ht="15.75" hidden="1" outlineLevel="1" thickTop="1" x14ac:dyDescent="0.25">
      <c r="B31" s="10"/>
      <c r="C31" s="1" t="s">
        <v>1</v>
      </c>
      <c r="D31" s="3">
        <f>January!AJ31</f>
        <v>0</v>
      </c>
      <c r="E31" s="3">
        <f>February!AJ31</f>
        <v>40</v>
      </c>
      <c r="F31" s="3">
        <f>March!AJ31</f>
        <v>0</v>
      </c>
      <c r="G31" s="3">
        <f>April!AJ31</f>
        <v>0</v>
      </c>
      <c r="H31" s="3">
        <f>May!AJ31</f>
        <v>0</v>
      </c>
      <c r="I31" s="3">
        <f>June!AJ31</f>
        <v>0</v>
      </c>
      <c r="J31" s="3">
        <f>July!AJ31</f>
        <v>0</v>
      </c>
      <c r="K31" s="3">
        <f>August!AJ31</f>
        <v>0</v>
      </c>
      <c r="L31" s="3">
        <f>September!AJ31</f>
        <v>0</v>
      </c>
      <c r="M31" s="3">
        <f>October!AJ31</f>
        <v>0</v>
      </c>
      <c r="N31" s="3">
        <f>November!AJ31</f>
        <v>0</v>
      </c>
      <c r="O31" s="3">
        <f>December!AJ31</f>
        <v>0</v>
      </c>
      <c r="Q31" s="23">
        <f t="shared" si="0"/>
        <v>40</v>
      </c>
    </row>
    <row r="32" spans="2:17" hidden="1" outlineLevel="1" x14ac:dyDescent="0.25">
      <c r="B32" s="11"/>
      <c r="C32" s="1" t="s">
        <v>2</v>
      </c>
      <c r="D32" s="4">
        <f>January!AJ32</f>
        <v>0</v>
      </c>
      <c r="E32" s="4">
        <f>February!AJ32</f>
        <v>0</v>
      </c>
      <c r="F32" s="4">
        <f>March!AJ32</f>
        <v>0</v>
      </c>
      <c r="G32" s="4">
        <f>April!AJ32</f>
        <v>0</v>
      </c>
      <c r="H32" s="4">
        <f>May!AJ32</f>
        <v>0</v>
      </c>
      <c r="I32" s="4">
        <f>June!AJ32</f>
        <v>0</v>
      </c>
      <c r="J32" s="4">
        <f>July!AJ32</f>
        <v>0</v>
      </c>
      <c r="K32" s="4">
        <f>August!AJ32</f>
        <v>0</v>
      </c>
      <c r="L32" s="4">
        <f>September!AJ32</f>
        <v>0</v>
      </c>
      <c r="M32" s="4">
        <f>October!AJ32</f>
        <v>0</v>
      </c>
      <c r="N32" s="4">
        <f>November!AJ32</f>
        <v>0</v>
      </c>
      <c r="O32" s="4">
        <f>December!AJ32</f>
        <v>0</v>
      </c>
      <c r="Q32" s="24">
        <f t="shared" si="0"/>
        <v>0</v>
      </c>
    </row>
    <row r="33" spans="2:17" hidden="1" outlineLevel="1" x14ac:dyDescent="0.25">
      <c r="B33" s="11"/>
      <c r="C33" s="54" t="s">
        <v>76</v>
      </c>
      <c r="D33" s="5">
        <f>January!AJ33</f>
        <v>0</v>
      </c>
      <c r="E33" s="5">
        <f>February!AJ33</f>
        <v>0</v>
      </c>
      <c r="F33" s="5">
        <f>March!AJ33</f>
        <v>2</v>
      </c>
      <c r="G33" s="5">
        <f>April!AJ33</f>
        <v>0</v>
      </c>
      <c r="H33" s="5">
        <f>May!AJ33</f>
        <v>0</v>
      </c>
      <c r="I33" s="5">
        <f>June!AJ33</f>
        <v>0</v>
      </c>
      <c r="J33" s="5">
        <f>July!AJ33</f>
        <v>0</v>
      </c>
      <c r="K33" s="5">
        <f>August!AJ33</f>
        <v>0</v>
      </c>
      <c r="L33" s="5">
        <f>September!AJ33</f>
        <v>0</v>
      </c>
      <c r="M33" s="5">
        <f>October!AJ33</f>
        <v>0</v>
      </c>
      <c r="N33" s="5">
        <f>November!AJ33</f>
        <v>0</v>
      </c>
      <c r="O33" s="5">
        <f>December!AJ33</f>
        <v>0</v>
      </c>
      <c r="Q33" s="25">
        <f t="shared" si="0"/>
        <v>2</v>
      </c>
    </row>
    <row r="34" spans="2:17" ht="15.75" hidden="1" outlineLevel="1" thickBot="1" x14ac:dyDescent="0.3">
      <c r="B34" s="11"/>
      <c r="C34" s="9" t="s">
        <v>3</v>
      </c>
      <c r="D34" s="8">
        <f>January!AJ34</f>
        <v>0</v>
      </c>
      <c r="E34" s="8">
        <f>February!AJ34</f>
        <v>0</v>
      </c>
      <c r="F34" s="8">
        <f>March!AJ34</f>
        <v>0</v>
      </c>
      <c r="G34" s="8">
        <f>April!AJ34</f>
        <v>0</v>
      </c>
      <c r="H34" s="8">
        <f>May!AJ34</f>
        <v>0</v>
      </c>
      <c r="I34" s="8">
        <f>June!AJ34</f>
        <v>0</v>
      </c>
      <c r="J34" s="8">
        <f>July!AJ34</f>
        <v>0</v>
      </c>
      <c r="K34" s="8">
        <f>August!AJ34</f>
        <v>0</v>
      </c>
      <c r="L34" s="8">
        <f>September!AJ34</f>
        <v>0</v>
      </c>
      <c r="M34" s="8">
        <f>October!AJ34</f>
        <v>0</v>
      </c>
      <c r="N34" s="8">
        <f>November!AJ34</f>
        <v>0</v>
      </c>
      <c r="O34" s="8">
        <f>December!AJ34</f>
        <v>0</v>
      </c>
      <c r="Q34" s="26">
        <f t="shared" si="0"/>
        <v>0</v>
      </c>
    </row>
    <row r="35" spans="2:17" ht="16.5" collapsed="1" thickTop="1" thickBot="1" x14ac:dyDescent="0.3">
      <c r="B35" s="13" t="str">
        <f>'Employee List'!B10</f>
        <v>Dennis van 't Hul</v>
      </c>
      <c r="C35" t="s">
        <v>0</v>
      </c>
      <c r="D35" s="2">
        <f>January!AJ35</f>
        <v>4</v>
      </c>
      <c r="E35" s="2">
        <f>February!AJ35</f>
        <v>0</v>
      </c>
      <c r="F35" s="2">
        <f>March!AJ35</f>
        <v>0</v>
      </c>
      <c r="G35" s="2">
        <f>April!AJ35</f>
        <v>0</v>
      </c>
      <c r="H35" s="2">
        <f>May!AJ35</f>
        <v>0</v>
      </c>
      <c r="I35" s="2">
        <f>June!AJ35</f>
        <v>0</v>
      </c>
      <c r="J35" s="2">
        <f>July!AJ35</f>
        <v>0</v>
      </c>
      <c r="K35" s="2">
        <f>August!AJ35</f>
        <v>0</v>
      </c>
      <c r="L35" s="2">
        <f>September!AJ35</f>
        <v>0</v>
      </c>
      <c r="M35" s="2">
        <f>October!AJ35</f>
        <v>0</v>
      </c>
      <c r="N35" s="2">
        <f>November!AJ35</f>
        <v>0</v>
      </c>
      <c r="O35" s="2">
        <f>December!AJ35</f>
        <v>0</v>
      </c>
      <c r="Q35" s="22">
        <f t="shared" si="0"/>
        <v>4</v>
      </c>
    </row>
    <row r="36" spans="2:17" ht="15.75" hidden="1" outlineLevel="1" thickTop="1" x14ac:dyDescent="0.25">
      <c r="B36" s="10"/>
      <c r="C36" s="1" t="s">
        <v>1</v>
      </c>
      <c r="D36" s="3">
        <f>January!AJ36</f>
        <v>0</v>
      </c>
      <c r="E36" s="3">
        <f>February!AJ36</f>
        <v>0</v>
      </c>
      <c r="F36" s="3">
        <f>March!AJ36</f>
        <v>0</v>
      </c>
      <c r="G36" s="3">
        <f>April!AJ36</f>
        <v>0</v>
      </c>
      <c r="H36" s="3">
        <f>May!AJ36</f>
        <v>32</v>
      </c>
      <c r="I36" s="3">
        <f>June!AJ36</f>
        <v>0</v>
      </c>
      <c r="J36" s="3">
        <f>July!AJ36</f>
        <v>0</v>
      </c>
      <c r="K36" s="3">
        <f>August!AJ36</f>
        <v>0</v>
      </c>
      <c r="L36" s="3">
        <f>September!AJ36</f>
        <v>0</v>
      </c>
      <c r="M36" s="3">
        <f>October!AJ36</f>
        <v>0</v>
      </c>
      <c r="N36" s="3">
        <f>November!AJ36</f>
        <v>0</v>
      </c>
      <c r="O36" s="3">
        <f>December!AJ36</f>
        <v>0</v>
      </c>
      <c r="Q36" s="23">
        <f t="shared" si="0"/>
        <v>32</v>
      </c>
    </row>
    <row r="37" spans="2:17" hidden="1" outlineLevel="1" x14ac:dyDescent="0.25">
      <c r="B37" s="11"/>
      <c r="C37" s="1" t="s">
        <v>2</v>
      </c>
      <c r="D37" s="4">
        <f>January!AJ37</f>
        <v>0</v>
      </c>
      <c r="E37" s="4">
        <f>February!AJ37</f>
        <v>0</v>
      </c>
      <c r="F37" s="4">
        <f>March!AJ37</f>
        <v>0</v>
      </c>
      <c r="G37" s="4">
        <f>April!AJ37</f>
        <v>0</v>
      </c>
      <c r="H37" s="4">
        <f>May!AJ37</f>
        <v>0</v>
      </c>
      <c r="I37" s="4">
        <f>June!AJ37</f>
        <v>0</v>
      </c>
      <c r="J37" s="4">
        <f>July!AJ37</f>
        <v>0</v>
      </c>
      <c r="K37" s="4">
        <f>August!AJ37</f>
        <v>0</v>
      </c>
      <c r="L37" s="4">
        <f>September!AJ37</f>
        <v>0</v>
      </c>
      <c r="M37" s="4">
        <f>October!AJ37</f>
        <v>0</v>
      </c>
      <c r="N37" s="4">
        <f>November!AJ37</f>
        <v>0</v>
      </c>
      <c r="O37" s="4">
        <f>December!AJ37</f>
        <v>0</v>
      </c>
      <c r="Q37" s="24">
        <f t="shared" si="0"/>
        <v>0</v>
      </c>
    </row>
    <row r="38" spans="2:17" hidden="1" outlineLevel="1" x14ac:dyDescent="0.25">
      <c r="B38" s="11"/>
      <c r="C38" s="54" t="s">
        <v>76</v>
      </c>
      <c r="D38" s="5">
        <f>January!AJ38</f>
        <v>0</v>
      </c>
      <c r="E38" s="5">
        <f>February!AJ38</f>
        <v>0</v>
      </c>
      <c r="F38" s="5">
        <f>March!AJ38</f>
        <v>0</v>
      </c>
      <c r="G38" s="5">
        <f>April!AJ38</f>
        <v>0</v>
      </c>
      <c r="H38" s="5">
        <f>May!AJ38</f>
        <v>0</v>
      </c>
      <c r="I38" s="5">
        <f>June!AJ38</f>
        <v>0</v>
      </c>
      <c r="J38" s="5">
        <f>July!AJ38</f>
        <v>0</v>
      </c>
      <c r="K38" s="5">
        <f>August!AJ38</f>
        <v>0</v>
      </c>
      <c r="L38" s="5">
        <f>September!AJ38</f>
        <v>0</v>
      </c>
      <c r="M38" s="5">
        <f>October!AJ38</f>
        <v>0</v>
      </c>
      <c r="N38" s="5">
        <f>November!AJ38</f>
        <v>0</v>
      </c>
      <c r="O38" s="5">
        <f>December!AJ38</f>
        <v>0</v>
      </c>
      <c r="Q38" s="25">
        <f t="shared" si="0"/>
        <v>0</v>
      </c>
    </row>
    <row r="39" spans="2:17" ht="15.75" hidden="1" outlineLevel="1" thickBot="1" x14ac:dyDescent="0.3">
      <c r="B39" s="11"/>
      <c r="C39" s="9" t="s">
        <v>3</v>
      </c>
      <c r="D39" s="8">
        <f>January!AJ39</f>
        <v>0</v>
      </c>
      <c r="E39" s="8">
        <f>February!AJ39</f>
        <v>0</v>
      </c>
      <c r="F39" s="8">
        <f>March!AJ39</f>
        <v>0</v>
      </c>
      <c r="G39" s="8">
        <f>April!AJ39</f>
        <v>0</v>
      </c>
      <c r="H39" s="8">
        <f>May!AJ39</f>
        <v>0</v>
      </c>
      <c r="I39" s="8">
        <f>June!AJ39</f>
        <v>0</v>
      </c>
      <c r="J39" s="8">
        <f>July!AJ39</f>
        <v>0</v>
      </c>
      <c r="K39" s="8">
        <f>August!AJ39</f>
        <v>0</v>
      </c>
      <c r="L39" s="8">
        <f>September!AJ39</f>
        <v>0</v>
      </c>
      <c r="M39" s="8">
        <f>October!AJ39</f>
        <v>0</v>
      </c>
      <c r="N39" s="8">
        <f>November!AJ39</f>
        <v>0</v>
      </c>
      <c r="O39" s="8">
        <f>December!AJ39</f>
        <v>0</v>
      </c>
      <c r="Q39" s="26">
        <f t="shared" si="0"/>
        <v>0</v>
      </c>
    </row>
    <row r="40" spans="2:17" ht="16.5" collapsed="1" thickTop="1" thickBot="1" x14ac:dyDescent="0.3">
      <c r="B40" s="13" t="str">
        <f>'Employee List'!B11</f>
        <v>Dominique Daemen</v>
      </c>
      <c r="C40" t="s">
        <v>0</v>
      </c>
      <c r="D40" s="2">
        <f>January!AJ40</f>
        <v>12</v>
      </c>
      <c r="E40" s="2">
        <f>February!AJ40</f>
        <v>16</v>
      </c>
      <c r="F40" s="2">
        <f>March!AJ40</f>
        <v>10</v>
      </c>
      <c r="G40" s="2">
        <f>April!AJ40</f>
        <v>16</v>
      </c>
      <c r="H40" s="2">
        <f>May!AJ40</f>
        <v>24</v>
      </c>
      <c r="I40" s="2">
        <f>June!AJ40</f>
        <v>4</v>
      </c>
      <c r="J40" s="2">
        <f>July!AJ40</f>
        <v>16</v>
      </c>
      <c r="K40" s="2">
        <f>August!AJ40</f>
        <v>88</v>
      </c>
      <c r="L40" s="2">
        <f>September!AJ40</f>
        <v>40</v>
      </c>
      <c r="M40" s="2">
        <f>October!AJ40</f>
        <v>0</v>
      </c>
      <c r="N40" s="2">
        <f>November!AJ40</f>
        <v>0</v>
      </c>
      <c r="O40" s="2">
        <f>December!AJ40</f>
        <v>0</v>
      </c>
      <c r="Q40" s="22">
        <f t="shared" si="0"/>
        <v>226</v>
      </c>
    </row>
    <row r="41" spans="2:17" ht="15.75" hidden="1" outlineLevel="1" thickTop="1" x14ac:dyDescent="0.25">
      <c r="B41" s="10"/>
      <c r="C41" s="1" t="s">
        <v>1</v>
      </c>
      <c r="D41" s="3">
        <f>January!AJ41</f>
        <v>0</v>
      </c>
      <c r="E41" s="3">
        <f>February!AJ41</f>
        <v>0</v>
      </c>
      <c r="F41" s="3">
        <f>March!AJ41</f>
        <v>0</v>
      </c>
      <c r="G41" s="3">
        <f>April!AJ41</f>
        <v>0</v>
      </c>
      <c r="H41" s="3">
        <f>May!AJ41</f>
        <v>0</v>
      </c>
      <c r="I41" s="3">
        <f>June!AJ41</f>
        <v>0</v>
      </c>
      <c r="J41" s="3">
        <f>July!AJ41</f>
        <v>0</v>
      </c>
      <c r="K41" s="3">
        <f>August!AJ41</f>
        <v>0</v>
      </c>
      <c r="L41" s="3">
        <f>September!AJ41</f>
        <v>0</v>
      </c>
      <c r="M41" s="3">
        <f>October!AJ41</f>
        <v>0</v>
      </c>
      <c r="N41" s="3">
        <f>November!AJ41</f>
        <v>0</v>
      </c>
      <c r="O41" s="3">
        <f>December!AJ41</f>
        <v>0</v>
      </c>
      <c r="Q41" s="23">
        <f t="shared" si="0"/>
        <v>0</v>
      </c>
    </row>
    <row r="42" spans="2:17" hidden="1" outlineLevel="1" x14ac:dyDescent="0.25">
      <c r="B42" s="11"/>
      <c r="C42" s="1" t="s">
        <v>2</v>
      </c>
      <c r="D42" s="4">
        <f>January!AJ42</f>
        <v>0</v>
      </c>
      <c r="E42" s="4">
        <f>February!AJ42</f>
        <v>0</v>
      </c>
      <c r="F42" s="4">
        <f>March!AJ42</f>
        <v>0</v>
      </c>
      <c r="G42" s="4">
        <f>April!AJ42</f>
        <v>0</v>
      </c>
      <c r="H42" s="4">
        <f>May!AJ42</f>
        <v>0</v>
      </c>
      <c r="I42" s="4">
        <f>June!AJ42</f>
        <v>0</v>
      </c>
      <c r="J42" s="4">
        <f>July!AJ42</f>
        <v>0</v>
      </c>
      <c r="K42" s="4">
        <f>August!AJ42</f>
        <v>0</v>
      </c>
      <c r="L42" s="4">
        <f>September!AJ42</f>
        <v>0</v>
      </c>
      <c r="M42" s="4">
        <f>October!AJ42</f>
        <v>0</v>
      </c>
      <c r="N42" s="4">
        <f>November!AJ42</f>
        <v>0</v>
      </c>
      <c r="O42" s="4">
        <f>December!AJ42</f>
        <v>0</v>
      </c>
      <c r="Q42" s="24">
        <f t="shared" si="0"/>
        <v>0</v>
      </c>
    </row>
    <row r="43" spans="2:17" hidden="1" outlineLevel="1" x14ac:dyDescent="0.25">
      <c r="B43" s="11"/>
      <c r="C43" s="54" t="s">
        <v>76</v>
      </c>
      <c r="D43" s="5">
        <f>January!AJ43</f>
        <v>0</v>
      </c>
      <c r="E43" s="5">
        <f>February!AJ43</f>
        <v>0</v>
      </c>
      <c r="F43" s="5">
        <f>March!AJ43</f>
        <v>6</v>
      </c>
      <c r="G43" s="5">
        <f>April!AJ43</f>
        <v>0</v>
      </c>
      <c r="H43" s="5">
        <f>May!AJ43</f>
        <v>0</v>
      </c>
      <c r="I43" s="5">
        <f>June!AJ43</f>
        <v>0</v>
      </c>
      <c r="J43" s="5">
        <f>July!AJ43</f>
        <v>0</v>
      </c>
      <c r="K43" s="5">
        <f>August!AJ43</f>
        <v>0</v>
      </c>
      <c r="L43" s="5">
        <f>September!AJ43</f>
        <v>0</v>
      </c>
      <c r="M43" s="5">
        <f>October!AJ43</f>
        <v>0</v>
      </c>
      <c r="N43" s="5">
        <f>November!AJ43</f>
        <v>0</v>
      </c>
      <c r="O43" s="5">
        <f>December!AJ43</f>
        <v>0</v>
      </c>
      <c r="Q43" s="25">
        <f t="shared" si="0"/>
        <v>6</v>
      </c>
    </row>
    <row r="44" spans="2:17" ht="15.75" hidden="1" outlineLevel="1" thickBot="1" x14ac:dyDescent="0.3">
      <c r="B44" s="11"/>
      <c r="C44" s="9" t="s">
        <v>3</v>
      </c>
      <c r="D44" s="8">
        <f>January!AJ44</f>
        <v>0</v>
      </c>
      <c r="E44" s="8">
        <f>February!AJ44</f>
        <v>0</v>
      </c>
      <c r="F44" s="8">
        <f>March!AJ44</f>
        <v>0</v>
      </c>
      <c r="G44" s="8">
        <f>April!AJ44</f>
        <v>0</v>
      </c>
      <c r="H44" s="8">
        <f>May!AJ44</f>
        <v>0</v>
      </c>
      <c r="I44" s="8">
        <f>June!AJ44</f>
        <v>0</v>
      </c>
      <c r="J44" s="8">
        <f>July!AJ44</f>
        <v>0</v>
      </c>
      <c r="K44" s="8">
        <f>August!AJ44</f>
        <v>0</v>
      </c>
      <c r="L44" s="8">
        <f>September!AJ44</f>
        <v>0</v>
      </c>
      <c r="M44" s="8">
        <f>October!AJ44</f>
        <v>0</v>
      </c>
      <c r="N44" s="8">
        <f>November!AJ44</f>
        <v>0</v>
      </c>
      <c r="O44" s="8">
        <f>December!AJ44</f>
        <v>0</v>
      </c>
      <c r="Q44" s="26">
        <f t="shared" si="0"/>
        <v>0</v>
      </c>
    </row>
    <row r="45" spans="2:17" ht="16.5" collapsed="1" thickTop="1" thickBot="1" x14ac:dyDescent="0.3">
      <c r="B45" s="13" t="str">
        <f>'Employee List'!B12</f>
        <v>Erwin Deckers</v>
      </c>
      <c r="C45" t="s">
        <v>0</v>
      </c>
      <c r="D45" s="2">
        <f>January!AJ45</f>
        <v>0</v>
      </c>
      <c r="E45" s="2">
        <f>February!AJ45</f>
        <v>0</v>
      </c>
      <c r="F45" s="2">
        <f>March!AJ45</f>
        <v>44</v>
      </c>
      <c r="G45" s="2">
        <f>April!AJ45</f>
        <v>8</v>
      </c>
      <c r="H45" s="2">
        <f>May!AJ45</f>
        <v>21</v>
      </c>
      <c r="I45" s="2">
        <f>June!AJ45</f>
        <v>18.5</v>
      </c>
      <c r="J45" s="2">
        <f>July!AJ45</f>
        <v>0</v>
      </c>
      <c r="K45" s="2">
        <f>August!AJ45</f>
        <v>0</v>
      </c>
      <c r="L45" s="2">
        <f>September!AJ45</f>
        <v>80</v>
      </c>
      <c r="M45" s="2">
        <f>October!AJ45</f>
        <v>0</v>
      </c>
      <c r="N45" s="2">
        <f>November!AJ45</f>
        <v>0</v>
      </c>
      <c r="O45" s="2">
        <f>December!AJ45</f>
        <v>0</v>
      </c>
      <c r="Q45" s="22">
        <f t="shared" si="0"/>
        <v>171.5</v>
      </c>
    </row>
    <row r="46" spans="2:17" ht="15.75" hidden="1" outlineLevel="1" thickTop="1" x14ac:dyDescent="0.25">
      <c r="B46" s="10"/>
      <c r="C46" s="1" t="s">
        <v>1</v>
      </c>
      <c r="D46" s="3">
        <f>January!AJ46</f>
        <v>0</v>
      </c>
      <c r="E46" s="3">
        <f>February!AJ46</f>
        <v>24</v>
      </c>
      <c r="F46" s="3">
        <f>March!AJ46</f>
        <v>0</v>
      </c>
      <c r="G46" s="3">
        <f>April!AJ46</f>
        <v>0</v>
      </c>
      <c r="H46" s="3">
        <f>May!AJ46</f>
        <v>0</v>
      </c>
      <c r="I46" s="3">
        <f>June!AJ46</f>
        <v>0</v>
      </c>
      <c r="J46" s="3">
        <f>July!AJ46</f>
        <v>0</v>
      </c>
      <c r="K46" s="3">
        <f>August!AJ46</f>
        <v>0</v>
      </c>
      <c r="L46" s="3">
        <f>September!AJ46</f>
        <v>0</v>
      </c>
      <c r="M46" s="3">
        <f>October!AJ46</f>
        <v>0</v>
      </c>
      <c r="N46" s="3">
        <f>November!AJ46</f>
        <v>0</v>
      </c>
      <c r="O46" s="3">
        <f>December!AJ46</f>
        <v>0</v>
      </c>
      <c r="Q46" s="23">
        <f t="shared" si="0"/>
        <v>24</v>
      </c>
    </row>
    <row r="47" spans="2:17" hidden="1" outlineLevel="1" x14ac:dyDescent="0.25">
      <c r="B47" s="11"/>
      <c r="C47" s="1" t="s">
        <v>2</v>
      </c>
      <c r="D47" s="4">
        <f>January!AJ47</f>
        <v>0</v>
      </c>
      <c r="E47" s="4">
        <f>February!AJ47</f>
        <v>0</v>
      </c>
      <c r="F47" s="4">
        <f>March!AJ47</f>
        <v>0</v>
      </c>
      <c r="G47" s="4">
        <f>April!AJ47</f>
        <v>0</v>
      </c>
      <c r="H47" s="4">
        <f>May!AJ47</f>
        <v>0</v>
      </c>
      <c r="I47" s="4">
        <f>June!AJ47</f>
        <v>0</v>
      </c>
      <c r="J47" s="4">
        <f>July!AJ47</f>
        <v>0</v>
      </c>
      <c r="K47" s="4">
        <f>August!AJ47</f>
        <v>0</v>
      </c>
      <c r="L47" s="4">
        <f>September!AJ47</f>
        <v>0</v>
      </c>
      <c r="M47" s="4">
        <f>October!AJ47</f>
        <v>0</v>
      </c>
      <c r="N47" s="4">
        <f>November!AJ47</f>
        <v>0</v>
      </c>
      <c r="O47" s="4">
        <f>December!AJ47</f>
        <v>0</v>
      </c>
      <c r="Q47" s="24">
        <f t="shared" si="0"/>
        <v>0</v>
      </c>
    </row>
    <row r="48" spans="2:17" hidden="1" outlineLevel="1" x14ac:dyDescent="0.25">
      <c r="B48" s="11"/>
      <c r="C48" s="54" t="s">
        <v>76</v>
      </c>
      <c r="D48" s="5">
        <f>January!AJ48</f>
        <v>0</v>
      </c>
      <c r="E48" s="5">
        <f>February!AJ48</f>
        <v>2</v>
      </c>
      <c r="F48" s="5">
        <f>March!AJ48</f>
        <v>0</v>
      </c>
      <c r="G48" s="5">
        <f>April!AJ48</f>
        <v>0</v>
      </c>
      <c r="H48" s="5">
        <f>May!AJ48</f>
        <v>0</v>
      </c>
      <c r="I48" s="5">
        <f>June!AJ48</f>
        <v>0</v>
      </c>
      <c r="J48" s="5">
        <f>July!AJ48</f>
        <v>0</v>
      </c>
      <c r="K48" s="5">
        <f>August!AJ48</f>
        <v>0</v>
      </c>
      <c r="L48" s="5">
        <f>September!AJ48</f>
        <v>0</v>
      </c>
      <c r="M48" s="5">
        <f>October!AJ48</f>
        <v>0</v>
      </c>
      <c r="N48" s="5">
        <f>November!AJ48</f>
        <v>0</v>
      </c>
      <c r="O48" s="5">
        <f>December!AJ48</f>
        <v>0</v>
      </c>
      <c r="Q48" s="25">
        <f t="shared" si="0"/>
        <v>2</v>
      </c>
    </row>
    <row r="49" spans="2:17" ht="15.75" hidden="1" outlineLevel="1" thickBot="1" x14ac:dyDescent="0.3">
      <c r="B49" s="11"/>
      <c r="C49" s="9" t="s">
        <v>3</v>
      </c>
      <c r="D49" s="8">
        <f>January!AJ49</f>
        <v>0.5</v>
      </c>
      <c r="E49" s="8">
        <f>February!AJ49</f>
        <v>0</v>
      </c>
      <c r="F49" s="8">
        <f>March!AJ49</f>
        <v>0.5</v>
      </c>
      <c r="G49" s="8">
        <f>April!AJ49</f>
        <v>0.25</v>
      </c>
      <c r="H49" s="8">
        <f>May!AJ49</f>
        <v>1.25</v>
      </c>
      <c r="I49" s="8">
        <f>June!AJ49</f>
        <v>0.2</v>
      </c>
      <c r="J49" s="8">
        <f>July!AJ49</f>
        <v>0</v>
      </c>
      <c r="K49" s="8">
        <f>August!AJ49</f>
        <v>0</v>
      </c>
      <c r="L49" s="8">
        <f>September!AJ49</f>
        <v>0</v>
      </c>
      <c r="M49" s="8">
        <f>October!AJ49</f>
        <v>0</v>
      </c>
      <c r="N49" s="8">
        <f>November!AJ49</f>
        <v>0</v>
      </c>
      <c r="O49" s="8">
        <f>December!AJ49</f>
        <v>0</v>
      </c>
      <c r="Q49" s="26">
        <f t="shared" si="0"/>
        <v>2.7</v>
      </c>
    </row>
    <row r="50" spans="2:17" ht="16.5" collapsed="1" thickTop="1" thickBot="1" x14ac:dyDescent="0.3">
      <c r="B50" s="13" t="str">
        <f>'Employee List'!B13</f>
        <v>Fred Boekwijt</v>
      </c>
      <c r="C50" t="s">
        <v>0</v>
      </c>
      <c r="D50" s="2">
        <f>January!AJ50</f>
        <v>5.5</v>
      </c>
      <c r="E50" s="2">
        <f>February!AJ50</f>
        <v>12</v>
      </c>
      <c r="F50" s="2">
        <f>March!AJ50</f>
        <v>8</v>
      </c>
      <c r="G50" s="2">
        <f>April!AJ50</f>
        <v>8</v>
      </c>
      <c r="H50" s="2">
        <f>May!AJ50</f>
        <v>12</v>
      </c>
      <c r="I50" s="2">
        <f>June!AJ50</f>
        <v>6</v>
      </c>
      <c r="J50" s="2">
        <f>July!AJ50</f>
        <v>104</v>
      </c>
      <c r="K50" s="2">
        <f>August!AJ50</f>
        <v>16</v>
      </c>
      <c r="L50" s="2">
        <f>September!AJ50</f>
        <v>0</v>
      </c>
      <c r="M50" s="2">
        <f>October!AJ50</f>
        <v>0</v>
      </c>
      <c r="N50" s="2">
        <f>November!AJ50</f>
        <v>0</v>
      </c>
      <c r="O50" s="2">
        <f>December!AJ50</f>
        <v>0</v>
      </c>
      <c r="Q50" s="22">
        <f t="shared" si="0"/>
        <v>171.5</v>
      </c>
    </row>
    <row r="51" spans="2:17" ht="15.75" hidden="1" outlineLevel="1" thickTop="1" x14ac:dyDescent="0.25">
      <c r="B51" s="10"/>
      <c r="C51" s="1" t="s">
        <v>1</v>
      </c>
      <c r="D51" s="3">
        <f>January!AJ51</f>
        <v>0</v>
      </c>
      <c r="E51" s="3">
        <f>February!AJ51</f>
        <v>0</v>
      </c>
      <c r="F51" s="3">
        <f>March!AJ51</f>
        <v>16</v>
      </c>
      <c r="G51" s="3">
        <f>April!AJ51</f>
        <v>0</v>
      </c>
      <c r="H51" s="3">
        <f>May!AJ51</f>
        <v>0</v>
      </c>
      <c r="I51" s="3">
        <f>June!AJ51</f>
        <v>16</v>
      </c>
      <c r="J51" s="3">
        <f>July!AJ51</f>
        <v>0</v>
      </c>
      <c r="K51" s="3">
        <f>August!AJ51</f>
        <v>0</v>
      </c>
      <c r="L51" s="3">
        <f>September!AJ51</f>
        <v>0</v>
      </c>
      <c r="M51" s="3">
        <f>October!AJ51</f>
        <v>0</v>
      </c>
      <c r="N51" s="3">
        <f>November!AJ51</f>
        <v>0</v>
      </c>
      <c r="O51" s="3">
        <f>December!AJ51</f>
        <v>0</v>
      </c>
      <c r="Q51" s="23">
        <f t="shared" si="0"/>
        <v>32</v>
      </c>
    </row>
    <row r="52" spans="2:17" hidden="1" outlineLevel="1" x14ac:dyDescent="0.25">
      <c r="B52" s="11"/>
      <c r="C52" s="1" t="s">
        <v>2</v>
      </c>
      <c r="D52" s="4">
        <f>January!AJ52</f>
        <v>0</v>
      </c>
      <c r="E52" s="4">
        <f>February!AJ52</f>
        <v>0</v>
      </c>
      <c r="F52" s="4">
        <f>March!AJ52</f>
        <v>0</v>
      </c>
      <c r="G52" s="4">
        <f>April!AJ52</f>
        <v>0</v>
      </c>
      <c r="H52" s="4">
        <f>May!AJ52</f>
        <v>0</v>
      </c>
      <c r="I52" s="4">
        <f>June!AJ52</f>
        <v>0</v>
      </c>
      <c r="J52" s="4">
        <f>July!AJ52</f>
        <v>0</v>
      </c>
      <c r="K52" s="4">
        <f>August!AJ52</f>
        <v>0</v>
      </c>
      <c r="L52" s="4">
        <f>September!AJ52</f>
        <v>0</v>
      </c>
      <c r="M52" s="4">
        <f>October!AJ52</f>
        <v>0</v>
      </c>
      <c r="N52" s="4">
        <f>November!AJ52</f>
        <v>0</v>
      </c>
      <c r="O52" s="4">
        <f>December!AJ52</f>
        <v>0</v>
      </c>
      <c r="Q52" s="24">
        <f t="shared" si="0"/>
        <v>0</v>
      </c>
    </row>
    <row r="53" spans="2:17" hidden="1" outlineLevel="1" x14ac:dyDescent="0.25">
      <c r="B53" s="11"/>
      <c r="C53" s="54" t="s">
        <v>76</v>
      </c>
      <c r="D53" s="5">
        <f>January!AJ53</f>
        <v>8</v>
      </c>
      <c r="E53" s="5">
        <f>February!AJ53</f>
        <v>0</v>
      </c>
      <c r="F53" s="5">
        <f>March!AJ53</f>
        <v>0</v>
      </c>
      <c r="G53" s="5">
        <f>April!AJ53</f>
        <v>0</v>
      </c>
      <c r="H53" s="5">
        <f>May!AJ53</f>
        <v>0</v>
      </c>
      <c r="I53" s="5">
        <f>June!AJ53</f>
        <v>0</v>
      </c>
      <c r="J53" s="5">
        <f>July!AJ53</f>
        <v>0</v>
      </c>
      <c r="K53" s="5">
        <f>August!AJ53</f>
        <v>0</v>
      </c>
      <c r="L53" s="5">
        <f>September!AJ53</f>
        <v>0</v>
      </c>
      <c r="M53" s="5">
        <f>October!AJ53</f>
        <v>0</v>
      </c>
      <c r="N53" s="5">
        <f>November!AJ53</f>
        <v>0</v>
      </c>
      <c r="O53" s="5">
        <f>December!AJ53</f>
        <v>0</v>
      </c>
      <c r="Q53" s="25">
        <f t="shared" si="0"/>
        <v>8</v>
      </c>
    </row>
    <row r="54" spans="2:17" ht="15.75" hidden="1" outlineLevel="1" thickBot="1" x14ac:dyDescent="0.3">
      <c r="B54" s="11"/>
      <c r="C54" s="9" t="s">
        <v>3</v>
      </c>
      <c r="D54" s="8">
        <f>January!AJ54</f>
        <v>0</v>
      </c>
      <c r="E54" s="8">
        <f>February!AJ54</f>
        <v>0</v>
      </c>
      <c r="F54" s="8">
        <f>March!AJ54</f>
        <v>0</v>
      </c>
      <c r="G54" s="8">
        <f>April!AJ54</f>
        <v>0</v>
      </c>
      <c r="H54" s="8">
        <f>May!AJ54</f>
        <v>0</v>
      </c>
      <c r="I54" s="8">
        <f>June!AJ54</f>
        <v>0</v>
      </c>
      <c r="J54" s="8">
        <f>July!AJ54</f>
        <v>0</v>
      </c>
      <c r="K54" s="8">
        <f>August!AJ54</f>
        <v>0</v>
      </c>
      <c r="L54" s="8">
        <f>September!AJ54</f>
        <v>0</v>
      </c>
      <c r="M54" s="8">
        <f>October!AJ54</f>
        <v>0</v>
      </c>
      <c r="N54" s="8">
        <f>November!AJ54</f>
        <v>0</v>
      </c>
      <c r="O54" s="8">
        <f>December!AJ54</f>
        <v>0</v>
      </c>
      <c r="Q54" s="26">
        <f t="shared" si="0"/>
        <v>0</v>
      </c>
    </row>
    <row r="55" spans="2:17" ht="16.5" collapsed="1" thickTop="1" thickBot="1" x14ac:dyDescent="0.3">
      <c r="B55" s="13" t="str">
        <f>'Employee List'!B14</f>
        <v>Frido Meijer</v>
      </c>
      <c r="C55" t="s">
        <v>0</v>
      </c>
      <c r="D55" s="2">
        <f>January!AJ55</f>
        <v>0</v>
      </c>
      <c r="E55" s="2">
        <f>February!AJ55</f>
        <v>48</v>
      </c>
      <c r="F55" s="2">
        <f>March!AJ55</f>
        <v>0</v>
      </c>
      <c r="G55" s="2">
        <f>April!AJ55</f>
        <v>16</v>
      </c>
      <c r="H55" s="2">
        <f>May!AJ55</f>
        <v>56</v>
      </c>
      <c r="I55" s="2">
        <f>June!AJ55</f>
        <v>8</v>
      </c>
      <c r="J55" s="2">
        <f>July!AJ55</f>
        <v>24</v>
      </c>
      <c r="K55" s="2">
        <f>August!AJ55</f>
        <v>56</v>
      </c>
      <c r="L55" s="2">
        <f>September!AJ55</f>
        <v>0</v>
      </c>
      <c r="M55" s="2">
        <f>October!AJ55</f>
        <v>0</v>
      </c>
      <c r="N55" s="2">
        <f>November!AJ55</f>
        <v>0</v>
      </c>
      <c r="O55" s="2">
        <f>December!AJ55</f>
        <v>40</v>
      </c>
      <c r="Q55" s="22">
        <f t="shared" ref="Q55:Q65" si="1">SUM(D55:O55)</f>
        <v>248</v>
      </c>
    </row>
    <row r="56" spans="2:17" ht="15.75" hidden="1" outlineLevel="1" thickTop="1" x14ac:dyDescent="0.25">
      <c r="B56" s="10"/>
      <c r="C56" s="1" t="s">
        <v>1</v>
      </c>
      <c r="D56" s="3">
        <f>January!AJ56</f>
        <v>0</v>
      </c>
      <c r="E56" s="3">
        <f>February!AJ56</f>
        <v>0</v>
      </c>
      <c r="F56" s="3">
        <f>March!AJ56</f>
        <v>0</v>
      </c>
      <c r="G56" s="3">
        <f>April!AJ56</f>
        <v>0</v>
      </c>
      <c r="H56" s="3">
        <f>May!AJ56</f>
        <v>0</v>
      </c>
      <c r="I56" s="3">
        <f>June!AJ56</f>
        <v>0</v>
      </c>
      <c r="J56" s="3">
        <f>July!AJ56</f>
        <v>0</v>
      </c>
      <c r="K56" s="3">
        <f>August!AJ56</f>
        <v>0</v>
      </c>
      <c r="L56" s="3">
        <f>September!AJ56</f>
        <v>0</v>
      </c>
      <c r="M56" s="3">
        <f>October!AJ56</f>
        <v>0</v>
      </c>
      <c r="N56" s="3">
        <f>November!AJ56</f>
        <v>0</v>
      </c>
      <c r="O56" s="3">
        <f>December!AJ56</f>
        <v>0</v>
      </c>
      <c r="Q56" s="23">
        <f t="shared" si="1"/>
        <v>0</v>
      </c>
    </row>
    <row r="57" spans="2:17" hidden="1" outlineLevel="1" x14ac:dyDescent="0.25">
      <c r="B57" s="11"/>
      <c r="C57" s="1" t="s">
        <v>2</v>
      </c>
      <c r="D57" s="4">
        <f>January!AJ57</f>
        <v>0</v>
      </c>
      <c r="E57" s="4">
        <f>February!AJ57</f>
        <v>0</v>
      </c>
      <c r="F57" s="4">
        <f>March!AJ57</f>
        <v>0</v>
      </c>
      <c r="G57" s="4">
        <f>April!AJ57</f>
        <v>0</v>
      </c>
      <c r="H57" s="4">
        <f>May!AJ57</f>
        <v>0</v>
      </c>
      <c r="I57" s="4">
        <f>June!AJ57</f>
        <v>0</v>
      </c>
      <c r="J57" s="4">
        <f>July!AJ57</f>
        <v>0</v>
      </c>
      <c r="K57" s="4">
        <f>August!AJ57</f>
        <v>0</v>
      </c>
      <c r="L57" s="4">
        <f>September!AJ57</f>
        <v>0</v>
      </c>
      <c r="M57" s="4">
        <f>October!AJ57</f>
        <v>0</v>
      </c>
      <c r="N57" s="4">
        <f>November!AJ57</f>
        <v>0</v>
      </c>
      <c r="O57" s="4">
        <f>December!AJ57</f>
        <v>0</v>
      </c>
      <c r="Q57" s="24">
        <f t="shared" si="1"/>
        <v>0</v>
      </c>
    </row>
    <row r="58" spans="2:17" hidden="1" outlineLevel="1" x14ac:dyDescent="0.25">
      <c r="B58" s="11"/>
      <c r="C58" s="54" t="s">
        <v>76</v>
      </c>
      <c r="D58" s="5">
        <f>January!AJ58</f>
        <v>0</v>
      </c>
      <c r="E58" s="5">
        <f>February!AJ58</f>
        <v>0</v>
      </c>
      <c r="F58" s="5">
        <f>March!AJ58</f>
        <v>2</v>
      </c>
      <c r="G58" s="5">
        <f>April!AJ58</f>
        <v>0</v>
      </c>
      <c r="H58" s="5">
        <f>May!AJ58</f>
        <v>0</v>
      </c>
      <c r="I58" s="5">
        <f>June!AJ58</f>
        <v>0</v>
      </c>
      <c r="J58" s="5">
        <f>July!AJ58</f>
        <v>0</v>
      </c>
      <c r="K58" s="5">
        <f>August!AJ58</f>
        <v>0</v>
      </c>
      <c r="L58" s="5">
        <f>September!AJ58</f>
        <v>0</v>
      </c>
      <c r="M58" s="5">
        <f>October!AJ58</f>
        <v>0</v>
      </c>
      <c r="N58" s="5">
        <f>November!AJ58</f>
        <v>0</v>
      </c>
      <c r="O58" s="5">
        <f>December!AJ58</f>
        <v>0</v>
      </c>
      <c r="Q58" s="25">
        <f t="shared" si="1"/>
        <v>2</v>
      </c>
    </row>
    <row r="59" spans="2:17" ht="15.75" hidden="1" outlineLevel="1" thickBot="1" x14ac:dyDescent="0.3">
      <c r="B59" s="11"/>
      <c r="C59" s="9" t="s">
        <v>3</v>
      </c>
      <c r="D59" s="8">
        <f>January!AJ59</f>
        <v>0</v>
      </c>
      <c r="E59" s="8">
        <f>February!AJ59</f>
        <v>0</v>
      </c>
      <c r="F59" s="8">
        <f>March!AJ59</f>
        <v>0</v>
      </c>
      <c r="G59" s="8">
        <f>April!AJ59</f>
        <v>0</v>
      </c>
      <c r="H59" s="8">
        <f>May!AJ59</f>
        <v>0</v>
      </c>
      <c r="I59" s="8">
        <f>June!AJ59</f>
        <v>0</v>
      </c>
      <c r="J59" s="8">
        <f>July!AJ59</f>
        <v>0</v>
      </c>
      <c r="K59" s="8">
        <f>August!AJ59</f>
        <v>0</v>
      </c>
      <c r="L59" s="8">
        <f>September!AJ59</f>
        <v>0</v>
      </c>
      <c r="M59" s="8">
        <f>October!AJ59</f>
        <v>0</v>
      </c>
      <c r="N59" s="8">
        <f>November!AJ59</f>
        <v>0</v>
      </c>
      <c r="O59" s="8">
        <f>December!AJ59</f>
        <v>0</v>
      </c>
      <c r="Q59" s="26">
        <f t="shared" si="1"/>
        <v>0</v>
      </c>
    </row>
    <row r="60" spans="2:17" ht="16.5" collapsed="1" thickTop="1" thickBot="1" x14ac:dyDescent="0.3">
      <c r="B60" s="13" t="str">
        <f>'Employee List'!B15</f>
        <v>Jean Pierre Knubben</v>
      </c>
      <c r="C60" t="s">
        <v>0</v>
      </c>
      <c r="D60" s="2">
        <f>January!AJ60</f>
        <v>0</v>
      </c>
      <c r="E60" s="2">
        <f>February!AJ60</f>
        <v>24</v>
      </c>
      <c r="F60" s="2">
        <f>March!AJ60</f>
        <v>136</v>
      </c>
      <c r="G60" s="2">
        <f>April!AJ60</f>
        <v>32</v>
      </c>
      <c r="H60" s="2">
        <f>May!AJ60</f>
        <v>0</v>
      </c>
      <c r="I60" s="2">
        <f>June!AJ60</f>
        <v>8</v>
      </c>
      <c r="J60" s="2">
        <f>July!AJ60</f>
        <v>0</v>
      </c>
      <c r="K60" s="2">
        <f>August!AJ60</f>
        <v>0</v>
      </c>
      <c r="L60" s="2">
        <f>September!AJ60</f>
        <v>0</v>
      </c>
      <c r="M60" s="2">
        <f>October!AJ60</f>
        <v>0</v>
      </c>
      <c r="N60" s="2">
        <f>November!AJ60</f>
        <v>0</v>
      </c>
      <c r="O60" s="2">
        <f>December!AJ60</f>
        <v>0</v>
      </c>
      <c r="Q60" s="22">
        <f t="shared" si="1"/>
        <v>200</v>
      </c>
    </row>
    <row r="61" spans="2:17" ht="15.75" hidden="1" outlineLevel="1" thickTop="1" x14ac:dyDescent="0.25">
      <c r="B61" s="10"/>
      <c r="C61" s="1" t="s">
        <v>1</v>
      </c>
      <c r="D61" s="3">
        <f>January!AJ61</f>
        <v>0</v>
      </c>
      <c r="E61" s="3">
        <f>February!AJ61</f>
        <v>0</v>
      </c>
      <c r="F61" s="3">
        <f>March!AJ61</f>
        <v>0</v>
      </c>
      <c r="G61" s="3">
        <f>April!AJ61</f>
        <v>0</v>
      </c>
      <c r="H61" s="3">
        <f>May!AJ61</f>
        <v>0</v>
      </c>
      <c r="I61" s="3">
        <f>June!AJ61</f>
        <v>0</v>
      </c>
      <c r="J61" s="3">
        <f>July!AJ61</f>
        <v>0</v>
      </c>
      <c r="K61" s="3">
        <f>August!AJ61</f>
        <v>0</v>
      </c>
      <c r="L61" s="3">
        <f>September!AJ61</f>
        <v>0</v>
      </c>
      <c r="M61" s="3">
        <f>October!AJ61</f>
        <v>0</v>
      </c>
      <c r="N61" s="3">
        <f>November!AJ61</f>
        <v>0</v>
      </c>
      <c r="O61" s="3">
        <f>December!AJ61</f>
        <v>0</v>
      </c>
      <c r="Q61" s="23">
        <f t="shared" si="1"/>
        <v>0</v>
      </c>
    </row>
    <row r="62" spans="2:17" hidden="1" outlineLevel="1" x14ac:dyDescent="0.25">
      <c r="B62" s="11"/>
      <c r="C62" s="1" t="s">
        <v>2</v>
      </c>
      <c r="D62" s="4">
        <f>January!AJ62</f>
        <v>0</v>
      </c>
      <c r="E62" s="4">
        <f>February!AJ62</f>
        <v>0</v>
      </c>
      <c r="F62" s="4">
        <f>March!AJ62</f>
        <v>0</v>
      </c>
      <c r="G62" s="4">
        <f>April!AJ62</f>
        <v>0</v>
      </c>
      <c r="H62" s="4">
        <f>May!AJ62</f>
        <v>0</v>
      </c>
      <c r="I62" s="4">
        <f>June!AJ62</f>
        <v>0</v>
      </c>
      <c r="J62" s="4">
        <f>July!AJ62</f>
        <v>0</v>
      </c>
      <c r="K62" s="4">
        <f>August!AJ62</f>
        <v>0</v>
      </c>
      <c r="L62" s="4">
        <f>September!AJ62</f>
        <v>0</v>
      </c>
      <c r="M62" s="4">
        <f>October!AJ62</f>
        <v>0</v>
      </c>
      <c r="N62" s="4">
        <f>November!AJ62</f>
        <v>0</v>
      </c>
      <c r="O62" s="4">
        <f>December!AJ62</f>
        <v>0</v>
      </c>
      <c r="Q62" s="24">
        <f t="shared" si="1"/>
        <v>0</v>
      </c>
    </row>
    <row r="63" spans="2:17" hidden="1" outlineLevel="1" x14ac:dyDescent="0.25">
      <c r="B63" s="11"/>
      <c r="C63" s="54" t="s">
        <v>76</v>
      </c>
      <c r="D63" s="5">
        <f>January!AJ63</f>
        <v>0</v>
      </c>
      <c r="E63" s="5">
        <f>February!AJ63</f>
        <v>0</v>
      </c>
      <c r="F63" s="5">
        <f>March!AJ63</f>
        <v>0</v>
      </c>
      <c r="G63" s="5">
        <f>April!AJ63</f>
        <v>0</v>
      </c>
      <c r="H63" s="5">
        <f>May!AJ63</f>
        <v>2</v>
      </c>
      <c r="I63" s="5">
        <f>June!AJ63</f>
        <v>0</v>
      </c>
      <c r="J63" s="5">
        <f>July!AJ63</f>
        <v>0</v>
      </c>
      <c r="K63" s="5">
        <f>August!AJ63</f>
        <v>0</v>
      </c>
      <c r="L63" s="5">
        <f>September!AJ63</f>
        <v>0</v>
      </c>
      <c r="M63" s="5">
        <f>October!AJ63</f>
        <v>0</v>
      </c>
      <c r="N63" s="5">
        <f>November!AJ63</f>
        <v>0</v>
      </c>
      <c r="O63" s="5">
        <f>December!AJ63</f>
        <v>0</v>
      </c>
      <c r="Q63" s="25">
        <f t="shared" si="1"/>
        <v>2</v>
      </c>
    </row>
    <row r="64" spans="2:17" ht="15.75" hidden="1" outlineLevel="1" thickBot="1" x14ac:dyDescent="0.3">
      <c r="B64" s="11"/>
      <c r="C64" s="9" t="s">
        <v>3</v>
      </c>
      <c r="D64" s="8">
        <f>January!AJ64</f>
        <v>0.15000000000000002</v>
      </c>
      <c r="E64" s="8">
        <f>February!AJ64</f>
        <v>0</v>
      </c>
      <c r="F64" s="8">
        <f>March!AJ64</f>
        <v>0</v>
      </c>
      <c r="G64" s="8">
        <f>April!AJ64</f>
        <v>0.13333333333333333</v>
      </c>
      <c r="H64" s="8">
        <f>May!AJ64</f>
        <v>0</v>
      </c>
      <c r="I64" s="8">
        <f>June!AJ64</f>
        <v>0</v>
      </c>
      <c r="J64" s="8">
        <f>July!AJ64</f>
        <v>0</v>
      </c>
      <c r="K64" s="8">
        <f>August!AJ64</f>
        <v>0</v>
      </c>
      <c r="L64" s="8">
        <f>September!AJ64</f>
        <v>0</v>
      </c>
      <c r="M64" s="8">
        <f>October!AJ64</f>
        <v>0</v>
      </c>
      <c r="N64" s="8">
        <f>November!AJ64</f>
        <v>0</v>
      </c>
      <c r="O64" s="8">
        <f>December!AJ64</f>
        <v>0</v>
      </c>
      <c r="Q64" s="26">
        <f t="shared" si="1"/>
        <v>0.28333333333333333</v>
      </c>
    </row>
    <row r="65" spans="2:17" ht="16.5" collapsed="1" thickTop="1" thickBot="1" x14ac:dyDescent="0.3">
      <c r="B65" s="13" t="str">
        <f>'Employee List'!B16</f>
        <v>Jim van der Weijden</v>
      </c>
      <c r="C65" t="s">
        <v>0</v>
      </c>
      <c r="D65" s="2">
        <f>January!AJ65</f>
        <v>0</v>
      </c>
      <c r="E65" s="2">
        <f>February!AJ65</f>
        <v>0</v>
      </c>
      <c r="F65" s="2">
        <f>March!AJ65</f>
        <v>0</v>
      </c>
      <c r="G65" s="2">
        <f>April!AJ65</f>
        <v>0</v>
      </c>
      <c r="H65" s="2">
        <f>May!AJ65</f>
        <v>0</v>
      </c>
      <c r="I65" s="2">
        <f>June!AJ65</f>
        <v>0</v>
      </c>
      <c r="J65" s="2">
        <f>July!AJ65</f>
        <v>0</v>
      </c>
      <c r="K65" s="2">
        <f>August!AJ65</f>
        <v>0</v>
      </c>
      <c r="L65" s="2">
        <f>September!AJ65</f>
        <v>0</v>
      </c>
      <c r="M65" s="2">
        <f>October!AJ65</f>
        <v>0</v>
      </c>
      <c r="N65" s="2">
        <f>November!AJ65</f>
        <v>0</v>
      </c>
      <c r="O65" s="2">
        <f>December!AJ65</f>
        <v>0</v>
      </c>
      <c r="Q65" s="22">
        <f t="shared" si="1"/>
        <v>0</v>
      </c>
    </row>
    <row r="66" spans="2:17" ht="15.75" hidden="1" outlineLevel="1" thickTop="1" x14ac:dyDescent="0.25">
      <c r="B66" s="10"/>
      <c r="C66" s="1" t="s">
        <v>1</v>
      </c>
      <c r="D66" s="3">
        <f>January!AJ66</f>
        <v>0</v>
      </c>
      <c r="E66" s="3">
        <f>February!AJ66</f>
        <v>0</v>
      </c>
      <c r="F66" s="3">
        <f>March!AJ66</f>
        <v>0</v>
      </c>
      <c r="G66" s="3">
        <f>April!AJ66</f>
        <v>0</v>
      </c>
      <c r="H66" s="3">
        <f>May!AJ66</f>
        <v>0</v>
      </c>
      <c r="I66" s="3">
        <f>June!AJ66</f>
        <v>0</v>
      </c>
      <c r="J66" s="3">
        <f>July!AJ66</f>
        <v>0</v>
      </c>
      <c r="K66" s="3">
        <f>August!AJ66</f>
        <v>0</v>
      </c>
      <c r="L66" s="3">
        <f>September!AJ66</f>
        <v>0</v>
      </c>
      <c r="M66" s="3">
        <f>October!AJ66</f>
        <v>0</v>
      </c>
      <c r="N66" s="3">
        <f>November!AJ66</f>
        <v>0</v>
      </c>
      <c r="O66" s="3">
        <f>December!AJ66</f>
        <v>0</v>
      </c>
      <c r="Q66" s="23">
        <f t="shared" si="0"/>
        <v>0</v>
      </c>
    </row>
    <row r="67" spans="2:17" hidden="1" outlineLevel="1" x14ac:dyDescent="0.25">
      <c r="B67" s="11"/>
      <c r="C67" s="1" t="s">
        <v>2</v>
      </c>
      <c r="D67" s="4">
        <f>January!AJ67</f>
        <v>0</v>
      </c>
      <c r="E67" s="4">
        <f>February!AJ67</f>
        <v>0</v>
      </c>
      <c r="F67" s="4">
        <f>March!AJ67</f>
        <v>0</v>
      </c>
      <c r="G67" s="4">
        <f>April!AJ67</f>
        <v>0</v>
      </c>
      <c r="H67" s="4">
        <f>May!AJ67</f>
        <v>0</v>
      </c>
      <c r="I67" s="4">
        <f>June!AJ67</f>
        <v>0</v>
      </c>
      <c r="J67" s="4">
        <f>July!AJ67</f>
        <v>0</v>
      </c>
      <c r="K67" s="4">
        <f>August!AJ67</f>
        <v>0</v>
      </c>
      <c r="L67" s="4">
        <f>September!AJ67</f>
        <v>0</v>
      </c>
      <c r="M67" s="4">
        <f>October!AJ67</f>
        <v>0</v>
      </c>
      <c r="N67" s="4">
        <f>November!AJ67</f>
        <v>0</v>
      </c>
      <c r="O67" s="4">
        <f>December!AJ67</f>
        <v>0</v>
      </c>
      <c r="Q67" s="24">
        <f t="shared" si="0"/>
        <v>0</v>
      </c>
    </row>
    <row r="68" spans="2:17" hidden="1" outlineLevel="1" x14ac:dyDescent="0.25">
      <c r="B68" s="11"/>
      <c r="C68" s="54" t="s">
        <v>76</v>
      </c>
      <c r="D68" s="5">
        <f>January!AJ68</f>
        <v>0</v>
      </c>
      <c r="E68" s="5">
        <f>February!AJ68</f>
        <v>0</v>
      </c>
      <c r="F68" s="5">
        <f>March!AJ68</f>
        <v>0</v>
      </c>
      <c r="G68" s="5">
        <f>April!AJ68</f>
        <v>0</v>
      </c>
      <c r="H68" s="5">
        <f>May!AJ68</f>
        <v>1.75</v>
      </c>
      <c r="I68" s="5">
        <f>June!AJ68</f>
        <v>0</v>
      </c>
      <c r="J68" s="5">
        <f>July!AJ68</f>
        <v>0</v>
      </c>
      <c r="K68" s="5">
        <f>August!AJ68</f>
        <v>0</v>
      </c>
      <c r="L68" s="5">
        <f>September!AJ68</f>
        <v>0</v>
      </c>
      <c r="M68" s="5">
        <f>October!AJ68</f>
        <v>0</v>
      </c>
      <c r="N68" s="5">
        <f>November!AJ68</f>
        <v>0</v>
      </c>
      <c r="O68" s="5">
        <f>December!AJ68</f>
        <v>0</v>
      </c>
      <c r="Q68" s="25">
        <f t="shared" si="0"/>
        <v>1.75</v>
      </c>
    </row>
    <row r="69" spans="2:17" ht="15.75" hidden="1" outlineLevel="1" thickBot="1" x14ac:dyDescent="0.3">
      <c r="B69" s="11"/>
      <c r="C69" s="9" t="s">
        <v>3</v>
      </c>
      <c r="D69" s="8">
        <f>January!AJ69</f>
        <v>0</v>
      </c>
      <c r="E69" s="8">
        <f>February!AJ69</f>
        <v>0</v>
      </c>
      <c r="F69" s="8">
        <f>March!AJ69</f>
        <v>0</v>
      </c>
      <c r="G69" s="8">
        <f>April!AJ69</f>
        <v>0</v>
      </c>
      <c r="H69" s="8">
        <f>May!AJ69</f>
        <v>1.35</v>
      </c>
      <c r="I69" s="8">
        <f>June!AJ69</f>
        <v>0</v>
      </c>
      <c r="J69" s="8">
        <f>July!AJ69</f>
        <v>0</v>
      </c>
      <c r="K69" s="8">
        <f>August!AJ69</f>
        <v>0</v>
      </c>
      <c r="L69" s="8">
        <f>September!AJ69</f>
        <v>0</v>
      </c>
      <c r="M69" s="8">
        <f>October!AJ69</f>
        <v>0</v>
      </c>
      <c r="N69" s="8">
        <f>November!AJ69</f>
        <v>0</v>
      </c>
      <c r="O69" s="8">
        <f>December!AJ69</f>
        <v>0</v>
      </c>
      <c r="Q69" s="26">
        <f t="shared" si="0"/>
        <v>1.35</v>
      </c>
    </row>
    <row r="70" spans="2:17" ht="16.5" collapsed="1" thickTop="1" thickBot="1" x14ac:dyDescent="0.3">
      <c r="B70" s="13" t="str">
        <f>'Employee List'!B17</f>
        <v>Joop Kiefte</v>
      </c>
      <c r="C70" t="s">
        <v>0</v>
      </c>
      <c r="D70" s="2">
        <f>January!AJ70</f>
        <v>32</v>
      </c>
      <c r="E70" s="2">
        <f>February!AJ70</f>
        <v>0</v>
      </c>
      <c r="F70" s="2">
        <f>March!AJ70</f>
        <v>160</v>
      </c>
      <c r="G70" s="2">
        <f>April!AJ70</f>
        <v>0</v>
      </c>
      <c r="H70" s="2">
        <f>May!AJ70</f>
        <v>0</v>
      </c>
      <c r="I70" s="2">
        <f>June!AJ70</f>
        <v>0</v>
      </c>
      <c r="J70" s="2">
        <f>July!AJ70</f>
        <v>0</v>
      </c>
      <c r="K70" s="2">
        <f>August!AJ70</f>
        <v>0</v>
      </c>
      <c r="L70" s="2">
        <f>September!AJ70</f>
        <v>0</v>
      </c>
      <c r="M70" s="2">
        <f>October!AJ70</f>
        <v>0</v>
      </c>
      <c r="N70" s="2">
        <f>November!AJ70</f>
        <v>0</v>
      </c>
      <c r="O70" s="2">
        <f>December!AJ70</f>
        <v>0</v>
      </c>
      <c r="Q70" s="22">
        <f t="shared" ref="Q70:Q123" si="2">SUM(D70:O70)</f>
        <v>192</v>
      </c>
    </row>
    <row r="71" spans="2:17" ht="15.75" hidden="1" outlineLevel="1" thickTop="1" x14ac:dyDescent="0.25">
      <c r="B71" s="10"/>
      <c r="C71" s="1" t="s">
        <v>1</v>
      </c>
      <c r="D71" s="3">
        <f>January!AJ71</f>
        <v>0</v>
      </c>
      <c r="E71" s="3">
        <f>February!AJ71</f>
        <v>0</v>
      </c>
      <c r="F71" s="3">
        <f>March!AJ71</f>
        <v>0</v>
      </c>
      <c r="G71" s="3">
        <f>April!AJ71</f>
        <v>0</v>
      </c>
      <c r="H71" s="3">
        <f>May!AJ71</f>
        <v>0</v>
      </c>
      <c r="I71" s="3">
        <f>June!AJ71</f>
        <v>0</v>
      </c>
      <c r="J71" s="3">
        <f>July!AJ71</f>
        <v>0</v>
      </c>
      <c r="K71" s="3">
        <f>August!AJ71</f>
        <v>0</v>
      </c>
      <c r="L71" s="3">
        <f>September!AJ71</f>
        <v>0</v>
      </c>
      <c r="M71" s="3">
        <f>October!AJ71</f>
        <v>0</v>
      </c>
      <c r="N71" s="3">
        <f>November!AJ71</f>
        <v>0</v>
      </c>
      <c r="O71" s="3">
        <f>December!AJ71</f>
        <v>0</v>
      </c>
      <c r="Q71" s="23">
        <f t="shared" si="2"/>
        <v>0</v>
      </c>
    </row>
    <row r="72" spans="2:17" hidden="1" outlineLevel="1" x14ac:dyDescent="0.25">
      <c r="B72" s="11"/>
      <c r="C72" s="1" t="s">
        <v>2</v>
      </c>
      <c r="D72" s="4">
        <f>January!AJ72</f>
        <v>0</v>
      </c>
      <c r="E72" s="4">
        <f>February!AJ72</f>
        <v>0</v>
      </c>
      <c r="F72" s="4">
        <f>March!AJ72</f>
        <v>0</v>
      </c>
      <c r="G72" s="4">
        <f>April!AJ72</f>
        <v>0</v>
      </c>
      <c r="H72" s="4">
        <f>May!AJ72</f>
        <v>0</v>
      </c>
      <c r="I72" s="4">
        <f>June!AJ72</f>
        <v>0</v>
      </c>
      <c r="J72" s="4">
        <f>July!AJ72</f>
        <v>0</v>
      </c>
      <c r="K72" s="4">
        <f>August!AJ72</f>
        <v>0</v>
      </c>
      <c r="L72" s="4">
        <f>September!AJ72</f>
        <v>0</v>
      </c>
      <c r="M72" s="4">
        <f>October!AJ72</f>
        <v>0</v>
      </c>
      <c r="N72" s="4">
        <f>November!AJ72</f>
        <v>0</v>
      </c>
      <c r="O72" s="4">
        <f>December!AJ72</f>
        <v>0</v>
      </c>
      <c r="Q72" s="24">
        <f t="shared" si="2"/>
        <v>0</v>
      </c>
    </row>
    <row r="73" spans="2:17" hidden="1" outlineLevel="1" x14ac:dyDescent="0.25">
      <c r="B73" s="11"/>
      <c r="C73" s="54" t="s">
        <v>76</v>
      </c>
      <c r="D73" s="5">
        <f>January!AJ73</f>
        <v>0</v>
      </c>
      <c r="E73" s="5">
        <f>February!AJ73</f>
        <v>0</v>
      </c>
      <c r="F73" s="5">
        <f>March!AJ73</f>
        <v>0</v>
      </c>
      <c r="G73" s="5">
        <f>April!AJ73</f>
        <v>8</v>
      </c>
      <c r="H73" s="5">
        <f>May!AJ73</f>
        <v>0</v>
      </c>
      <c r="I73" s="5">
        <f>June!AJ73</f>
        <v>0</v>
      </c>
      <c r="J73" s="5">
        <f>July!AJ73</f>
        <v>0</v>
      </c>
      <c r="K73" s="5">
        <f>August!AJ73</f>
        <v>0</v>
      </c>
      <c r="L73" s="5">
        <f>September!AJ73</f>
        <v>0</v>
      </c>
      <c r="M73" s="5">
        <f>October!AJ73</f>
        <v>0</v>
      </c>
      <c r="N73" s="5">
        <f>November!AJ73</f>
        <v>0</v>
      </c>
      <c r="O73" s="5">
        <f>December!AJ73</f>
        <v>0</v>
      </c>
      <c r="Q73" s="25">
        <f t="shared" si="2"/>
        <v>8</v>
      </c>
    </row>
    <row r="74" spans="2:17" ht="15.75" hidden="1" outlineLevel="1" thickBot="1" x14ac:dyDescent="0.3">
      <c r="B74" s="11"/>
      <c r="C74" s="9" t="s">
        <v>3</v>
      </c>
      <c r="D74" s="8">
        <f>January!AJ74</f>
        <v>0.1</v>
      </c>
      <c r="E74" s="8">
        <f>February!AJ74</f>
        <v>0</v>
      </c>
      <c r="F74" s="8">
        <f>March!AJ74</f>
        <v>0</v>
      </c>
      <c r="G74" s="8">
        <f>April!AJ74</f>
        <v>0</v>
      </c>
      <c r="H74" s="8">
        <f>May!AJ74</f>
        <v>0</v>
      </c>
      <c r="I74" s="8">
        <f>June!AJ74</f>
        <v>0</v>
      </c>
      <c r="J74" s="8">
        <f>July!AJ74</f>
        <v>0</v>
      </c>
      <c r="K74" s="8">
        <f>August!AJ74</f>
        <v>0</v>
      </c>
      <c r="L74" s="8">
        <f>September!AJ74</f>
        <v>0</v>
      </c>
      <c r="M74" s="8">
        <f>October!AJ74</f>
        <v>0</v>
      </c>
      <c r="N74" s="8">
        <f>November!AJ74</f>
        <v>0</v>
      </c>
      <c r="O74" s="8">
        <f>December!AJ74</f>
        <v>0</v>
      </c>
      <c r="Q74" s="26">
        <f t="shared" si="2"/>
        <v>0.1</v>
      </c>
    </row>
    <row r="75" spans="2:17" ht="16.5" collapsed="1" thickTop="1" thickBot="1" x14ac:dyDescent="0.3">
      <c r="B75" s="13" t="str">
        <f>'Employee List'!B18</f>
        <v>Kevin Ploum</v>
      </c>
      <c r="C75" t="s">
        <v>0</v>
      </c>
      <c r="D75" s="2">
        <f>January!AJ75</f>
        <v>4</v>
      </c>
      <c r="E75" s="2">
        <f>February!AJ75</f>
        <v>16</v>
      </c>
      <c r="F75" s="2">
        <f>March!AJ75</f>
        <v>0</v>
      </c>
      <c r="G75" s="2">
        <f>April!AJ75</f>
        <v>2.5</v>
      </c>
      <c r="H75" s="2">
        <f>May!AJ75</f>
        <v>88.5</v>
      </c>
      <c r="I75" s="2">
        <f>June!AJ75</f>
        <v>0</v>
      </c>
      <c r="J75" s="2">
        <f>July!AJ75</f>
        <v>0</v>
      </c>
      <c r="K75" s="2">
        <f>August!AJ75</f>
        <v>0</v>
      </c>
      <c r="L75" s="2">
        <f>September!AJ75</f>
        <v>0</v>
      </c>
      <c r="M75" s="2">
        <f>October!AJ75</f>
        <v>0</v>
      </c>
      <c r="N75" s="2">
        <f>November!AJ75</f>
        <v>0</v>
      </c>
      <c r="O75" s="2">
        <f>December!AJ75</f>
        <v>0</v>
      </c>
      <c r="Q75" s="22">
        <f t="shared" si="2"/>
        <v>111</v>
      </c>
    </row>
    <row r="76" spans="2:17" ht="15.75" hidden="1" outlineLevel="1" thickTop="1" x14ac:dyDescent="0.25">
      <c r="B76" s="10"/>
      <c r="C76" s="1" t="s">
        <v>1</v>
      </c>
      <c r="D76" s="3">
        <f>January!AJ76</f>
        <v>0</v>
      </c>
      <c r="E76" s="3">
        <f>February!AJ76</f>
        <v>3.5</v>
      </c>
      <c r="F76" s="3">
        <f>March!AJ76</f>
        <v>0</v>
      </c>
      <c r="G76" s="3">
        <f>April!AJ76</f>
        <v>0</v>
      </c>
      <c r="H76" s="3">
        <f>May!AJ76</f>
        <v>0</v>
      </c>
      <c r="I76" s="3">
        <f>June!AJ76</f>
        <v>0</v>
      </c>
      <c r="J76" s="3">
        <f>July!AJ76</f>
        <v>0</v>
      </c>
      <c r="K76" s="3">
        <f>August!AJ76</f>
        <v>0</v>
      </c>
      <c r="L76" s="3">
        <f>September!AJ76</f>
        <v>0</v>
      </c>
      <c r="M76" s="3">
        <f>October!AJ76</f>
        <v>0</v>
      </c>
      <c r="N76" s="3">
        <f>November!AJ76</f>
        <v>0</v>
      </c>
      <c r="O76" s="3">
        <f>December!AJ76</f>
        <v>0</v>
      </c>
      <c r="Q76" s="23">
        <f t="shared" si="2"/>
        <v>3.5</v>
      </c>
    </row>
    <row r="77" spans="2:17" hidden="1" outlineLevel="1" x14ac:dyDescent="0.25">
      <c r="B77" s="11"/>
      <c r="C77" s="1" t="s">
        <v>2</v>
      </c>
      <c r="D77" s="4">
        <f>January!AJ77</f>
        <v>0</v>
      </c>
      <c r="E77" s="4">
        <f>February!AJ77</f>
        <v>0</v>
      </c>
      <c r="F77" s="4">
        <f>March!AJ77</f>
        <v>0</v>
      </c>
      <c r="G77" s="4">
        <f>April!AJ77</f>
        <v>0</v>
      </c>
      <c r="H77" s="4">
        <f>May!AJ77</f>
        <v>0</v>
      </c>
      <c r="I77" s="4">
        <f>June!AJ77</f>
        <v>0</v>
      </c>
      <c r="J77" s="4">
        <f>July!AJ77</f>
        <v>0</v>
      </c>
      <c r="K77" s="4">
        <f>August!AJ77</f>
        <v>0</v>
      </c>
      <c r="L77" s="4">
        <f>September!AJ77</f>
        <v>0</v>
      </c>
      <c r="M77" s="4">
        <f>October!AJ77</f>
        <v>0</v>
      </c>
      <c r="N77" s="4">
        <f>November!AJ77</f>
        <v>0</v>
      </c>
      <c r="O77" s="4">
        <f>December!AJ77</f>
        <v>0</v>
      </c>
      <c r="Q77" s="24">
        <f t="shared" si="2"/>
        <v>0</v>
      </c>
    </row>
    <row r="78" spans="2:17" hidden="1" outlineLevel="1" x14ac:dyDescent="0.25">
      <c r="B78" s="11"/>
      <c r="C78" s="54" t="s">
        <v>76</v>
      </c>
      <c r="D78" s="5">
        <f>January!AJ78</f>
        <v>0</v>
      </c>
      <c r="E78" s="5">
        <f>February!AJ78</f>
        <v>0</v>
      </c>
      <c r="F78" s="5">
        <f>March!AJ78</f>
        <v>0</v>
      </c>
      <c r="G78" s="5">
        <f>April!AJ78</f>
        <v>0</v>
      </c>
      <c r="H78" s="5">
        <f>May!AJ78</f>
        <v>0</v>
      </c>
      <c r="I78" s="5">
        <f>June!AJ78</f>
        <v>0</v>
      </c>
      <c r="J78" s="5">
        <f>July!AJ78</f>
        <v>0</v>
      </c>
      <c r="K78" s="5">
        <f>August!AJ78</f>
        <v>0</v>
      </c>
      <c r="L78" s="5">
        <f>September!AJ78</f>
        <v>0</v>
      </c>
      <c r="M78" s="5">
        <f>October!AJ78</f>
        <v>0</v>
      </c>
      <c r="N78" s="5">
        <f>November!AJ78</f>
        <v>0</v>
      </c>
      <c r="O78" s="5">
        <f>December!AJ78</f>
        <v>0</v>
      </c>
      <c r="Q78" s="25">
        <f t="shared" si="2"/>
        <v>0</v>
      </c>
    </row>
    <row r="79" spans="2:17" ht="15.75" hidden="1" outlineLevel="1" thickBot="1" x14ac:dyDescent="0.3">
      <c r="B79" s="11"/>
      <c r="C79" s="9" t="s">
        <v>3</v>
      </c>
      <c r="D79" s="8">
        <f>January!AJ79</f>
        <v>0</v>
      </c>
      <c r="E79" s="8">
        <f>February!AJ79</f>
        <v>0</v>
      </c>
      <c r="F79" s="8">
        <f>March!AJ79</f>
        <v>0</v>
      </c>
      <c r="G79" s="8">
        <f>April!AJ79</f>
        <v>0</v>
      </c>
      <c r="H79" s="8">
        <f>May!AJ79</f>
        <v>0</v>
      </c>
      <c r="I79" s="8">
        <f>June!AJ79</f>
        <v>0</v>
      </c>
      <c r="J79" s="8">
        <f>July!AJ79</f>
        <v>0</v>
      </c>
      <c r="K79" s="8">
        <f>August!AJ79</f>
        <v>0</v>
      </c>
      <c r="L79" s="8">
        <f>September!AJ79</f>
        <v>0</v>
      </c>
      <c r="M79" s="8">
        <f>October!AJ79</f>
        <v>0</v>
      </c>
      <c r="N79" s="8">
        <f>November!AJ79</f>
        <v>0</v>
      </c>
      <c r="O79" s="8">
        <f>December!AJ79</f>
        <v>0</v>
      </c>
      <c r="Q79" s="26">
        <f t="shared" si="2"/>
        <v>0</v>
      </c>
    </row>
    <row r="80" spans="2:17" ht="16.5" collapsed="1" thickTop="1" thickBot="1" x14ac:dyDescent="0.3">
      <c r="B80" s="13" t="str">
        <f>'Employee List'!B19</f>
        <v>Loek Moling</v>
      </c>
      <c r="C80" t="s">
        <v>0</v>
      </c>
      <c r="D80" s="2">
        <f>January!AJ80</f>
        <v>12</v>
      </c>
      <c r="E80" s="2">
        <f>February!AJ80</f>
        <v>26</v>
      </c>
      <c r="F80" s="2">
        <f>March!AJ80</f>
        <v>0</v>
      </c>
      <c r="G80" s="2">
        <f>April!AJ80</f>
        <v>0</v>
      </c>
      <c r="H80" s="2">
        <f>May!AJ80</f>
        <v>0</v>
      </c>
      <c r="I80" s="2">
        <f>June!AJ80</f>
        <v>0</v>
      </c>
      <c r="J80" s="2">
        <f>July!AJ80</f>
        <v>0</v>
      </c>
      <c r="K80" s="2">
        <f>August!AJ80</f>
        <v>0</v>
      </c>
      <c r="L80" s="2">
        <f>September!AJ80</f>
        <v>0</v>
      </c>
      <c r="M80" s="2">
        <f>October!AJ80</f>
        <v>0</v>
      </c>
      <c r="N80" s="2">
        <f>November!AJ80</f>
        <v>0</v>
      </c>
      <c r="O80" s="2">
        <f>December!AJ80</f>
        <v>0</v>
      </c>
      <c r="Q80" s="22">
        <f t="shared" si="2"/>
        <v>38</v>
      </c>
    </row>
    <row r="81" spans="2:17" ht="15.75" hidden="1" outlineLevel="1" thickTop="1" x14ac:dyDescent="0.25">
      <c r="B81" s="10"/>
      <c r="C81" s="1" t="s">
        <v>1</v>
      </c>
      <c r="D81" s="3">
        <f>January!AJ81</f>
        <v>32</v>
      </c>
      <c r="E81" s="3">
        <f>February!AJ81</f>
        <v>0</v>
      </c>
      <c r="F81" s="3">
        <f>March!AJ81</f>
        <v>0</v>
      </c>
      <c r="G81" s="3">
        <f>April!AJ81</f>
        <v>0</v>
      </c>
      <c r="H81" s="3">
        <f>May!AJ81</f>
        <v>0</v>
      </c>
      <c r="I81" s="3">
        <f>June!AJ81</f>
        <v>0</v>
      </c>
      <c r="J81" s="3">
        <f>July!AJ81</f>
        <v>0</v>
      </c>
      <c r="K81" s="3">
        <f>August!AJ81</f>
        <v>0</v>
      </c>
      <c r="L81" s="3">
        <f>September!AJ81</f>
        <v>0</v>
      </c>
      <c r="M81" s="3">
        <f>October!AJ81</f>
        <v>0</v>
      </c>
      <c r="N81" s="3">
        <f>November!AJ81</f>
        <v>0</v>
      </c>
      <c r="O81" s="3">
        <f>December!AJ81</f>
        <v>0</v>
      </c>
      <c r="Q81" s="23">
        <f t="shared" si="2"/>
        <v>32</v>
      </c>
    </row>
    <row r="82" spans="2:17" hidden="1" outlineLevel="1" x14ac:dyDescent="0.25">
      <c r="B82" s="11"/>
      <c r="C82" s="1" t="s">
        <v>2</v>
      </c>
      <c r="D82" s="4">
        <f>January!AJ82</f>
        <v>0</v>
      </c>
      <c r="E82" s="4">
        <f>February!AJ82</f>
        <v>0</v>
      </c>
      <c r="F82" s="4">
        <f>March!AJ82</f>
        <v>0</v>
      </c>
      <c r="G82" s="4">
        <f>April!AJ82</f>
        <v>0</v>
      </c>
      <c r="H82" s="4">
        <f>May!AJ82</f>
        <v>0</v>
      </c>
      <c r="I82" s="4">
        <f>June!AJ82</f>
        <v>0</v>
      </c>
      <c r="J82" s="4">
        <f>July!AJ82</f>
        <v>0</v>
      </c>
      <c r="K82" s="4">
        <f>August!AJ82</f>
        <v>0</v>
      </c>
      <c r="L82" s="4">
        <f>September!AJ82</f>
        <v>0</v>
      </c>
      <c r="M82" s="4">
        <f>October!AJ82</f>
        <v>0</v>
      </c>
      <c r="N82" s="4">
        <f>November!AJ82</f>
        <v>0</v>
      </c>
      <c r="O82" s="4">
        <f>December!AJ82</f>
        <v>0</v>
      </c>
      <c r="Q82" s="24">
        <f t="shared" si="2"/>
        <v>0</v>
      </c>
    </row>
    <row r="83" spans="2:17" hidden="1" outlineLevel="1" x14ac:dyDescent="0.25">
      <c r="B83" s="11"/>
      <c r="C83" s="54" t="s">
        <v>76</v>
      </c>
      <c r="D83" s="5">
        <f>January!AJ83</f>
        <v>8</v>
      </c>
      <c r="E83" s="5">
        <f>February!AJ83</f>
        <v>6</v>
      </c>
      <c r="F83" s="5">
        <f>March!AJ83</f>
        <v>0</v>
      </c>
      <c r="G83" s="5">
        <f>April!AJ83</f>
        <v>0</v>
      </c>
      <c r="H83" s="5">
        <f>May!AJ83</f>
        <v>0</v>
      </c>
      <c r="I83" s="5">
        <f>June!AJ83</f>
        <v>0</v>
      </c>
      <c r="J83" s="5">
        <f>July!AJ83</f>
        <v>0</v>
      </c>
      <c r="K83" s="5">
        <f>August!AJ83</f>
        <v>0</v>
      </c>
      <c r="L83" s="5">
        <f>September!AJ83</f>
        <v>0</v>
      </c>
      <c r="M83" s="5">
        <f>October!AJ83</f>
        <v>0</v>
      </c>
      <c r="N83" s="5">
        <f>November!AJ83</f>
        <v>0</v>
      </c>
      <c r="O83" s="5">
        <f>December!AJ83</f>
        <v>0</v>
      </c>
      <c r="Q83" s="25">
        <f t="shared" si="2"/>
        <v>14</v>
      </c>
    </row>
    <row r="84" spans="2:17" ht="15.75" hidden="1" outlineLevel="1" thickBot="1" x14ac:dyDescent="0.3">
      <c r="B84" s="11"/>
      <c r="C84" s="9" t="s">
        <v>3</v>
      </c>
      <c r="D84" s="8">
        <f>January!AJ84</f>
        <v>0</v>
      </c>
      <c r="E84" s="8">
        <f>February!AJ84</f>
        <v>0</v>
      </c>
      <c r="F84" s="8">
        <f>March!AJ84</f>
        <v>0</v>
      </c>
      <c r="G84" s="8">
        <f>April!AJ84</f>
        <v>0</v>
      </c>
      <c r="H84" s="8">
        <f>May!AJ84</f>
        <v>0</v>
      </c>
      <c r="I84" s="8">
        <f>June!AJ84</f>
        <v>0</v>
      </c>
      <c r="J84" s="8">
        <f>July!AJ84</f>
        <v>0</v>
      </c>
      <c r="K84" s="8">
        <f>August!AJ84</f>
        <v>0</v>
      </c>
      <c r="L84" s="8">
        <f>September!AJ84</f>
        <v>0</v>
      </c>
      <c r="M84" s="8">
        <f>October!AJ84</f>
        <v>0</v>
      </c>
      <c r="N84" s="8">
        <f>November!AJ84</f>
        <v>0</v>
      </c>
      <c r="O84" s="8">
        <f>December!AJ84</f>
        <v>0</v>
      </c>
      <c r="Q84" s="26">
        <f t="shared" si="2"/>
        <v>0</v>
      </c>
    </row>
    <row r="85" spans="2:17" ht="16.5" collapsed="1" thickTop="1" thickBot="1" x14ac:dyDescent="0.3">
      <c r="B85" s="13" t="str">
        <f>'Employee List'!B20</f>
        <v>Loode Evers</v>
      </c>
      <c r="C85" t="s">
        <v>0</v>
      </c>
      <c r="D85" s="2">
        <f>January!AJ85</f>
        <v>16</v>
      </c>
      <c r="E85" s="2">
        <f>February!AJ85</f>
        <v>8</v>
      </c>
      <c r="F85" s="2">
        <f>March!AJ85</f>
        <v>0</v>
      </c>
      <c r="G85" s="2">
        <f>April!AJ85</f>
        <v>56</v>
      </c>
      <c r="H85" s="2">
        <f>May!AJ85</f>
        <v>40</v>
      </c>
      <c r="I85" s="2">
        <f>June!AJ85</f>
        <v>24</v>
      </c>
      <c r="J85" s="2">
        <f>July!AJ85</f>
        <v>12</v>
      </c>
      <c r="K85" s="2">
        <f>August!AJ85</f>
        <v>0</v>
      </c>
      <c r="L85" s="2">
        <f>September!AJ85</f>
        <v>0</v>
      </c>
      <c r="M85" s="2">
        <f>October!AJ85</f>
        <v>0</v>
      </c>
      <c r="N85" s="2">
        <f>November!AJ85</f>
        <v>0</v>
      </c>
      <c r="O85" s="2">
        <f>December!AJ85</f>
        <v>40</v>
      </c>
      <c r="Q85" s="22">
        <f t="shared" si="2"/>
        <v>196</v>
      </c>
    </row>
    <row r="86" spans="2:17" ht="15.75" hidden="1" outlineLevel="1" thickTop="1" x14ac:dyDescent="0.25">
      <c r="B86" s="10"/>
      <c r="C86" s="1" t="s">
        <v>1</v>
      </c>
      <c r="D86" s="3">
        <f>January!AJ86</f>
        <v>0</v>
      </c>
      <c r="E86" s="3">
        <f>February!AJ86</f>
        <v>0</v>
      </c>
      <c r="F86" s="3">
        <f>March!AJ86</f>
        <v>24</v>
      </c>
      <c r="G86" s="3">
        <f>April!AJ86</f>
        <v>0</v>
      </c>
      <c r="H86" s="3">
        <f>May!AJ86</f>
        <v>0</v>
      </c>
      <c r="I86" s="3">
        <f>June!AJ86</f>
        <v>0</v>
      </c>
      <c r="J86" s="3">
        <f>July!AJ86</f>
        <v>0</v>
      </c>
      <c r="K86" s="3">
        <f>August!AJ86</f>
        <v>0</v>
      </c>
      <c r="L86" s="3">
        <f>September!AJ86</f>
        <v>0</v>
      </c>
      <c r="M86" s="3">
        <f>October!AJ86</f>
        <v>0</v>
      </c>
      <c r="N86" s="3">
        <f>November!AJ86</f>
        <v>0</v>
      </c>
      <c r="O86" s="3">
        <f>December!AJ86</f>
        <v>0</v>
      </c>
      <c r="Q86" s="23">
        <f t="shared" si="2"/>
        <v>24</v>
      </c>
    </row>
    <row r="87" spans="2:17" hidden="1" outlineLevel="1" x14ac:dyDescent="0.25">
      <c r="B87" s="11"/>
      <c r="C87" s="1" t="s">
        <v>2</v>
      </c>
      <c r="D87" s="4">
        <f>January!AJ87</f>
        <v>0</v>
      </c>
      <c r="E87" s="4">
        <f>February!AJ87</f>
        <v>0</v>
      </c>
      <c r="F87" s="4">
        <f>March!AJ87</f>
        <v>0</v>
      </c>
      <c r="G87" s="4">
        <f>April!AJ87</f>
        <v>0</v>
      </c>
      <c r="H87" s="4">
        <f>May!AJ87</f>
        <v>0</v>
      </c>
      <c r="I87" s="4">
        <f>June!AJ87</f>
        <v>0</v>
      </c>
      <c r="J87" s="4">
        <f>July!AJ87</f>
        <v>0</v>
      </c>
      <c r="K87" s="4">
        <f>August!AJ87</f>
        <v>0</v>
      </c>
      <c r="L87" s="4">
        <f>September!AJ87</f>
        <v>0</v>
      </c>
      <c r="M87" s="4">
        <f>October!AJ87</f>
        <v>0</v>
      </c>
      <c r="N87" s="4">
        <f>November!AJ87</f>
        <v>0</v>
      </c>
      <c r="O87" s="4">
        <f>December!AJ87</f>
        <v>0</v>
      </c>
      <c r="Q87" s="24">
        <f t="shared" si="2"/>
        <v>0</v>
      </c>
    </row>
    <row r="88" spans="2:17" hidden="1" outlineLevel="1" x14ac:dyDescent="0.25">
      <c r="B88" s="11"/>
      <c r="C88" s="54" t="s">
        <v>76</v>
      </c>
      <c r="D88" s="5">
        <f>January!AJ88</f>
        <v>0</v>
      </c>
      <c r="E88" s="5">
        <f>February!AJ88</f>
        <v>0</v>
      </c>
      <c r="F88" s="5">
        <f>March!AJ88</f>
        <v>0</v>
      </c>
      <c r="G88" s="5">
        <f>April!AJ88</f>
        <v>0</v>
      </c>
      <c r="H88" s="5">
        <f>May!AJ88</f>
        <v>0</v>
      </c>
      <c r="I88" s="5">
        <f>June!AJ88</f>
        <v>0</v>
      </c>
      <c r="J88" s="5">
        <f>July!AJ88</f>
        <v>8</v>
      </c>
      <c r="K88" s="5">
        <f>August!AJ88</f>
        <v>0</v>
      </c>
      <c r="L88" s="5">
        <f>September!AJ88</f>
        <v>0</v>
      </c>
      <c r="M88" s="5">
        <f>October!AJ88</f>
        <v>0</v>
      </c>
      <c r="N88" s="5">
        <f>November!AJ88</f>
        <v>0</v>
      </c>
      <c r="O88" s="5">
        <f>December!AJ88</f>
        <v>0</v>
      </c>
      <c r="Q88" s="25">
        <f t="shared" si="2"/>
        <v>8</v>
      </c>
    </row>
    <row r="89" spans="2:17" ht="15.75" hidden="1" outlineLevel="1" thickBot="1" x14ac:dyDescent="0.3">
      <c r="B89" s="11"/>
      <c r="C89" s="9" t="s">
        <v>3</v>
      </c>
      <c r="D89" s="8">
        <f>January!AJ89</f>
        <v>0</v>
      </c>
      <c r="E89" s="8">
        <f>February!AJ89</f>
        <v>0</v>
      </c>
      <c r="F89" s="8">
        <f>March!AJ89</f>
        <v>0</v>
      </c>
      <c r="G89" s="8">
        <f>April!AJ89</f>
        <v>0</v>
      </c>
      <c r="H89" s="8">
        <f>May!AJ89</f>
        <v>0</v>
      </c>
      <c r="I89" s="8">
        <f>June!AJ89</f>
        <v>0</v>
      </c>
      <c r="J89" s="8">
        <f>July!AJ89</f>
        <v>0</v>
      </c>
      <c r="K89" s="8">
        <f>August!AJ89</f>
        <v>0</v>
      </c>
      <c r="L89" s="8">
        <f>September!AJ89</f>
        <v>0</v>
      </c>
      <c r="M89" s="8">
        <f>October!AJ89</f>
        <v>0</v>
      </c>
      <c r="N89" s="8">
        <f>November!AJ89</f>
        <v>0</v>
      </c>
      <c r="O89" s="8">
        <f>December!AJ89</f>
        <v>0</v>
      </c>
      <c r="Q89" s="26">
        <f t="shared" si="2"/>
        <v>0</v>
      </c>
    </row>
    <row r="90" spans="2:17" ht="16.5" collapsed="1" thickTop="1" thickBot="1" x14ac:dyDescent="0.3">
      <c r="B90" s="13" t="str">
        <f>'Employee List'!B21</f>
        <v>Manuel Sperti</v>
      </c>
      <c r="C90" t="s">
        <v>0</v>
      </c>
      <c r="D90" s="2">
        <f>January!AJ90</f>
        <v>0</v>
      </c>
      <c r="E90" s="2">
        <f>February!AJ90</f>
        <v>0</v>
      </c>
      <c r="F90" s="2">
        <f>March!AJ90</f>
        <v>0</v>
      </c>
      <c r="G90" s="2">
        <f>April!AJ90</f>
        <v>0</v>
      </c>
      <c r="H90" s="2">
        <f>May!AJ90</f>
        <v>0</v>
      </c>
      <c r="I90" s="2">
        <f>June!AJ90</f>
        <v>0</v>
      </c>
      <c r="J90" s="2">
        <f>July!AJ90</f>
        <v>0</v>
      </c>
      <c r="K90" s="2">
        <f>August!AJ90</f>
        <v>0</v>
      </c>
      <c r="L90" s="2">
        <f>September!AJ90</f>
        <v>0</v>
      </c>
      <c r="M90" s="2">
        <f>October!AJ90</f>
        <v>0</v>
      </c>
      <c r="N90" s="2">
        <f>November!AJ90</f>
        <v>0</v>
      </c>
      <c r="O90" s="2">
        <f>December!AJ90</f>
        <v>0</v>
      </c>
      <c r="Q90" s="22">
        <f t="shared" si="2"/>
        <v>0</v>
      </c>
    </row>
    <row r="91" spans="2:17" ht="15.75" hidden="1" outlineLevel="1" thickTop="1" x14ac:dyDescent="0.25">
      <c r="B91" s="10"/>
      <c r="C91" s="1" t="s">
        <v>1</v>
      </c>
      <c r="D91" s="3">
        <f>January!AJ91</f>
        <v>76</v>
      </c>
      <c r="E91" s="3">
        <f>February!AJ91</f>
        <v>120</v>
      </c>
      <c r="F91" s="3">
        <f>March!AJ91</f>
        <v>24</v>
      </c>
      <c r="G91" s="3">
        <f>April!AJ91</f>
        <v>0</v>
      </c>
      <c r="H91" s="3">
        <f>May!AJ91</f>
        <v>0</v>
      </c>
      <c r="I91" s="3">
        <f>June!AJ91</f>
        <v>0</v>
      </c>
      <c r="J91" s="3">
        <f>July!AJ91</f>
        <v>0</v>
      </c>
      <c r="K91" s="3">
        <f>August!AJ91</f>
        <v>0</v>
      </c>
      <c r="L91" s="3">
        <f>September!AJ91</f>
        <v>0</v>
      </c>
      <c r="M91" s="3">
        <f>October!AJ91</f>
        <v>0</v>
      </c>
      <c r="N91" s="3">
        <f>November!AJ91</f>
        <v>0</v>
      </c>
      <c r="O91" s="3">
        <f>December!AJ91</f>
        <v>0</v>
      </c>
      <c r="Q91" s="23">
        <f t="shared" si="2"/>
        <v>220</v>
      </c>
    </row>
    <row r="92" spans="2:17" hidden="1" outlineLevel="1" x14ac:dyDescent="0.25">
      <c r="B92" s="11"/>
      <c r="C92" s="1" t="s">
        <v>2</v>
      </c>
      <c r="D92" s="4">
        <f>January!AJ92</f>
        <v>0</v>
      </c>
      <c r="E92" s="4">
        <f>February!AJ92</f>
        <v>0</v>
      </c>
      <c r="F92" s="4">
        <f>March!AJ92</f>
        <v>0</v>
      </c>
      <c r="G92" s="4">
        <f>April!AJ92</f>
        <v>0</v>
      </c>
      <c r="H92" s="4">
        <f>May!AJ92</f>
        <v>0</v>
      </c>
      <c r="I92" s="4">
        <f>June!AJ92</f>
        <v>0</v>
      </c>
      <c r="J92" s="4">
        <f>July!AJ92</f>
        <v>0</v>
      </c>
      <c r="K92" s="4">
        <f>August!AJ92</f>
        <v>0</v>
      </c>
      <c r="L92" s="4">
        <f>September!AJ92</f>
        <v>0</v>
      </c>
      <c r="M92" s="4">
        <f>October!AJ92</f>
        <v>0</v>
      </c>
      <c r="N92" s="4">
        <f>November!AJ92</f>
        <v>0</v>
      </c>
      <c r="O92" s="4">
        <f>December!AJ92</f>
        <v>0</v>
      </c>
      <c r="Q92" s="24">
        <f t="shared" si="2"/>
        <v>0</v>
      </c>
    </row>
    <row r="93" spans="2:17" hidden="1" outlineLevel="1" x14ac:dyDescent="0.25">
      <c r="B93" s="11"/>
      <c r="C93" s="54" t="s">
        <v>76</v>
      </c>
      <c r="D93" s="5">
        <f>January!AJ93</f>
        <v>0</v>
      </c>
      <c r="E93" s="5">
        <f>February!AJ93</f>
        <v>0</v>
      </c>
      <c r="F93" s="5">
        <f>March!AJ93</f>
        <v>0</v>
      </c>
      <c r="G93" s="5">
        <f>April!AJ93</f>
        <v>0</v>
      </c>
      <c r="H93" s="5">
        <f>May!AJ93</f>
        <v>0</v>
      </c>
      <c r="I93" s="5">
        <f>June!AJ93</f>
        <v>0</v>
      </c>
      <c r="J93" s="5">
        <f>July!AJ93</f>
        <v>0</v>
      </c>
      <c r="K93" s="5">
        <f>August!AJ93</f>
        <v>0</v>
      </c>
      <c r="L93" s="5">
        <f>September!AJ93</f>
        <v>0</v>
      </c>
      <c r="M93" s="5">
        <f>October!AJ93</f>
        <v>0</v>
      </c>
      <c r="N93" s="5">
        <f>November!AJ93</f>
        <v>0</v>
      </c>
      <c r="O93" s="5">
        <f>December!AJ93</f>
        <v>0</v>
      </c>
      <c r="Q93" s="25">
        <f t="shared" si="2"/>
        <v>0</v>
      </c>
    </row>
    <row r="94" spans="2:17" ht="15.75" hidden="1" outlineLevel="1" thickBot="1" x14ac:dyDescent="0.3">
      <c r="B94" s="11"/>
      <c r="C94" s="9" t="s">
        <v>3</v>
      </c>
      <c r="D94" s="8">
        <f>January!AJ94</f>
        <v>0</v>
      </c>
      <c r="E94" s="8">
        <f>February!AJ94</f>
        <v>0</v>
      </c>
      <c r="F94" s="8">
        <f>March!AJ94</f>
        <v>0.5</v>
      </c>
      <c r="G94" s="8">
        <f>April!AJ94</f>
        <v>0</v>
      </c>
      <c r="H94" s="8">
        <f>May!AJ94</f>
        <v>0</v>
      </c>
      <c r="I94" s="8">
        <f>June!AJ94</f>
        <v>0</v>
      </c>
      <c r="J94" s="8">
        <f>July!AJ94</f>
        <v>0</v>
      </c>
      <c r="K94" s="8">
        <f>August!AJ94</f>
        <v>0</v>
      </c>
      <c r="L94" s="8">
        <f>September!AJ94</f>
        <v>0</v>
      </c>
      <c r="M94" s="8">
        <f>October!AJ94</f>
        <v>0</v>
      </c>
      <c r="N94" s="8">
        <f>November!AJ94</f>
        <v>0</v>
      </c>
      <c r="O94" s="8">
        <f>December!AJ94</f>
        <v>0</v>
      </c>
      <c r="Q94" s="26">
        <f t="shared" si="2"/>
        <v>0.5</v>
      </c>
    </row>
    <row r="95" spans="2:17" ht="16.5" collapsed="1" thickTop="1" thickBot="1" x14ac:dyDescent="0.3">
      <c r="B95" s="13" t="str">
        <f>'Employee List'!B22</f>
        <v xml:space="preserve">Marc Linssen </v>
      </c>
      <c r="C95" t="s">
        <v>0</v>
      </c>
      <c r="D95" s="2">
        <f>January!AJ95</f>
        <v>8</v>
      </c>
      <c r="E95" s="2">
        <f>February!AJ95</f>
        <v>46.75</v>
      </c>
      <c r="F95" s="2">
        <f>March!AJ95</f>
        <v>4</v>
      </c>
      <c r="G95" s="2">
        <f>April!AJ95</f>
        <v>10.75</v>
      </c>
      <c r="H95" s="2">
        <f>May!AJ95</f>
        <v>41</v>
      </c>
      <c r="I95" s="2">
        <f>June!AJ95</f>
        <v>16.5</v>
      </c>
      <c r="J95" s="2">
        <f>July!AJ95</f>
        <v>1</v>
      </c>
      <c r="K95" s="2">
        <f>August!AJ95</f>
        <v>86</v>
      </c>
      <c r="L95" s="2">
        <f>September!AJ95</f>
        <v>0</v>
      </c>
      <c r="M95" s="2">
        <f>October!AJ95</f>
        <v>0</v>
      </c>
      <c r="N95" s="2">
        <f>November!AJ95</f>
        <v>0</v>
      </c>
      <c r="O95" s="2">
        <f>December!AJ95</f>
        <v>0</v>
      </c>
      <c r="Q95" s="22">
        <f t="shared" si="2"/>
        <v>214</v>
      </c>
    </row>
    <row r="96" spans="2:17" ht="15.75" hidden="1" outlineLevel="1" thickTop="1" x14ac:dyDescent="0.25">
      <c r="B96" s="10"/>
      <c r="C96" s="1" t="s">
        <v>1</v>
      </c>
      <c r="D96" s="3">
        <f>January!AJ96</f>
        <v>0</v>
      </c>
      <c r="E96" s="3">
        <f>February!AJ96</f>
        <v>0</v>
      </c>
      <c r="F96" s="3">
        <f>March!AJ96</f>
        <v>16</v>
      </c>
      <c r="G96" s="3">
        <f>April!AJ96</f>
        <v>0</v>
      </c>
      <c r="H96" s="3">
        <f>May!AJ96</f>
        <v>0</v>
      </c>
      <c r="I96" s="3">
        <f>June!AJ96</f>
        <v>16</v>
      </c>
      <c r="J96" s="3">
        <f>July!AJ96</f>
        <v>0</v>
      </c>
      <c r="K96" s="3">
        <f>August!AJ96</f>
        <v>0</v>
      </c>
      <c r="L96" s="3">
        <f>September!AJ96</f>
        <v>0</v>
      </c>
      <c r="M96" s="3">
        <f>October!AJ96</f>
        <v>0</v>
      </c>
      <c r="N96" s="3">
        <f>November!AJ96</f>
        <v>0</v>
      </c>
      <c r="O96" s="3">
        <f>December!AJ96</f>
        <v>0</v>
      </c>
      <c r="Q96" s="23">
        <f t="shared" si="2"/>
        <v>32</v>
      </c>
    </row>
    <row r="97" spans="2:17" hidden="1" outlineLevel="1" x14ac:dyDescent="0.25">
      <c r="B97" s="11"/>
      <c r="C97" s="1" t="s">
        <v>2</v>
      </c>
      <c r="D97" s="4">
        <f>January!AJ97</f>
        <v>0</v>
      </c>
      <c r="E97" s="4">
        <f>February!AJ97</f>
        <v>0</v>
      </c>
      <c r="F97" s="4">
        <f>March!AJ97</f>
        <v>0</v>
      </c>
      <c r="G97" s="4">
        <f>April!AJ97</f>
        <v>0</v>
      </c>
      <c r="H97" s="4">
        <f>May!AJ97</f>
        <v>0</v>
      </c>
      <c r="I97" s="4">
        <f>June!AJ97</f>
        <v>0</v>
      </c>
      <c r="J97" s="4">
        <f>July!AJ97</f>
        <v>0</v>
      </c>
      <c r="K97" s="4">
        <f>August!AJ97</f>
        <v>0</v>
      </c>
      <c r="L97" s="4">
        <f>September!AJ97</f>
        <v>0</v>
      </c>
      <c r="M97" s="4">
        <f>October!AJ97</f>
        <v>0</v>
      </c>
      <c r="N97" s="4">
        <f>November!AJ97</f>
        <v>0</v>
      </c>
      <c r="O97" s="4">
        <f>December!AJ97</f>
        <v>0</v>
      </c>
      <c r="Q97" s="24">
        <f t="shared" si="2"/>
        <v>0</v>
      </c>
    </row>
    <row r="98" spans="2:17" hidden="1" outlineLevel="1" x14ac:dyDescent="0.25">
      <c r="B98" s="11"/>
      <c r="C98" s="54" t="s">
        <v>76</v>
      </c>
      <c r="D98" s="5">
        <f>January!AJ98</f>
        <v>0</v>
      </c>
      <c r="E98" s="5">
        <f>February!AJ98</f>
        <v>0</v>
      </c>
      <c r="F98" s="5">
        <f>March!AJ98</f>
        <v>0</v>
      </c>
      <c r="G98" s="5">
        <f>April!AJ98</f>
        <v>0</v>
      </c>
      <c r="H98" s="5">
        <f>May!AJ98</f>
        <v>0</v>
      </c>
      <c r="I98" s="5">
        <f>June!AJ98</f>
        <v>0</v>
      </c>
      <c r="J98" s="5">
        <f>July!AJ98</f>
        <v>0</v>
      </c>
      <c r="K98" s="5">
        <f>August!AJ98</f>
        <v>0</v>
      </c>
      <c r="L98" s="5">
        <f>September!AJ98</f>
        <v>0</v>
      </c>
      <c r="M98" s="5">
        <f>October!AJ98</f>
        <v>0</v>
      </c>
      <c r="N98" s="5">
        <f>November!AJ98</f>
        <v>0</v>
      </c>
      <c r="O98" s="5">
        <f>December!AJ98</f>
        <v>0</v>
      </c>
      <c r="Q98" s="25">
        <f t="shared" si="2"/>
        <v>0</v>
      </c>
    </row>
    <row r="99" spans="2:17" ht="15.75" hidden="1" outlineLevel="1" thickBot="1" x14ac:dyDescent="0.3">
      <c r="B99" s="11"/>
      <c r="C99" s="9" t="s">
        <v>3</v>
      </c>
      <c r="D99" s="8">
        <f>January!AJ99</f>
        <v>0.31666666666666665</v>
      </c>
      <c r="E99" s="8">
        <f>February!AJ99</f>
        <v>0</v>
      </c>
      <c r="F99" s="8">
        <f>March!AJ99</f>
        <v>0</v>
      </c>
      <c r="G99" s="8">
        <f>April!AJ99</f>
        <v>0</v>
      </c>
      <c r="H99" s="8">
        <f>May!AJ99</f>
        <v>0</v>
      </c>
      <c r="I99" s="8">
        <f>June!AJ99</f>
        <v>0.2</v>
      </c>
      <c r="J99" s="8">
        <f>July!AJ99</f>
        <v>0</v>
      </c>
      <c r="K99" s="8">
        <f>August!AJ99</f>
        <v>0</v>
      </c>
      <c r="L99" s="8">
        <f>September!AJ99</f>
        <v>0</v>
      </c>
      <c r="M99" s="8">
        <f>October!AJ99</f>
        <v>0</v>
      </c>
      <c r="N99" s="8">
        <f>November!AJ99</f>
        <v>0</v>
      </c>
      <c r="O99" s="8">
        <f>December!AJ99</f>
        <v>0</v>
      </c>
      <c r="Q99" s="26">
        <f t="shared" si="2"/>
        <v>0.51666666666666661</v>
      </c>
    </row>
    <row r="100" spans="2:17" ht="16.5" collapsed="1" thickTop="1" thickBot="1" x14ac:dyDescent="0.3">
      <c r="B100" s="13" t="str">
        <f>'Employee List'!B23</f>
        <v>Marco Smeekes</v>
      </c>
      <c r="C100" t="s">
        <v>0</v>
      </c>
      <c r="D100" s="2">
        <f>January!AJ100</f>
        <v>8</v>
      </c>
      <c r="E100" s="2">
        <f>February!AJ100</f>
        <v>5</v>
      </c>
      <c r="F100" s="2">
        <f>March!AJ100</f>
        <v>1</v>
      </c>
      <c r="G100" s="2">
        <f>April!AJ100</f>
        <v>40</v>
      </c>
      <c r="H100" s="2">
        <f>May!AJ100</f>
        <v>9.5</v>
      </c>
      <c r="I100" s="2">
        <f>June!AJ100</f>
        <v>6</v>
      </c>
      <c r="J100" s="2">
        <f>July!AJ100</f>
        <v>4</v>
      </c>
      <c r="K100" s="2">
        <f>August!AJ100</f>
        <v>80</v>
      </c>
      <c r="L100" s="2">
        <f>September!AJ100</f>
        <v>0</v>
      </c>
      <c r="M100" s="2">
        <f>October!AJ100</f>
        <v>0</v>
      </c>
      <c r="N100" s="2">
        <f>November!AJ100</f>
        <v>0</v>
      </c>
      <c r="O100" s="2">
        <f>December!AJ100</f>
        <v>0</v>
      </c>
      <c r="Q100" s="22">
        <f t="shared" si="2"/>
        <v>153.5</v>
      </c>
    </row>
    <row r="101" spans="2:17" ht="15.75" hidden="1" outlineLevel="1" thickTop="1" x14ac:dyDescent="0.25">
      <c r="B101" s="10"/>
      <c r="C101" s="1" t="s">
        <v>1</v>
      </c>
      <c r="D101" s="3">
        <f>January!AJ101</f>
        <v>0</v>
      </c>
      <c r="E101" s="3">
        <f>February!AJ101</f>
        <v>0</v>
      </c>
      <c r="F101" s="3">
        <f>March!AJ101</f>
        <v>24</v>
      </c>
      <c r="G101" s="3">
        <f>April!AJ101</f>
        <v>0</v>
      </c>
      <c r="H101" s="3">
        <f>May!AJ101</f>
        <v>15.5</v>
      </c>
      <c r="I101" s="3">
        <f>June!AJ101</f>
        <v>0</v>
      </c>
      <c r="J101" s="3">
        <f>July!AJ101</f>
        <v>0</v>
      </c>
      <c r="K101" s="3">
        <f>August!AJ101</f>
        <v>0</v>
      </c>
      <c r="L101" s="3">
        <f>September!AJ101</f>
        <v>0</v>
      </c>
      <c r="M101" s="3">
        <f>October!AJ101</f>
        <v>0</v>
      </c>
      <c r="N101" s="3">
        <f>November!AJ101</f>
        <v>0</v>
      </c>
      <c r="O101" s="3">
        <f>December!AJ101</f>
        <v>0</v>
      </c>
      <c r="Q101" s="23">
        <f t="shared" si="2"/>
        <v>39.5</v>
      </c>
    </row>
    <row r="102" spans="2:17" hidden="1" outlineLevel="1" x14ac:dyDescent="0.25">
      <c r="B102" s="11"/>
      <c r="C102" s="1" t="s">
        <v>2</v>
      </c>
      <c r="D102" s="4">
        <f>January!AJ102</f>
        <v>7</v>
      </c>
      <c r="E102" s="4">
        <f>February!AJ102</f>
        <v>0</v>
      </c>
      <c r="F102" s="4">
        <f>March!AJ102</f>
        <v>0</v>
      </c>
      <c r="G102" s="4">
        <f>April!AJ102</f>
        <v>0</v>
      </c>
      <c r="H102" s="4">
        <f>May!AJ102</f>
        <v>0</v>
      </c>
      <c r="I102" s="4">
        <f>June!AJ102</f>
        <v>0</v>
      </c>
      <c r="J102" s="4">
        <f>July!AJ102</f>
        <v>0</v>
      </c>
      <c r="K102" s="4">
        <f>August!AJ102</f>
        <v>0</v>
      </c>
      <c r="L102" s="4">
        <f>September!AJ102</f>
        <v>0</v>
      </c>
      <c r="M102" s="4">
        <f>October!AJ102</f>
        <v>0</v>
      </c>
      <c r="N102" s="4">
        <f>November!AJ102</f>
        <v>0</v>
      </c>
      <c r="O102" s="4">
        <f>December!AJ102</f>
        <v>0</v>
      </c>
      <c r="Q102" s="24">
        <f t="shared" si="2"/>
        <v>7</v>
      </c>
    </row>
    <row r="103" spans="2:17" hidden="1" outlineLevel="1" x14ac:dyDescent="0.25">
      <c r="B103" s="11"/>
      <c r="C103" s="54" t="s">
        <v>76</v>
      </c>
      <c r="D103" s="5">
        <f>January!AJ103</f>
        <v>0</v>
      </c>
      <c r="E103" s="5">
        <f>February!AJ103</f>
        <v>0</v>
      </c>
      <c r="F103" s="5">
        <f>March!AJ103</f>
        <v>0</v>
      </c>
      <c r="G103" s="5">
        <f>April!AJ103</f>
        <v>0</v>
      </c>
      <c r="H103" s="5">
        <f>May!AJ103</f>
        <v>0</v>
      </c>
      <c r="I103" s="5">
        <f>June!AJ103</f>
        <v>0</v>
      </c>
      <c r="J103" s="5">
        <f>July!AJ103</f>
        <v>0</v>
      </c>
      <c r="K103" s="5">
        <f>August!AJ103</f>
        <v>0</v>
      </c>
      <c r="L103" s="5">
        <f>September!AJ103</f>
        <v>0</v>
      </c>
      <c r="M103" s="5">
        <f>October!AJ103</f>
        <v>0</v>
      </c>
      <c r="N103" s="5">
        <f>November!AJ103</f>
        <v>0</v>
      </c>
      <c r="O103" s="5">
        <f>December!AJ103</f>
        <v>0</v>
      </c>
      <c r="Q103" s="25">
        <f t="shared" si="2"/>
        <v>0</v>
      </c>
    </row>
    <row r="104" spans="2:17" ht="15.75" hidden="1" outlineLevel="1" thickBot="1" x14ac:dyDescent="0.3">
      <c r="B104" s="11"/>
      <c r="C104" s="9" t="s">
        <v>3</v>
      </c>
      <c r="D104" s="8">
        <f>January!AJ104</f>
        <v>0</v>
      </c>
      <c r="E104" s="8">
        <f>February!AJ104</f>
        <v>0</v>
      </c>
      <c r="F104" s="8">
        <f>March!AJ104</f>
        <v>0</v>
      </c>
      <c r="G104" s="8">
        <f>April!AJ104</f>
        <v>0</v>
      </c>
      <c r="H104" s="8">
        <f>May!AJ104</f>
        <v>0</v>
      </c>
      <c r="I104" s="8">
        <f>June!AJ104</f>
        <v>0</v>
      </c>
      <c r="J104" s="8">
        <f>July!AJ104</f>
        <v>0</v>
      </c>
      <c r="K104" s="8">
        <f>August!AJ104</f>
        <v>0</v>
      </c>
      <c r="L104" s="8">
        <f>September!AJ104</f>
        <v>0</v>
      </c>
      <c r="M104" s="8">
        <f>October!AJ104</f>
        <v>0</v>
      </c>
      <c r="N104" s="8">
        <f>November!AJ104</f>
        <v>0</v>
      </c>
      <c r="O104" s="8">
        <f>December!AJ104</f>
        <v>0</v>
      </c>
      <c r="Q104" s="26">
        <f t="shared" si="2"/>
        <v>0</v>
      </c>
    </row>
    <row r="105" spans="2:17" ht="16.5" collapsed="1" thickTop="1" thickBot="1" x14ac:dyDescent="0.3">
      <c r="B105" s="13" t="str">
        <f>'Employee List'!B24</f>
        <v>Mark Meijer</v>
      </c>
      <c r="C105" t="s">
        <v>0</v>
      </c>
      <c r="D105" s="2">
        <f>January!AJ105</f>
        <v>11</v>
      </c>
      <c r="E105" s="2">
        <f>February!AJ105</f>
        <v>14</v>
      </c>
      <c r="F105" s="2">
        <f>March!AJ105</f>
        <v>6</v>
      </c>
      <c r="G105" s="2">
        <f>April!AJ105</f>
        <v>10</v>
      </c>
      <c r="H105" s="2">
        <f>May!AJ105</f>
        <v>8</v>
      </c>
      <c r="I105" s="2">
        <f>June!AJ105</f>
        <v>5</v>
      </c>
      <c r="J105" s="2">
        <f>July!AJ105</f>
        <v>10</v>
      </c>
      <c r="K105" s="2">
        <f>August!AJ105</f>
        <v>4</v>
      </c>
      <c r="L105" s="2">
        <f>September!AJ105</f>
        <v>0</v>
      </c>
      <c r="M105" s="2">
        <f>October!AJ105</f>
        <v>0</v>
      </c>
      <c r="N105" s="2">
        <f>November!AJ105</f>
        <v>0</v>
      </c>
      <c r="O105" s="2">
        <f>December!AJ105</f>
        <v>0</v>
      </c>
      <c r="Q105" s="22">
        <f t="shared" si="2"/>
        <v>68</v>
      </c>
    </row>
    <row r="106" spans="2:17" ht="15.75" hidden="1" outlineLevel="1" thickTop="1" x14ac:dyDescent="0.25">
      <c r="B106" s="10"/>
      <c r="C106" s="1" t="s">
        <v>1</v>
      </c>
      <c r="D106" s="3">
        <f>January!AJ106</f>
        <v>32</v>
      </c>
      <c r="E106" s="3">
        <f>February!AJ106</f>
        <v>8</v>
      </c>
      <c r="F106" s="3">
        <f>March!AJ106</f>
        <v>0</v>
      </c>
      <c r="G106" s="3">
        <f>April!AJ106</f>
        <v>0</v>
      </c>
      <c r="H106" s="3">
        <f>May!AJ106</f>
        <v>24</v>
      </c>
      <c r="I106" s="3">
        <f>June!AJ106</f>
        <v>0</v>
      </c>
      <c r="J106" s="3">
        <f>July!AJ106</f>
        <v>0</v>
      </c>
      <c r="K106" s="3">
        <f>August!AJ106</f>
        <v>0</v>
      </c>
      <c r="L106" s="3">
        <f>September!AJ106</f>
        <v>0</v>
      </c>
      <c r="M106" s="3">
        <f>October!AJ106</f>
        <v>0</v>
      </c>
      <c r="N106" s="3">
        <f>November!AJ106</f>
        <v>0</v>
      </c>
      <c r="O106" s="3">
        <f>December!AJ106</f>
        <v>0</v>
      </c>
      <c r="Q106" s="23">
        <f t="shared" si="2"/>
        <v>64</v>
      </c>
    </row>
    <row r="107" spans="2:17" hidden="1" outlineLevel="1" x14ac:dyDescent="0.25">
      <c r="B107" s="11"/>
      <c r="C107" s="1" t="s">
        <v>2</v>
      </c>
      <c r="D107" s="4">
        <f>January!AJ107</f>
        <v>0</v>
      </c>
      <c r="E107" s="4">
        <f>February!AJ107</f>
        <v>0</v>
      </c>
      <c r="F107" s="4">
        <f>March!AJ107</f>
        <v>0</v>
      </c>
      <c r="G107" s="4">
        <f>April!AJ107</f>
        <v>0</v>
      </c>
      <c r="H107" s="4">
        <f>May!AJ107</f>
        <v>0</v>
      </c>
      <c r="I107" s="4">
        <f>June!AJ107</f>
        <v>0</v>
      </c>
      <c r="J107" s="4">
        <f>July!AJ107</f>
        <v>0</v>
      </c>
      <c r="K107" s="4">
        <f>August!AJ107</f>
        <v>0</v>
      </c>
      <c r="L107" s="4">
        <f>September!AJ107</f>
        <v>0</v>
      </c>
      <c r="M107" s="4">
        <f>October!AJ107</f>
        <v>0</v>
      </c>
      <c r="N107" s="4">
        <f>November!AJ107</f>
        <v>0</v>
      </c>
      <c r="O107" s="4">
        <f>December!AJ107</f>
        <v>0</v>
      </c>
      <c r="Q107" s="24">
        <f t="shared" si="2"/>
        <v>0</v>
      </c>
    </row>
    <row r="108" spans="2:17" hidden="1" outlineLevel="1" x14ac:dyDescent="0.25">
      <c r="B108" s="11"/>
      <c r="C108" s="54" t="s">
        <v>76</v>
      </c>
      <c r="D108" s="5">
        <f>January!AJ108</f>
        <v>0</v>
      </c>
      <c r="E108" s="5">
        <f>February!AJ108</f>
        <v>4</v>
      </c>
      <c r="F108" s="5">
        <f>March!AJ108</f>
        <v>2</v>
      </c>
      <c r="G108" s="5">
        <f>April!AJ108</f>
        <v>0</v>
      </c>
      <c r="H108" s="5">
        <f>May!AJ108</f>
        <v>0</v>
      </c>
      <c r="I108" s="5">
        <f>June!AJ108</f>
        <v>0</v>
      </c>
      <c r="J108" s="5">
        <f>July!AJ108</f>
        <v>0</v>
      </c>
      <c r="K108" s="5">
        <f>August!AJ108</f>
        <v>4</v>
      </c>
      <c r="L108" s="5">
        <f>September!AJ108</f>
        <v>0</v>
      </c>
      <c r="M108" s="5">
        <f>October!AJ108</f>
        <v>0</v>
      </c>
      <c r="N108" s="5">
        <f>November!AJ108</f>
        <v>0</v>
      </c>
      <c r="O108" s="5">
        <f>December!AJ108</f>
        <v>0</v>
      </c>
      <c r="Q108" s="25">
        <f t="shared" si="2"/>
        <v>10</v>
      </c>
    </row>
    <row r="109" spans="2:17" ht="15.75" hidden="1" outlineLevel="1" thickBot="1" x14ac:dyDescent="0.3">
      <c r="B109" s="11"/>
      <c r="C109" s="9" t="s">
        <v>3</v>
      </c>
      <c r="D109" s="8">
        <f>January!AJ109</f>
        <v>0</v>
      </c>
      <c r="E109" s="8">
        <f>February!AJ109</f>
        <v>0</v>
      </c>
      <c r="F109" s="8">
        <f>March!AJ109</f>
        <v>0</v>
      </c>
      <c r="G109" s="8">
        <f>April!AJ109</f>
        <v>0</v>
      </c>
      <c r="H109" s="8">
        <f>May!AJ109</f>
        <v>0</v>
      </c>
      <c r="I109" s="8">
        <f>June!AJ109</f>
        <v>0</v>
      </c>
      <c r="J109" s="8">
        <f>July!AJ109</f>
        <v>0</v>
      </c>
      <c r="K109" s="8">
        <f>August!AJ109</f>
        <v>0</v>
      </c>
      <c r="L109" s="8">
        <f>September!AJ109</f>
        <v>0</v>
      </c>
      <c r="M109" s="8">
        <f>October!AJ109</f>
        <v>0</v>
      </c>
      <c r="N109" s="8">
        <f>November!AJ109</f>
        <v>0</v>
      </c>
      <c r="O109" s="8">
        <f>December!AJ109</f>
        <v>0</v>
      </c>
      <c r="Q109" s="26">
        <f t="shared" si="2"/>
        <v>0</v>
      </c>
    </row>
    <row r="110" spans="2:17" ht="16.5" collapsed="1" thickTop="1" thickBot="1" x14ac:dyDescent="0.3">
      <c r="B110" s="13" t="str">
        <f>'Employee List'!B25</f>
        <v>Marvin Machelesen</v>
      </c>
      <c r="C110" t="s">
        <v>0</v>
      </c>
      <c r="D110" s="2">
        <f>January!AJ110</f>
        <v>32</v>
      </c>
      <c r="E110" s="2">
        <f>February!AJ110</f>
        <v>9</v>
      </c>
      <c r="F110" s="2">
        <f>March!AJ110</f>
        <v>9</v>
      </c>
      <c r="G110" s="2">
        <f>April!AJ110</f>
        <v>9</v>
      </c>
      <c r="H110" s="2">
        <f>May!AJ110</f>
        <v>31</v>
      </c>
      <c r="I110" s="2">
        <f>June!AJ110</f>
        <v>43.5</v>
      </c>
      <c r="J110" s="2">
        <f>July!AJ110</f>
        <v>76</v>
      </c>
      <c r="K110" s="2">
        <f>August!AJ110</f>
        <v>12</v>
      </c>
      <c r="L110" s="2">
        <f>September!AJ110</f>
        <v>0</v>
      </c>
      <c r="M110" s="2">
        <f>October!AJ110</f>
        <v>0</v>
      </c>
      <c r="N110" s="2">
        <f>November!AJ110</f>
        <v>0</v>
      </c>
      <c r="O110" s="2">
        <f>December!AJ110</f>
        <v>40</v>
      </c>
      <c r="Q110" s="22">
        <f t="shared" si="2"/>
        <v>261.5</v>
      </c>
    </row>
    <row r="111" spans="2:17" ht="15.75" hidden="1" outlineLevel="1" thickTop="1" x14ac:dyDescent="0.25">
      <c r="B111" s="10"/>
      <c r="C111" s="1" t="s">
        <v>1</v>
      </c>
      <c r="D111" s="3">
        <f>January!AJ111</f>
        <v>0</v>
      </c>
      <c r="E111" s="3">
        <f>February!AJ111</f>
        <v>0</v>
      </c>
      <c r="F111" s="3">
        <f>March!AJ111</f>
        <v>24</v>
      </c>
      <c r="G111" s="3">
        <f>April!AJ111</f>
        <v>0</v>
      </c>
      <c r="H111" s="3">
        <f>May!AJ111</f>
        <v>0</v>
      </c>
      <c r="I111" s="3">
        <f>June!AJ111</f>
        <v>16</v>
      </c>
      <c r="J111" s="3">
        <f>July!AJ111</f>
        <v>0</v>
      </c>
      <c r="K111" s="3">
        <f>August!AJ111</f>
        <v>0</v>
      </c>
      <c r="L111" s="3">
        <f>September!AJ111</f>
        <v>0</v>
      </c>
      <c r="M111" s="3">
        <f>October!AJ111</f>
        <v>0</v>
      </c>
      <c r="N111" s="3">
        <f>November!AJ111</f>
        <v>0</v>
      </c>
      <c r="O111" s="3">
        <f>December!AJ111</f>
        <v>0</v>
      </c>
      <c r="Q111" s="23">
        <f t="shared" si="2"/>
        <v>40</v>
      </c>
    </row>
    <row r="112" spans="2:17" hidden="1" outlineLevel="1" x14ac:dyDescent="0.25">
      <c r="B112" s="11"/>
      <c r="C112" s="1" t="s">
        <v>2</v>
      </c>
      <c r="D112" s="4">
        <f>January!AJ112</f>
        <v>0</v>
      </c>
      <c r="E112" s="4">
        <f>February!AJ112</f>
        <v>0</v>
      </c>
      <c r="F112" s="4">
        <f>March!AJ112</f>
        <v>0</v>
      </c>
      <c r="G112" s="4">
        <f>April!AJ112</f>
        <v>0</v>
      </c>
      <c r="H112" s="4">
        <f>May!AJ112</f>
        <v>0</v>
      </c>
      <c r="I112" s="4">
        <f>June!AJ112</f>
        <v>0</v>
      </c>
      <c r="J112" s="4">
        <f>July!AJ112</f>
        <v>0</v>
      </c>
      <c r="K112" s="4">
        <f>August!AJ112</f>
        <v>0</v>
      </c>
      <c r="L112" s="4">
        <f>September!AJ112</f>
        <v>0</v>
      </c>
      <c r="M112" s="4">
        <f>October!AJ112</f>
        <v>0</v>
      </c>
      <c r="N112" s="4">
        <f>November!AJ112</f>
        <v>0</v>
      </c>
      <c r="O112" s="4">
        <f>December!AJ112</f>
        <v>0</v>
      </c>
      <c r="Q112" s="24">
        <f t="shared" si="2"/>
        <v>0</v>
      </c>
    </row>
    <row r="113" spans="2:17" hidden="1" outlineLevel="1" x14ac:dyDescent="0.25">
      <c r="B113" s="11"/>
      <c r="C113" s="54" t="s">
        <v>76</v>
      </c>
      <c r="D113" s="5">
        <f>January!AJ113</f>
        <v>0</v>
      </c>
      <c r="E113" s="5">
        <f>February!AJ113</f>
        <v>0</v>
      </c>
      <c r="F113" s="5">
        <f>March!AJ113</f>
        <v>0</v>
      </c>
      <c r="G113" s="5">
        <f>April!AJ113</f>
        <v>0</v>
      </c>
      <c r="H113" s="5">
        <f>May!AJ113</f>
        <v>0</v>
      </c>
      <c r="I113" s="5">
        <f>June!AJ113</f>
        <v>0</v>
      </c>
      <c r="J113" s="5">
        <f>July!AJ113</f>
        <v>0</v>
      </c>
      <c r="K113" s="5">
        <f>August!AJ113</f>
        <v>0</v>
      </c>
      <c r="L113" s="5">
        <f>September!AJ113</f>
        <v>0</v>
      </c>
      <c r="M113" s="5">
        <f>October!AJ113</f>
        <v>0</v>
      </c>
      <c r="N113" s="5">
        <f>November!AJ113</f>
        <v>0</v>
      </c>
      <c r="O113" s="5">
        <f>December!AJ113</f>
        <v>0</v>
      </c>
      <c r="Q113" s="25">
        <f t="shared" si="2"/>
        <v>0</v>
      </c>
    </row>
    <row r="114" spans="2:17" ht="15.75" hidden="1" outlineLevel="1" thickBot="1" x14ac:dyDescent="0.3">
      <c r="B114" s="11"/>
      <c r="C114" s="9" t="s">
        <v>3</v>
      </c>
      <c r="D114" s="8">
        <f>January!AJ114</f>
        <v>0.2</v>
      </c>
      <c r="E114" s="8">
        <f>February!AJ114</f>
        <v>0</v>
      </c>
      <c r="F114" s="8">
        <f>March!AJ114</f>
        <v>0</v>
      </c>
      <c r="G114" s="8">
        <f>April!AJ114</f>
        <v>0</v>
      </c>
      <c r="H114" s="8">
        <f>May!AJ114</f>
        <v>0</v>
      </c>
      <c r="I114" s="8">
        <f>June!AJ114</f>
        <v>0</v>
      </c>
      <c r="J114" s="8">
        <f>July!AJ114</f>
        <v>0</v>
      </c>
      <c r="K114" s="8">
        <f>August!AJ114</f>
        <v>0</v>
      </c>
      <c r="L114" s="8">
        <f>September!AJ114</f>
        <v>0</v>
      </c>
      <c r="M114" s="8">
        <f>October!AJ114</f>
        <v>0</v>
      </c>
      <c r="N114" s="8">
        <f>November!AJ114</f>
        <v>0</v>
      </c>
      <c r="O114" s="8">
        <f>December!AJ114</f>
        <v>0</v>
      </c>
      <c r="Q114" s="26">
        <f t="shared" si="2"/>
        <v>0.2</v>
      </c>
    </row>
    <row r="115" spans="2:17" ht="16.5" collapsed="1" thickTop="1" thickBot="1" x14ac:dyDescent="0.3">
      <c r="B115" s="13" t="str">
        <f>'Employee List'!B26</f>
        <v>Michael Callemeijn</v>
      </c>
      <c r="C115" t="s">
        <v>0</v>
      </c>
      <c r="D115" s="2">
        <f>January!AJ115</f>
        <v>12</v>
      </c>
      <c r="E115" s="2">
        <f>February!AJ115</f>
        <v>0</v>
      </c>
      <c r="F115" s="2">
        <f>March!AJ115</f>
        <v>0</v>
      </c>
      <c r="G115" s="2">
        <f>April!AJ115</f>
        <v>40.5</v>
      </c>
      <c r="H115" s="2">
        <f>May!AJ115</f>
        <v>11</v>
      </c>
      <c r="I115" s="2">
        <f>June!AJ115</f>
        <v>4</v>
      </c>
      <c r="J115" s="2">
        <f>July!AJ115</f>
        <v>1</v>
      </c>
      <c r="K115" s="2">
        <f>August!AJ115</f>
        <v>80</v>
      </c>
      <c r="L115" s="2">
        <f>September!AJ115</f>
        <v>0</v>
      </c>
      <c r="M115" s="2">
        <f>October!AJ115</f>
        <v>0</v>
      </c>
      <c r="N115" s="2">
        <f>November!AJ115</f>
        <v>0</v>
      </c>
      <c r="O115" s="2">
        <f>December!AJ115</f>
        <v>40</v>
      </c>
      <c r="Q115" s="22">
        <f t="shared" si="2"/>
        <v>188.5</v>
      </c>
    </row>
    <row r="116" spans="2:17" ht="15.75" hidden="1" outlineLevel="1" thickTop="1" x14ac:dyDescent="0.25">
      <c r="B116" s="10"/>
      <c r="C116" s="1" t="s">
        <v>1</v>
      </c>
      <c r="D116" s="3">
        <f>January!AJ116</f>
        <v>32</v>
      </c>
      <c r="E116" s="3">
        <f>February!AJ116</f>
        <v>0</v>
      </c>
      <c r="F116" s="3">
        <f>March!AJ116</f>
        <v>8</v>
      </c>
      <c r="G116" s="3">
        <f>April!AJ116</f>
        <v>0</v>
      </c>
      <c r="H116" s="3">
        <f>May!AJ116</f>
        <v>0</v>
      </c>
      <c r="I116" s="3">
        <f>June!AJ116</f>
        <v>8</v>
      </c>
      <c r="J116" s="3">
        <f>July!AJ116</f>
        <v>0</v>
      </c>
      <c r="K116" s="3">
        <f>August!AJ116</f>
        <v>0</v>
      </c>
      <c r="L116" s="3">
        <f>September!AJ116</f>
        <v>0</v>
      </c>
      <c r="M116" s="3">
        <f>October!AJ116</f>
        <v>0</v>
      </c>
      <c r="N116" s="3">
        <f>November!AJ116</f>
        <v>0</v>
      </c>
      <c r="O116" s="3">
        <f>December!AJ116</f>
        <v>0</v>
      </c>
      <c r="Q116" s="23">
        <f t="shared" si="2"/>
        <v>48</v>
      </c>
    </row>
    <row r="117" spans="2:17" hidden="1" outlineLevel="1" x14ac:dyDescent="0.25">
      <c r="B117" s="11"/>
      <c r="C117" s="1" t="s">
        <v>2</v>
      </c>
      <c r="D117" s="4">
        <f>January!AJ117</f>
        <v>2</v>
      </c>
      <c r="E117" s="4">
        <f>February!AJ117</f>
        <v>8</v>
      </c>
      <c r="F117" s="4">
        <f>March!AJ117</f>
        <v>4</v>
      </c>
      <c r="G117" s="4">
        <f>April!AJ117</f>
        <v>0</v>
      </c>
      <c r="H117" s="4">
        <f>May!AJ117</f>
        <v>0</v>
      </c>
      <c r="I117" s="4">
        <f>June!AJ117</f>
        <v>0</v>
      </c>
      <c r="J117" s="4">
        <f>July!AJ117</f>
        <v>0</v>
      </c>
      <c r="K117" s="4">
        <f>August!AJ117</f>
        <v>0</v>
      </c>
      <c r="L117" s="4">
        <f>September!AJ117</f>
        <v>0</v>
      </c>
      <c r="M117" s="4">
        <f>October!AJ117</f>
        <v>0</v>
      </c>
      <c r="N117" s="4">
        <f>November!AJ117</f>
        <v>0</v>
      </c>
      <c r="O117" s="4">
        <f>December!AJ117</f>
        <v>0</v>
      </c>
      <c r="Q117" s="24">
        <f t="shared" si="2"/>
        <v>14</v>
      </c>
    </row>
    <row r="118" spans="2:17" hidden="1" outlineLevel="1" x14ac:dyDescent="0.25">
      <c r="B118" s="11"/>
      <c r="C118" s="54" t="s">
        <v>76</v>
      </c>
      <c r="D118" s="5">
        <f>January!AJ118</f>
        <v>0</v>
      </c>
      <c r="E118" s="5">
        <f>February!AJ118</f>
        <v>2</v>
      </c>
      <c r="F118" s="5">
        <f>March!AJ118</f>
        <v>0</v>
      </c>
      <c r="G118" s="5">
        <f>April!AJ118</f>
        <v>0</v>
      </c>
      <c r="H118" s="5">
        <f>May!AJ118</f>
        <v>0</v>
      </c>
      <c r="I118" s="5">
        <f>June!AJ118</f>
        <v>0</v>
      </c>
      <c r="J118" s="5">
        <f>July!AJ118</f>
        <v>0</v>
      </c>
      <c r="K118" s="5">
        <f>August!AJ118</f>
        <v>0</v>
      </c>
      <c r="L118" s="5">
        <f>September!AJ118</f>
        <v>0</v>
      </c>
      <c r="M118" s="5">
        <f>October!AJ118</f>
        <v>0</v>
      </c>
      <c r="N118" s="5">
        <f>November!AJ118</f>
        <v>0</v>
      </c>
      <c r="O118" s="5">
        <f>December!AJ118</f>
        <v>0</v>
      </c>
      <c r="Q118" s="25">
        <f t="shared" si="2"/>
        <v>2</v>
      </c>
    </row>
    <row r="119" spans="2:17" ht="15.75" hidden="1" outlineLevel="1" thickBot="1" x14ac:dyDescent="0.3">
      <c r="B119" s="11"/>
      <c r="C119" s="9" t="s">
        <v>3</v>
      </c>
      <c r="D119" s="8">
        <f>January!AJ119</f>
        <v>0</v>
      </c>
      <c r="E119" s="8">
        <f>February!AJ119</f>
        <v>0</v>
      </c>
      <c r="F119" s="8">
        <f>March!AJ119</f>
        <v>0.5</v>
      </c>
      <c r="G119" s="8">
        <f>April!AJ119</f>
        <v>0</v>
      </c>
      <c r="H119" s="8">
        <f>May!AJ119</f>
        <v>0</v>
      </c>
      <c r="I119" s="8">
        <f>June!AJ119</f>
        <v>0</v>
      </c>
      <c r="J119" s="8">
        <f>July!AJ119</f>
        <v>0</v>
      </c>
      <c r="K119" s="8">
        <f>August!AJ119</f>
        <v>0</v>
      </c>
      <c r="L119" s="8">
        <f>September!AJ119</f>
        <v>0</v>
      </c>
      <c r="M119" s="8">
        <f>October!AJ119</f>
        <v>0</v>
      </c>
      <c r="N119" s="8">
        <f>November!AJ119</f>
        <v>0</v>
      </c>
      <c r="O119" s="8">
        <f>December!AJ119</f>
        <v>0</v>
      </c>
      <c r="Q119" s="26">
        <f t="shared" si="2"/>
        <v>0.5</v>
      </c>
    </row>
    <row r="120" spans="2:17" ht="16.5" collapsed="1" thickTop="1" thickBot="1" x14ac:dyDescent="0.3">
      <c r="B120" s="13" t="str">
        <f>'Employee List'!B27</f>
        <v>Niels Lievaart</v>
      </c>
      <c r="C120" t="s">
        <v>0</v>
      </c>
      <c r="D120" s="2">
        <f>January!AJ120</f>
        <v>2</v>
      </c>
      <c r="E120" s="2">
        <f>February!AJ120</f>
        <v>14.5</v>
      </c>
      <c r="F120" s="2">
        <f>March!AJ120</f>
        <v>8</v>
      </c>
      <c r="G120" s="2">
        <f>April!AJ120</f>
        <v>0</v>
      </c>
      <c r="H120" s="2">
        <f>May!AJ120</f>
        <v>49.25</v>
      </c>
      <c r="I120" s="2">
        <f>June!AJ120</f>
        <v>11</v>
      </c>
      <c r="J120" s="2">
        <f>July!AJ120</f>
        <v>32</v>
      </c>
      <c r="K120" s="2">
        <f>August!AJ120</f>
        <v>16</v>
      </c>
      <c r="L120" s="2">
        <f>September!AJ120</f>
        <v>0</v>
      </c>
      <c r="M120" s="2">
        <f>October!AJ120</f>
        <v>0</v>
      </c>
      <c r="N120" s="2">
        <f>November!AJ120</f>
        <v>0</v>
      </c>
      <c r="O120" s="2">
        <f>December!AJ120</f>
        <v>0</v>
      </c>
      <c r="Q120" s="22">
        <f t="shared" si="2"/>
        <v>132.75</v>
      </c>
    </row>
    <row r="121" spans="2:17" ht="15.75" hidden="1" outlineLevel="1" thickTop="1" x14ac:dyDescent="0.25">
      <c r="B121" s="10"/>
      <c r="C121" s="1" t="s">
        <v>1</v>
      </c>
      <c r="D121" s="3">
        <f>January!AJ121</f>
        <v>0</v>
      </c>
      <c r="E121" s="3">
        <f>February!AJ121</f>
        <v>0</v>
      </c>
      <c r="F121" s="3">
        <f>March!AJ121</f>
        <v>8</v>
      </c>
      <c r="G121" s="3">
        <f>April!AJ121</f>
        <v>16</v>
      </c>
      <c r="H121" s="3">
        <f>May!AJ121</f>
        <v>0</v>
      </c>
      <c r="I121" s="3">
        <f>June!AJ121</f>
        <v>8</v>
      </c>
      <c r="J121" s="3">
        <f>July!AJ121</f>
        <v>8</v>
      </c>
      <c r="K121" s="3">
        <f>August!AJ121</f>
        <v>0</v>
      </c>
      <c r="L121" s="3">
        <f>September!AJ121</f>
        <v>0</v>
      </c>
      <c r="M121" s="3">
        <f>October!AJ121</f>
        <v>0</v>
      </c>
      <c r="N121" s="3">
        <f>November!AJ121</f>
        <v>0</v>
      </c>
      <c r="O121" s="3">
        <f>December!AJ121</f>
        <v>0</v>
      </c>
      <c r="Q121" s="23">
        <f t="shared" si="2"/>
        <v>40</v>
      </c>
    </row>
    <row r="122" spans="2:17" hidden="1" outlineLevel="1" x14ac:dyDescent="0.25">
      <c r="B122" s="11"/>
      <c r="C122" s="1" t="s">
        <v>2</v>
      </c>
      <c r="D122" s="4">
        <f>January!AJ122</f>
        <v>0</v>
      </c>
      <c r="E122" s="4">
        <f>February!AJ122</f>
        <v>0</v>
      </c>
      <c r="F122" s="4">
        <f>March!AJ122</f>
        <v>0</v>
      </c>
      <c r="G122" s="4">
        <f>April!AJ122</f>
        <v>0</v>
      </c>
      <c r="H122" s="4">
        <f>May!AJ122</f>
        <v>0</v>
      </c>
      <c r="I122" s="4">
        <f>June!AJ122</f>
        <v>0</v>
      </c>
      <c r="J122" s="4">
        <f>July!AJ122</f>
        <v>0</v>
      </c>
      <c r="K122" s="4">
        <f>August!AJ122</f>
        <v>0</v>
      </c>
      <c r="L122" s="4">
        <f>September!AJ122</f>
        <v>0</v>
      </c>
      <c r="M122" s="4">
        <f>October!AJ122</f>
        <v>0</v>
      </c>
      <c r="N122" s="4">
        <f>November!AJ122</f>
        <v>0</v>
      </c>
      <c r="O122" s="4">
        <f>December!AJ122</f>
        <v>0</v>
      </c>
      <c r="Q122" s="24">
        <f t="shared" si="2"/>
        <v>0</v>
      </c>
    </row>
    <row r="123" spans="2:17" hidden="1" outlineLevel="1" x14ac:dyDescent="0.25">
      <c r="B123" s="11"/>
      <c r="C123" s="54" t="s">
        <v>76</v>
      </c>
      <c r="D123" s="5">
        <f>January!AJ123</f>
        <v>0</v>
      </c>
      <c r="E123" s="5">
        <f>February!AJ123</f>
        <v>0</v>
      </c>
      <c r="F123" s="5">
        <f>March!AJ123</f>
        <v>0</v>
      </c>
      <c r="G123" s="5">
        <f>April!AJ123</f>
        <v>2</v>
      </c>
      <c r="H123" s="5">
        <f>May!AJ123</f>
        <v>0</v>
      </c>
      <c r="I123" s="5">
        <f>June!AJ123</f>
        <v>4</v>
      </c>
      <c r="J123" s="5">
        <f>July!AJ123</f>
        <v>0</v>
      </c>
      <c r="K123" s="5">
        <f>August!AJ123</f>
        <v>0</v>
      </c>
      <c r="L123" s="5">
        <f>September!AJ123</f>
        <v>0</v>
      </c>
      <c r="M123" s="5">
        <f>October!AJ123</f>
        <v>0</v>
      </c>
      <c r="N123" s="5">
        <f>November!AJ123</f>
        <v>0</v>
      </c>
      <c r="O123" s="5">
        <f>December!AJ123</f>
        <v>0</v>
      </c>
      <c r="Q123" s="25">
        <f t="shared" si="2"/>
        <v>6</v>
      </c>
    </row>
    <row r="124" spans="2:17" ht="15.75" hidden="1" outlineLevel="1" thickBot="1" x14ac:dyDescent="0.3">
      <c r="B124" s="11"/>
      <c r="C124" s="9" t="s">
        <v>3</v>
      </c>
      <c r="D124" s="8">
        <f>January!AJ124</f>
        <v>0</v>
      </c>
      <c r="E124" s="8">
        <f>February!AJ124</f>
        <v>0</v>
      </c>
      <c r="F124" s="8">
        <f>March!AJ124</f>
        <v>0.5</v>
      </c>
      <c r="G124" s="8">
        <f>April!AJ124</f>
        <v>0.5</v>
      </c>
      <c r="H124" s="8">
        <f>May!AJ124</f>
        <v>1.85</v>
      </c>
      <c r="I124" s="8">
        <f>June!AJ124</f>
        <v>1</v>
      </c>
      <c r="J124" s="8">
        <f>July!AJ124</f>
        <v>0</v>
      </c>
      <c r="K124" s="8">
        <f>August!AJ124</f>
        <v>0</v>
      </c>
      <c r="L124" s="8">
        <f>September!AJ124</f>
        <v>0</v>
      </c>
      <c r="M124" s="8">
        <f>October!AJ124</f>
        <v>0</v>
      </c>
      <c r="N124" s="8">
        <f>November!AJ124</f>
        <v>0</v>
      </c>
      <c r="O124" s="8">
        <f>December!AJ124</f>
        <v>0</v>
      </c>
      <c r="Q124" s="26">
        <f t="shared" ref="Q124:Q144" si="3">SUM(D124:O124)</f>
        <v>3.85</v>
      </c>
    </row>
    <row r="125" spans="2:17" ht="16.5" collapsed="1" thickTop="1" thickBot="1" x14ac:dyDescent="0.3">
      <c r="B125" s="13" t="str">
        <f>'Employee List'!B28</f>
        <v>Patrick Janssen</v>
      </c>
      <c r="C125" t="s">
        <v>0</v>
      </c>
      <c r="D125" s="2">
        <f>January!AJ125</f>
        <v>18</v>
      </c>
      <c r="E125" s="2">
        <f>February!AJ125</f>
        <v>8</v>
      </c>
      <c r="F125" s="2">
        <f>March!AJ125</f>
        <v>19</v>
      </c>
      <c r="G125" s="2">
        <f>April!AJ125</f>
        <v>40</v>
      </c>
      <c r="H125" s="2">
        <f>May!AJ125</f>
        <v>16</v>
      </c>
      <c r="I125" s="2">
        <f>June!AJ125</f>
        <v>2.5</v>
      </c>
      <c r="J125" s="2">
        <f>July!AJ125</f>
        <v>80</v>
      </c>
      <c r="K125" s="2">
        <f>August!AJ125</f>
        <v>8</v>
      </c>
      <c r="L125" s="2">
        <f>September!AJ125</f>
        <v>0</v>
      </c>
      <c r="M125" s="2">
        <f>October!AJ125</f>
        <v>0</v>
      </c>
      <c r="N125" s="2">
        <f>November!AJ125</f>
        <v>0</v>
      </c>
      <c r="O125" s="2">
        <f>December!AJ125</f>
        <v>40</v>
      </c>
      <c r="Q125" s="22">
        <f t="shared" si="3"/>
        <v>231.5</v>
      </c>
    </row>
    <row r="126" spans="2:17" ht="15.75" hidden="1" outlineLevel="1" thickTop="1" x14ac:dyDescent="0.25">
      <c r="B126" s="10"/>
      <c r="C126" s="1" t="s">
        <v>1</v>
      </c>
      <c r="D126" s="3">
        <f>January!AJ126</f>
        <v>0</v>
      </c>
      <c r="E126" s="3">
        <f>February!AJ126</f>
        <v>0</v>
      </c>
      <c r="F126" s="3">
        <f>March!AJ126</f>
        <v>0</v>
      </c>
      <c r="G126" s="3">
        <f>April!AJ126</f>
        <v>0</v>
      </c>
      <c r="H126" s="3">
        <f>May!AJ126</f>
        <v>0</v>
      </c>
      <c r="I126" s="3">
        <f>June!AJ126</f>
        <v>0</v>
      </c>
      <c r="J126" s="3">
        <f>July!AJ126</f>
        <v>0</v>
      </c>
      <c r="K126" s="3">
        <f>August!AJ126</f>
        <v>0</v>
      </c>
      <c r="L126" s="3">
        <f>September!AJ126</f>
        <v>0</v>
      </c>
      <c r="M126" s="3">
        <f>October!AJ126</f>
        <v>0</v>
      </c>
      <c r="N126" s="3">
        <f>November!AJ126</f>
        <v>0</v>
      </c>
      <c r="O126" s="3">
        <f>December!AJ126</f>
        <v>0</v>
      </c>
      <c r="Q126" s="23">
        <f t="shared" si="3"/>
        <v>0</v>
      </c>
    </row>
    <row r="127" spans="2:17" hidden="1" outlineLevel="1" x14ac:dyDescent="0.25">
      <c r="B127" s="11"/>
      <c r="C127" s="1" t="s">
        <v>2</v>
      </c>
      <c r="D127" s="4">
        <f>January!AJ127</f>
        <v>0</v>
      </c>
      <c r="E127" s="4">
        <f>February!AJ127</f>
        <v>0</v>
      </c>
      <c r="F127" s="4">
        <f>March!AJ127</f>
        <v>0</v>
      </c>
      <c r="G127" s="4">
        <f>April!AJ127</f>
        <v>0</v>
      </c>
      <c r="H127" s="4">
        <f>May!AJ127</f>
        <v>0</v>
      </c>
      <c r="I127" s="4">
        <f>June!AJ127</f>
        <v>0</v>
      </c>
      <c r="J127" s="4">
        <f>July!AJ127</f>
        <v>0</v>
      </c>
      <c r="K127" s="4">
        <f>August!AJ127</f>
        <v>0</v>
      </c>
      <c r="L127" s="4">
        <f>September!AJ127</f>
        <v>0</v>
      </c>
      <c r="M127" s="4">
        <f>October!AJ127</f>
        <v>0</v>
      </c>
      <c r="N127" s="4">
        <f>November!AJ127</f>
        <v>0</v>
      </c>
      <c r="O127" s="4">
        <f>December!AJ127</f>
        <v>0</v>
      </c>
      <c r="Q127" s="24">
        <f t="shared" si="3"/>
        <v>0</v>
      </c>
    </row>
    <row r="128" spans="2:17" hidden="1" outlineLevel="1" x14ac:dyDescent="0.25">
      <c r="B128" s="11"/>
      <c r="C128" s="54" t="s">
        <v>76</v>
      </c>
      <c r="D128" s="5">
        <f>January!AJ128</f>
        <v>0</v>
      </c>
      <c r="E128" s="5">
        <f>February!AJ128</f>
        <v>2</v>
      </c>
      <c r="F128" s="5">
        <f>March!AJ128</f>
        <v>2</v>
      </c>
      <c r="G128" s="5">
        <f>April!AJ128</f>
        <v>0</v>
      </c>
      <c r="H128" s="5">
        <f>May!AJ128</f>
        <v>0</v>
      </c>
      <c r="I128" s="5">
        <f>June!AJ128</f>
        <v>0</v>
      </c>
      <c r="J128" s="5">
        <f>July!AJ128</f>
        <v>8</v>
      </c>
      <c r="K128" s="5">
        <f>August!AJ128</f>
        <v>0</v>
      </c>
      <c r="L128" s="5">
        <f>September!AJ128</f>
        <v>0</v>
      </c>
      <c r="M128" s="5">
        <f>October!AJ128</f>
        <v>0</v>
      </c>
      <c r="N128" s="5">
        <f>November!AJ128</f>
        <v>0</v>
      </c>
      <c r="O128" s="5">
        <f>December!AJ128</f>
        <v>0</v>
      </c>
      <c r="Q128" s="25">
        <f t="shared" si="3"/>
        <v>12</v>
      </c>
    </row>
    <row r="129" spans="2:17" ht="15.75" hidden="1" outlineLevel="1" thickBot="1" x14ac:dyDescent="0.3">
      <c r="B129" s="11"/>
      <c r="C129" s="9" t="s">
        <v>3</v>
      </c>
      <c r="D129" s="8">
        <f>January!AJ129</f>
        <v>0</v>
      </c>
      <c r="E129" s="8">
        <f>February!AJ129</f>
        <v>0</v>
      </c>
      <c r="F129" s="8">
        <f>March!AJ129</f>
        <v>0.5</v>
      </c>
      <c r="G129" s="8">
        <f>April!AJ129</f>
        <v>0</v>
      </c>
      <c r="H129" s="8">
        <f>May!AJ129</f>
        <v>0</v>
      </c>
      <c r="I129" s="8">
        <f>June!AJ129</f>
        <v>0</v>
      </c>
      <c r="J129" s="8">
        <f>July!AJ129</f>
        <v>0</v>
      </c>
      <c r="K129" s="8">
        <f>August!AJ129</f>
        <v>0</v>
      </c>
      <c r="L129" s="8">
        <f>September!AJ129</f>
        <v>0</v>
      </c>
      <c r="M129" s="8">
        <f>October!AJ129</f>
        <v>0</v>
      </c>
      <c r="N129" s="8">
        <f>November!AJ129</f>
        <v>0</v>
      </c>
      <c r="O129" s="8">
        <f>December!AJ129</f>
        <v>0</v>
      </c>
      <c r="Q129" s="26">
        <f t="shared" si="3"/>
        <v>0.5</v>
      </c>
    </row>
    <row r="130" spans="2:17" ht="16.5" collapsed="1" thickTop="1" thickBot="1" x14ac:dyDescent="0.3">
      <c r="B130" s="13" t="str">
        <f>'Employee List'!B29</f>
        <v>Patrick Ziesen</v>
      </c>
      <c r="C130" t="s">
        <v>0</v>
      </c>
      <c r="D130" s="2">
        <f>January!AJ130</f>
        <v>24</v>
      </c>
      <c r="E130" s="2">
        <f>February!AJ130</f>
        <v>48</v>
      </c>
      <c r="F130" s="2">
        <f>March!AJ130</f>
        <v>8</v>
      </c>
      <c r="G130" s="2">
        <f>April!AJ130</f>
        <v>2.5</v>
      </c>
      <c r="H130" s="2">
        <f>May!AJ130</f>
        <v>2</v>
      </c>
      <c r="I130" s="2">
        <f>June!AJ130</f>
        <v>7.5</v>
      </c>
      <c r="J130" s="2">
        <f>July!AJ130</f>
        <v>0</v>
      </c>
      <c r="K130" s="2">
        <f>August!AJ130</f>
        <v>32</v>
      </c>
      <c r="L130" s="2">
        <f>September!AJ130</f>
        <v>0</v>
      </c>
      <c r="M130" s="2">
        <f>October!AJ130</f>
        <v>0</v>
      </c>
      <c r="N130" s="2">
        <f>November!AJ130</f>
        <v>0</v>
      </c>
      <c r="O130" s="2">
        <f>December!AJ130</f>
        <v>0</v>
      </c>
      <c r="Q130" s="22">
        <f t="shared" si="3"/>
        <v>124</v>
      </c>
    </row>
    <row r="131" spans="2:17" ht="15.75" hidden="1" outlineLevel="1" thickTop="1" x14ac:dyDescent="0.25">
      <c r="B131" s="10"/>
      <c r="C131" s="1" t="s">
        <v>1</v>
      </c>
      <c r="D131" s="3">
        <f>January!AJ131</f>
        <v>0</v>
      </c>
      <c r="E131" s="3">
        <f>February!AJ131</f>
        <v>0</v>
      </c>
      <c r="F131" s="3">
        <f>March!AJ131</f>
        <v>0</v>
      </c>
      <c r="G131" s="3">
        <f>April!AJ131</f>
        <v>0</v>
      </c>
      <c r="H131" s="3">
        <f>May!AJ131</f>
        <v>0</v>
      </c>
      <c r="I131" s="3">
        <f>June!AJ131</f>
        <v>0</v>
      </c>
      <c r="J131" s="3">
        <f>July!AJ131</f>
        <v>0</v>
      </c>
      <c r="K131" s="3">
        <f>August!AJ131</f>
        <v>0</v>
      </c>
      <c r="L131" s="3">
        <f>September!AJ131</f>
        <v>0</v>
      </c>
      <c r="M131" s="3">
        <f>October!AJ131</f>
        <v>0</v>
      </c>
      <c r="N131" s="3">
        <f>November!AJ131</f>
        <v>0</v>
      </c>
      <c r="O131" s="3">
        <f>December!AJ131</f>
        <v>0</v>
      </c>
      <c r="Q131" s="23">
        <f t="shared" si="3"/>
        <v>0</v>
      </c>
    </row>
    <row r="132" spans="2:17" hidden="1" outlineLevel="1" x14ac:dyDescent="0.25">
      <c r="B132" s="11"/>
      <c r="C132" s="1" t="s">
        <v>2</v>
      </c>
      <c r="D132" s="4">
        <f>January!AJ132</f>
        <v>0</v>
      </c>
      <c r="E132" s="4">
        <f>February!AJ132</f>
        <v>0</v>
      </c>
      <c r="F132" s="4">
        <f>March!AJ132</f>
        <v>0</v>
      </c>
      <c r="G132" s="4">
        <f>April!AJ132</f>
        <v>0</v>
      </c>
      <c r="H132" s="4">
        <f>May!AJ132</f>
        <v>0</v>
      </c>
      <c r="I132" s="4">
        <f>June!AJ132</f>
        <v>0</v>
      </c>
      <c r="J132" s="4">
        <f>July!AJ132</f>
        <v>0</v>
      </c>
      <c r="K132" s="4">
        <f>August!AJ132</f>
        <v>0</v>
      </c>
      <c r="L132" s="4">
        <f>September!AJ132</f>
        <v>0</v>
      </c>
      <c r="M132" s="4">
        <f>October!AJ132</f>
        <v>0</v>
      </c>
      <c r="N132" s="4">
        <f>November!AJ132</f>
        <v>0</v>
      </c>
      <c r="O132" s="4">
        <f>December!AJ132</f>
        <v>0</v>
      </c>
      <c r="Q132" s="24">
        <f t="shared" si="3"/>
        <v>0</v>
      </c>
    </row>
    <row r="133" spans="2:17" hidden="1" outlineLevel="1" x14ac:dyDescent="0.25">
      <c r="B133" s="11"/>
      <c r="C133" s="54" t="s">
        <v>76</v>
      </c>
      <c r="D133" s="5">
        <f>January!AJ133</f>
        <v>16</v>
      </c>
      <c r="E133" s="5">
        <f>February!AJ133</f>
        <v>0</v>
      </c>
      <c r="F133" s="5">
        <f>March!AJ133</f>
        <v>0</v>
      </c>
      <c r="G133" s="5">
        <f>April!AJ133</f>
        <v>0</v>
      </c>
      <c r="H133" s="5">
        <f>May!AJ133</f>
        <v>0</v>
      </c>
      <c r="I133" s="5">
        <f>June!AJ133</f>
        <v>0</v>
      </c>
      <c r="J133" s="5">
        <f>July!AJ133</f>
        <v>0</v>
      </c>
      <c r="K133" s="5">
        <f>August!AJ133</f>
        <v>0</v>
      </c>
      <c r="L133" s="5">
        <f>September!AJ133</f>
        <v>0</v>
      </c>
      <c r="M133" s="5">
        <f>October!AJ133</f>
        <v>0</v>
      </c>
      <c r="N133" s="5">
        <f>November!AJ133</f>
        <v>0</v>
      </c>
      <c r="O133" s="5">
        <f>December!AJ133</f>
        <v>0</v>
      </c>
      <c r="Q133" s="25">
        <f t="shared" si="3"/>
        <v>16</v>
      </c>
    </row>
    <row r="134" spans="2:17" ht="15.75" hidden="1" outlineLevel="1" thickBot="1" x14ac:dyDescent="0.3">
      <c r="B134" s="11"/>
      <c r="C134" s="9" t="s">
        <v>3</v>
      </c>
      <c r="D134" s="8">
        <f>January!AJ134</f>
        <v>0.35</v>
      </c>
      <c r="E134" s="8">
        <f>February!AJ134</f>
        <v>0</v>
      </c>
      <c r="F134" s="8">
        <f>March!AJ134</f>
        <v>0</v>
      </c>
      <c r="G134" s="8">
        <f>April!AJ134</f>
        <v>0</v>
      </c>
      <c r="H134" s="8">
        <f>May!AJ134</f>
        <v>0</v>
      </c>
      <c r="I134" s="8">
        <f>June!AJ134</f>
        <v>0</v>
      </c>
      <c r="J134" s="8">
        <f>July!AJ134</f>
        <v>0</v>
      </c>
      <c r="K134" s="8">
        <f>August!AJ134</f>
        <v>0</v>
      </c>
      <c r="L134" s="8">
        <f>September!AJ134</f>
        <v>0</v>
      </c>
      <c r="M134" s="8">
        <f>October!AJ134</f>
        <v>0</v>
      </c>
      <c r="N134" s="8">
        <f>November!AJ134</f>
        <v>0</v>
      </c>
      <c r="O134" s="8">
        <f>December!AJ134</f>
        <v>0</v>
      </c>
      <c r="Q134" s="26">
        <f t="shared" si="3"/>
        <v>0.35</v>
      </c>
    </row>
    <row r="135" spans="2:17" ht="16.5" collapsed="1" thickTop="1" thickBot="1" x14ac:dyDescent="0.3">
      <c r="B135" s="13" t="str">
        <f>'Employee List'!B30</f>
        <v>Robin Nieuwenhuis</v>
      </c>
      <c r="C135" t="s">
        <v>0</v>
      </c>
      <c r="D135" s="2">
        <f>January!AJ135</f>
        <v>17</v>
      </c>
      <c r="E135" s="2">
        <f>February!AJ135</f>
        <v>24</v>
      </c>
      <c r="F135" s="2">
        <f>March!AJ135</f>
        <v>0</v>
      </c>
      <c r="G135" s="2">
        <f>April!AJ135</f>
        <v>12</v>
      </c>
      <c r="H135" s="2">
        <f>May!AJ135</f>
        <v>8</v>
      </c>
      <c r="I135" s="2">
        <f>June!AJ135</f>
        <v>12</v>
      </c>
      <c r="J135" s="2">
        <f>July!AJ135</f>
        <v>4</v>
      </c>
      <c r="K135" s="2">
        <f>August!AJ135</f>
        <v>16</v>
      </c>
      <c r="L135" s="2">
        <f>September!AJ135</f>
        <v>72</v>
      </c>
      <c r="M135" s="2">
        <f>October!AJ135</f>
        <v>72</v>
      </c>
      <c r="N135" s="2">
        <f>November!AJ135</f>
        <v>0</v>
      </c>
      <c r="O135" s="2">
        <f>December!AJ135</f>
        <v>0</v>
      </c>
      <c r="Q135" s="22">
        <f t="shared" si="3"/>
        <v>237</v>
      </c>
    </row>
    <row r="136" spans="2:17" ht="15.75" hidden="1" outlineLevel="1" thickTop="1" x14ac:dyDescent="0.25">
      <c r="B136" s="10"/>
      <c r="C136" s="1" t="s">
        <v>1</v>
      </c>
      <c r="D136" s="3">
        <f>January!AJ136</f>
        <v>16</v>
      </c>
      <c r="E136" s="3">
        <f>February!AJ136</f>
        <v>0</v>
      </c>
      <c r="F136" s="3">
        <f>March!AJ136</f>
        <v>32</v>
      </c>
      <c r="G136" s="3">
        <f>April!AJ136</f>
        <v>0</v>
      </c>
      <c r="H136" s="3">
        <f>May!AJ136</f>
        <v>0</v>
      </c>
      <c r="I136" s="3">
        <f>June!AJ136</f>
        <v>16</v>
      </c>
      <c r="J136" s="3">
        <f>July!AJ136</f>
        <v>0</v>
      </c>
      <c r="K136" s="3">
        <f>August!AJ136</f>
        <v>0</v>
      </c>
      <c r="L136" s="3">
        <f>September!AJ136</f>
        <v>0</v>
      </c>
      <c r="M136" s="3">
        <f>October!AJ136</f>
        <v>0</v>
      </c>
      <c r="N136" s="3">
        <f>November!AJ136</f>
        <v>0</v>
      </c>
      <c r="O136" s="3">
        <f>December!AJ136</f>
        <v>0</v>
      </c>
      <c r="Q136" s="23">
        <f t="shared" si="3"/>
        <v>64</v>
      </c>
    </row>
    <row r="137" spans="2:17" hidden="1" outlineLevel="1" x14ac:dyDescent="0.25">
      <c r="B137" s="11"/>
      <c r="C137" s="1" t="s">
        <v>2</v>
      </c>
      <c r="D137" s="4">
        <f>January!AJ137</f>
        <v>0</v>
      </c>
      <c r="E137" s="4">
        <f>February!AJ137</f>
        <v>0</v>
      </c>
      <c r="F137" s="4">
        <f>March!AJ137</f>
        <v>0</v>
      </c>
      <c r="G137" s="4">
        <f>April!AJ137</f>
        <v>0</v>
      </c>
      <c r="H137" s="4">
        <f>May!AJ137</f>
        <v>0</v>
      </c>
      <c r="I137" s="4">
        <f>June!AJ137</f>
        <v>0</v>
      </c>
      <c r="J137" s="4">
        <f>July!AJ137</f>
        <v>0</v>
      </c>
      <c r="K137" s="4">
        <f>August!AJ137</f>
        <v>0</v>
      </c>
      <c r="L137" s="4">
        <f>September!AJ137</f>
        <v>0</v>
      </c>
      <c r="M137" s="4">
        <f>October!AJ137</f>
        <v>0</v>
      </c>
      <c r="N137" s="4">
        <f>November!AJ137</f>
        <v>0</v>
      </c>
      <c r="O137" s="4">
        <f>December!AJ137</f>
        <v>0</v>
      </c>
      <c r="Q137" s="24">
        <f t="shared" si="3"/>
        <v>0</v>
      </c>
    </row>
    <row r="138" spans="2:17" hidden="1" outlineLevel="1" x14ac:dyDescent="0.25">
      <c r="B138" s="11"/>
      <c r="C138" s="54" t="s">
        <v>76</v>
      </c>
      <c r="D138" s="5">
        <f>January!AJ138</f>
        <v>0</v>
      </c>
      <c r="E138" s="5">
        <f>February!AJ138</f>
        <v>0</v>
      </c>
      <c r="F138" s="5">
        <f>March!AJ138</f>
        <v>0</v>
      </c>
      <c r="G138" s="5">
        <f>April!AJ138</f>
        <v>0</v>
      </c>
      <c r="H138" s="5">
        <f>May!AJ138</f>
        <v>0</v>
      </c>
      <c r="I138" s="5">
        <f>June!AJ138</f>
        <v>0.5</v>
      </c>
      <c r="J138" s="5">
        <f>July!AJ138</f>
        <v>0</v>
      </c>
      <c r="K138" s="5">
        <f>August!AJ138</f>
        <v>0</v>
      </c>
      <c r="L138" s="5">
        <f>September!AJ138</f>
        <v>0</v>
      </c>
      <c r="M138" s="5">
        <f>October!AJ138</f>
        <v>0</v>
      </c>
      <c r="N138" s="5">
        <f>November!AJ138</f>
        <v>0</v>
      </c>
      <c r="O138" s="5">
        <f>December!AJ138</f>
        <v>0</v>
      </c>
      <c r="Q138" s="25">
        <f t="shared" si="3"/>
        <v>0.5</v>
      </c>
    </row>
    <row r="139" spans="2:17" ht="15.75" hidden="1" outlineLevel="1" thickBot="1" x14ac:dyDescent="0.3">
      <c r="B139" s="11"/>
      <c r="C139" s="9" t="s">
        <v>3</v>
      </c>
      <c r="D139" s="8">
        <f>January!AJ139</f>
        <v>0</v>
      </c>
      <c r="E139" s="8">
        <f>February!AJ139</f>
        <v>0</v>
      </c>
      <c r="F139" s="8">
        <f>March!AJ139</f>
        <v>0</v>
      </c>
      <c r="G139" s="8">
        <f>April!AJ139</f>
        <v>0</v>
      </c>
      <c r="H139" s="8">
        <f>May!AJ139</f>
        <v>0</v>
      </c>
      <c r="I139" s="8">
        <f>June!AJ139</f>
        <v>0</v>
      </c>
      <c r="J139" s="8">
        <f>July!AJ139</f>
        <v>0</v>
      </c>
      <c r="K139" s="8">
        <f>August!AJ139</f>
        <v>0</v>
      </c>
      <c r="L139" s="8">
        <f>September!AJ139</f>
        <v>0</v>
      </c>
      <c r="M139" s="8">
        <f>October!AJ139</f>
        <v>0</v>
      </c>
      <c r="N139" s="8">
        <f>November!AJ139</f>
        <v>0</v>
      </c>
      <c r="O139" s="8">
        <f>December!AJ139</f>
        <v>0</v>
      </c>
      <c r="Q139" s="26">
        <f t="shared" si="3"/>
        <v>0</v>
      </c>
    </row>
    <row r="140" spans="2:17" ht="16.5" collapsed="1" thickTop="1" thickBot="1" x14ac:dyDescent="0.3">
      <c r="B140" s="13" t="str">
        <f>'Employee List'!B31</f>
        <v>Thom van Bodegraven</v>
      </c>
      <c r="C140" t="s">
        <v>0</v>
      </c>
      <c r="D140" s="2">
        <f>January!AJ140</f>
        <v>4</v>
      </c>
      <c r="E140" s="2">
        <f>February!AJ140</f>
        <v>14</v>
      </c>
      <c r="F140" s="2">
        <f>March!AJ140</f>
        <v>8</v>
      </c>
      <c r="G140" s="2">
        <f>April!AJ140</f>
        <v>12</v>
      </c>
      <c r="H140" s="2">
        <f>May!AJ140</f>
        <v>0</v>
      </c>
      <c r="I140" s="2">
        <f>June!AJ140</f>
        <v>0</v>
      </c>
      <c r="J140" s="2">
        <f>July!AJ140</f>
        <v>0</v>
      </c>
      <c r="K140" s="2">
        <f>August!AJ140</f>
        <v>0</v>
      </c>
      <c r="L140" s="2">
        <f>September!AJ140</f>
        <v>0</v>
      </c>
      <c r="M140" s="2">
        <f>October!AJ140</f>
        <v>0</v>
      </c>
      <c r="N140" s="2">
        <f>November!AJ140</f>
        <v>0</v>
      </c>
      <c r="O140" s="2">
        <f>December!AJ140</f>
        <v>0</v>
      </c>
      <c r="Q140" s="22">
        <f t="shared" si="3"/>
        <v>38</v>
      </c>
    </row>
    <row r="141" spans="2:17" ht="15.75" hidden="1" outlineLevel="1" thickTop="1" x14ac:dyDescent="0.25">
      <c r="B141" s="10"/>
      <c r="C141" s="1" t="s">
        <v>1</v>
      </c>
      <c r="D141" s="3">
        <f>January!AJ153</f>
        <v>0</v>
      </c>
      <c r="E141" s="3">
        <f>February!AJ141</f>
        <v>0</v>
      </c>
      <c r="F141" s="3">
        <f>March!AJ141</f>
        <v>4</v>
      </c>
      <c r="G141" s="3">
        <f>April!AJ141</f>
        <v>0</v>
      </c>
      <c r="H141" s="3">
        <f>May!AJ141</f>
        <v>0</v>
      </c>
      <c r="I141" s="3">
        <f>June!AJ141</f>
        <v>0</v>
      </c>
      <c r="J141" s="3">
        <f>July!AJ141</f>
        <v>0</v>
      </c>
      <c r="K141" s="3">
        <f>August!AJ141</f>
        <v>0</v>
      </c>
      <c r="L141" s="3">
        <f>September!AJ141</f>
        <v>0</v>
      </c>
      <c r="M141" s="3">
        <f>October!AJ141</f>
        <v>0</v>
      </c>
      <c r="N141" s="3">
        <f>November!AJ141</f>
        <v>0</v>
      </c>
      <c r="O141" s="3">
        <f>December!AJ141</f>
        <v>0</v>
      </c>
      <c r="Q141" s="23">
        <f t="shared" si="3"/>
        <v>4</v>
      </c>
    </row>
    <row r="142" spans="2:17" hidden="1" outlineLevel="1" x14ac:dyDescent="0.25">
      <c r="B142" s="11"/>
      <c r="C142" s="1" t="s">
        <v>2</v>
      </c>
      <c r="D142" s="4">
        <f>January!AJ154</f>
        <v>0</v>
      </c>
      <c r="E142" s="4">
        <f>February!AJ142</f>
        <v>0</v>
      </c>
      <c r="F142" s="4">
        <f>March!AJ142</f>
        <v>0</v>
      </c>
      <c r="G142" s="4">
        <f>April!AJ142</f>
        <v>0</v>
      </c>
      <c r="H142" s="4">
        <f>May!AJ142</f>
        <v>0</v>
      </c>
      <c r="I142" s="4">
        <f>June!AJ142</f>
        <v>0</v>
      </c>
      <c r="J142" s="4">
        <f>July!AJ142</f>
        <v>0</v>
      </c>
      <c r="K142" s="4">
        <f>August!AJ142</f>
        <v>0</v>
      </c>
      <c r="L142" s="4">
        <f>September!AJ142</f>
        <v>0</v>
      </c>
      <c r="M142" s="4">
        <f>October!AJ142</f>
        <v>0</v>
      </c>
      <c r="N142" s="4">
        <f>November!AJ142</f>
        <v>0</v>
      </c>
      <c r="O142" s="4">
        <f>December!AJ142</f>
        <v>0</v>
      </c>
      <c r="Q142" s="24">
        <f t="shared" si="3"/>
        <v>0</v>
      </c>
    </row>
    <row r="143" spans="2:17" hidden="1" outlineLevel="1" x14ac:dyDescent="0.25">
      <c r="B143" s="11"/>
      <c r="C143" s="54" t="s">
        <v>76</v>
      </c>
      <c r="D143" s="5">
        <f>January!AJ155</f>
        <v>0</v>
      </c>
      <c r="E143" s="5">
        <f>February!AJ143</f>
        <v>0</v>
      </c>
      <c r="F143" s="5">
        <f>March!AJ143</f>
        <v>1</v>
      </c>
      <c r="G143" s="5">
        <f>April!AJ143</f>
        <v>8</v>
      </c>
      <c r="H143" s="5">
        <f>May!AJ143</f>
        <v>0</v>
      </c>
      <c r="I143" s="5">
        <f>June!AJ143</f>
        <v>0</v>
      </c>
      <c r="J143" s="5">
        <f>July!AJ143</f>
        <v>0</v>
      </c>
      <c r="K143" s="5">
        <f>August!AJ143</f>
        <v>0</v>
      </c>
      <c r="L143" s="5">
        <f>September!AJ143</f>
        <v>0</v>
      </c>
      <c r="M143" s="5">
        <f>October!AJ143</f>
        <v>0</v>
      </c>
      <c r="N143" s="5">
        <f>November!AJ143</f>
        <v>0</v>
      </c>
      <c r="O143" s="5">
        <f>December!AJ143</f>
        <v>0</v>
      </c>
      <c r="Q143" s="25">
        <f t="shared" si="3"/>
        <v>9</v>
      </c>
    </row>
    <row r="144" spans="2:17" ht="15.75" hidden="1" outlineLevel="1" thickBot="1" x14ac:dyDescent="0.3">
      <c r="B144" s="11"/>
      <c r="C144" s="9" t="s">
        <v>3</v>
      </c>
      <c r="D144" s="8">
        <f>January!AJ156</f>
        <v>0</v>
      </c>
      <c r="E144" s="8">
        <f>February!AJ144</f>
        <v>0</v>
      </c>
      <c r="F144" s="8">
        <f>March!AJ144</f>
        <v>0.5</v>
      </c>
      <c r="G144" s="8">
        <f>April!AJ144</f>
        <v>0</v>
      </c>
      <c r="H144" s="8">
        <f>May!AJ144</f>
        <v>0</v>
      </c>
      <c r="I144" s="8">
        <f>June!AJ144</f>
        <v>0</v>
      </c>
      <c r="J144" s="8">
        <f>July!AJ144</f>
        <v>0</v>
      </c>
      <c r="K144" s="8">
        <f>August!AJ144</f>
        <v>0</v>
      </c>
      <c r="L144" s="8">
        <f>September!AJ144</f>
        <v>0</v>
      </c>
      <c r="M144" s="8">
        <f>October!AJ144</f>
        <v>0</v>
      </c>
      <c r="N144" s="8">
        <f>November!AJ144</f>
        <v>0</v>
      </c>
      <c r="O144" s="8">
        <f>December!AJ144</f>
        <v>0</v>
      </c>
      <c r="Q144" s="26">
        <f t="shared" si="3"/>
        <v>0.5</v>
      </c>
    </row>
    <row r="145" spans="2:17" ht="16.5" collapsed="1" thickTop="1" thickBot="1" x14ac:dyDescent="0.3">
      <c r="B145" s="13" t="str">
        <f>'Employee List'!B32</f>
        <v>Tiemen Schumacher</v>
      </c>
      <c r="C145" t="s">
        <v>0</v>
      </c>
      <c r="D145" s="2">
        <f>January!AJ157</f>
        <v>0</v>
      </c>
      <c r="E145" s="2">
        <f>February!AJ145</f>
        <v>1.5</v>
      </c>
      <c r="F145" s="2">
        <f>March!AJ145</f>
        <v>13</v>
      </c>
      <c r="G145" s="2">
        <f>April!AJ145</f>
        <v>6</v>
      </c>
      <c r="H145" s="2">
        <f>May!AJ145</f>
        <v>9</v>
      </c>
      <c r="I145" s="2">
        <f>June!AJ145</f>
        <v>45</v>
      </c>
      <c r="J145" s="2">
        <f>July!AJ145</f>
        <v>80</v>
      </c>
      <c r="K145" s="2">
        <f>August!AJ145</f>
        <v>0</v>
      </c>
      <c r="L145" s="2">
        <f>September!AJ145</f>
        <v>0</v>
      </c>
      <c r="M145" s="2">
        <f>October!AJ145</f>
        <v>0</v>
      </c>
      <c r="N145" s="2">
        <f>November!AJ145</f>
        <v>0</v>
      </c>
      <c r="O145" s="2">
        <f>December!AJ145</f>
        <v>0</v>
      </c>
      <c r="Q145" s="22">
        <f t="shared" ref="Q145:Q149" si="4">SUM(D145:O145)</f>
        <v>154.5</v>
      </c>
    </row>
    <row r="146" spans="2:17" ht="15.75" hidden="1" outlineLevel="1" thickTop="1" x14ac:dyDescent="0.25">
      <c r="B146" s="10"/>
      <c r="C146" s="1" t="s">
        <v>1</v>
      </c>
      <c r="D146" s="3">
        <f>January!AJ158</f>
        <v>0</v>
      </c>
      <c r="E146" s="3">
        <f>February!AJ146</f>
        <v>0</v>
      </c>
      <c r="F146" s="3">
        <f>March!AJ146</f>
        <v>0</v>
      </c>
      <c r="G146" s="3">
        <f>April!AJ146</f>
        <v>0</v>
      </c>
      <c r="H146" s="3">
        <f>May!AJ146</f>
        <v>0</v>
      </c>
      <c r="I146" s="3">
        <f>June!AJ146</f>
        <v>0</v>
      </c>
      <c r="J146" s="3">
        <f>July!AJ146</f>
        <v>0</v>
      </c>
      <c r="K146" s="3">
        <f>August!AJ146</f>
        <v>0</v>
      </c>
      <c r="L146" s="3">
        <f>September!AJ146</f>
        <v>0</v>
      </c>
      <c r="M146" s="3">
        <f>October!AJ146</f>
        <v>0</v>
      </c>
      <c r="N146" s="3">
        <f>November!AJ146</f>
        <v>0</v>
      </c>
      <c r="O146" s="3">
        <f>December!AJ146</f>
        <v>0</v>
      </c>
      <c r="Q146" s="23">
        <f t="shared" si="4"/>
        <v>0</v>
      </c>
    </row>
    <row r="147" spans="2:17" hidden="1" outlineLevel="1" x14ac:dyDescent="0.25">
      <c r="B147" s="11"/>
      <c r="C147" s="1" t="s">
        <v>2</v>
      </c>
      <c r="D147" s="4">
        <f>January!AJ159</f>
        <v>0</v>
      </c>
      <c r="E147" s="4">
        <f>February!AJ147</f>
        <v>1</v>
      </c>
      <c r="F147" s="4">
        <f>March!AJ147</f>
        <v>2</v>
      </c>
      <c r="G147" s="4">
        <f>April!AJ147</f>
        <v>2</v>
      </c>
      <c r="H147" s="4">
        <f>May!AJ147</f>
        <v>0</v>
      </c>
      <c r="I147" s="4">
        <f>June!AJ147</f>
        <v>0</v>
      </c>
      <c r="J147" s="4">
        <f>July!AJ147</f>
        <v>0</v>
      </c>
      <c r="K147" s="4">
        <f>August!AJ147</f>
        <v>0</v>
      </c>
      <c r="L147" s="4">
        <f>September!AJ147</f>
        <v>0</v>
      </c>
      <c r="M147" s="4">
        <f>October!AJ147</f>
        <v>0</v>
      </c>
      <c r="N147" s="4">
        <f>November!AJ147</f>
        <v>0</v>
      </c>
      <c r="O147" s="4">
        <f>December!AJ147</f>
        <v>0</v>
      </c>
      <c r="Q147" s="24">
        <f t="shared" si="4"/>
        <v>5</v>
      </c>
    </row>
    <row r="148" spans="2:17" hidden="1" outlineLevel="1" x14ac:dyDescent="0.25">
      <c r="B148" s="11"/>
      <c r="C148" s="54" t="s">
        <v>76</v>
      </c>
      <c r="D148" s="5">
        <f>January!AJ160</f>
        <v>0</v>
      </c>
      <c r="E148" s="5">
        <f>February!AJ148</f>
        <v>1</v>
      </c>
      <c r="F148" s="5">
        <f>March!AJ148</f>
        <v>0</v>
      </c>
      <c r="G148" s="5">
        <f>April!AJ148</f>
        <v>0</v>
      </c>
      <c r="H148" s="5">
        <f>May!AJ148</f>
        <v>1</v>
      </c>
      <c r="I148" s="5">
        <f>June!AJ148</f>
        <v>0</v>
      </c>
      <c r="J148" s="5">
        <f>July!AJ148</f>
        <v>0</v>
      </c>
      <c r="K148" s="5">
        <f>August!AJ148</f>
        <v>0</v>
      </c>
      <c r="L148" s="5">
        <f>September!AJ148</f>
        <v>0</v>
      </c>
      <c r="M148" s="5">
        <f>October!AJ148</f>
        <v>0</v>
      </c>
      <c r="N148" s="5">
        <f>November!AJ148</f>
        <v>0</v>
      </c>
      <c r="O148" s="5">
        <f>December!AJ148</f>
        <v>0</v>
      </c>
      <c r="Q148" s="25">
        <f t="shared" si="4"/>
        <v>2</v>
      </c>
    </row>
    <row r="149" spans="2:17" ht="15.75" hidden="1" outlineLevel="1" thickBot="1" x14ac:dyDescent="0.3">
      <c r="B149" s="11"/>
      <c r="C149" s="9" t="s">
        <v>3</v>
      </c>
      <c r="D149" s="8">
        <f>January!AJ161</f>
        <v>0</v>
      </c>
      <c r="E149" s="8">
        <f>February!AJ149</f>
        <v>0</v>
      </c>
      <c r="F149" s="8">
        <f>March!AJ149</f>
        <v>0</v>
      </c>
      <c r="G149" s="8">
        <f>April!AJ149</f>
        <v>0</v>
      </c>
      <c r="H149" s="8">
        <f>May!AJ149</f>
        <v>0.08</v>
      </c>
      <c r="I149" s="8">
        <f>June!AJ149</f>
        <v>0</v>
      </c>
      <c r="J149" s="8">
        <f>July!AJ149</f>
        <v>0</v>
      </c>
      <c r="K149" s="8">
        <f>August!AJ149</f>
        <v>0</v>
      </c>
      <c r="L149" s="8">
        <f>September!AJ149</f>
        <v>0</v>
      </c>
      <c r="M149" s="8">
        <f>October!AJ149</f>
        <v>0</v>
      </c>
      <c r="N149" s="8">
        <f>November!AJ149</f>
        <v>0</v>
      </c>
      <c r="O149" s="8">
        <f>December!AJ149</f>
        <v>0</v>
      </c>
      <c r="Q149" s="26">
        <f t="shared" si="4"/>
        <v>0.08</v>
      </c>
    </row>
    <row r="150" spans="2:17" ht="16.5" collapsed="1" thickTop="1" thickBot="1" x14ac:dyDescent="0.3">
      <c r="B150" s="13" t="str">
        <f>'Employee List'!B33</f>
        <v>Erik Jaspers</v>
      </c>
      <c r="C150" t="s">
        <v>0</v>
      </c>
      <c r="D150" s="2">
        <f>January!AJ162</f>
        <v>0</v>
      </c>
      <c r="E150" s="2">
        <f>February!AJ150</f>
        <v>0</v>
      </c>
      <c r="F150" s="2">
        <f>March!AJ150</f>
        <v>4</v>
      </c>
      <c r="G150" s="2">
        <f>April!AJ150</f>
        <v>4</v>
      </c>
      <c r="H150" s="2">
        <f>May!AJ150</f>
        <v>76</v>
      </c>
      <c r="I150" s="2">
        <f>June!AJ150</f>
        <v>21</v>
      </c>
      <c r="J150" s="2">
        <f>July!AJ150</f>
        <v>0</v>
      </c>
      <c r="K150" s="2">
        <f>August!AJ150</f>
        <v>0</v>
      </c>
      <c r="L150" s="2">
        <f>September!AJ150</f>
        <v>0</v>
      </c>
      <c r="M150" s="2">
        <f>October!AJ150</f>
        <v>0</v>
      </c>
      <c r="N150" s="2">
        <f>November!AJ150</f>
        <v>0</v>
      </c>
      <c r="O150" s="2">
        <f>December!AJ150</f>
        <v>0</v>
      </c>
      <c r="Q150" s="22">
        <f t="shared" ref="Q150:Q154" si="5">SUM(D150:O150)</f>
        <v>105</v>
      </c>
    </row>
    <row r="151" spans="2:17" ht="15.75" hidden="1" outlineLevel="1" thickTop="1" x14ac:dyDescent="0.25">
      <c r="B151" s="10"/>
      <c r="C151" s="1" t="s">
        <v>1</v>
      </c>
      <c r="D151" s="3">
        <f>January!AJ163</f>
        <v>0</v>
      </c>
      <c r="E151" s="3">
        <f>February!AJ151</f>
        <v>0</v>
      </c>
      <c r="F151" s="3">
        <f>March!AJ151</f>
        <v>0</v>
      </c>
      <c r="G151" s="3">
        <f>April!AJ151</f>
        <v>16</v>
      </c>
      <c r="H151" s="3">
        <f>May!AJ151</f>
        <v>0</v>
      </c>
      <c r="I151" s="3">
        <f>June!AJ151</f>
        <v>0</v>
      </c>
      <c r="J151" s="3">
        <f>July!AJ151</f>
        <v>0</v>
      </c>
      <c r="K151" s="3">
        <f>August!AJ151</f>
        <v>0</v>
      </c>
      <c r="L151" s="3">
        <f>September!AJ151</f>
        <v>0</v>
      </c>
      <c r="M151" s="3">
        <f>October!AJ151</f>
        <v>0</v>
      </c>
      <c r="N151" s="3">
        <f>November!AJ151</f>
        <v>0</v>
      </c>
      <c r="O151" s="3">
        <f>December!AJ151</f>
        <v>0</v>
      </c>
      <c r="Q151" s="23">
        <f t="shared" si="5"/>
        <v>16</v>
      </c>
    </row>
    <row r="152" spans="2:17" hidden="1" outlineLevel="1" x14ac:dyDescent="0.25">
      <c r="B152" s="11"/>
      <c r="C152" s="1" t="s">
        <v>2</v>
      </c>
      <c r="D152" s="4">
        <f>January!AJ164</f>
        <v>0</v>
      </c>
      <c r="E152" s="4">
        <f>February!AJ152</f>
        <v>0</v>
      </c>
      <c r="F152" s="4">
        <f>March!AJ152</f>
        <v>0</v>
      </c>
      <c r="G152" s="4">
        <f>April!AJ152</f>
        <v>0</v>
      </c>
      <c r="H152" s="4">
        <f>May!AJ152</f>
        <v>0</v>
      </c>
      <c r="I152" s="4">
        <f>June!AJ152</f>
        <v>0</v>
      </c>
      <c r="J152" s="4">
        <f>July!AJ152</f>
        <v>0</v>
      </c>
      <c r="K152" s="4">
        <f>August!AJ152</f>
        <v>0</v>
      </c>
      <c r="L152" s="4">
        <f>September!AJ152</f>
        <v>0</v>
      </c>
      <c r="M152" s="4">
        <f>October!AJ152</f>
        <v>0</v>
      </c>
      <c r="N152" s="4">
        <f>November!AJ152</f>
        <v>0</v>
      </c>
      <c r="O152" s="4">
        <f>December!AJ152</f>
        <v>0</v>
      </c>
      <c r="Q152" s="24">
        <f t="shared" si="5"/>
        <v>0</v>
      </c>
    </row>
    <row r="153" spans="2:17" hidden="1" outlineLevel="1" x14ac:dyDescent="0.25">
      <c r="B153" s="11"/>
      <c r="C153" s="54" t="s">
        <v>76</v>
      </c>
      <c r="D153" s="5">
        <f>January!AJ165</f>
        <v>0</v>
      </c>
      <c r="E153" s="5">
        <f>February!AJ153</f>
        <v>0</v>
      </c>
      <c r="F153" s="5">
        <f>March!AJ153</f>
        <v>0</v>
      </c>
      <c r="G153" s="5">
        <f>April!AJ153</f>
        <v>0</v>
      </c>
      <c r="H153" s="5">
        <f>May!AJ153</f>
        <v>0</v>
      </c>
      <c r="I153" s="5">
        <f>June!AJ153</f>
        <v>0</v>
      </c>
      <c r="J153" s="5">
        <f>July!AJ153</f>
        <v>0</v>
      </c>
      <c r="K153" s="5">
        <f>August!AJ153</f>
        <v>0</v>
      </c>
      <c r="L153" s="5">
        <f>September!AJ153</f>
        <v>0</v>
      </c>
      <c r="M153" s="5">
        <f>October!AJ153</f>
        <v>0</v>
      </c>
      <c r="N153" s="5">
        <f>November!AJ153</f>
        <v>0</v>
      </c>
      <c r="O153" s="5">
        <f>December!AJ153</f>
        <v>0</v>
      </c>
      <c r="Q153" s="25">
        <f t="shared" si="5"/>
        <v>0</v>
      </c>
    </row>
    <row r="154" spans="2:17" ht="15.75" hidden="1" outlineLevel="1" thickBot="1" x14ac:dyDescent="0.3">
      <c r="B154" s="11"/>
      <c r="C154" s="9" t="s">
        <v>3</v>
      </c>
      <c r="D154" s="8">
        <f>January!AJ166</f>
        <v>0</v>
      </c>
      <c r="E154" s="8">
        <f>February!AJ154</f>
        <v>0</v>
      </c>
      <c r="F154" s="8">
        <f>March!AJ154</f>
        <v>0</v>
      </c>
      <c r="G154" s="8">
        <f>April!AJ154</f>
        <v>1.25</v>
      </c>
      <c r="H154" s="8">
        <f>May!AJ154</f>
        <v>0</v>
      </c>
      <c r="I154" s="8">
        <f>June!AJ154</f>
        <v>0</v>
      </c>
      <c r="J154" s="8">
        <f>July!AJ154</f>
        <v>0</v>
      </c>
      <c r="K154" s="8">
        <f>August!AJ154</f>
        <v>0</v>
      </c>
      <c r="L154" s="8">
        <f>September!AJ154</f>
        <v>0</v>
      </c>
      <c r="M154" s="8">
        <f>October!AJ154</f>
        <v>0</v>
      </c>
      <c r="N154" s="8">
        <f>November!AJ154</f>
        <v>0</v>
      </c>
      <c r="O154" s="8">
        <f>December!AJ154</f>
        <v>0</v>
      </c>
      <c r="Q154" s="26">
        <f t="shared" si="5"/>
        <v>1.25</v>
      </c>
    </row>
    <row r="155" spans="2:17" ht="16.5" collapsed="1" thickTop="1" thickBot="1" x14ac:dyDescent="0.3">
      <c r="B155" s="13" t="str">
        <f>'Employee List'!B34</f>
        <v>Leo Wijnands</v>
      </c>
      <c r="C155" t="s">
        <v>0</v>
      </c>
      <c r="D155" s="2">
        <f>January!AJ167</f>
        <v>0</v>
      </c>
      <c r="E155" s="2">
        <f>February!AJ155</f>
        <v>0</v>
      </c>
      <c r="F155" s="2">
        <f>March!AJ155</f>
        <v>0</v>
      </c>
      <c r="G155" s="2">
        <f>April!AJ155</f>
        <v>8</v>
      </c>
      <c r="H155" s="2">
        <f>May!AJ155</f>
        <v>8</v>
      </c>
      <c r="I155" s="2">
        <f>June!AJ155</f>
        <v>12</v>
      </c>
      <c r="J155" s="2">
        <f>July!AJ155</f>
        <v>0</v>
      </c>
      <c r="K155" s="2">
        <f>August!AJ155</f>
        <v>0</v>
      </c>
      <c r="L155" s="2">
        <f>September!AJ155</f>
        <v>0</v>
      </c>
      <c r="M155" s="2">
        <f>October!AJ155</f>
        <v>0</v>
      </c>
      <c r="N155" s="2">
        <f>November!AJ155</f>
        <v>0</v>
      </c>
      <c r="O155" s="2">
        <f>December!AJ155</f>
        <v>0</v>
      </c>
      <c r="Q155" s="22">
        <f t="shared" ref="Q155:Q179" si="6">SUM(D155:O155)</f>
        <v>28</v>
      </c>
    </row>
    <row r="156" spans="2:17" ht="15.75" hidden="1" outlineLevel="1" thickTop="1" x14ac:dyDescent="0.25">
      <c r="B156" s="10"/>
      <c r="C156" s="1" t="s">
        <v>1</v>
      </c>
      <c r="D156" s="3">
        <f>January!AJ168</f>
        <v>0</v>
      </c>
      <c r="E156" s="3">
        <f>February!AJ156</f>
        <v>0</v>
      </c>
      <c r="F156" s="3">
        <f>March!AJ156</f>
        <v>0</v>
      </c>
      <c r="G156" s="3">
        <f>April!AJ156</f>
        <v>0</v>
      </c>
      <c r="H156" s="3">
        <f>May!AJ156</f>
        <v>0</v>
      </c>
      <c r="I156" s="3">
        <f>June!AJ156</f>
        <v>0</v>
      </c>
      <c r="J156" s="3">
        <f>July!AJ156</f>
        <v>16</v>
      </c>
      <c r="K156" s="3">
        <f>August!AJ156</f>
        <v>0</v>
      </c>
      <c r="L156" s="3">
        <f>September!AJ156</f>
        <v>0</v>
      </c>
      <c r="M156" s="3">
        <f>October!AJ156</f>
        <v>0</v>
      </c>
      <c r="N156" s="3">
        <f>November!AJ156</f>
        <v>0</v>
      </c>
      <c r="O156" s="3">
        <f>December!AJ156</f>
        <v>0</v>
      </c>
      <c r="Q156" s="23">
        <f t="shared" si="6"/>
        <v>16</v>
      </c>
    </row>
    <row r="157" spans="2:17" hidden="1" outlineLevel="1" x14ac:dyDescent="0.25">
      <c r="B157" s="11"/>
      <c r="C157" s="1" t="s">
        <v>2</v>
      </c>
      <c r="D157" s="4">
        <f>January!AJ169</f>
        <v>0</v>
      </c>
      <c r="E157" s="4">
        <f>February!AJ157</f>
        <v>0</v>
      </c>
      <c r="F157" s="4">
        <f>March!AJ157</f>
        <v>0</v>
      </c>
      <c r="G157" s="4">
        <f>April!AJ157</f>
        <v>0</v>
      </c>
      <c r="H157" s="4">
        <f>May!AJ157</f>
        <v>0</v>
      </c>
      <c r="I157" s="4">
        <f>June!AJ157</f>
        <v>0</v>
      </c>
      <c r="J157" s="4">
        <f>July!AJ157</f>
        <v>0</v>
      </c>
      <c r="K157" s="4">
        <f>August!AJ157</f>
        <v>0</v>
      </c>
      <c r="L157" s="4">
        <f>September!AJ157</f>
        <v>0</v>
      </c>
      <c r="M157" s="4">
        <f>October!AJ157</f>
        <v>0</v>
      </c>
      <c r="N157" s="4">
        <f>November!AJ157</f>
        <v>0</v>
      </c>
      <c r="O157" s="4">
        <f>December!AJ157</f>
        <v>0</v>
      </c>
      <c r="Q157" s="24">
        <f t="shared" si="6"/>
        <v>0</v>
      </c>
    </row>
    <row r="158" spans="2:17" hidden="1" outlineLevel="1" x14ac:dyDescent="0.25">
      <c r="B158" s="11"/>
      <c r="C158" s="54" t="s">
        <v>76</v>
      </c>
      <c r="D158" s="5">
        <f>January!AJ170</f>
        <v>0</v>
      </c>
      <c r="E158" s="5">
        <f>February!AJ158</f>
        <v>0</v>
      </c>
      <c r="F158" s="5">
        <f>March!AJ158</f>
        <v>0</v>
      </c>
      <c r="G158" s="5">
        <f>April!AJ158</f>
        <v>0</v>
      </c>
      <c r="H158" s="5">
        <f>May!AJ158</f>
        <v>0</v>
      </c>
      <c r="I158" s="5">
        <f>June!AJ158</f>
        <v>0</v>
      </c>
      <c r="J158" s="5">
        <f>July!AJ158</f>
        <v>0</v>
      </c>
      <c r="K158" s="5">
        <f>August!AJ158</f>
        <v>0</v>
      </c>
      <c r="L158" s="5">
        <f>September!AJ158</f>
        <v>0</v>
      </c>
      <c r="M158" s="5">
        <f>October!AJ158</f>
        <v>0</v>
      </c>
      <c r="N158" s="5">
        <f>November!AJ158</f>
        <v>0</v>
      </c>
      <c r="O158" s="5">
        <f>December!AJ158</f>
        <v>0</v>
      </c>
      <c r="Q158" s="25">
        <f t="shared" si="6"/>
        <v>0</v>
      </c>
    </row>
    <row r="159" spans="2:17" ht="15.75" hidden="1" outlineLevel="1" thickBot="1" x14ac:dyDescent="0.3">
      <c r="B159" s="11"/>
      <c r="C159" s="9" t="s">
        <v>3</v>
      </c>
      <c r="D159" s="8">
        <f>January!AJ171</f>
        <v>0</v>
      </c>
      <c r="E159" s="8">
        <f>February!AJ159</f>
        <v>0</v>
      </c>
      <c r="F159" s="8">
        <f>March!AJ159</f>
        <v>0</v>
      </c>
      <c r="G159" s="8">
        <f>April!AJ159</f>
        <v>0</v>
      </c>
      <c r="H159" s="8">
        <f>May!AJ159</f>
        <v>0</v>
      </c>
      <c r="I159" s="8">
        <f>June!AJ159</f>
        <v>0</v>
      </c>
      <c r="J159" s="8">
        <f>July!AJ159</f>
        <v>0</v>
      </c>
      <c r="K159" s="8">
        <f>August!AJ159</f>
        <v>0</v>
      </c>
      <c r="L159" s="8">
        <f>September!AJ159</f>
        <v>0</v>
      </c>
      <c r="M159" s="8">
        <f>October!AJ159</f>
        <v>0</v>
      </c>
      <c r="N159" s="8">
        <f>November!AJ159</f>
        <v>0</v>
      </c>
      <c r="O159" s="8">
        <f>December!AJ159</f>
        <v>0</v>
      </c>
      <c r="Q159" s="26">
        <f t="shared" si="6"/>
        <v>0</v>
      </c>
    </row>
    <row r="160" spans="2:17" ht="16.5" collapsed="1" thickTop="1" thickBot="1" x14ac:dyDescent="0.3">
      <c r="B160" s="13" t="str">
        <f>'Employee List'!B35</f>
        <v>Danny Ummels</v>
      </c>
      <c r="C160" t="s">
        <v>0</v>
      </c>
      <c r="D160" s="2">
        <f>January!AJ172</f>
        <v>0</v>
      </c>
      <c r="E160" s="2">
        <f>February!AJ160</f>
        <v>0</v>
      </c>
      <c r="F160" s="2">
        <f>March!AJ160</f>
        <v>4</v>
      </c>
      <c r="G160" s="2">
        <f>April!AJ160</f>
        <v>0.5</v>
      </c>
      <c r="H160" s="2">
        <f>May!AJ160</f>
        <v>24</v>
      </c>
      <c r="I160" s="2">
        <f>June!AJ160</f>
        <v>8</v>
      </c>
      <c r="J160" s="2">
        <f>July!AJ160</f>
        <v>68</v>
      </c>
      <c r="K160" s="2">
        <f>August!AJ160</f>
        <v>16</v>
      </c>
      <c r="L160" s="2">
        <f>September!AJ160</f>
        <v>0</v>
      </c>
      <c r="M160" s="2">
        <f>October!AJ160</f>
        <v>0</v>
      </c>
      <c r="N160" s="2">
        <f>November!AJ160</f>
        <v>0</v>
      </c>
      <c r="O160" s="2">
        <f>December!AJ160</f>
        <v>0</v>
      </c>
      <c r="Q160" s="22">
        <f t="shared" si="6"/>
        <v>120.5</v>
      </c>
    </row>
    <row r="161" spans="2:17" ht="15.75" hidden="1" outlineLevel="1" thickTop="1" x14ac:dyDescent="0.25">
      <c r="B161" s="10"/>
      <c r="C161" s="1" t="s">
        <v>1</v>
      </c>
      <c r="D161" s="3">
        <f>January!AJ173</f>
        <v>0</v>
      </c>
      <c r="E161" s="3">
        <f>February!AJ161</f>
        <v>0</v>
      </c>
      <c r="F161" s="3">
        <f>March!AJ161</f>
        <v>12</v>
      </c>
      <c r="G161" s="3">
        <f>April!AJ161</f>
        <v>35.25</v>
      </c>
      <c r="H161" s="3">
        <f>May!AJ161</f>
        <v>48</v>
      </c>
      <c r="I161" s="3">
        <f>June!AJ161</f>
        <v>0</v>
      </c>
      <c r="J161" s="3">
        <f>July!AJ161</f>
        <v>0</v>
      </c>
      <c r="K161" s="3">
        <f>August!AJ161</f>
        <v>0</v>
      </c>
      <c r="L161" s="3">
        <f>September!AJ161</f>
        <v>0</v>
      </c>
      <c r="M161" s="3">
        <f>October!AJ161</f>
        <v>0</v>
      </c>
      <c r="N161" s="3">
        <f>November!AJ161</f>
        <v>0</v>
      </c>
      <c r="O161" s="3">
        <f>December!AJ161</f>
        <v>0</v>
      </c>
      <c r="Q161" s="23">
        <f t="shared" si="6"/>
        <v>95.25</v>
      </c>
    </row>
    <row r="162" spans="2:17" hidden="1" outlineLevel="1" x14ac:dyDescent="0.25">
      <c r="B162" s="11"/>
      <c r="C162" s="1" t="s">
        <v>2</v>
      </c>
      <c r="D162" s="4">
        <f>January!AJ174</f>
        <v>0</v>
      </c>
      <c r="E162" s="4">
        <f>February!AJ162</f>
        <v>0</v>
      </c>
      <c r="F162" s="4">
        <f>March!AJ162</f>
        <v>0</v>
      </c>
      <c r="G162" s="4">
        <f>April!AJ162</f>
        <v>0</v>
      </c>
      <c r="H162" s="4">
        <f>May!AJ162</f>
        <v>0</v>
      </c>
      <c r="I162" s="4">
        <f>June!AJ162</f>
        <v>0</v>
      </c>
      <c r="J162" s="4">
        <f>July!AJ162</f>
        <v>0</v>
      </c>
      <c r="K162" s="4">
        <f>August!AJ162</f>
        <v>0</v>
      </c>
      <c r="L162" s="4">
        <f>September!AJ162</f>
        <v>0</v>
      </c>
      <c r="M162" s="4">
        <f>October!AJ162</f>
        <v>0</v>
      </c>
      <c r="N162" s="4">
        <f>November!AJ162</f>
        <v>0</v>
      </c>
      <c r="O162" s="4">
        <f>December!AJ162</f>
        <v>0</v>
      </c>
      <c r="Q162" s="24">
        <f t="shared" si="6"/>
        <v>0</v>
      </c>
    </row>
    <row r="163" spans="2:17" hidden="1" outlineLevel="1" x14ac:dyDescent="0.25">
      <c r="B163" s="11"/>
      <c r="C163" s="54" t="s">
        <v>76</v>
      </c>
      <c r="D163" s="5">
        <f>January!AJ175</f>
        <v>0</v>
      </c>
      <c r="E163" s="5">
        <f>February!AJ163</f>
        <v>0</v>
      </c>
      <c r="F163" s="5">
        <f>March!AJ163</f>
        <v>0</v>
      </c>
      <c r="G163" s="5">
        <f>April!AJ163</f>
        <v>4</v>
      </c>
      <c r="H163" s="5">
        <f>May!AJ163</f>
        <v>0</v>
      </c>
      <c r="I163" s="5">
        <f>June!AJ163</f>
        <v>0</v>
      </c>
      <c r="J163" s="5">
        <f>July!AJ163</f>
        <v>4</v>
      </c>
      <c r="K163" s="5">
        <f>August!AJ163</f>
        <v>8</v>
      </c>
      <c r="L163" s="5">
        <f>September!AJ163</f>
        <v>0</v>
      </c>
      <c r="M163" s="5">
        <f>October!AJ163</f>
        <v>0</v>
      </c>
      <c r="N163" s="5">
        <f>November!AJ163</f>
        <v>0</v>
      </c>
      <c r="O163" s="5">
        <f>December!AJ163</f>
        <v>0</v>
      </c>
      <c r="Q163" s="25">
        <f t="shared" si="6"/>
        <v>16</v>
      </c>
    </row>
    <row r="164" spans="2:17" ht="15.75" hidden="1" outlineLevel="1" thickBot="1" x14ac:dyDescent="0.3">
      <c r="B164" s="11"/>
      <c r="C164" s="9" t="s">
        <v>3</v>
      </c>
      <c r="D164" s="8">
        <f>January!AJ176</f>
        <v>0</v>
      </c>
      <c r="E164" s="8">
        <f>February!AJ164</f>
        <v>0</v>
      </c>
      <c r="F164" s="8">
        <f>March!AJ164</f>
        <v>0</v>
      </c>
      <c r="G164" s="8">
        <f>April!AJ164</f>
        <v>0</v>
      </c>
      <c r="H164" s="8">
        <f>May!AJ164</f>
        <v>0</v>
      </c>
      <c r="I164" s="8">
        <f>June!AJ164</f>
        <v>0</v>
      </c>
      <c r="J164" s="8">
        <f>July!AJ164</f>
        <v>0</v>
      </c>
      <c r="K164" s="8">
        <f>August!AJ164</f>
        <v>0</v>
      </c>
      <c r="L164" s="8">
        <f>September!AJ164</f>
        <v>0</v>
      </c>
      <c r="M164" s="8">
        <f>October!AJ164</f>
        <v>0</v>
      </c>
      <c r="N164" s="8">
        <f>November!AJ164</f>
        <v>0</v>
      </c>
      <c r="O164" s="8">
        <f>December!AJ164</f>
        <v>0</v>
      </c>
      <c r="Q164" s="26">
        <f t="shared" si="6"/>
        <v>0</v>
      </c>
    </row>
    <row r="165" spans="2:17" ht="16.5" collapsed="1" thickTop="1" thickBot="1" x14ac:dyDescent="0.3">
      <c r="B165" s="13"/>
      <c r="C165" t="s">
        <v>0</v>
      </c>
      <c r="D165" s="2">
        <f>January!AJ177</f>
        <v>0</v>
      </c>
      <c r="E165" s="2">
        <f>February!AJ165</f>
        <v>0</v>
      </c>
      <c r="F165" s="2">
        <f>March!AJ165</f>
        <v>0</v>
      </c>
      <c r="G165" s="2">
        <f>April!AJ165</f>
        <v>0</v>
      </c>
      <c r="H165" s="2">
        <f>May!AJ165</f>
        <v>0</v>
      </c>
      <c r="I165" s="2">
        <f>June!AJ165</f>
        <v>0</v>
      </c>
      <c r="J165" s="2">
        <f>July!AJ165</f>
        <v>0</v>
      </c>
      <c r="K165" s="2">
        <f>August!AJ165</f>
        <v>0</v>
      </c>
      <c r="L165" s="2">
        <f>September!AJ165</f>
        <v>0</v>
      </c>
      <c r="M165" s="2">
        <f>October!AJ165</f>
        <v>0</v>
      </c>
      <c r="N165" s="2">
        <f>November!AJ165</f>
        <v>0</v>
      </c>
      <c r="O165" s="2">
        <f>December!AJ165</f>
        <v>0</v>
      </c>
      <c r="Q165" s="22">
        <f t="shared" si="6"/>
        <v>0</v>
      </c>
    </row>
    <row r="166" spans="2:17" ht="15.75" hidden="1" outlineLevel="1" thickTop="1" x14ac:dyDescent="0.25">
      <c r="B166" s="10"/>
      <c r="C166" s="1" t="s">
        <v>1</v>
      </c>
      <c r="D166" s="3">
        <f>January!AJ178</f>
        <v>0</v>
      </c>
      <c r="E166" s="3">
        <f>February!AJ166</f>
        <v>0</v>
      </c>
      <c r="F166" s="3">
        <f>March!AJ166</f>
        <v>0</v>
      </c>
      <c r="G166" s="3">
        <f>April!AJ166</f>
        <v>0</v>
      </c>
      <c r="H166" s="3">
        <f>May!AJ166</f>
        <v>0</v>
      </c>
      <c r="I166" s="3">
        <f>June!AJ166</f>
        <v>0</v>
      </c>
      <c r="J166" s="3">
        <f>July!AJ166</f>
        <v>0</v>
      </c>
      <c r="K166" s="3">
        <f>August!AJ166</f>
        <v>0</v>
      </c>
      <c r="L166" s="3">
        <f>September!AJ166</f>
        <v>0</v>
      </c>
      <c r="M166" s="3">
        <f>October!AJ166</f>
        <v>0</v>
      </c>
      <c r="N166" s="3">
        <f>November!AJ166</f>
        <v>0</v>
      </c>
      <c r="O166" s="3">
        <f>December!AJ166</f>
        <v>0</v>
      </c>
      <c r="Q166" s="23">
        <f t="shared" si="6"/>
        <v>0</v>
      </c>
    </row>
    <row r="167" spans="2:17" hidden="1" outlineLevel="1" x14ac:dyDescent="0.25">
      <c r="B167" s="11"/>
      <c r="C167" s="1" t="s">
        <v>2</v>
      </c>
      <c r="D167" s="4">
        <f>January!AJ179</f>
        <v>0</v>
      </c>
      <c r="E167" s="4">
        <f>February!AJ167</f>
        <v>0</v>
      </c>
      <c r="F167" s="4">
        <f>March!AJ167</f>
        <v>0</v>
      </c>
      <c r="G167" s="4">
        <f>April!AJ167</f>
        <v>0</v>
      </c>
      <c r="H167" s="4">
        <f>May!AJ167</f>
        <v>0</v>
      </c>
      <c r="I167" s="4">
        <f>June!AJ167</f>
        <v>0</v>
      </c>
      <c r="J167" s="4">
        <f>July!AJ167</f>
        <v>0</v>
      </c>
      <c r="K167" s="4">
        <f>August!AJ167</f>
        <v>0</v>
      </c>
      <c r="L167" s="4">
        <f>September!AJ167</f>
        <v>0</v>
      </c>
      <c r="M167" s="4">
        <f>October!AJ167</f>
        <v>0</v>
      </c>
      <c r="N167" s="4">
        <f>November!AJ167</f>
        <v>0</v>
      </c>
      <c r="O167" s="4">
        <f>December!AJ167</f>
        <v>0</v>
      </c>
      <c r="Q167" s="24">
        <f t="shared" si="6"/>
        <v>0</v>
      </c>
    </row>
    <row r="168" spans="2:17" hidden="1" outlineLevel="1" x14ac:dyDescent="0.25">
      <c r="B168" s="11"/>
      <c r="C168" s="54" t="s">
        <v>76</v>
      </c>
      <c r="D168" s="5">
        <f>January!AJ180</f>
        <v>0</v>
      </c>
      <c r="E168" s="5">
        <f>February!AJ168</f>
        <v>0</v>
      </c>
      <c r="F168" s="5">
        <f>March!AJ168</f>
        <v>0</v>
      </c>
      <c r="G168" s="5">
        <f>April!AJ168</f>
        <v>0</v>
      </c>
      <c r="H168" s="5">
        <f>May!AJ168</f>
        <v>0</v>
      </c>
      <c r="I168" s="5">
        <f>June!AJ168</f>
        <v>0</v>
      </c>
      <c r="J168" s="5">
        <f>July!AJ168</f>
        <v>0</v>
      </c>
      <c r="K168" s="5">
        <f>August!AJ168</f>
        <v>0</v>
      </c>
      <c r="L168" s="5">
        <f>September!AJ168</f>
        <v>0</v>
      </c>
      <c r="M168" s="5">
        <f>October!AJ168</f>
        <v>0</v>
      </c>
      <c r="N168" s="5">
        <f>November!AJ168</f>
        <v>0</v>
      </c>
      <c r="O168" s="5">
        <f>December!AJ168</f>
        <v>0</v>
      </c>
      <c r="Q168" s="25">
        <f t="shared" si="6"/>
        <v>0</v>
      </c>
    </row>
    <row r="169" spans="2:17" ht="15.75" hidden="1" outlineLevel="1" thickBot="1" x14ac:dyDescent="0.3">
      <c r="B169" s="11"/>
      <c r="C169" s="9" t="s">
        <v>3</v>
      </c>
      <c r="D169" s="8">
        <f>January!AJ181</f>
        <v>0</v>
      </c>
      <c r="E169" s="8">
        <f>February!AJ169</f>
        <v>0</v>
      </c>
      <c r="F169" s="8">
        <f>March!AJ169</f>
        <v>0</v>
      </c>
      <c r="G169" s="8">
        <f>April!AJ169</f>
        <v>0</v>
      </c>
      <c r="H169" s="8">
        <f>May!AJ169</f>
        <v>0</v>
      </c>
      <c r="I169" s="8">
        <f>June!AJ169</f>
        <v>0</v>
      </c>
      <c r="J169" s="8">
        <f>July!AJ169</f>
        <v>0</v>
      </c>
      <c r="K169" s="8">
        <f>August!AJ169</f>
        <v>0</v>
      </c>
      <c r="L169" s="8">
        <f>September!AJ169</f>
        <v>0</v>
      </c>
      <c r="M169" s="8">
        <f>October!AJ169</f>
        <v>0</v>
      </c>
      <c r="N169" s="8">
        <f>November!AJ169</f>
        <v>0</v>
      </c>
      <c r="O169" s="8">
        <f>December!AJ169</f>
        <v>0</v>
      </c>
      <c r="Q169" s="26">
        <f t="shared" si="6"/>
        <v>0</v>
      </c>
    </row>
    <row r="170" spans="2:17" ht="16.5" collapsed="1" thickTop="1" thickBot="1" x14ac:dyDescent="0.3">
      <c r="B170" s="13"/>
      <c r="C170" t="s">
        <v>0</v>
      </c>
      <c r="D170" s="2">
        <f>January!AJ182</f>
        <v>0</v>
      </c>
      <c r="E170" s="2">
        <f>February!AJ170</f>
        <v>0</v>
      </c>
      <c r="F170" s="2">
        <f>March!AJ170</f>
        <v>0</v>
      </c>
      <c r="G170" s="2">
        <f>April!AJ170</f>
        <v>0</v>
      </c>
      <c r="H170" s="2">
        <f>May!AJ170</f>
        <v>0</v>
      </c>
      <c r="I170" s="2">
        <f>June!AJ170</f>
        <v>0</v>
      </c>
      <c r="J170" s="2">
        <f>July!AJ170</f>
        <v>0</v>
      </c>
      <c r="K170" s="2">
        <f>August!AJ170</f>
        <v>0</v>
      </c>
      <c r="L170" s="2">
        <f>September!AJ170</f>
        <v>0</v>
      </c>
      <c r="M170" s="2">
        <f>October!AJ170</f>
        <v>0</v>
      </c>
      <c r="N170" s="2">
        <f>November!AJ170</f>
        <v>0</v>
      </c>
      <c r="O170" s="2">
        <f>December!AJ170</f>
        <v>0</v>
      </c>
      <c r="Q170" s="22">
        <f t="shared" si="6"/>
        <v>0</v>
      </c>
    </row>
    <row r="171" spans="2:17" ht="15.75" hidden="1" outlineLevel="1" thickTop="1" x14ac:dyDescent="0.25">
      <c r="B171" s="10"/>
      <c r="C171" s="1" t="s">
        <v>1</v>
      </c>
      <c r="D171" s="3">
        <f>January!AJ183</f>
        <v>0</v>
      </c>
      <c r="E171" s="3">
        <f>February!AJ171</f>
        <v>0</v>
      </c>
      <c r="F171" s="3">
        <f>March!AJ171</f>
        <v>0</v>
      </c>
      <c r="G171" s="3">
        <f>April!AJ171</f>
        <v>0</v>
      </c>
      <c r="H171" s="3">
        <f>May!AJ171</f>
        <v>0</v>
      </c>
      <c r="I171" s="3">
        <f>June!AJ171</f>
        <v>0</v>
      </c>
      <c r="J171" s="3">
        <f>July!AJ171</f>
        <v>0</v>
      </c>
      <c r="K171" s="3">
        <f>August!AJ171</f>
        <v>0</v>
      </c>
      <c r="L171" s="3">
        <f>September!AJ171</f>
        <v>0</v>
      </c>
      <c r="M171" s="3">
        <f>October!AJ171</f>
        <v>0</v>
      </c>
      <c r="N171" s="3">
        <f>November!AJ171</f>
        <v>0</v>
      </c>
      <c r="O171" s="3">
        <f>December!AJ171</f>
        <v>0</v>
      </c>
      <c r="Q171" s="23">
        <f t="shared" si="6"/>
        <v>0</v>
      </c>
    </row>
    <row r="172" spans="2:17" hidden="1" outlineLevel="1" x14ac:dyDescent="0.25">
      <c r="B172" s="11"/>
      <c r="C172" s="1" t="s">
        <v>2</v>
      </c>
      <c r="D172" s="4">
        <f>January!AJ184</f>
        <v>0</v>
      </c>
      <c r="E172" s="4">
        <f>February!AJ172</f>
        <v>0</v>
      </c>
      <c r="F172" s="4">
        <f>March!AJ172</f>
        <v>0</v>
      </c>
      <c r="G172" s="4">
        <f>April!AJ172</f>
        <v>0</v>
      </c>
      <c r="H172" s="4">
        <f>May!AJ172</f>
        <v>0</v>
      </c>
      <c r="I172" s="4">
        <f>June!AJ172</f>
        <v>0</v>
      </c>
      <c r="J172" s="4">
        <f>July!AJ172</f>
        <v>0</v>
      </c>
      <c r="K172" s="4">
        <f>August!AJ172</f>
        <v>0</v>
      </c>
      <c r="L172" s="4">
        <f>September!AJ172</f>
        <v>0</v>
      </c>
      <c r="M172" s="4">
        <f>October!AJ172</f>
        <v>0</v>
      </c>
      <c r="N172" s="4">
        <f>November!AJ172</f>
        <v>0</v>
      </c>
      <c r="O172" s="4">
        <f>December!AJ172</f>
        <v>0</v>
      </c>
      <c r="Q172" s="24">
        <f t="shared" si="6"/>
        <v>0</v>
      </c>
    </row>
    <row r="173" spans="2:17" hidden="1" outlineLevel="1" x14ac:dyDescent="0.25">
      <c r="B173" s="11"/>
      <c r="C173" s="54" t="s">
        <v>76</v>
      </c>
      <c r="D173" s="5">
        <f>January!AJ185</f>
        <v>0</v>
      </c>
      <c r="E173" s="5">
        <f>February!AJ173</f>
        <v>0</v>
      </c>
      <c r="F173" s="5">
        <f>March!AJ173</f>
        <v>0</v>
      </c>
      <c r="G173" s="5">
        <f>April!AJ173</f>
        <v>0</v>
      </c>
      <c r="H173" s="5">
        <f>May!AJ173</f>
        <v>0</v>
      </c>
      <c r="I173" s="5">
        <f>June!AJ173</f>
        <v>0</v>
      </c>
      <c r="J173" s="5">
        <f>July!AJ173</f>
        <v>0</v>
      </c>
      <c r="K173" s="5">
        <f>August!AJ173</f>
        <v>0</v>
      </c>
      <c r="L173" s="5">
        <f>September!AJ173</f>
        <v>0</v>
      </c>
      <c r="M173" s="5">
        <f>October!AJ173</f>
        <v>0</v>
      </c>
      <c r="N173" s="5">
        <f>November!AJ173</f>
        <v>0</v>
      </c>
      <c r="O173" s="5">
        <f>December!AJ173</f>
        <v>0</v>
      </c>
      <c r="Q173" s="25">
        <f t="shared" si="6"/>
        <v>0</v>
      </c>
    </row>
    <row r="174" spans="2:17" ht="15.75" hidden="1" outlineLevel="1" thickBot="1" x14ac:dyDescent="0.3">
      <c r="B174" s="11"/>
      <c r="C174" s="9" t="s">
        <v>3</v>
      </c>
      <c r="D174" s="8">
        <f>January!AJ186</f>
        <v>0</v>
      </c>
      <c r="E174" s="8">
        <f>February!AJ174</f>
        <v>0</v>
      </c>
      <c r="F174" s="8">
        <f>March!AJ174</f>
        <v>0</v>
      </c>
      <c r="G174" s="8">
        <f>April!AJ174</f>
        <v>0</v>
      </c>
      <c r="H174" s="8">
        <f>May!AJ174</f>
        <v>0</v>
      </c>
      <c r="I174" s="8">
        <f>June!AJ174</f>
        <v>0</v>
      </c>
      <c r="J174" s="8">
        <f>July!AJ174</f>
        <v>0</v>
      </c>
      <c r="K174" s="8">
        <f>August!AJ174</f>
        <v>0</v>
      </c>
      <c r="L174" s="8">
        <f>September!AJ174</f>
        <v>0</v>
      </c>
      <c r="M174" s="8">
        <f>October!AJ174</f>
        <v>0</v>
      </c>
      <c r="N174" s="8">
        <f>November!AJ174</f>
        <v>0</v>
      </c>
      <c r="O174" s="8">
        <f>December!AJ174</f>
        <v>0</v>
      </c>
      <c r="Q174" s="26">
        <f t="shared" si="6"/>
        <v>0</v>
      </c>
    </row>
    <row r="175" spans="2:17" ht="16.5" collapsed="1" thickTop="1" thickBot="1" x14ac:dyDescent="0.3">
      <c r="B175" s="13"/>
      <c r="C175" t="s">
        <v>0</v>
      </c>
      <c r="D175" s="2">
        <f>January!AJ187</f>
        <v>0</v>
      </c>
      <c r="E175" s="2">
        <f>February!AJ175</f>
        <v>0</v>
      </c>
      <c r="F175" s="2">
        <f>March!AJ175</f>
        <v>0</v>
      </c>
      <c r="G175" s="2">
        <f>April!AJ175</f>
        <v>0</v>
      </c>
      <c r="H175" s="2">
        <f>May!AJ175</f>
        <v>0</v>
      </c>
      <c r="I175" s="2">
        <f>June!AJ175</f>
        <v>0</v>
      </c>
      <c r="J175" s="2">
        <f>July!AJ175</f>
        <v>0</v>
      </c>
      <c r="K175" s="2">
        <f>August!AJ175</f>
        <v>0</v>
      </c>
      <c r="L175" s="2">
        <f>September!AJ175</f>
        <v>0</v>
      </c>
      <c r="M175" s="2">
        <f>October!AJ175</f>
        <v>0</v>
      </c>
      <c r="N175" s="2">
        <f>November!AJ175</f>
        <v>0</v>
      </c>
      <c r="O175" s="2">
        <f>December!AJ175</f>
        <v>0</v>
      </c>
      <c r="Q175" s="22">
        <f t="shared" si="6"/>
        <v>0</v>
      </c>
    </row>
    <row r="176" spans="2:17" ht="15.75" hidden="1" outlineLevel="1" thickTop="1" x14ac:dyDescent="0.25">
      <c r="B176" s="10"/>
      <c r="C176" s="1" t="s">
        <v>1</v>
      </c>
      <c r="D176" s="3">
        <f>January!AJ188</f>
        <v>0</v>
      </c>
      <c r="E176" s="3">
        <f>February!AJ176</f>
        <v>0</v>
      </c>
      <c r="F176" s="3">
        <f>March!AJ176</f>
        <v>0</v>
      </c>
      <c r="G176" s="3">
        <f>April!AJ176</f>
        <v>0</v>
      </c>
      <c r="H176" s="3">
        <f>May!AJ176</f>
        <v>0</v>
      </c>
      <c r="I176" s="3">
        <f>June!AJ176</f>
        <v>0</v>
      </c>
      <c r="J176" s="3">
        <f>July!AJ176</f>
        <v>0</v>
      </c>
      <c r="K176" s="3">
        <f>August!AJ176</f>
        <v>0</v>
      </c>
      <c r="L176" s="3">
        <f>September!AJ176</f>
        <v>0</v>
      </c>
      <c r="M176" s="3">
        <f>October!AJ176</f>
        <v>0</v>
      </c>
      <c r="N176" s="3">
        <f>November!AJ176</f>
        <v>0</v>
      </c>
      <c r="O176" s="3">
        <f>December!AJ176</f>
        <v>0</v>
      </c>
      <c r="Q176" s="23">
        <f t="shared" si="6"/>
        <v>0</v>
      </c>
    </row>
    <row r="177" spans="2:17" hidden="1" outlineLevel="1" x14ac:dyDescent="0.25">
      <c r="B177" s="11"/>
      <c r="C177" s="1" t="s">
        <v>2</v>
      </c>
      <c r="D177" s="4">
        <f>January!AJ189</f>
        <v>0</v>
      </c>
      <c r="E177" s="4">
        <f>February!AJ177</f>
        <v>0</v>
      </c>
      <c r="F177" s="4">
        <f>March!AJ177</f>
        <v>0</v>
      </c>
      <c r="G177" s="4">
        <f>April!AJ177</f>
        <v>0</v>
      </c>
      <c r="H177" s="4">
        <f>May!AJ177</f>
        <v>0</v>
      </c>
      <c r="I177" s="4">
        <f>June!AJ177</f>
        <v>0</v>
      </c>
      <c r="J177" s="4">
        <f>July!AJ177</f>
        <v>0</v>
      </c>
      <c r="K177" s="4">
        <f>August!AJ177</f>
        <v>0</v>
      </c>
      <c r="L177" s="4">
        <f>September!AJ177</f>
        <v>0</v>
      </c>
      <c r="M177" s="4">
        <f>October!AJ177</f>
        <v>0</v>
      </c>
      <c r="N177" s="4">
        <f>November!AJ177</f>
        <v>0</v>
      </c>
      <c r="O177" s="4">
        <f>December!AJ177</f>
        <v>0</v>
      </c>
      <c r="Q177" s="24">
        <f t="shared" si="6"/>
        <v>0</v>
      </c>
    </row>
    <row r="178" spans="2:17" hidden="1" outlineLevel="1" x14ac:dyDescent="0.25">
      <c r="B178" s="11"/>
      <c r="C178" s="54" t="s">
        <v>76</v>
      </c>
      <c r="D178" s="5">
        <f>January!AJ190</f>
        <v>0</v>
      </c>
      <c r="E178" s="5">
        <f>February!AJ178</f>
        <v>0</v>
      </c>
      <c r="F178" s="5">
        <f>March!AJ178</f>
        <v>0</v>
      </c>
      <c r="G178" s="5">
        <f>April!AJ178</f>
        <v>0</v>
      </c>
      <c r="H178" s="5">
        <f>May!AJ178</f>
        <v>0</v>
      </c>
      <c r="I178" s="5">
        <f>June!AJ178</f>
        <v>0</v>
      </c>
      <c r="J178" s="5">
        <f>July!AJ178</f>
        <v>0</v>
      </c>
      <c r="K178" s="5">
        <f>August!AJ178</f>
        <v>0</v>
      </c>
      <c r="L178" s="5">
        <f>September!AJ178</f>
        <v>0</v>
      </c>
      <c r="M178" s="5">
        <f>October!AJ178</f>
        <v>0</v>
      </c>
      <c r="N178" s="5">
        <f>November!AJ178</f>
        <v>0</v>
      </c>
      <c r="O178" s="5">
        <f>December!AJ178</f>
        <v>0</v>
      </c>
      <c r="Q178" s="25">
        <f t="shared" si="6"/>
        <v>0</v>
      </c>
    </row>
    <row r="179" spans="2:17" ht="15.75" hidden="1" outlineLevel="1" thickBot="1" x14ac:dyDescent="0.3">
      <c r="B179" s="11"/>
      <c r="C179" s="9" t="s">
        <v>3</v>
      </c>
      <c r="D179" s="8">
        <f>January!AJ191</f>
        <v>0</v>
      </c>
      <c r="E179" s="8">
        <f>February!AJ179</f>
        <v>0</v>
      </c>
      <c r="F179" s="8">
        <f>March!AJ179</f>
        <v>0</v>
      </c>
      <c r="G179" s="8">
        <f>April!AJ179</f>
        <v>0</v>
      </c>
      <c r="H179" s="8">
        <f>May!AJ179</f>
        <v>0</v>
      </c>
      <c r="I179" s="8">
        <f>June!AJ179</f>
        <v>0</v>
      </c>
      <c r="J179" s="8">
        <f>July!AJ179</f>
        <v>0</v>
      </c>
      <c r="K179" s="8">
        <f>August!AJ179</f>
        <v>0</v>
      </c>
      <c r="L179" s="8">
        <f>September!AJ179</f>
        <v>0</v>
      </c>
      <c r="M179" s="8">
        <f>October!AJ179</f>
        <v>0</v>
      </c>
      <c r="N179" s="8">
        <f>November!AJ179</f>
        <v>0</v>
      </c>
      <c r="O179" s="8">
        <f>December!AJ179</f>
        <v>0</v>
      </c>
      <c r="Q179" s="26">
        <f t="shared" si="6"/>
        <v>0</v>
      </c>
    </row>
    <row r="180" spans="2:17" ht="16.5" collapsed="1" thickTop="1" thickBot="1" x14ac:dyDescent="0.3">
      <c r="B180" s="13"/>
      <c r="C180" t="s">
        <v>0</v>
      </c>
      <c r="D180" s="2">
        <f>January!AJ192</f>
        <v>0</v>
      </c>
      <c r="E180" s="2">
        <f>February!AJ180</f>
        <v>0</v>
      </c>
      <c r="F180" s="2">
        <f>March!AJ180</f>
        <v>0</v>
      </c>
      <c r="G180" s="2">
        <f>April!AJ180</f>
        <v>0</v>
      </c>
      <c r="H180" s="2">
        <f>May!AJ180</f>
        <v>0</v>
      </c>
      <c r="I180" s="2">
        <f>June!AJ180</f>
        <v>0</v>
      </c>
      <c r="J180" s="2">
        <f>July!AJ180</f>
        <v>0</v>
      </c>
      <c r="K180" s="2">
        <f>August!AJ180</f>
        <v>0</v>
      </c>
      <c r="L180" s="2">
        <f>September!AJ180</f>
        <v>0</v>
      </c>
      <c r="M180" s="2">
        <f>October!AJ180</f>
        <v>0</v>
      </c>
      <c r="N180" s="2">
        <f>November!AJ180</f>
        <v>0</v>
      </c>
      <c r="O180" s="2">
        <f>December!AJ180</f>
        <v>0</v>
      </c>
      <c r="Q180" s="22">
        <f t="shared" ref="Q180:Q184" si="7">SUM(D180:O180)</f>
        <v>0</v>
      </c>
    </row>
    <row r="181" spans="2:17" ht="15.75" hidden="1" outlineLevel="1" thickTop="1" x14ac:dyDescent="0.25">
      <c r="B181" s="10"/>
      <c r="C181" s="1" t="s">
        <v>1</v>
      </c>
      <c r="D181" s="3">
        <f>January!AJ193</f>
        <v>0</v>
      </c>
      <c r="E181" s="3">
        <f>February!AJ181</f>
        <v>0</v>
      </c>
      <c r="F181" s="3">
        <f>March!AJ181</f>
        <v>0</v>
      </c>
      <c r="G181" s="3">
        <f>April!AJ181</f>
        <v>0</v>
      </c>
      <c r="H181" s="3">
        <f>May!AJ181</f>
        <v>0</v>
      </c>
      <c r="I181" s="3">
        <f>June!AJ181</f>
        <v>0</v>
      </c>
      <c r="J181" s="3">
        <f>July!AJ181</f>
        <v>0</v>
      </c>
      <c r="K181" s="3">
        <f>August!AJ181</f>
        <v>0</v>
      </c>
      <c r="L181" s="3">
        <f>September!AJ181</f>
        <v>0</v>
      </c>
      <c r="M181" s="3">
        <f>October!AJ181</f>
        <v>0</v>
      </c>
      <c r="N181" s="3">
        <f>November!AJ181</f>
        <v>0</v>
      </c>
      <c r="O181" s="3">
        <f>December!AJ181</f>
        <v>0</v>
      </c>
      <c r="Q181" s="23">
        <f t="shared" si="7"/>
        <v>0</v>
      </c>
    </row>
    <row r="182" spans="2:17" hidden="1" outlineLevel="1" x14ac:dyDescent="0.25">
      <c r="B182" s="11"/>
      <c r="C182" s="1" t="s">
        <v>2</v>
      </c>
      <c r="D182" s="4">
        <f>January!AJ194</f>
        <v>0</v>
      </c>
      <c r="E182" s="4">
        <f>February!AJ182</f>
        <v>0</v>
      </c>
      <c r="F182" s="4">
        <f>March!AJ182</f>
        <v>0</v>
      </c>
      <c r="G182" s="4">
        <f>April!AJ182</f>
        <v>0</v>
      </c>
      <c r="H182" s="4">
        <f>May!AJ182</f>
        <v>0</v>
      </c>
      <c r="I182" s="4">
        <f>June!AJ182</f>
        <v>0</v>
      </c>
      <c r="J182" s="4">
        <f>July!AJ182</f>
        <v>0</v>
      </c>
      <c r="K182" s="4">
        <f>August!AJ182</f>
        <v>0</v>
      </c>
      <c r="L182" s="4">
        <f>September!AJ182</f>
        <v>0</v>
      </c>
      <c r="M182" s="4">
        <f>October!AJ182</f>
        <v>0</v>
      </c>
      <c r="N182" s="4">
        <f>November!AJ182</f>
        <v>0</v>
      </c>
      <c r="O182" s="4">
        <f>December!AJ182</f>
        <v>0</v>
      </c>
      <c r="Q182" s="24">
        <f t="shared" si="7"/>
        <v>0</v>
      </c>
    </row>
    <row r="183" spans="2:17" hidden="1" outlineLevel="1" x14ac:dyDescent="0.25">
      <c r="B183" s="11"/>
      <c r="C183" s="54" t="s">
        <v>76</v>
      </c>
      <c r="D183" s="5">
        <f>January!AJ195</f>
        <v>0</v>
      </c>
      <c r="E183" s="5">
        <f>February!AJ183</f>
        <v>0</v>
      </c>
      <c r="F183" s="5">
        <f>March!AJ183</f>
        <v>0</v>
      </c>
      <c r="G183" s="5">
        <f>April!AJ183</f>
        <v>0</v>
      </c>
      <c r="H183" s="5">
        <f>May!AJ183</f>
        <v>0</v>
      </c>
      <c r="I183" s="5">
        <f>June!AJ183</f>
        <v>0</v>
      </c>
      <c r="J183" s="5">
        <f>July!AJ183</f>
        <v>0</v>
      </c>
      <c r="K183" s="5">
        <f>August!AJ183</f>
        <v>0</v>
      </c>
      <c r="L183" s="5">
        <f>September!AJ183</f>
        <v>0</v>
      </c>
      <c r="M183" s="5">
        <f>October!AJ183</f>
        <v>0</v>
      </c>
      <c r="N183" s="5">
        <f>November!AJ183</f>
        <v>0</v>
      </c>
      <c r="O183" s="5">
        <f>December!AJ183</f>
        <v>0</v>
      </c>
      <c r="Q183" s="25">
        <f t="shared" si="7"/>
        <v>0</v>
      </c>
    </row>
    <row r="184" spans="2:17" ht="15.75" hidden="1" outlineLevel="1" thickBot="1" x14ac:dyDescent="0.3">
      <c r="B184" s="11"/>
      <c r="C184" s="9" t="s">
        <v>3</v>
      </c>
      <c r="D184" s="8">
        <f>January!AJ196</f>
        <v>0</v>
      </c>
      <c r="E184" s="8">
        <f>February!AJ184</f>
        <v>0</v>
      </c>
      <c r="F184" s="8">
        <f>March!AJ184</f>
        <v>0</v>
      </c>
      <c r="G184" s="8">
        <f>April!AJ184</f>
        <v>0</v>
      </c>
      <c r="H184" s="8">
        <f>May!AJ184</f>
        <v>0</v>
      </c>
      <c r="I184" s="8">
        <f>June!AJ184</f>
        <v>0</v>
      </c>
      <c r="J184" s="8">
        <f>July!AJ184</f>
        <v>0</v>
      </c>
      <c r="K184" s="8">
        <f>August!AJ184</f>
        <v>0</v>
      </c>
      <c r="L184" s="8">
        <f>September!AJ184</f>
        <v>0</v>
      </c>
      <c r="M184" s="8">
        <f>October!AJ184</f>
        <v>0</v>
      </c>
      <c r="N184" s="8">
        <f>November!AJ184</f>
        <v>0</v>
      </c>
      <c r="O184" s="8">
        <f>December!AJ184</f>
        <v>0</v>
      </c>
      <c r="Q184" s="26">
        <f t="shared" si="7"/>
        <v>0</v>
      </c>
    </row>
    <row r="185" spans="2:17" ht="16.5" collapsed="1" thickTop="1" thickBot="1" x14ac:dyDescent="0.3">
      <c r="B185" s="13"/>
      <c r="C185" t="s">
        <v>0</v>
      </c>
      <c r="D185" s="2">
        <f>January!AJ197</f>
        <v>0</v>
      </c>
      <c r="E185" s="2">
        <f>February!AJ185</f>
        <v>0</v>
      </c>
      <c r="F185" s="2">
        <f>March!AJ185</f>
        <v>0</v>
      </c>
      <c r="G185" s="2">
        <f>April!AJ185</f>
        <v>0</v>
      </c>
      <c r="H185" s="2">
        <f>May!AJ185</f>
        <v>0</v>
      </c>
      <c r="I185" s="2">
        <f>June!AJ185</f>
        <v>0</v>
      </c>
      <c r="J185" s="2">
        <f>July!AJ185</f>
        <v>0</v>
      </c>
      <c r="K185" s="2">
        <f>August!AJ185</f>
        <v>0</v>
      </c>
      <c r="L185" s="2">
        <f>September!AJ185</f>
        <v>0</v>
      </c>
      <c r="M185" s="2">
        <f>October!AJ185</f>
        <v>0</v>
      </c>
      <c r="N185" s="2">
        <f>November!AJ185</f>
        <v>0</v>
      </c>
      <c r="O185" s="2">
        <f>December!AJ185</f>
        <v>0</v>
      </c>
      <c r="Q185" s="22">
        <f t="shared" ref="Q185:Q189" si="8">SUM(D185:O185)</f>
        <v>0</v>
      </c>
    </row>
    <row r="186" spans="2:17" ht="15.75" hidden="1" outlineLevel="1" thickTop="1" x14ac:dyDescent="0.25">
      <c r="B186" s="10"/>
      <c r="C186" s="1" t="s">
        <v>1</v>
      </c>
      <c r="D186" s="3">
        <f>January!AJ198</f>
        <v>0</v>
      </c>
      <c r="E186" s="3">
        <f>February!AJ186</f>
        <v>0</v>
      </c>
      <c r="F186" s="3">
        <f>March!AJ186</f>
        <v>0</v>
      </c>
      <c r="G186" s="3">
        <f>April!AJ186</f>
        <v>0</v>
      </c>
      <c r="H186" s="3">
        <f>May!AJ186</f>
        <v>0</v>
      </c>
      <c r="I186" s="3">
        <f>June!AJ186</f>
        <v>0</v>
      </c>
      <c r="J186" s="3">
        <f>July!AJ186</f>
        <v>0</v>
      </c>
      <c r="K186" s="3">
        <f>August!AJ186</f>
        <v>0</v>
      </c>
      <c r="L186" s="3">
        <f>September!AJ186</f>
        <v>0</v>
      </c>
      <c r="M186" s="3">
        <f>October!AJ186</f>
        <v>0</v>
      </c>
      <c r="N186" s="3">
        <f>November!AJ186</f>
        <v>0</v>
      </c>
      <c r="O186" s="3">
        <f>December!AJ186</f>
        <v>0</v>
      </c>
      <c r="Q186" s="23">
        <f t="shared" si="8"/>
        <v>0</v>
      </c>
    </row>
    <row r="187" spans="2:17" hidden="1" outlineLevel="1" x14ac:dyDescent="0.25">
      <c r="B187" s="11"/>
      <c r="C187" s="1" t="s">
        <v>2</v>
      </c>
      <c r="D187" s="4">
        <f>January!AJ199</f>
        <v>0</v>
      </c>
      <c r="E187" s="4">
        <f>February!AJ187</f>
        <v>0</v>
      </c>
      <c r="F187" s="4">
        <f>March!AJ187</f>
        <v>0</v>
      </c>
      <c r="G187" s="4">
        <f>April!AJ187</f>
        <v>0</v>
      </c>
      <c r="H187" s="4">
        <f>May!AJ187</f>
        <v>0</v>
      </c>
      <c r="I187" s="4">
        <f>June!AJ187</f>
        <v>0</v>
      </c>
      <c r="J187" s="4">
        <f>July!AJ187</f>
        <v>0</v>
      </c>
      <c r="K187" s="4">
        <f>August!AJ187</f>
        <v>0</v>
      </c>
      <c r="L187" s="4">
        <f>September!AJ187</f>
        <v>0</v>
      </c>
      <c r="M187" s="4">
        <f>October!AJ187</f>
        <v>0</v>
      </c>
      <c r="N187" s="4">
        <f>November!AJ187</f>
        <v>0</v>
      </c>
      <c r="O187" s="4">
        <f>December!AJ187</f>
        <v>0</v>
      </c>
      <c r="Q187" s="24">
        <f t="shared" si="8"/>
        <v>0</v>
      </c>
    </row>
    <row r="188" spans="2:17" hidden="1" outlineLevel="1" x14ac:dyDescent="0.25">
      <c r="B188" s="11"/>
      <c r="C188" s="54" t="s">
        <v>76</v>
      </c>
      <c r="D188" s="5">
        <f>January!AJ200</f>
        <v>0</v>
      </c>
      <c r="E188" s="5">
        <f>February!AJ188</f>
        <v>0</v>
      </c>
      <c r="F188" s="5">
        <f>March!AJ188</f>
        <v>0</v>
      </c>
      <c r="G188" s="5">
        <f>April!AJ188</f>
        <v>0</v>
      </c>
      <c r="H188" s="5">
        <f>May!AJ188</f>
        <v>0</v>
      </c>
      <c r="I188" s="5">
        <f>June!AJ188</f>
        <v>0</v>
      </c>
      <c r="J188" s="5">
        <f>July!AJ188</f>
        <v>0</v>
      </c>
      <c r="K188" s="5">
        <f>August!AJ188</f>
        <v>0</v>
      </c>
      <c r="L188" s="5">
        <f>September!AJ188</f>
        <v>0</v>
      </c>
      <c r="M188" s="5">
        <f>October!AJ188</f>
        <v>0</v>
      </c>
      <c r="N188" s="5">
        <f>November!AJ188</f>
        <v>0</v>
      </c>
      <c r="O188" s="5">
        <f>December!AJ188</f>
        <v>0</v>
      </c>
      <c r="Q188" s="25">
        <f t="shared" si="8"/>
        <v>0</v>
      </c>
    </row>
    <row r="189" spans="2:17" ht="15.75" hidden="1" outlineLevel="1" thickBot="1" x14ac:dyDescent="0.3">
      <c r="B189" s="11"/>
      <c r="C189" s="9" t="s">
        <v>3</v>
      </c>
      <c r="D189" s="8">
        <f>January!AJ201</f>
        <v>0</v>
      </c>
      <c r="E189" s="8">
        <f>February!AJ189</f>
        <v>0</v>
      </c>
      <c r="F189" s="8">
        <f>March!AJ189</f>
        <v>0</v>
      </c>
      <c r="G189" s="8">
        <f>April!AJ189</f>
        <v>0</v>
      </c>
      <c r="H189" s="8">
        <f>May!AJ189</f>
        <v>0</v>
      </c>
      <c r="I189" s="8">
        <f>June!AJ189</f>
        <v>0</v>
      </c>
      <c r="J189" s="8">
        <f>July!AJ189</f>
        <v>0</v>
      </c>
      <c r="K189" s="8">
        <f>August!AJ189</f>
        <v>0</v>
      </c>
      <c r="L189" s="8">
        <f>September!AJ189</f>
        <v>0</v>
      </c>
      <c r="M189" s="8">
        <f>October!AJ189</f>
        <v>0</v>
      </c>
      <c r="N189" s="8">
        <f>November!AJ189</f>
        <v>0</v>
      </c>
      <c r="O189" s="8">
        <f>December!AJ189</f>
        <v>0</v>
      </c>
      <c r="Q189" s="26">
        <f t="shared" si="8"/>
        <v>0</v>
      </c>
    </row>
    <row r="190" spans="2:17" ht="16.5" collapsed="1" thickTop="1" thickBot="1" x14ac:dyDescent="0.3">
      <c r="B190" s="13"/>
      <c r="C190" t="s">
        <v>0</v>
      </c>
      <c r="D190" s="2">
        <f>January!AJ202</f>
        <v>0</v>
      </c>
      <c r="E190" s="2">
        <f>February!AJ190</f>
        <v>0</v>
      </c>
      <c r="F190" s="2">
        <f>March!AJ190</f>
        <v>0</v>
      </c>
      <c r="G190" s="2">
        <f>April!AJ190</f>
        <v>0</v>
      </c>
      <c r="H190" s="2">
        <f>May!AJ190</f>
        <v>0</v>
      </c>
      <c r="I190" s="2">
        <f>June!AJ190</f>
        <v>0</v>
      </c>
      <c r="J190" s="2">
        <f>July!AJ190</f>
        <v>0</v>
      </c>
      <c r="K190" s="2">
        <f>August!AJ190</f>
        <v>0</v>
      </c>
      <c r="L190" s="2">
        <f>September!AJ190</f>
        <v>0</v>
      </c>
      <c r="M190" s="2">
        <f>October!AJ190</f>
        <v>0</v>
      </c>
      <c r="N190" s="2">
        <f>November!AJ190</f>
        <v>0</v>
      </c>
      <c r="O190" s="2">
        <f>December!AJ190</f>
        <v>0</v>
      </c>
      <c r="Q190" s="22">
        <f t="shared" ref="Q190:Q204" si="9">SUM(D190:O190)</f>
        <v>0</v>
      </c>
    </row>
    <row r="191" spans="2:17" ht="15.75" hidden="1" outlineLevel="1" thickTop="1" x14ac:dyDescent="0.25">
      <c r="B191" s="10"/>
      <c r="C191" s="1" t="s">
        <v>1</v>
      </c>
      <c r="D191" s="3">
        <f>January!AJ203</f>
        <v>0</v>
      </c>
      <c r="E191" s="3">
        <f>February!AJ191</f>
        <v>0</v>
      </c>
      <c r="F191" s="3">
        <f>March!AJ191</f>
        <v>0</v>
      </c>
      <c r="G191" s="3">
        <f>April!AJ191</f>
        <v>0</v>
      </c>
      <c r="H191" s="3">
        <f>May!AJ191</f>
        <v>0</v>
      </c>
      <c r="I191" s="3">
        <f>June!AJ191</f>
        <v>0</v>
      </c>
      <c r="J191" s="3">
        <f>July!AJ191</f>
        <v>0</v>
      </c>
      <c r="K191" s="3">
        <f>August!AJ191</f>
        <v>0</v>
      </c>
      <c r="L191" s="3">
        <f>September!AJ191</f>
        <v>0</v>
      </c>
      <c r="M191" s="3">
        <f>October!AJ191</f>
        <v>0</v>
      </c>
      <c r="N191" s="3">
        <f>November!AJ191</f>
        <v>0</v>
      </c>
      <c r="O191" s="3">
        <f>December!AJ191</f>
        <v>0</v>
      </c>
      <c r="Q191" s="23">
        <f t="shared" si="9"/>
        <v>0</v>
      </c>
    </row>
    <row r="192" spans="2:17" hidden="1" outlineLevel="1" x14ac:dyDescent="0.25">
      <c r="B192" s="11"/>
      <c r="C192" s="1" t="s">
        <v>2</v>
      </c>
      <c r="D192" s="4">
        <f>January!AJ204</f>
        <v>0</v>
      </c>
      <c r="E192" s="4">
        <f>February!AJ192</f>
        <v>0</v>
      </c>
      <c r="F192" s="4">
        <f>March!AJ192</f>
        <v>0</v>
      </c>
      <c r="G192" s="4">
        <f>April!AJ192</f>
        <v>0</v>
      </c>
      <c r="H192" s="4">
        <f>May!AJ192</f>
        <v>0</v>
      </c>
      <c r="I192" s="4">
        <f>June!AJ192</f>
        <v>0</v>
      </c>
      <c r="J192" s="4">
        <f>July!AJ192</f>
        <v>0</v>
      </c>
      <c r="K192" s="4">
        <f>August!AJ192</f>
        <v>0</v>
      </c>
      <c r="L192" s="4">
        <f>September!AJ192</f>
        <v>0</v>
      </c>
      <c r="M192" s="4">
        <f>October!AJ192</f>
        <v>0</v>
      </c>
      <c r="N192" s="4">
        <f>November!AJ192</f>
        <v>0</v>
      </c>
      <c r="O192" s="4">
        <f>December!AJ192</f>
        <v>0</v>
      </c>
      <c r="Q192" s="24">
        <f t="shared" si="9"/>
        <v>0</v>
      </c>
    </row>
    <row r="193" spans="2:22" hidden="1" outlineLevel="1" x14ac:dyDescent="0.25">
      <c r="B193" s="11"/>
      <c r="C193" s="54" t="s">
        <v>76</v>
      </c>
      <c r="D193" s="5">
        <f>January!AJ205</f>
        <v>0</v>
      </c>
      <c r="E193" s="5">
        <f>February!AJ193</f>
        <v>0</v>
      </c>
      <c r="F193" s="5">
        <f>March!AJ193</f>
        <v>0</v>
      </c>
      <c r="G193" s="5">
        <f>April!AJ193</f>
        <v>0</v>
      </c>
      <c r="H193" s="5">
        <f>May!AJ193</f>
        <v>0</v>
      </c>
      <c r="I193" s="5">
        <f>June!AJ193</f>
        <v>0</v>
      </c>
      <c r="J193" s="5">
        <f>July!AJ193</f>
        <v>0</v>
      </c>
      <c r="K193" s="5">
        <f>August!AJ193</f>
        <v>0</v>
      </c>
      <c r="L193" s="5">
        <f>September!AJ193</f>
        <v>0</v>
      </c>
      <c r="M193" s="5">
        <f>October!AJ193</f>
        <v>0</v>
      </c>
      <c r="N193" s="5">
        <f>November!AJ193</f>
        <v>0</v>
      </c>
      <c r="O193" s="5">
        <f>December!AJ193</f>
        <v>0</v>
      </c>
      <c r="Q193" s="25">
        <f t="shared" si="9"/>
        <v>0</v>
      </c>
    </row>
    <row r="194" spans="2:22" ht="15.75" hidden="1" outlineLevel="1" thickBot="1" x14ac:dyDescent="0.3">
      <c r="B194" s="11"/>
      <c r="C194" s="9" t="s">
        <v>3</v>
      </c>
      <c r="D194" s="8">
        <f>January!AJ206</f>
        <v>0</v>
      </c>
      <c r="E194" s="8">
        <f>February!AJ194</f>
        <v>0</v>
      </c>
      <c r="F194" s="8">
        <f>March!AJ194</f>
        <v>0</v>
      </c>
      <c r="G194" s="8">
        <f>April!AJ194</f>
        <v>0</v>
      </c>
      <c r="H194" s="8">
        <f>May!AJ194</f>
        <v>0</v>
      </c>
      <c r="I194" s="8">
        <f>June!AJ194</f>
        <v>0</v>
      </c>
      <c r="J194" s="8">
        <f>July!AJ194</f>
        <v>0</v>
      </c>
      <c r="K194" s="8">
        <f>August!AJ194</f>
        <v>0</v>
      </c>
      <c r="L194" s="8">
        <f>September!AJ194</f>
        <v>0</v>
      </c>
      <c r="M194" s="8">
        <f>October!AJ194</f>
        <v>0</v>
      </c>
      <c r="N194" s="8">
        <f>November!AJ194</f>
        <v>0</v>
      </c>
      <c r="O194" s="8">
        <f>December!AJ194</f>
        <v>0</v>
      </c>
      <c r="Q194" s="26">
        <f t="shared" si="9"/>
        <v>0</v>
      </c>
    </row>
    <row r="195" spans="2:22" ht="16.5" collapsed="1" thickTop="1" thickBot="1" x14ac:dyDescent="0.3">
      <c r="B195" s="13"/>
      <c r="C195" t="s">
        <v>0</v>
      </c>
      <c r="D195" s="2">
        <f>January!AJ207</f>
        <v>0</v>
      </c>
      <c r="E195" s="2">
        <f>February!AJ195</f>
        <v>0</v>
      </c>
      <c r="F195" s="2">
        <f>March!AJ195</f>
        <v>0</v>
      </c>
      <c r="G195" s="2">
        <f>April!AJ195</f>
        <v>0</v>
      </c>
      <c r="H195" s="2">
        <f>May!AJ195</f>
        <v>0</v>
      </c>
      <c r="I195" s="2">
        <f>June!AJ195</f>
        <v>0</v>
      </c>
      <c r="J195" s="2">
        <f>July!AJ195</f>
        <v>0</v>
      </c>
      <c r="K195" s="2">
        <f>August!AJ195</f>
        <v>0</v>
      </c>
      <c r="L195" s="2">
        <f>September!AJ195</f>
        <v>0</v>
      </c>
      <c r="M195" s="2">
        <f>October!AJ195</f>
        <v>0</v>
      </c>
      <c r="N195" s="2">
        <f>November!AJ195</f>
        <v>0</v>
      </c>
      <c r="O195" s="2">
        <f>December!AJ195</f>
        <v>0</v>
      </c>
      <c r="Q195" s="22">
        <f t="shared" si="9"/>
        <v>0</v>
      </c>
    </row>
    <row r="196" spans="2:22" ht="15.75" hidden="1" outlineLevel="1" thickTop="1" x14ac:dyDescent="0.25">
      <c r="B196" s="10"/>
      <c r="C196" s="1" t="s">
        <v>1</v>
      </c>
      <c r="D196" s="3">
        <f>January!AJ208</f>
        <v>0</v>
      </c>
      <c r="E196" s="3">
        <f>February!AJ196</f>
        <v>0</v>
      </c>
      <c r="F196" s="3">
        <f>March!AJ196</f>
        <v>0</v>
      </c>
      <c r="G196" s="3">
        <f>April!AJ196</f>
        <v>0</v>
      </c>
      <c r="H196" s="3">
        <f>May!AJ196</f>
        <v>0</v>
      </c>
      <c r="I196" s="3">
        <f>June!AJ196</f>
        <v>0</v>
      </c>
      <c r="J196" s="3">
        <f>July!AJ196</f>
        <v>0</v>
      </c>
      <c r="K196" s="3">
        <f>August!AJ196</f>
        <v>0</v>
      </c>
      <c r="L196" s="3">
        <f>September!AJ196</f>
        <v>0</v>
      </c>
      <c r="M196" s="3">
        <f>October!AJ196</f>
        <v>0</v>
      </c>
      <c r="N196" s="3">
        <f>November!AJ196</f>
        <v>0</v>
      </c>
      <c r="O196" s="3">
        <f>December!AJ196</f>
        <v>0</v>
      </c>
      <c r="Q196" s="23">
        <f t="shared" si="9"/>
        <v>0</v>
      </c>
    </row>
    <row r="197" spans="2:22" hidden="1" outlineLevel="1" x14ac:dyDescent="0.25">
      <c r="B197" s="11"/>
      <c r="C197" s="1" t="s">
        <v>2</v>
      </c>
      <c r="D197" s="4">
        <f>January!AJ209</f>
        <v>0</v>
      </c>
      <c r="E197" s="4">
        <f>February!AJ197</f>
        <v>0</v>
      </c>
      <c r="F197" s="4">
        <f>March!AJ197</f>
        <v>0</v>
      </c>
      <c r="G197" s="4">
        <f>April!AJ197</f>
        <v>0</v>
      </c>
      <c r="H197" s="4">
        <f>May!AJ197</f>
        <v>0</v>
      </c>
      <c r="I197" s="4">
        <f>June!AJ197</f>
        <v>0</v>
      </c>
      <c r="J197" s="4">
        <f>July!AJ197</f>
        <v>0</v>
      </c>
      <c r="K197" s="4">
        <f>August!AJ197</f>
        <v>0</v>
      </c>
      <c r="L197" s="4">
        <f>September!AJ197</f>
        <v>0</v>
      </c>
      <c r="M197" s="4">
        <f>October!AJ197</f>
        <v>0</v>
      </c>
      <c r="N197" s="4">
        <f>November!AJ197</f>
        <v>0</v>
      </c>
      <c r="O197" s="4">
        <f>December!AJ197</f>
        <v>0</v>
      </c>
      <c r="Q197" s="24">
        <f t="shared" si="9"/>
        <v>0</v>
      </c>
    </row>
    <row r="198" spans="2:22" hidden="1" outlineLevel="1" x14ac:dyDescent="0.25">
      <c r="B198" s="11"/>
      <c r="C198" s="54" t="s">
        <v>76</v>
      </c>
      <c r="D198" s="5">
        <f>January!AJ210</f>
        <v>0</v>
      </c>
      <c r="E198" s="5">
        <f>February!AJ198</f>
        <v>0</v>
      </c>
      <c r="F198" s="5">
        <f>March!AJ198</f>
        <v>0</v>
      </c>
      <c r="G198" s="5">
        <f>April!AJ198</f>
        <v>0</v>
      </c>
      <c r="H198" s="5">
        <f>May!AJ198</f>
        <v>0</v>
      </c>
      <c r="I198" s="5">
        <f>June!AJ198</f>
        <v>0</v>
      </c>
      <c r="J198" s="5">
        <f>July!AJ198</f>
        <v>0</v>
      </c>
      <c r="K198" s="5">
        <f>August!AJ198</f>
        <v>0</v>
      </c>
      <c r="L198" s="5">
        <f>September!AJ198</f>
        <v>0</v>
      </c>
      <c r="M198" s="5">
        <f>October!AJ198</f>
        <v>0</v>
      </c>
      <c r="N198" s="5">
        <f>November!AJ198</f>
        <v>0</v>
      </c>
      <c r="O198" s="5">
        <f>December!AJ198</f>
        <v>0</v>
      </c>
      <c r="Q198" s="25">
        <f t="shared" si="9"/>
        <v>0</v>
      </c>
    </row>
    <row r="199" spans="2:22" ht="15.75" hidden="1" outlineLevel="1" thickBot="1" x14ac:dyDescent="0.3">
      <c r="B199" s="11"/>
      <c r="C199" s="9" t="s">
        <v>3</v>
      </c>
      <c r="D199" s="8">
        <f>January!AJ211</f>
        <v>0</v>
      </c>
      <c r="E199" s="8">
        <f>February!AJ199</f>
        <v>0</v>
      </c>
      <c r="F199" s="8">
        <f>March!AJ199</f>
        <v>0</v>
      </c>
      <c r="G199" s="8">
        <f>April!AJ199</f>
        <v>0</v>
      </c>
      <c r="H199" s="8">
        <f>May!AJ199</f>
        <v>0</v>
      </c>
      <c r="I199" s="8">
        <f>June!AJ199</f>
        <v>0</v>
      </c>
      <c r="J199" s="8">
        <f>July!AJ199</f>
        <v>0</v>
      </c>
      <c r="K199" s="8">
        <f>August!AJ199</f>
        <v>0</v>
      </c>
      <c r="L199" s="8">
        <f>September!AJ199</f>
        <v>0</v>
      </c>
      <c r="M199" s="8">
        <f>October!AJ199</f>
        <v>0</v>
      </c>
      <c r="N199" s="8">
        <f>November!AJ199</f>
        <v>0</v>
      </c>
      <c r="O199" s="8">
        <f>December!AJ199</f>
        <v>0</v>
      </c>
      <c r="Q199" s="26">
        <f t="shared" si="9"/>
        <v>0</v>
      </c>
    </row>
    <row r="200" spans="2:22" ht="16.5" collapsed="1" thickTop="1" thickBot="1" x14ac:dyDescent="0.3">
      <c r="B200" s="13"/>
      <c r="C200" t="s">
        <v>0</v>
      </c>
      <c r="D200" s="2">
        <f>January!AJ212</f>
        <v>0</v>
      </c>
      <c r="E200" s="2">
        <f>February!AJ200</f>
        <v>0</v>
      </c>
      <c r="F200" s="2">
        <f>March!AJ200</f>
        <v>0</v>
      </c>
      <c r="G200" s="2">
        <f>April!AJ200</f>
        <v>0</v>
      </c>
      <c r="H200" s="2">
        <f>May!AJ200</f>
        <v>0</v>
      </c>
      <c r="I200" s="2">
        <f>June!AJ200</f>
        <v>0</v>
      </c>
      <c r="J200" s="2">
        <f>July!AJ200</f>
        <v>0</v>
      </c>
      <c r="K200" s="2">
        <f>August!AJ200</f>
        <v>0</v>
      </c>
      <c r="L200" s="2">
        <f>September!AJ200</f>
        <v>0</v>
      </c>
      <c r="M200" s="2">
        <f>October!AJ200</f>
        <v>0</v>
      </c>
      <c r="N200" s="2">
        <f>November!AJ200</f>
        <v>0</v>
      </c>
      <c r="O200" s="2">
        <f>December!AJ200</f>
        <v>0</v>
      </c>
      <c r="Q200" s="22">
        <f t="shared" si="9"/>
        <v>0</v>
      </c>
    </row>
    <row r="201" spans="2:22" ht="15.75" hidden="1" outlineLevel="1" thickTop="1" x14ac:dyDescent="0.25">
      <c r="B201" s="10"/>
      <c r="C201" s="1" t="s">
        <v>1</v>
      </c>
      <c r="D201" s="3">
        <f>January!AJ213</f>
        <v>0</v>
      </c>
      <c r="E201" s="3">
        <f>February!AJ201</f>
        <v>0</v>
      </c>
      <c r="F201" s="3">
        <f>March!AJ201</f>
        <v>0</v>
      </c>
      <c r="G201" s="3">
        <f>April!AJ201</f>
        <v>0</v>
      </c>
      <c r="H201" s="3">
        <f>May!AJ201</f>
        <v>0</v>
      </c>
      <c r="I201" s="3">
        <f>June!AJ201</f>
        <v>0</v>
      </c>
      <c r="J201" s="3">
        <f>July!AJ201</f>
        <v>0</v>
      </c>
      <c r="K201" s="3">
        <f>August!AJ201</f>
        <v>0</v>
      </c>
      <c r="L201" s="3">
        <f>September!AJ201</f>
        <v>0</v>
      </c>
      <c r="M201" s="3">
        <f>October!AJ201</f>
        <v>0</v>
      </c>
      <c r="N201" s="3">
        <f>November!AJ201</f>
        <v>0</v>
      </c>
      <c r="O201" s="3">
        <f>December!AJ201</f>
        <v>0</v>
      </c>
      <c r="Q201" s="23">
        <f t="shared" si="9"/>
        <v>0</v>
      </c>
    </row>
    <row r="202" spans="2:22" hidden="1" outlineLevel="1" x14ac:dyDescent="0.25">
      <c r="B202" s="11"/>
      <c r="C202" s="1" t="s">
        <v>2</v>
      </c>
      <c r="D202" s="4">
        <f>January!AJ214</f>
        <v>0</v>
      </c>
      <c r="E202" s="4">
        <f>February!AJ202</f>
        <v>0</v>
      </c>
      <c r="F202" s="4">
        <f>March!AJ202</f>
        <v>0</v>
      </c>
      <c r="G202" s="4">
        <f>April!AJ202</f>
        <v>0</v>
      </c>
      <c r="H202" s="4">
        <f>May!AJ202</f>
        <v>0</v>
      </c>
      <c r="I202" s="4">
        <f>June!AJ202</f>
        <v>0</v>
      </c>
      <c r="J202" s="4">
        <f>July!AJ202</f>
        <v>0</v>
      </c>
      <c r="K202" s="4">
        <f>August!AJ202</f>
        <v>0</v>
      </c>
      <c r="L202" s="4">
        <f>September!AJ202</f>
        <v>0</v>
      </c>
      <c r="M202" s="4">
        <f>October!AJ202</f>
        <v>0</v>
      </c>
      <c r="N202" s="4">
        <f>November!AJ202</f>
        <v>0</v>
      </c>
      <c r="O202" s="4">
        <f>December!AJ202</f>
        <v>0</v>
      </c>
      <c r="Q202" s="24">
        <f t="shared" si="9"/>
        <v>0</v>
      </c>
    </row>
    <row r="203" spans="2:22" hidden="1" outlineLevel="1" x14ac:dyDescent="0.25">
      <c r="B203" s="11"/>
      <c r="C203" s="54" t="s">
        <v>76</v>
      </c>
      <c r="D203" s="5">
        <f>January!AJ215</f>
        <v>0</v>
      </c>
      <c r="E203" s="5">
        <f>February!AJ203</f>
        <v>0</v>
      </c>
      <c r="F203" s="5">
        <f>March!AJ203</f>
        <v>0</v>
      </c>
      <c r="G203" s="5">
        <f>April!AJ203</f>
        <v>0</v>
      </c>
      <c r="H203" s="5">
        <f>May!AJ203</f>
        <v>0</v>
      </c>
      <c r="I203" s="5">
        <f>June!AJ203</f>
        <v>0</v>
      </c>
      <c r="J203" s="5">
        <f>July!AJ203</f>
        <v>0</v>
      </c>
      <c r="K203" s="5">
        <f>August!AJ203</f>
        <v>0</v>
      </c>
      <c r="L203" s="5">
        <f>September!AJ203</f>
        <v>0</v>
      </c>
      <c r="M203" s="5">
        <f>October!AJ203</f>
        <v>0</v>
      </c>
      <c r="N203" s="5">
        <f>November!AJ203</f>
        <v>0</v>
      </c>
      <c r="O203" s="5">
        <f>December!AJ203</f>
        <v>0</v>
      </c>
      <c r="Q203" s="25">
        <f t="shared" si="9"/>
        <v>0</v>
      </c>
    </row>
    <row r="204" spans="2:22" ht="15.75" hidden="1" outlineLevel="1" thickBot="1" x14ac:dyDescent="0.3">
      <c r="B204" s="11"/>
      <c r="C204" s="9" t="s">
        <v>3</v>
      </c>
      <c r="D204" s="8">
        <f>January!AJ216</f>
        <v>0</v>
      </c>
      <c r="E204" s="8">
        <f>February!AJ204</f>
        <v>0</v>
      </c>
      <c r="F204" s="8">
        <f>March!AJ204</f>
        <v>0</v>
      </c>
      <c r="G204" s="8">
        <f>April!AJ204</f>
        <v>0</v>
      </c>
      <c r="H204" s="8">
        <f>May!AJ204</f>
        <v>0</v>
      </c>
      <c r="I204" s="8">
        <f>June!AJ204</f>
        <v>0</v>
      </c>
      <c r="J204" s="8">
        <f>July!AJ204</f>
        <v>0</v>
      </c>
      <c r="K204" s="8">
        <f>August!AJ204</f>
        <v>0</v>
      </c>
      <c r="L204" s="8">
        <f>September!AJ204</f>
        <v>0</v>
      </c>
      <c r="M204" s="8">
        <f>October!AJ204</f>
        <v>0</v>
      </c>
      <c r="N204" s="8">
        <f>November!AJ204</f>
        <v>0</v>
      </c>
      <c r="O204" s="8">
        <f>December!AJ204</f>
        <v>0</v>
      </c>
      <c r="Q204" s="26">
        <f t="shared" si="9"/>
        <v>0</v>
      </c>
    </row>
    <row r="205" spans="2:22" ht="15.75" collapsed="1" thickTop="1" x14ac:dyDescent="0.25"/>
    <row r="206" spans="2:22" x14ac:dyDescent="0.25">
      <c r="B206" s="55" t="s">
        <v>200</v>
      </c>
      <c r="C206" s="180" t="s">
        <v>27</v>
      </c>
      <c r="D206" s="180">
        <f>SUM(D5,D10,D15,D20,D25,D30,D35,D40,D45,D50,D55,D60,D65,D70,D75,D80,D85,D90,D95,D100,D105,D110,D115,D120,D125,D130,D135,D140,D145,D150,D155,D160,)-D212</f>
        <v>341.5</v>
      </c>
      <c r="E206" s="180">
        <f>SUM(E5,E10,E15,E20,E25,E30,E35,E40,E45,E50,E55,E60,E65,E70,E75,E80,E85,E90,E95,E100,E105,E110,E115,E120,E125,E130,E135,E140,E145,E150,E155,E160,)-E212</f>
        <v>290.75</v>
      </c>
      <c r="F206" s="180">
        <f>SUM(F5,F10,F15,F20,F25,F30,F35,F40,F45,F50,F55,F60,F65,F70,F75,F80,F85,F90,F95,F100,F105,F110,F115,F120,F125,F130,F135,F140,F145,F150,F155,F160,)-F212</f>
        <v>533.5</v>
      </c>
      <c r="G206" s="180">
        <f>SUM(G5,G10,G15,G20,G25,G30,G35,G40,G45,G50,G55,G60,G65,G70,G75,G80,G85,G90,G95,G100,G105,G110,G115,G120,G125,G130,G135,G140,G145,G150,G155,G160,)-G212</f>
        <v>421.75</v>
      </c>
      <c r="H206" s="180">
        <f>SUM(H5,H10,H15,H20,H25,H30,H35,H40,H45,H50,H55,H60,H65,H70,H75,H80,H85,H90,H95,H100,H105,H110,H115,H120,H125,H130,H135,H140,H145,H150,H155,H160,)-H212</f>
        <v>526.25</v>
      </c>
      <c r="I206" s="180">
        <f t="shared" ref="I206:O206" si="10">SUM(I5,I10,I15,I20,I25,I30,I35,I40,I45,I50,I55,I60,I65,I70,I75,I80,I85,I90,I95,I100,I105,I110,I115,I120,I125,I130,I135,I140,I145,I150,I155,I160,)-I212</f>
        <v>376.5</v>
      </c>
      <c r="J206" s="180">
        <f t="shared" si="10"/>
        <v>480</v>
      </c>
      <c r="K206" s="180">
        <f t="shared" si="10"/>
        <v>662</v>
      </c>
      <c r="L206" s="180">
        <f t="shared" si="10"/>
        <v>192</v>
      </c>
      <c r="M206" s="180">
        <f t="shared" si="10"/>
        <v>72</v>
      </c>
      <c r="N206" s="180">
        <f t="shared" si="10"/>
        <v>0</v>
      </c>
      <c r="O206" s="180">
        <f t="shared" si="10"/>
        <v>176</v>
      </c>
      <c r="P206" s="170"/>
      <c r="Q206" s="180">
        <f t="shared" ref="Q206" si="11">SUM(Q5,Q10,Q15,Q20,Q25,Q30,Q35,Q40,Q45,Q50,Q60,Q65,Q70,Q75,Q80,Q85,Q90,Q95,Q100,Q105,Q110,Q115,Q120,Q135,Q140,Q145)-Q212</f>
        <v>3215.25</v>
      </c>
      <c r="R206" s="169" t="e">
        <f t="shared" ref="R206:V206" si="12">SUM(R5,R10,R15,R20,R25,R30,R35,R40,R45,R50,R55,R60,R65,R70,R75,R80,R85,R90,R95,R100,R105,R110,R115,R120,R125,R130,R135,R140,R145,R150,R155,R160,R165,R170,R175,R180,R185,R190,R195,R200)</f>
        <v>#REF!</v>
      </c>
      <c r="S206" s="168" t="e">
        <f t="shared" si="12"/>
        <v>#REF!</v>
      </c>
      <c r="T206" s="168" t="e">
        <f t="shared" si="12"/>
        <v>#REF!</v>
      </c>
      <c r="U206" s="168" t="e">
        <f t="shared" si="12"/>
        <v>#REF!</v>
      </c>
      <c r="V206" s="168" t="e">
        <f t="shared" si="12"/>
        <v>#REF!</v>
      </c>
    </row>
    <row r="207" spans="2:22" x14ac:dyDescent="0.25">
      <c r="C207" s="181" t="s">
        <v>28</v>
      </c>
      <c r="D207" s="181">
        <f t="shared" ref="D207:E207" si="13">SUM(D6,D11,D16,D21,D26,D31,D36,D41,D46,D51,D56,D61,D66,D71,D76,D81,D86,D91,D96,D101,D106,D111,D116,D121,D126,D131,D136,D141,D146,D151,D156,D161,)-D213</f>
        <v>300</v>
      </c>
      <c r="E207" s="181">
        <f t="shared" si="13"/>
        <v>375.5</v>
      </c>
      <c r="F207" s="181">
        <f>SUM(F6,F11,F16,F21,F26,F31,F36,F41,F46,F51,F56,F61,F66,F71,F76,F81,F86,F91,F96,F101,F106,F111,F116,F121,F126,F131,F136,F141,F146,F151,F156,F161,)-F213</f>
        <v>332</v>
      </c>
      <c r="G207" s="181">
        <f>SUM(G6,G11,G16,G21,G26,G31,G36,G41,G46,G51,G56,G61,G66,G71,G76,G81,G86,G91,G96,G101,G106,G111,G116,G121,G126,G131,G136,G141,G146,G151,G156,G161,)-G213</f>
        <v>113.25</v>
      </c>
      <c r="H207" s="181">
        <f t="shared" ref="H207:O207" si="14">SUM(H6,H11,H16,H21,H26,H31,H36,H41,H46,H51,H56,H61,H66,H71,H76,H81,H86,H91,H96,H101,H106,H111,H116,H121,H126,H131,H136,H141,H146,H151,H156,H161,)-H213</f>
        <v>119.5</v>
      </c>
      <c r="I207" s="181">
        <f t="shared" si="14"/>
        <v>80</v>
      </c>
      <c r="J207" s="181">
        <f t="shared" si="14"/>
        <v>24</v>
      </c>
      <c r="K207" s="181">
        <f t="shared" si="14"/>
        <v>0</v>
      </c>
      <c r="L207" s="181">
        <f t="shared" si="14"/>
        <v>0</v>
      </c>
      <c r="M207" s="181">
        <f t="shared" si="14"/>
        <v>0</v>
      </c>
      <c r="N207" s="181">
        <f t="shared" si="14"/>
        <v>0</v>
      </c>
      <c r="O207" s="181">
        <f t="shared" si="14"/>
        <v>0</v>
      </c>
      <c r="P207" s="170"/>
      <c r="Q207" s="181">
        <f t="shared" ref="Q207" si="15">SUM(Q6,Q11,Q16,Q21,Q26,Q31,Q36,Q41,Q46,Q51,Q61,Q66,Q71,Q76,Q81,Q86,Q91,Q96,Q101,Q106,Q111,Q116,Q121,Q136,Q141,Q146)-Q213</f>
        <v>1217</v>
      </c>
      <c r="R207" s="169">
        <f t="shared" ref="R207:V210" si="16">SUM(R6,R11,R16,R21,R26,R31,R36,R41,R46,R51,R56,R61,R66,R71,R76,R81,R86,R91,R96,R101,R106,R111,R116,R121,R126,R131,R136,R141,R146,R151,R156,R161,R166,R171,R176,R181,R186,R191,R196,R201)</f>
        <v>0</v>
      </c>
      <c r="S207" s="168">
        <f t="shared" si="16"/>
        <v>0</v>
      </c>
      <c r="T207" s="168">
        <f t="shared" si="16"/>
        <v>0</v>
      </c>
      <c r="U207" s="168">
        <f t="shared" si="16"/>
        <v>0</v>
      </c>
      <c r="V207" s="168">
        <f t="shared" si="16"/>
        <v>0</v>
      </c>
    </row>
    <row r="208" spans="2:22" x14ac:dyDescent="0.25">
      <c r="C208" s="182" t="s">
        <v>29</v>
      </c>
      <c r="D208" s="182">
        <f t="shared" ref="D208:F208" si="17">SUM(D7,D12,D17,D22,D27,D32,D37,D42,D47,D52,D57,D62,D67,D72,D77,D82,D87,D92,D97,D102,D107,D112,D117,D122,D127,D132,D137,D142,D147,D152,D157,D162,)-D214</f>
        <v>17</v>
      </c>
      <c r="E208" s="182">
        <f t="shared" si="17"/>
        <v>17</v>
      </c>
      <c r="F208" s="182">
        <f t="shared" si="17"/>
        <v>15.5</v>
      </c>
      <c r="G208" s="182">
        <f>SUM(G7,G12,G17,G22,G27,G32,G37,G42,G47,G52,G57,G62,G67,G72,G77,G82,G87,G92,G97,G102,G107,G112,G117,G122,G127,G132,G137,G142,G147,G152,G157,G162,)-G214</f>
        <v>10</v>
      </c>
      <c r="H208" s="182">
        <f t="shared" ref="H208:O208" si="18">SUM(H7,H12,H17,H22,H27,H32,H37,H42,H47,H52,H57,H62,H67,H72,H77,H82,H87,H92,H97,H102,H107,H112,H117,H122,H127,H132,H137,H142,H147,H152,H157,H162,)-H214</f>
        <v>0</v>
      </c>
      <c r="I208" s="182">
        <f t="shared" si="18"/>
        <v>0</v>
      </c>
      <c r="J208" s="182">
        <f t="shared" si="18"/>
        <v>0</v>
      </c>
      <c r="K208" s="182">
        <f t="shared" si="18"/>
        <v>0</v>
      </c>
      <c r="L208" s="182">
        <f t="shared" si="18"/>
        <v>0</v>
      </c>
      <c r="M208" s="182">
        <f t="shared" si="18"/>
        <v>0</v>
      </c>
      <c r="N208" s="182">
        <f t="shared" si="18"/>
        <v>0</v>
      </c>
      <c r="O208" s="182">
        <f t="shared" si="18"/>
        <v>0</v>
      </c>
      <c r="P208" s="170"/>
      <c r="Q208" s="182">
        <f t="shared" ref="Q208" si="19">SUM(Q7,Q12,Q17,Q22,Q27,Q32,Q37,Q42,Q47,Q52,Q62,Q67,Q72,Q77,Q82,Q87,Q92,Q97,Q102,Q107,Q112,Q117,Q122,Q137,Q142,Q147)-Q214</f>
        <v>59.5</v>
      </c>
      <c r="R208" s="169">
        <f t="shared" ref="R208:S210" si="20">SUM(R7,R12,R17,R22,R27,R32,R37,R42,R47,R52,R57,R62,R67,R72,R77,R82,R87,R92,R97,R102,R107,R112,R117,R122,R127,R132,R137,R142,R147,R152,R157,R162,R167,R172,R177,R182,R187,R192,R197,R202)</f>
        <v>0</v>
      </c>
      <c r="S208" s="168">
        <f t="shared" si="20"/>
        <v>0</v>
      </c>
      <c r="T208" s="168">
        <f t="shared" si="16"/>
        <v>0</v>
      </c>
      <c r="U208" s="168">
        <f t="shared" si="16"/>
        <v>0</v>
      </c>
      <c r="V208" s="168">
        <f t="shared" si="16"/>
        <v>0</v>
      </c>
    </row>
    <row r="209" spans="2:22" x14ac:dyDescent="0.25">
      <c r="C209" s="183" t="s">
        <v>30</v>
      </c>
      <c r="D209" s="183">
        <f t="shared" ref="D209:F209" si="21">SUM(D8,D13,D18,D23,D28,D33,D38,D43,D48,D53,D58,D63,D68,D73,D78,D83,D88,D93,D98,D103,D108,D113,D118,D123,D128,D133,D138,D143,D148,D153,D158,D163,)-D215</f>
        <v>18.5</v>
      </c>
      <c r="E209" s="183">
        <f t="shared" si="21"/>
        <v>23</v>
      </c>
      <c r="F209" s="183">
        <f t="shared" si="21"/>
        <v>11</v>
      </c>
      <c r="G209" s="183">
        <f>SUM(G8,G13,G18,G23,G28,G33,G38,G43,G48,G53,G58,G63,G68,G73,G78,G83,G88,G93,G98,G103,G108,G113,G118,G123,G128,G133,G138,G143,G148,G153,G158,G163,)-G215</f>
        <v>26</v>
      </c>
      <c r="H209" s="183">
        <f t="shared" ref="H209:O209" si="22">SUM(H8,H13,H18,H23,H28,H33,H38,H43,H48,H53,H58,H63,H68,H73,H78,H83,H88,H93,H98,H103,H108,H113,H118,H123,H128,H133,H138,H143,H148,H153,H158,H163,)-H215</f>
        <v>12.75</v>
      </c>
      <c r="I209" s="183">
        <f t="shared" si="22"/>
        <v>4.5</v>
      </c>
      <c r="J209" s="183">
        <f t="shared" si="22"/>
        <v>12</v>
      </c>
      <c r="K209" s="183">
        <f t="shared" si="22"/>
        <v>12</v>
      </c>
      <c r="L209" s="183">
        <f t="shared" si="22"/>
        <v>0</v>
      </c>
      <c r="M209" s="183">
        <f t="shared" si="22"/>
        <v>0</v>
      </c>
      <c r="N209" s="183">
        <f t="shared" si="22"/>
        <v>0</v>
      </c>
      <c r="O209" s="183">
        <f t="shared" si="22"/>
        <v>0</v>
      </c>
      <c r="P209" s="170"/>
      <c r="Q209" s="183">
        <f t="shared" ref="Q209" si="23">SUM(Q8,Q13,Q18,Q23,Q28,Q33,Q38,Q43,Q48,Q53,Q63,Q68,Q73,Q78,Q83,Q88,Q93,Q98,Q103,Q108,Q113,Q118,Q123,Q138,Q143,Q148)-Q215</f>
        <v>73.75</v>
      </c>
      <c r="R209" s="169">
        <f t="shared" si="20"/>
        <v>0</v>
      </c>
      <c r="S209" s="168">
        <f t="shared" si="20"/>
        <v>0</v>
      </c>
      <c r="T209" s="168">
        <f t="shared" si="16"/>
        <v>0</v>
      </c>
      <c r="U209" s="168">
        <f t="shared" si="16"/>
        <v>0</v>
      </c>
      <c r="V209" s="168">
        <f t="shared" si="16"/>
        <v>0</v>
      </c>
    </row>
    <row r="210" spans="2:22" ht="15.75" thickBot="1" x14ac:dyDescent="0.3">
      <c r="C210" s="184" t="s">
        <v>31</v>
      </c>
      <c r="D210" s="184">
        <f t="shared" ref="D210:O210" si="24">SUM(D9,D14,D19,D24,D29,D34,D39,D44,D49,D54,D64,D69,D74,D79,D84,D89,D94,D99,D104,D109,D114,D119,D124,D139,D144,D149)-D216</f>
        <v>1.3666666666666667</v>
      </c>
      <c r="E210" s="184">
        <f t="shared" si="24"/>
        <v>0.5</v>
      </c>
      <c r="F210" s="184">
        <f t="shared" si="24"/>
        <v>2</v>
      </c>
      <c r="G210" s="184">
        <f t="shared" si="24"/>
        <v>0.8833333333333333</v>
      </c>
      <c r="H210" s="184">
        <f t="shared" si="24"/>
        <v>4.9800000000000004</v>
      </c>
      <c r="I210" s="184">
        <f t="shared" si="24"/>
        <v>1.4</v>
      </c>
      <c r="J210" s="184">
        <f t="shared" si="24"/>
        <v>0</v>
      </c>
      <c r="K210" s="184">
        <f t="shared" si="24"/>
        <v>0</v>
      </c>
      <c r="L210" s="184">
        <f t="shared" si="24"/>
        <v>0</v>
      </c>
      <c r="M210" s="184">
        <f t="shared" si="24"/>
        <v>0</v>
      </c>
      <c r="N210" s="184">
        <f t="shared" si="24"/>
        <v>0</v>
      </c>
      <c r="O210" s="184">
        <f t="shared" si="24"/>
        <v>0</v>
      </c>
      <c r="P210" s="170"/>
      <c r="Q210" s="184">
        <f t="shared" ref="Q210" si="25">SUM(Q9,Q14,Q19,Q24,Q29,Q34,Q39,Q44,Q49,Q54,Q64,Q69,Q74,Q79,Q84,Q89,Q94,Q99,Q104,Q109,Q114,Q119,Q124,Q139,Q144,Q149)-Q216</f>
        <v>11.129999999999999</v>
      </c>
      <c r="R210" s="169">
        <f t="shared" si="20"/>
        <v>0</v>
      </c>
      <c r="S210" s="168">
        <f t="shared" si="20"/>
        <v>0</v>
      </c>
      <c r="T210" s="168">
        <f t="shared" si="16"/>
        <v>0</v>
      </c>
      <c r="U210" s="168">
        <f t="shared" si="16"/>
        <v>0</v>
      </c>
      <c r="V210" s="168">
        <f t="shared" si="16"/>
        <v>0</v>
      </c>
    </row>
    <row r="211" spans="2:22" ht="15.75" thickTop="1" x14ac:dyDescent="0.25">
      <c r="R211" s="86"/>
      <c r="S211" s="86"/>
      <c r="T211" s="86"/>
      <c r="U211" s="86"/>
      <c r="V211" s="86"/>
    </row>
    <row r="212" spans="2:22" x14ac:dyDescent="0.25">
      <c r="B212" s="244" t="s">
        <v>201</v>
      </c>
      <c r="C212" s="180" t="s">
        <v>27</v>
      </c>
      <c r="D212" s="180">
        <f>SUBTOTAL(9,D55,D125,D130)</f>
        <v>42</v>
      </c>
      <c r="E212" s="180">
        <f t="shared" ref="E212:Q212" si="26">SUBTOTAL(9,E55,E125,E130)</f>
        <v>104</v>
      </c>
      <c r="F212" s="180">
        <f t="shared" si="26"/>
        <v>27</v>
      </c>
      <c r="G212" s="180">
        <f t="shared" si="26"/>
        <v>58.5</v>
      </c>
      <c r="H212" s="180">
        <f t="shared" si="26"/>
        <v>74</v>
      </c>
      <c r="I212" s="180">
        <f t="shared" si="26"/>
        <v>18</v>
      </c>
      <c r="J212" s="180">
        <f t="shared" si="26"/>
        <v>104</v>
      </c>
      <c r="K212" s="180">
        <f t="shared" si="26"/>
        <v>96</v>
      </c>
      <c r="L212" s="180">
        <f t="shared" si="26"/>
        <v>0</v>
      </c>
      <c r="M212" s="180">
        <f t="shared" si="26"/>
        <v>0</v>
      </c>
      <c r="N212" s="180">
        <f t="shared" si="26"/>
        <v>0</v>
      </c>
      <c r="O212" s="180">
        <f t="shared" si="26"/>
        <v>80</v>
      </c>
      <c r="Q212" s="180">
        <f t="shared" si="26"/>
        <v>603.5</v>
      </c>
    </row>
    <row r="213" spans="2:22" x14ac:dyDescent="0.25">
      <c r="C213" s="181" t="s">
        <v>28</v>
      </c>
      <c r="D213" s="181">
        <f t="shared" ref="D213:Q213" si="27">SUBTOTAL(9,D56,D126,D131)</f>
        <v>0</v>
      </c>
      <c r="E213" s="181">
        <f t="shared" si="27"/>
        <v>0</v>
      </c>
      <c r="F213" s="181">
        <f t="shared" si="27"/>
        <v>0</v>
      </c>
      <c r="G213" s="181">
        <f t="shared" si="27"/>
        <v>0</v>
      </c>
      <c r="H213" s="181">
        <f t="shared" si="27"/>
        <v>0</v>
      </c>
      <c r="I213" s="181">
        <f t="shared" si="27"/>
        <v>0</v>
      </c>
      <c r="J213" s="181">
        <f t="shared" si="27"/>
        <v>0</v>
      </c>
      <c r="K213" s="181">
        <f t="shared" si="27"/>
        <v>0</v>
      </c>
      <c r="L213" s="181">
        <f t="shared" si="27"/>
        <v>0</v>
      </c>
      <c r="M213" s="181">
        <f t="shared" si="27"/>
        <v>0</v>
      </c>
      <c r="N213" s="181">
        <f t="shared" si="27"/>
        <v>0</v>
      </c>
      <c r="O213" s="181">
        <f t="shared" si="27"/>
        <v>0</v>
      </c>
      <c r="Q213" s="181">
        <f t="shared" si="27"/>
        <v>0</v>
      </c>
    </row>
    <row r="214" spans="2:22" x14ac:dyDescent="0.25">
      <c r="C214" s="182" t="s">
        <v>29</v>
      </c>
      <c r="D214" s="182">
        <f t="shared" ref="D214:Q214" si="28">SUBTOTAL(9,D57,D127,D132)</f>
        <v>0</v>
      </c>
      <c r="E214" s="182">
        <f t="shared" si="28"/>
        <v>0</v>
      </c>
      <c r="F214" s="182">
        <f t="shared" si="28"/>
        <v>0</v>
      </c>
      <c r="G214" s="182">
        <f t="shared" si="28"/>
        <v>0</v>
      </c>
      <c r="H214" s="182">
        <f t="shared" si="28"/>
        <v>0</v>
      </c>
      <c r="I214" s="182">
        <f t="shared" si="28"/>
        <v>0</v>
      </c>
      <c r="J214" s="182">
        <f t="shared" si="28"/>
        <v>0</v>
      </c>
      <c r="K214" s="182">
        <f t="shared" si="28"/>
        <v>0</v>
      </c>
      <c r="L214" s="182">
        <f t="shared" si="28"/>
        <v>0</v>
      </c>
      <c r="M214" s="182">
        <f t="shared" si="28"/>
        <v>0</v>
      </c>
      <c r="N214" s="182">
        <f t="shared" si="28"/>
        <v>0</v>
      </c>
      <c r="O214" s="182">
        <f t="shared" si="28"/>
        <v>0</v>
      </c>
      <c r="Q214" s="182">
        <f t="shared" si="28"/>
        <v>0</v>
      </c>
    </row>
    <row r="215" spans="2:22" x14ac:dyDescent="0.25">
      <c r="C215" s="183" t="s">
        <v>30</v>
      </c>
      <c r="D215" s="183">
        <f t="shared" ref="D215:Q215" si="29">SUBTOTAL(9,D58,D128,D133)</f>
        <v>16</v>
      </c>
      <c r="E215" s="183">
        <f t="shared" si="29"/>
        <v>2</v>
      </c>
      <c r="F215" s="183">
        <f t="shared" si="29"/>
        <v>4</v>
      </c>
      <c r="G215" s="183">
        <f t="shared" si="29"/>
        <v>0</v>
      </c>
      <c r="H215" s="183">
        <f t="shared" si="29"/>
        <v>0</v>
      </c>
      <c r="I215" s="183">
        <f t="shared" si="29"/>
        <v>0</v>
      </c>
      <c r="J215" s="183">
        <f t="shared" si="29"/>
        <v>8</v>
      </c>
      <c r="K215" s="183">
        <f t="shared" si="29"/>
        <v>0</v>
      </c>
      <c r="L215" s="183">
        <f t="shared" si="29"/>
        <v>0</v>
      </c>
      <c r="M215" s="183">
        <f t="shared" si="29"/>
        <v>0</v>
      </c>
      <c r="N215" s="183">
        <f t="shared" si="29"/>
        <v>0</v>
      </c>
      <c r="O215" s="183">
        <f t="shared" si="29"/>
        <v>0</v>
      </c>
      <c r="Q215" s="183">
        <f t="shared" si="29"/>
        <v>30</v>
      </c>
    </row>
    <row r="216" spans="2:22" ht="15.75" thickBot="1" x14ac:dyDescent="0.3">
      <c r="C216" s="184" t="s">
        <v>31</v>
      </c>
      <c r="D216" s="184">
        <f t="shared" ref="D216:Q216" si="30">SUBTOTAL(9,D59,D129,D134)</f>
        <v>0.35</v>
      </c>
      <c r="E216" s="184">
        <f t="shared" si="30"/>
        <v>0</v>
      </c>
      <c r="F216" s="184">
        <f t="shared" si="30"/>
        <v>0.5</v>
      </c>
      <c r="G216" s="184">
        <f t="shared" si="30"/>
        <v>0</v>
      </c>
      <c r="H216" s="184">
        <f t="shared" si="30"/>
        <v>0</v>
      </c>
      <c r="I216" s="184">
        <f t="shared" si="30"/>
        <v>0</v>
      </c>
      <c r="J216" s="184">
        <f t="shared" si="30"/>
        <v>0</v>
      </c>
      <c r="K216" s="184">
        <f t="shared" si="30"/>
        <v>0</v>
      </c>
      <c r="L216" s="184">
        <f t="shared" si="30"/>
        <v>0</v>
      </c>
      <c r="M216" s="184">
        <f t="shared" si="30"/>
        <v>0</v>
      </c>
      <c r="N216" s="184">
        <f t="shared" si="30"/>
        <v>0</v>
      </c>
      <c r="O216" s="184">
        <f t="shared" si="30"/>
        <v>0</v>
      </c>
      <c r="Q216" s="184">
        <f t="shared" si="30"/>
        <v>0.85</v>
      </c>
    </row>
    <row r="217" spans="2:22" ht="15.75" thickTop="1" x14ac:dyDescent="0.25"/>
  </sheetData>
  <customSheetViews>
    <customSheetView guid="{98CBC5BF-8C89-48A4-860E-9C56014CD200}" showGridLines="0" hiddenRows="1" hiddenColumns="1">
      <selection activeCell="I45" sqref="I45"/>
      <pageMargins left="0.7" right="0.7" top="0.75" bottom="0.75" header="0.3" footer="0.3"/>
      <pageSetup paperSize="9" orientation="portrait" r:id="rId1"/>
    </customSheetView>
    <customSheetView guid="{1BC25061-32D5-45DE-83F9-EFA3A1092E03}" showGridLines="0" hiddenColumns="1" topLeftCell="B1">
      <pane ySplit="4" topLeftCell="A5" activePane="bottomLeft" state="frozen"/>
      <selection pane="bottomLeft" activeCell="B1" sqref="B1"/>
      <pageMargins left="0.7" right="0.7" top="0.75" bottom="0.75" header="0.3" footer="0.3"/>
      <pageSetup paperSize="9" orientation="portrait" r:id="rId2"/>
    </customSheetView>
    <customSheetView guid="{CF917189-7AB9-4E55-816F-ACFC7FA45C05}" showGridLines="0" hiddenColumns="1" topLeftCell="B1">
      <pane ySplit="3" topLeftCell="A5" activePane="bottomLeft" state="frozen"/>
      <selection pane="bottomLeft" activeCell="B1" sqref="B1"/>
      <pageMargins left="0.7" right="0.7" top="0.75" bottom="0.75" header="0.3" footer="0.3"/>
      <pageSetup paperSize="9" orientation="portrait" r:id="rId3"/>
    </customSheetView>
    <customSheetView guid="{4155806E-C0D0-4CC9-9B31-04245B7DD4C8}" showGridLines="0" hiddenRows="1" hiddenColumns="1" topLeftCell="B1">
      <pane ySplit="4" topLeftCell="A5" activePane="bottomLeft" state="frozen"/>
      <selection pane="bottomLeft" activeCell="D100" sqref="D100"/>
      <pageMargins left="0.7" right="0.7" top="0.75" bottom="0.75" header="0.3" footer="0.3"/>
      <pageSetup paperSize="9" orientation="portrait" r:id="rId4"/>
    </customSheetView>
    <customSheetView guid="{1587CBCC-2CC7-4525-8A49-E261AB2E1606}" showGridLines="0" hiddenRows="1" hiddenColumns="1" topLeftCell="B1">
      <selection activeCell="O20" sqref="O20"/>
      <pageMargins left="0.7" right="0.7" top="0.75" bottom="0.75" header="0.3" footer="0.3"/>
      <pageSetup paperSize="9" orientation="portrait" r:id="rId5"/>
    </customSheetView>
    <customSheetView guid="{C5D9000A-81ED-4920-B6AF-4B234775AEC9}" showGridLines="0" hiddenColumns="1" topLeftCell="B1">
      <pane ySplit="3" topLeftCell="A5" activePane="bottomLeft" state="frozen"/>
      <selection pane="bottomLeft" activeCell="B1" sqref="B1"/>
      <pageMargins left="0.7" right="0.7" top="0.75" bottom="0.75" header="0.3" footer="0.3"/>
      <pageSetup paperSize="9" orientation="portrait" r:id="rId6"/>
    </customSheetView>
  </customSheetViews>
  <conditionalFormatting sqref="D5:O200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{9DB78C47-55E5-47D4-9340-D5102594EAC8}</x14:id>
        </ext>
      </extLst>
    </cfRule>
  </conditionalFormatting>
  <pageMargins left="0.7" right="0.7" top="0.75" bottom="0.75" header="0.3" footer="0.3"/>
  <pageSetup paperSize="9" orientation="portrait"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B78C47-55E5-47D4-9340-D5102594E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D5:O200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CCFFCC"/>
  </sheetPr>
  <dimension ref="A1:AK154"/>
  <sheetViews>
    <sheetView showGridLines="0" topLeftCell="A4" zoomScale="90" zoomScaleNormal="100" workbookViewId="0">
      <selection activeCell="AQ110" sqref="AQ110"/>
    </sheetView>
  </sheetViews>
  <sheetFormatPr defaultColWidth="3" defaultRowHeight="15" outlineLevelRow="1" x14ac:dyDescent="0.25"/>
  <cols>
    <col min="1" max="1" width="5.140625" bestFit="1" customWidth="1"/>
    <col min="2" max="2" width="17.42578125" bestFit="1" customWidth="1"/>
    <col min="3" max="3" width="11.5703125" bestFit="1" customWidth="1"/>
    <col min="4" max="4" width="3.42578125" style="235" bestFit="1" customWidth="1"/>
    <col min="5" max="5" width="4" style="97" bestFit="1" customWidth="1"/>
    <col min="6" max="6" width="4.42578125" style="97" bestFit="1" customWidth="1"/>
    <col min="7" max="10" width="3.42578125" style="97" bestFit="1" customWidth="1"/>
    <col min="11" max="11" width="4.42578125" style="97" bestFit="1" customWidth="1"/>
    <col min="12" max="16" width="3.42578125" style="97" bestFit="1" customWidth="1"/>
    <col min="17" max="17" width="4.85546875" style="97" bestFit="1" customWidth="1"/>
    <col min="18" max="18" width="4.42578125" style="97" bestFit="1" customWidth="1"/>
    <col min="19" max="34" width="3.42578125" style="97" bestFit="1" customWidth="1"/>
    <col min="35" max="35" width="3" style="97"/>
    <col min="36" max="36" width="5.42578125" style="179" bestFit="1" customWidth="1"/>
    <col min="37" max="37" width="3" style="97"/>
  </cols>
  <sheetData>
    <row r="1" spans="1:36" hidden="1" x14ac:dyDescent="0.25">
      <c r="D1" s="235">
        <v>1</v>
      </c>
      <c r="E1" s="97">
        <v>2</v>
      </c>
      <c r="F1" s="97">
        <v>3</v>
      </c>
      <c r="G1" s="97">
        <v>4</v>
      </c>
      <c r="H1" s="97">
        <v>5</v>
      </c>
      <c r="I1" s="97">
        <v>6</v>
      </c>
      <c r="J1" s="97">
        <v>7</v>
      </c>
      <c r="K1" s="97">
        <v>8</v>
      </c>
      <c r="L1" s="97">
        <v>9</v>
      </c>
      <c r="M1" s="97">
        <v>10</v>
      </c>
      <c r="N1" s="97">
        <v>11</v>
      </c>
      <c r="O1" s="97">
        <v>12</v>
      </c>
      <c r="P1" s="97">
        <v>13</v>
      </c>
      <c r="Q1" s="97">
        <v>14</v>
      </c>
      <c r="R1" s="97">
        <v>15</v>
      </c>
      <c r="S1" s="97">
        <v>16</v>
      </c>
      <c r="T1" s="97">
        <v>17</v>
      </c>
      <c r="U1" s="97">
        <v>18</v>
      </c>
      <c r="V1" s="97">
        <v>19</v>
      </c>
      <c r="W1" s="97">
        <v>20</v>
      </c>
      <c r="X1" s="97">
        <v>21</v>
      </c>
      <c r="Y1" s="97">
        <v>22</v>
      </c>
      <c r="Z1" s="97">
        <v>23</v>
      </c>
      <c r="AA1" s="97">
        <v>24</v>
      </c>
      <c r="AB1" s="97">
        <v>25</v>
      </c>
      <c r="AC1" s="97">
        <v>26</v>
      </c>
      <c r="AD1" s="97">
        <v>27</v>
      </c>
      <c r="AE1" s="97">
        <v>28</v>
      </c>
      <c r="AF1" s="97">
        <v>29</v>
      </c>
      <c r="AG1" s="97">
        <v>30</v>
      </c>
      <c r="AH1" s="97">
        <v>31</v>
      </c>
    </row>
    <row r="2" spans="1:36" ht="12.75" customHeight="1" x14ac:dyDescent="0.25">
      <c r="B2" s="12" t="s">
        <v>6</v>
      </c>
    </row>
    <row r="3" spans="1:36" ht="120.75" customHeight="1" x14ac:dyDescent="0.25">
      <c r="A3" t="s">
        <v>163</v>
      </c>
      <c r="B3" s="96" t="s">
        <v>4</v>
      </c>
      <c r="D3" s="236">
        <f>DATE(Title!$F$12,1,D1)</f>
        <v>41275</v>
      </c>
      <c r="E3" s="187">
        <f>DATE(Title!$F$12,1,E1)</f>
        <v>41276</v>
      </c>
      <c r="F3" s="187">
        <f>DATE(Title!$F$12,1,F1)</f>
        <v>41277</v>
      </c>
      <c r="G3" s="187">
        <f>DATE(Title!$F$12,1,G1)</f>
        <v>41278</v>
      </c>
      <c r="H3" s="187">
        <f>DATE(Title!$F$12,1,H1)</f>
        <v>41279</v>
      </c>
      <c r="I3" s="187">
        <f>DATE(Title!$F$12,1,I1)</f>
        <v>41280</v>
      </c>
      <c r="J3" s="187">
        <f>DATE(Title!$F$12,1,J1)</f>
        <v>41281</v>
      </c>
      <c r="K3" s="187">
        <f>DATE(Title!$F$12,1,K1)</f>
        <v>41282</v>
      </c>
      <c r="L3" s="187">
        <f>DATE(Title!$F$12,1,L1)</f>
        <v>41283</v>
      </c>
      <c r="M3" s="187">
        <f>DATE(Title!$F$12,1,M1)</f>
        <v>41284</v>
      </c>
      <c r="N3" s="187">
        <f>DATE(Title!$F$12,1,N1)</f>
        <v>41285</v>
      </c>
      <c r="O3" s="187">
        <f>DATE(Title!$F$12,1,O1)</f>
        <v>41286</v>
      </c>
      <c r="P3" s="187">
        <f>DATE(Title!$F$12,1,P1)</f>
        <v>41287</v>
      </c>
      <c r="Q3" s="187">
        <f>DATE(Title!$F$12,1,Q1)</f>
        <v>41288</v>
      </c>
      <c r="R3" s="187">
        <f>DATE(Title!$F$12,1,R1)</f>
        <v>41289</v>
      </c>
      <c r="S3" s="187">
        <f>DATE(Title!$F$12,1,S1)</f>
        <v>41290</v>
      </c>
      <c r="T3" s="187">
        <f>DATE(Title!$F$12,1,T1)</f>
        <v>41291</v>
      </c>
      <c r="U3" s="187">
        <f>DATE(Title!$F$12,1,U1)</f>
        <v>41292</v>
      </c>
      <c r="V3" s="187">
        <f>DATE(Title!$F$12,1,V1)</f>
        <v>41293</v>
      </c>
      <c r="W3" s="187">
        <f>DATE(Title!$F$12,1,W1)</f>
        <v>41294</v>
      </c>
      <c r="X3" s="187">
        <f>DATE(Title!$F$12,1,X1)</f>
        <v>41295</v>
      </c>
      <c r="Y3" s="187">
        <f>DATE(Title!$F$12,1,Y1)</f>
        <v>41296</v>
      </c>
      <c r="Z3" s="187">
        <f>DATE(Title!$F$12,1,Z1)</f>
        <v>41297</v>
      </c>
      <c r="AA3" s="187">
        <f>DATE(Title!$F$12,1,AA1)</f>
        <v>41298</v>
      </c>
      <c r="AB3" s="187">
        <f>DATE(Title!$F$12,1,AB1)</f>
        <v>41299</v>
      </c>
      <c r="AC3" s="187">
        <f>DATE(Title!$F$12,1,AC1)</f>
        <v>41300</v>
      </c>
      <c r="AD3" s="187">
        <f>DATE(Title!$F$12,1,AD1)</f>
        <v>41301</v>
      </c>
      <c r="AE3" s="187">
        <f>DATE(Title!$F$12,1,AE1)</f>
        <v>41302</v>
      </c>
      <c r="AF3" s="187">
        <f>DATE(Title!$F$12,1,AF1)</f>
        <v>41303</v>
      </c>
      <c r="AG3" s="187">
        <f>DATE(Title!$F$12,1,AG1)</f>
        <v>41304</v>
      </c>
      <c r="AH3" s="187">
        <f>DATE(Title!$F$12,1,AH1)</f>
        <v>41305</v>
      </c>
      <c r="AJ3" s="173" t="s">
        <v>5</v>
      </c>
    </row>
    <row r="4" spans="1:36" ht="3" customHeight="1" x14ac:dyDescent="0.25">
      <c r="B4" s="96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</row>
    <row r="5" spans="1:36" ht="15.75" thickBot="1" x14ac:dyDescent="0.3">
      <c r="B5" s="149" t="str">
        <f>'Hours Scheduled'!B4</f>
        <v>Barry Berendhuysen</v>
      </c>
      <c r="C5" t="s">
        <v>0</v>
      </c>
      <c r="D5" s="183"/>
      <c r="E5" s="180">
        <v>8</v>
      </c>
      <c r="F5" s="180">
        <v>8</v>
      </c>
      <c r="G5" s="180"/>
      <c r="H5" s="198"/>
      <c r="I5" s="198"/>
      <c r="J5" s="180"/>
      <c r="K5" s="180"/>
      <c r="L5" s="180"/>
      <c r="M5" s="180"/>
      <c r="N5" s="180"/>
      <c r="O5" s="198"/>
      <c r="P5" s="198"/>
      <c r="Q5" s="180"/>
      <c r="R5" s="180"/>
      <c r="S5" s="180"/>
      <c r="T5" s="180"/>
      <c r="U5" s="180"/>
      <c r="V5" s="198"/>
      <c r="W5" s="198"/>
      <c r="X5" s="180"/>
      <c r="Y5" s="180"/>
      <c r="Z5" s="180"/>
      <c r="AA5" s="180"/>
      <c r="AB5" s="180">
        <v>8</v>
      </c>
      <c r="AC5" s="198"/>
      <c r="AD5" s="198"/>
      <c r="AE5" s="180"/>
      <c r="AF5" s="180"/>
      <c r="AG5" s="180"/>
      <c r="AH5" s="180"/>
      <c r="AJ5" s="172">
        <f>SUM(D5:AH5)</f>
        <v>24</v>
      </c>
    </row>
    <row r="6" spans="1:36" ht="15.75" hidden="1" outlineLevel="1" thickTop="1" x14ac:dyDescent="0.25">
      <c r="B6" s="150"/>
      <c r="C6" s="1" t="s">
        <v>1</v>
      </c>
      <c r="D6" s="183"/>
      <c r="E6" s="181"/>
      <c r="F6" s="181"/>
      <c r="G6" s="181">
        <v>8</v>
      </c>
      <c r="H6" s="198"/>
      <c r="I6" s="198"/>
      <c r="J6" s="181"/>
      <c r="K6" s="181"/>
      <c r="L6" s="181"/>
      <c r="M6" s="181"/>
      <c r="N6" s="181"/>
      <c r="O6" s="198"/>
      <c r="P6" s="198"/>
      <c r="Q6" s="181"/>
      <c r="R6" s="181"/>
      <c r="S6" s="181"/>
      <c r="T6" s="181"/>
      <c r="U6" s="181"/>
      <c r="V6" s="198"/>
      <c r="W6" s="198"/>
      <c r="X6" s="181"/>
      <c r="Y6" s="181"/>
      <c r="Z6" s="181"/>
      <c r="AA6" s="181"/>
      <c r="AB6" s="181"/>
      <c r="AC6" s="198"/>
      <c r="AD6" s="198"/>
      <c r="AE6" s="181"/>
      <c r="AF6" s="181"/>
      <c r="AG6" s="181"/>
      <c r="AH6" s="181"/>
      <c r="AJ6" s="174">
        <f t="shared" ref="AJ6:AJ9" si="0">SUM(D6:AH6)</f>
        <v>8</v>
      </c>
    </row>
    <row r="7" spans="1:36" hidden="1" outlineLevel="1" x14ac:dyDescent="0.25">
      <c r="B7" s="151"/>
      <c r="C7" s="1" t="s">
        <v>2</v>
      </c>
      <c r="D7" s="183"/>
      <c r="E7" s="182"/>
      <c r="F7" s="182"/>
      <c r="G7" s="182"/>
      <c r="H7" s="198"/>
      <c r="I7" s="198"/>
      <c r="J7" s="182"/>
      <c r="K7" s="182"/>
      <c r="L7" s="182"/>
      <c r="M7" s="182"/>
      <c r="N7" s="182"/>
      <c r="O7" s="198"/>
      <c r="P7" s="198"/>
      <c r="Q7" s="182"/>
      <c r="R7" s="182"/>
      <c r="S7" s="182"/>
      <c r="T7" s="182"/>
      <c r="U7" s="182"/>
      <c r="V7" s="198"/>
      <c r="W7" s="198"/>
      <c r="X7" s="182"/>
      <c r="Y7" s="182"/>
      <c r="Z7" s="182"/>
      <c r="AA7" s="182"/>
      <c r="AB7" s="182"/>
      <c r="AC7" s="198"/>
      <c r="AD7" s="198"/>
      <c r="AE7" s="182"/>
      <c r="AF7" s="182"/>
      <c r="AG7" s="182"/>
      <c r="AH7" s="182"/>
      <c r="AJ7" s="175">
        <f t="shared" si="0"/>
        <v>0</v>
      </c>
    </row>
    <row r="8" spans="1:36" hidden="1" outlineLevel="1" x14ac:dyDescent="0.25">
      <c r="B8" s="151"/>
      <c r="C8" s="54" t="s">
        <v>77</v>
      </c>
      <c r="D8" s="183"/>
      <c r="E8" s="183"/>
      <c r="F8" s="183"/>
      <c r="G8" s="183"/>
      <c r="H8" s="198"/>
      <c r="I8" s="198"/>
      <c r="J8" s="183"/>
      <c r="K8" s="183"/>
      <c r="L8" s="183"/>
      <c r="M8" s="183"/>
      <c r="N8" s="183"/>
      <c r="O8" s="198"/>
      <c r="P8" s="198"/>
      <c r="Q8" s="183"/>
      <c r="R8" s="183"/>
      <c r="S8" s="183"/>
      <c r="T8" s="183"/>
      <c r="U8" s="183"/>
      <c r="V8" s="198"/>
      <c r="W8" s="198"/>
      <c r="X8" s="183"/>
      <c r="Y8" s="183"/>
      <c r="Z8" s="183"/>
      <c r="AA8" s="183"/>
      <c r="AB8" s="183"/>
      <c r="AC8" s="198"/>
      <c r="AD8" s="198"/>
      <c r="AE8" s="183"/>
      <c r="AF8" s="183"/>
      <c r="AG8" s="183"/>
      <c r="AH8" s="183"/>
      <c r="AJ8" s="176">
        <f t="shared" si="0"/>
        <v>0</v>
      </c>
    </row>
    <row r="9" spans="1:36" ht="15.75" hidden="1" outlineLevel="1" thickBot="1" x14ac:dyDescent="0.3">
      <c r="B9" s="151"/>
      <c r="C9" s="9" t="s">
        <v>3</v>
      </c>
      <c r="D9" s="237"/>
      <c r="E9" s="184"/>
      <c r="F9" s="184"/>
      <c r="G9" s="184"/>
      <c r="H9" s="199"/>
      <c r="I9" s="199"/>
      <c r="J9" s="184"/>
      <c r="K9" s="184"/>
      <c r="L9" s="184"/>
      <c r="M9" s="184"/>
      <c r="N9" s="184"/>
      <c r="O9" s="199"/>
      <c r="P9" s="199"/>
      <c r="Q9" s="184"/>
      <c r="R9" s="184"/>
      <c r="S9" s="184"/>
      <c r="T9" s="184"/>
      <c r="U9" s="184"/>
      <c r="V9" s="199"/>
      <c r="W9" s="199"/>
      <c r="X9" s="184"/>
      <c r="Y9" s="184"/>
      <c r="Z9" s="184"/>
      <c r="AA9" s="184"/>
      <c r="AB9" s="184"/>
      <c r="AC9" s="199"/>
      <c r="AD9" s="199"/>
      <c r="AE9" s="184"/>
      <c r="AF9" s="184"/>
      <c r="AG9" s="184"/>
      <c r="AH9" s="184"/>
      <c r="AI9" s="186"/>
      <c r="AJ9" s="177">
        <f t="shared" si="0"/>
        <v>0</v>
      </c>
    </row>
    <row r="10" spans="1:36" ht="16.5" collapsed="1" thickTop="1" thickBot="1" x14ac:dyDescent="0.3">
      <c r="B10" s="149" t="str">
        <f>'Hours Scheduled'!B5</f>
        <v>Bas Boermans</v>
      </c>
      <c r="C10" t="s">
        <v>0</v>
      </c>
      <c r="D10" s="183"/>
      <c r="E10" s="180"/>
      <c r="F10" s="180"/>
      <c r="G10" s="180"/>
      <c r="H10" s="198"/>
      <c r="I10" s="198"/>
      <c r="J10" s="180"/>
      <c r="K10" s="180"/>
      <c r="L10" s="180"/>
      <c r="M10" s="180"/>
      <c r="N10" s="180"/>
      <c r="O10" s="198"/>
      <c r="P10" s="198"/>
      <c r="Q10" s="180"/>
      <c r="R10" s="180"/>
      <c r="S10" s="180"/>
      <c r="T10" s="180">
        <v>8</v>
      </c>
      <c r="U10" s="180">
        <v>8</v>
      </c>
      <c r="V10" s="198"/>
      <c r="W10" s="198"/>
      <c r="X10" s="180">
        <v>0</v>
      </c>
      <c r="Y10" s="180">
        <v>0</v>
      </c>
      <c r="Z10" s="180">
        <v>0</v>
      </c>
      <c r="AA10" s="180">
        <v>0</v>
      </c>
      <c r="AB10" s="180">
        <v>0</v>
      </c>
      <c r="AC10" s="198"/>
      <c r="AD10" s="198"/>
      <c r="AE10" s="180">
        <v>0</v>
      </c>
      <c r="AF10" s="180">
        <v>0</v>
      </c>
      <c r="AG10" s="180">
        <v>0</v>
      </c>
      <c r="AH10" s="180">
        <v>0</v>
      </c>
      <c r="AJ10" s="172">
        <f>SUM(D10:AH10)</f>
        <v>16</v>
      </c>
    </row>
    <row r="11" spans="1:36" ht="15.75" hidden="1" outlineLevel="1" thickTop="1" x14ac:dyDescent="0.25">
      <c r="B11" s="150"/>
      <c r="C11" s="1" t="s">
        <v>1</v>
      </c>
      <c r="D11" s="183"/>
      <c r="E11" s="181"/>
      <c r="F11" s="181"/>
      <c r="G11" s="181"/>
      <c r="H11" s="198"/>
      <c r="I11" s="198"/>
      <c r="J11" s="181"/>
      <c r="K11" s="181"/>
      <c r="L11" s="181"/>
      <c r="M11" s="181"/>
      <c r="N11" s="181"/>
      <c r="O11" s="198"/>
      <c r="P11" s="198"/>
      <c r="Q11" s="181"/>
      <c r="R11" s="181"/>
      <c r="S11" s="181"/>
      <c r="T11" s="181"/>
      <c r="U11" s="181"/>
      <c r="V11" s="198"/>
      <c r="W11" s="198"/>
      <c r="X11" s="181">
        <v>8</v>
      </c>
      <c r="Y11" s="181">
        <v>8</v>
      </c>
      <c r="Z11" s="181">
        <v>8</v>
      </c>
      <c r="AA11" s="181">
        <v>8</v>
      </c>
      <c r="AB11" s="181">
        <v>8</v>
      </c>
      <c r="AC11" s="198"/>
      <c r="AD11" s="198"/>
      <c r="AE11" s="181">
        <v>8</v>
      </c>
      <c r="AF11" s="181">
        <v>8</v>
      </c>
      <c r="AG11" s="181">
        <v>8</v>
      </c>
      <c r="AH11" s="181">
        <v>8</v>
      </c>
      <c r="AJ11" s="174">
        <f t="shared" ref="AJ11:AJ14" si="1">SUM(D11:AH11)</f>
        <v>72</v>
      </c>
    </row>
    <row r="12" spans="1:36" hidden="1" outlineLevel="1" x14ac:dyDescent="0.25">
      <c r="B12" s="151"/>
      <c r="C12" s="1" t="s">
        <v>2</v>
      </c>
      <c r="D12" s="183"/>
      <c r="E12" s="182"/>
      <c r="F12" s="182"/>
      <c r="G12" s="182"/>
      <c r="H12" s="198"/>
      <c r="I12" s="198"/>
      <c r="J12" s="182"/>
      <c r="K12" s="182"/>
      <c r="L12" s="182"/>
      <c r="M12" s="182"/>
      <c r="N12" s="182"/>
      <c r="O12" s="198"/>
      <c r="P12" s="198"/>
      <c r="Q12" s="182"/>
      <c r="R12" s="182"/>
      <c r="S12" s="182"/>
      <c r="T12" s="182"/>
      <c r="U12" s="182"/>
      <c r="V12" s="198"/>
      <c r="W12" s="198"/>
      <c r="X12" s="182"/>
      <c r="Y12" s="182"/>
      <c r="Z12" s="182"/>
      <c r="AA12" s="182"/>
      <c r="AB12" s="182"/>
      <c r="AC12" s="198"/>
      <c r="AD12" s="198"/>
      <c r="AE12" s="182"/>
      <c r="AF12" s="182"/>
      <c r="AG12" s="182"/>
      <c r="AH12" s="182"/>
      <c r="AJ12" s="175">
        <f t="shared" si="1"/>
        <v>0</v>
      </c>
    </row>
    <row r="13" spans="1:36" hidden="1" outlineLevel="1" x14ac:dyDescent="0.25">
      <c r="B13" s="151"/>
      <c r="C13" s="54" t="s">
        <v>77</v>
      </c>
      <c r="D13" s="183"/>
      <c r="E13" s="183"/>
      <c r="F13" s="183"/>
      <c r="G13" s="183"/>
      <c r="H13" s="198"/>
      <c r="I13" s="198"/>
      <c r="J13" s="183"/>
      <c r="K13" s="183"/>
      <c r="L13" s="183"/>
      <c r="M13" s="183"/>
      <c r="N13" s="183"/>
      <c r="O13" s="198"/>
      <c r="P13" s="198"/>
      <c r="Q13" s="183"/>
      <c r="R13" s="176">
        <v>2.5</v>
      </c>
      <c r="S13" s="183"/>
      <c r="T13" s="183"/>
      <c r="U13" s="183"/>
      <c r="V13" s="198"/>
      <c r="W13" s="198"/>
      <c r="X13" s="183"/>
      <c r="Y13" s="183"/>
      <c r="Z13" s="183"/>
      <c r="AA13" s="183"/>
      <c r="AB13" s="183"/>
      <c r="AC13" s="198"/>
      <c r="AD13" s="198"/>
      <c r="AE13" s="183"/>
      <c r="AF13" s="183"/>
      <c r="AG13" s="183"/>
      <c r="AH13" s="183"/>
      <c r="AJ13" s="176">
        <f t="shared" si="1"/>
        <v>2.5</v>
      </c>
    </row>
    <row r="14" spans="1:36" ht="15.75" hidden="1" outlineLevel="1" thickBot="1" x14ac:dyDescent="0.3">
      <c r="B14" s="151"/>
      <c r="C14" s="9" t="s">
        <v>3</v>
      </c>
      <c r="D14" s="237"/>
      <c r="E14" s="184"/>
      <c r="F14" s="184"/>
      <c r="G14" s="184"/>
      <c r="H14" s="199"/>
      <c r="I14" s="199"/>
      <c r="J14" s="184"/>
      <c r="K14" s="184"/>
      <c r="L14" s="184"/>
      <c r="M14" s="184"/>
      <c r="N14" s="184"/>
      <c r="O14" s="199"/>
      <c r="P14" s="199"/>
      <c r="Q14" s="184"/>
      <c r="R14" s="184"/>
      <c r="S14" s="184"/>
      <c r="T14" s="184"/>
      <c r="U14" s="184"/>
      <c r="V14" s="199"/>
      <c r="W14" s="199"/>
      <c r="X14" s="184"/>
      <c r="Y14" s="184"/>
      <c r="Z14" s="184"/>
      <c r="AA14" s="184"/>
      <c r="AB14" s="184"/>
      <c r="AC14" s="199"/>
      <c r="AD14" s="199"/>
      <c r="AE14" s="184"/>
      <c r="AF14" s="184"/>
      <c r="AG14" s="184"/>
      <c r="AH14" s="184"/>
      <c r="AI14" s="186"/>
      <c r="AJ14" s="177">
        <f t="shared" si="1"/>
        <v>0</v>
      </c>
    </row>
    <row r="15" spans="1:36" ht="16.5" collapsed="1" thickTop="1" thickBot="1" x14ac:dyDescent="0.3">
      <c r="B15" s="149" t="str">
        <f>'Hours Scheduled'!B6</f>
        <v>Bastiaan Franssen</v>
      </c>
      <c r="C15" t="s">
        <v>0</v>
      </c>
      <c r="D15" s="183"/>
      <c r="E15" s="180"/>
      <c r="F15" s="180"/>
      <c r="G15" s="180">
        <v>8</v>
      </c>
      <c r="H15" s="198"/>
      <c r="I15" s="198"/>
      <c r="J15" s="180"/>
      <c r="K15" s="180"/>
      <c r="L15" s="180"/>
      <c r="M15" s="180"/>
      <c r="N15" s="180"/>
      <c r="O15" s="198"/>
      <c r="P15" s="198"/>
      <c r="Q15" s="180"/>
      <c r="R15" s="180"/>
      <c r="S15" s="180"/>
      <c r="T15" s="180"/>
      <c r="U15" s="180"/>
      <c r="V15" s="198"/>
      <c r="W15" s="198"/>
      <c r="X15" s="180"/>
      <c r="Y15" s="180"/>
      <c r="Z15" s="180"/>
      <c r="AA15" s="180">
        <v>2</v>
      </c>
      <c r="AB15" s="180">
        <v>8</v>
      </c>
      <c r="AC15" s="198"/>
      <c r="AD15" s="198"/>
      <c r="AE15" s="180"/>
      <c r="AF15" s="180"/>
      <c r="AG15" s="180"/>
      <c r="AH15" s="180"/>
      <c r="AJ15" s="172">
        <f>SUM(D15:AH15)</f>
        <v>18</v>
      </c>
    </row>
    <row r="16" spans="1:36" ht="15.75" hidden="1" outlineLevel="1" thickTop="1" x14ac:dyDescent="0.25">
      <c r="B16" s="150"/>
      <c r="C16" s="1" t="s">
        <v>1</v>
      </c>
      <c r="D16" s="183"/>
      <c r="E16" s="181"/>
      <c r="F16" s="181"/>
      <c r="G16" s="181"/>
      <c r="H16" s="198"/>
      <c r="I16" s="198"/>
      <c r="J16" s="181"/>
      <c r="K16" s="181"/>
      <c r="L16" s="181"/>
      <c r="M16" s="181"/>
      <c r="N16" s="181"/>
      <c r="O16" s="198"/>
      <c r="P16" s="198"/>
      <c r="Q16" s="181"/>
      <c r="R16" s="181"/>
      <c r="S16" s="181"/>
      <c r="T16" s="181"/>
      <c r="U16" s="181"/>
      <c r="V16" s="198"/>
      <c r="W16" s="198"/>
      <c r="X16" s="181"/>
      <c r="Y16" s="181"/>
      <c r="Z16" s="181"/>
      <c r="AA16" s="181"/>
      <c r="AB16" s="181"/>
      <c r="AC16" s="198"/>
      <c r="AD16" s="198"/>
      <c r="AE16" s="181"/>
      <c r="AF16" s="181"/>
      <c r="AG16" s="181"/>
      <c r="AH16" s="181"/>
      <c r="AJ16" s="174">
        <f t="shared" ref="AJ16:AJ19" si="2">SUM(D16:AH16)</f>
        <v>0</v>
      </c>
    </row>
    <row r="17" spans="2:36" hidden="1" outlineLevel="1" x14ac:dyDescent="0.25">
      <c r="B17" s="151"/>
      <c r="C17" s="1" t="s">
        <v>2</v>
      </c>
      <c r="D17" s="183"/>
      <c r="E17" s="182"/>
      <c r="F17" s="182"/>
      <c r="G17" s="182"/>
      <c r="H17" s="198"/>
      <c r="I17" s="198"/>
      <c r="J17" s="182"/>
      <c r="K17" s="182"/>
      <c r="L17" s="182"/>
      <c r="M17" s="182"/>
      <c r="N17" s="182"/>
      <c r="O17" s="198"/>
      <c r="P17" s="198"/>
      <c r="Q17" s="182"/>
      <c r="R17" s="182"/>
      <c r="S17" s="182"/>
      <c r="T17" s="182"/>
      <c r="U17" s="182"/>
      <c r="V17" s="198"/>
      <c r="W17" s="198"/>
      <c r="X17" s="182"/>
      <c r="Y17" s="182"/>
      <c r="Z17" s="182"/>
      <c r="AA17" s="182"/>
      <c r="AB17" s="182"/>
      <c r="AC17" s="198"/>
      <c r="AD17" s="198"/>
      <c r="AE17" s="182"/>
      <c r="AF17" s="182"/>
      <c r="AG17" s="182"/>
      <c r="AH17" s="182"/>
      <c r="AJ17" s="175">
        <f t="shared" si="2"/>
        <v>0</v>
      </c>
    </row>
    <row r="18" spans="2:36" hidden="1" outlineLevel="1" x14ac:dyDescent="0.25">
      <c r="B18" s="151"/>
      <c r="C18" s="54" t="s">
        <v>77</v>
      </c>
      <c r="D18" s="183"/>
      <c r="E18" s="183"/>
      <c r="F18" s="183"/>
      <c r="G18" s="183"/>
      <c r="H18" s="198"/>
      <c r="I18" s="198"/>
      <c r="J18" s="183"/>
      <c r="K18" s="183"/>
      <c r="L18" s="183"/>
      <c r="M18" s="183"/>
      <c r="N18" s="183"/>
      <c r="O18" s="198"/>
      <c r="P18" s="198"/>
      <c r="Q18" s="183"/>
      <c r="R18" s="183"/>
      <c r="S18" s="183"/>
      <c r="T18" s="183"/>
      <c r="U18" s="183"/>
      <c r="V18" s="198"/>
      <c r="W18" s="198"/>
      <c r="X18" s="183"/>
      <c r="Y18" s="183"/>
      <c r="Z18" s="183"/>
      <c r="AA18" s="183"/>
      <c r="AB18" s="183"/>
      <c r="AC18" s="198"/>
      <c r="AD18" s="198"/>
      <c r="AE18" s="183"/>
      <c r="AF18" s="183"/>
      <c r="AG18" s="183"/>
      <c r="AH18" s="183"/>
      <c r="AJ18" s="176">
        <f t="shared" si="2"/>
        <v>0</v>
      </c>
    </row>
    <row r="19" spans="2:36" ht="15.75" hidden="1" outlineLevel="1" thickBot="1" x14ac:dyDescent="0.3">
      <c r="B19" s="151"/>
      <c r="C19" s="9" t="s">
        <v>3</v>
      </c>
      <c r="D19" s="237"/>
      <c r="E19" s="184"/>
      <c r="F19" s="184"/>
      <c r="G19" s="184"/>
      <c r="H19" s="199"/>
      <c r="I19" s="199"/>
      <c r="J19" s="184"/>
      <c r="K19" s="184"/>
      <c r="L19" s="184"/>
      <c r="M19" s="184"/>
      <c r="N19" s="184"/>
      <c r="O19" s="199"/>
      <c r="P19" s="199"/>
      <c r="Q19" s="184"/>
      <c r="R19" s="184"/>
      <c r="S19" s="184"/>
      <c r="T19" s="184"/>
      <c r="U19" s="184"/>
      <c r="V19" s="199"/>
      <c r="W19" s="199"/>
      <c r="X19" s="184"/>
      <c r="Y19" s="184"/>
      <c r="Z19" s="184"/>
      <c r="AA19" s="184"/>
      <c r="AB19" s="184"/>
      <c r="AC19" s="199"/>
      <c r="AD19" s="199"/>
      <c r="AE19" s="184"/>
      <c r="AF19" s="184"/>
      <c r="AG19" s="184"/>
      <c r="AH19" s="184"/>
      <c r="AI19" s="186"/>
      <c r="AJ19" s="177">
        <f t="shared" si="2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183"/>
      <c r="E20" s="180">
        <v>8</v>
      </c>
      <c r="F20" s="180"/>
      <c r="G20" s="180"/>
      <c r="H20" s="198"/>
      <c r="I20" s="198"/>
      <c r="J20" s="180"/>
      <c r="K20" s="180"/>
      <c r="L20" s="180"/>
      <c r="M20" s="180"/>
      <c r="N20" s="180"/>
      <c r="O20" s="198"/>
      <c r="P20" s="198"/>
      <c r="Q20" s="180"/>
      <c r="R20" s="180"/>
      <c r="S20" s="180"/>
      <c r="T20" s="180"/>
      <c r="U20" s="180"/>
      <c r="V20" s="198"/>
      <c r="W20" s="198"/>
      <c r="X20" s="180"/>
      <c r="Y20" s="180"/>
      <c r="Z20" s="180"/>
      <c r="AA20" s="180"/>
      <c r="AB20" s="180"/>
      <c r="AC20" s="198"/>
      <c r="AD20" s="198"/>
      <c r="AE20" s="180"/>
      <c r="AF20" s="180"/>
      <c r="AG20" s="180"/>
      <c r="AH20" s="180"/>
      <c r="AJ20" s="172">
        <f>SUM(D20:AH20)</f>
        <v>8</v>
      </c>
    </row>
    <row r="21" spans="2:36" ht="15.75" hidden="1" outlineLevel="1" thickTop="1" x14ac:dyDescent="0.25">
      <c r="B21" s="150"/>
      <c r="C21" s="1" t="s">
        <v>1</v>
      </c>
      <c r="D21" s="183"/>
      <c r="E21" s="181"/>
      <c r="F21" s="181"/>
      <c r="G21" s="181"/>
      <c r="H21" s="198"/>
      <c r="I21" s="198"/>
      <c r="J21" s="181"/>
      <c r="K21" s="181"/>
      <c r="L21" s="181"/>
      <c r="M21" s="181"/>
      <c r="N21" s="181"/>
      <c r="O21" s="198"/>
      <c r="P21" s="198"/>
      <c r="Q21" s="181"/>
      <c r="R21" s="181"/>
      <c r="S21" s="181"/>
      <c r="T21" s="181"/>
      <c r="U21" s="181"/>
      <c r="V21" s="198"/>
      <c r="W21" s="198"/>
      <c r="X21" s="181"/>
      <c r="Y21" s="181"/>
      <c r="Z21" s="181"/>
      <c r="AA21" s="181"/>
      <c r="AB21" s="181"/>
      <c r="AC21" s="198"/>
      <c r="AD21" s="198"/>
      <c r="AE21" s="181"/>
      <c r="AF21" s="181"/>
      <c r="AG21" s="181"/>
      <c r="AH21" s="181"/>
      <c r="AJ21" s="174">
        <f t="shared" ref="AJ21:AJ24" si="3">SUM(D21:AH21)</f>
        <v>0</v>
      </c>
    </row>
    <row r="22" spans="2:36" hidden="1" outlineLevel="1" x14ac:dyDescent="0.25">
      <c r="B22" s="151"/>
      <c r="C22" s="1" t="s">
        <v>2</v>
      </c>
      <c r="D22" s="183"/>
      <c r="E22" s="182"/>
      <c r="F22" s="182"/>
      <c r="G22" s="182"/>
      <c r="H22" s="198"/>
      <c r="I22" s="198"/>
      <c r="J22" s="182"/>
      <c r="K22" s="182"/>
      <c r="L22" s="182"/>
      <c r="M22" s="182"/>
      <c r="N22" s="182"/>
      <c r="O22" s="198"/>
      <c r="P22" s="198"/>
      <c r="Q22" s="182"/>
      <c r="R22" s="182"/>
      <c r="S22" s="182"/>
      <c r="T22" s="182"/>
      <c r="U22" s="182"/>
      <c r="V22" s="198"/>
      <c r="W22" s="198"/>
      <c r="X22" s="182"/>
      <c r="Y22" s="182"/>
      <c r="Z22" s="182"/>
      <c r="AA22" s="182"/>
      <c r="AB22" s="182"/>
      <c r="AC22" s="198"/>
      <c r="AD22" s="198"/>
      <c r="AE22" s="182"/>
      <c r="AF22" s="182"/>
      <c r="AG22" s="182"/>
      <c r="AH22" s="182"/>
      <c r="AJ22" s="175">
        <f t="shared" si="3"/>
        <v>0</v>
      </c>
    </row>
    <row r="23" spans="2:36" hidden="1" outlineLevel="1" x14ac:dyDescent="0.25">
      <c r="B23" s="151"/>
      <c r="C23" s="54" t="s">
        <v>77</v>
      </c>
      <c r="D23" s="183"/>
      <c r="E23" s="183"/>
      <c r="F23" s="183"/>
      <c r="G23" s="183"/>
      <c r="H23" s="198"/>
      <c r="I23" s="198"/>
      <c r="J23" s="183"/>
      <c r="K23" s="183"/>
      <c r="L23" s="183"/>
      <c r="M23" s="183"/>
      <c r="N23" s="183"/>
      <c r="O23" s="198"/>
      <c r="P23" s="198"/>
      <c r="Q23" s="183"/>
      <c r="R23" s="183"/>
      <c r="S23" s="183"/>
      <c r="T23" s="183"/>
      <c r="U23" s="183"/>
      <c r="V23" s="198"/>
      <c r="W23" s="198"/>
      <c r="X23" s="183"/>
      <c r="Y23" s="183"/>
      <c r="Z23" s="183"/>
      <c r="AA23" s="183"/>
      <c r="AB23" s="183"/>
      <c r="AC23" s="198"/>
      <c r="AD23" s="198"/>
      <c r="AE23" s="183"/>
      <c r="AF23" s="183"/>
      <c r="AG23" s="183"/>
      <c r="AH23" s="183"/>
      <c r="AJ23" s="176">
        <f t="shared" si="3"/>
        <v>0</v>
      </c>
    </row>
    <row r="24" spans="2:36" ht="15.75" hidden="1" outlineLevel="1" thickBot="1" x14ac:dyDescent="0.3">
      <c r="B24" s="151"/>
      <c r="C24" s="9" t="s">
        <v>3</v>
      </c>
      <c r="D24" s="237"/>
      <c r="E24" s="184"/>
      <c r="F24" s="184"/>
      <c r="G24" s="184"/>
      <c r="H24" s="199"/>
      <c r="I24" s="199"/>
      <c r="J24" s="184"/>
      <c r="K24" s="184"/>
      <c r="L24" s="184"/>
      <c r="M24" s="184"/>
      <c r="N24" s="184"/>
      <c r="O24" s="199"/>
      <c r="P24" s="199"/>
      <c r="Q24" s="184"/>
      <c r="R24" s="184"/>
      <c r="S24" s="184"/>
      <c r="T24" s="184"/>
      <c r="U24" s="184"/>
      <c r="V24" s="199"/>
      <c r="W24" s="199"/>
      <c r="X24" s="184"/>
      <c r="Y24" s="184"/>
      <c r="Z24" s="184"/>
      <c r="AA24" s="184"/>
      <c r="AB24" s="184"/>
      <c r="AC24" s="199"/>
      <c r="AD24" s="199"/>
      <c r="AE24" s="184"/>
      <c r="AF24" s="184"/>
      <c r="AG24" s="184"/>
      <c r="AH24" s="184"/>
      <c r="AI24" s="186"/>
      <c r="AJ24" s="177">
        <f t="shared" si="3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183"/>
      <c r="E25" s="180">
        <v>4</v>
      </c>
      <c r="F25" s="180"/>
      <c r="G25" s="180">
        <v>4</v>
      </c>
      <c r="H25" s="198"/>
      <c r="I25" s="198"/>
      <c r="J25" s="180">
        <v>0</v>
      </c>
      <c r="K25" s="180">
        <v>0</v>
      </c>
      <c r="L25" s="180">
        <v>0</v>
      </c>
      <c r="M25" s="180">
        <v>0</v>
      </c>
      <c r="N25" s="180"/>
      <c r="O25" s="198"/>
      <c r="P25" s="198"/>
      <c r="Q25" s="180"/>
      <c r="R25" s="180"/>
      <c r="S25" s="180">
        <v>4</v>
      </c>
      <c r="T25" s="180"/>
      <c r="U25" s="180">
        <v>0</v>
      </c>
      <c r="V25" s="198"/>
      <c r="W25" s="198"/>
      <c r="X25" s="180">
        <v>4</v>
      </c>
      <c r="Y25" s="180"/>
      <c r="Z25" s="180"/>
      <c r="AA25" s="180"/>
      <c r="AB25" s="180"/>
      <c r="AC25" s="198"/>
      <c r="AD25" s="198"/>
      <c r="AE25" s="180"/>
      <c r="AF25" s="180"/>
      <c r="AG25" s="180"/>
      <c r="AH25" s="180">
        <v>0</v>
      </c>
      <c r="AJ25" s="172">
        <f>SUM(D25:AH25)</f>
        <v>16</v>
      </c>
    </row>
    <row r="26" spans="2:36" ht="15.75" hidden="1" outlineLevel="1" thickTop="1" x14ac:dyDescent="0.25">
      <c r="B26" s="150"/>
      <c r="C26" s="1" t="s">
        <v>1</v>
      </c>
      <c r="D26" s="183"/>
      <c r="E26" s="181"/>
      <c r="F26" s="181"/>
      <c r="G26" s="181"/>
      <c r="H26" s="198"/>
      <c r="I26" s="198"/>
      <c r="J26" s="181">
        <v>8</v>
      </c>
      <c r="K26" s="181">
        <v>8</v>
      </c>
      <c r="L26" s="181">
        <v>8</v>
      </c>
      <c r="M26" s="181">
        <v>8</v>
      </c>
      <c r="N26" s="181"/>
      <c r="O26" s="198"/>
      <c r="P26" s="198"/>
      <c r="Q26" s="181"/>
      <c r="R26" s="181"/>
      <c r="S26" s="181"/>
      <c r="T26" s="181"/>
      <c r="U26" s="181"/>
      <c r="V26" s="198"/>
      <c r="W26" s="198"/>
      <c r="X26" s="181"/>
      <c r="Y26" s="181"/>
      <c r="Z26" s="181"/>
      <c r="AA26" s="181"/>
      <c r="AB26" s="181"/>
      <c r="AC26" s="198"/>
      <c r="AD26" s="198"/>
      <c r="AE26" s="181"/>
      <c r="AF26" s="181"/>
      <c r="AG26" s="181"/>
      <c r="AH26" s="181"/>
      <c r="AJ26" s="174">
        <f t="shared" ref="AJ26:AJ29" si="4">SUM(D26:AH26)</f>
        <v>32</v>
      </c>
    </row>
    <row r="27" spans="2:36" hidden="1" outlineLevel="1" x14ac:dyDescent="0.25">
      <c r="B27" s="151"/>
      <c r="C27" s="1" t="s">
        <v>2</v>
      </c>
      <c r="D27" s="183"/>
      <c r="E27" s="182"/>
      <c r="F27" s="182"/>
      <c r="G27" s="182"/>
      <c r="H27" s="198"/>
      <c r="I27" s="198"/>
      <c r="J27" s="182"/>
      <c r="K27" s="182"/>
      <c r="L27" s="182"/>
      <c r="M27" s="182"/>
      <c r="N27" s="182"/>
      <c r="O27" s="198"/>
      <c r="P27" s="198"/>
      <c r="Q27" s="182"/>
      <c r="R27" s="182"/>
      <c r="S27" s="182"/>
      <c r="T27" s="182"/>
      <c r="U27" s="182">
        <v>4</v>
      </c>
      <c r="V27" s="198"/>
      <c r="W27" s="198"/>
      <c r="X27" s="182">
        <v>4</v>
      </c>
      <c r="Y27" s="182"/>
      <c r="Z27" s="182"/>
      <c r="AA27" s="182"/>
      <c r="AB27" s="182"/>
      <c r="AC27" s="198"/>
      <c r="AD27" s="198"/>
      <c r="AE27" s="182"/>
      <c r="AF27" s="182"/>
      <c r="AG27" s="182"/>
      <c r="AH27" s="182"/>
      <c r="AJ27" s="175">
        <f t="shared" si="4"/>
        <v>8</v>
      </c>
    </row>
    <row r="28" spans="2:36" hidden="1" outlineLevel="1" x14ac:dyDescent="0.25">
      <c r="B28" s="151"/>
      <c r="C28" s="54" t="s">
        <v>77</v>
      </c>
      <c r="D28" s="183"/>
      <c r="E28" s="183"/>
      <c r="F28" s="183"/>
      <c r="G28" s="183"/>
      <c r="H28" s="198"/>
      <c r="I28" s="198"/>
      <c r="J28" s="183"/>
      <c r="K28" s="183"/>
      <c r="L28" s="183"/>
      <c r="M28" s="183"/>
      <c r="N28" s="183"/>
      <c r="O28" s="198"/>
      <c r="P28" s="198"/>
      <c r="Q28" s="183"/>
      <c r="R28" s="183"/>
      <c r="S28" s="183"/>
      <c r="T28" s="183"/>
      <c r="U28" s="183"/>
      <c r="V28" s="198"/>
      <c r="W28" s="198"/>
      <c r="X28" s="183"/>
      <c r="Y28" s="183"/>
      <c r="Z28" s="183"/>
      <c r="AA28" s="183"/>
      <c r="AB28" s="183"/>
      <c r="AC28" s="198"/>
      <c r="AD28" s="198"/>
      <c r="AE28" s="183"/>
      <c r="AF28" s="183"/>
      <c r="AG28" s="183"/>
      <c r="AH28" s="183"/>
      <c r="AJ28" s="176">
        <f t="shared" si="4"/>
        <v>0</v>
      </c>
    </row>
    <row r="29" spans="2:36" ht="15.75" hidden="1" outlineLevel="1" thickBot="1" x14ac:dyDescent="0.3">
      <c r="B29" s="151"/>
      <c r="C29" s="9" t="s">
        <v>3</v>
      </c>
      <c r="D29" s="237"/>
      <c r="E29" s="184">
        <v>0.2</v>
      </c>
      <c r="F29" s="184"/>
      <c r="G29" s="184"/>
      <c r="H29" s="199"/>
      <c r="I29" s="199"/>
      <c r="J29" s="184"/>
      <c r="K29" s="184"/>
      <c r="L29" s="184"/>
      <c r="M29" s="184"/>
      <c r="N29" s="184"/>
      <c r="O29" s="199"/>
      <c r="P29" s="199"/>
      <c r="Q29" s="184">
        <v>0.25</v>
      </c>
      <c r="R29" s="184"/>
      <c r="S29" s="184"/>
      <c r="T29" s="184"/>
      <c r="U29" s="184"/>
      <c r="V29" s="199"/>
      <c r="W29" s="199"/>
      <c r="X29" s="184"/>
      <c r="Y29" s="184"/>
      <c r="Z29" s="184"/>
      <c r="AA29" s="184"/>
      <c r="AB29" s="184"/>
      <c r="AC29" s="199"/>
      <c r="AD29" s="199"/>
      <c r="AE29" s="184"/>
      <c r="AF29" s="184"/>
      <c r="AG29" s="184"/>
      <c r="AH29" s="184"/>
      <c r="AI29" s="186"/>
      <c r="AJ29" s="177">
        <f t="shared" si="4"/>
        <v>0.45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183"/>
      <c r="E30" s="180"/>
      <c r="F30" s="180"/>
      <c r="G30" s="180"/>
      <c r="H30" s="198"/>
      <c r="I30" s="198"/>
      <c r="J30" s="180">
        <v>8</v>
      </c>
      <c r="K30" s="180">
        <v>8</v>
      </c>
      <c r="L30" s="180">
        <v>8</v>
      </c>
      <c r="M30" s="180">
        <v>8</v>
      </c>
      <c r="N30" s="180">
        <v>8</v>
      </c>
      <c r="O30" s="198"/>
      <c r="P30" s="198"/>
      <c r="Q30" s="180">
        <v>8</v>
      </c>
      <c r="R30" s="180">
        <v>8</v>
      </c>
      <c r="S30" s="180">
        <v>8</v>
      </c>
      <c r="T30" s="180">
        <v>8</v>
      </c>
      <c r="U30" s="180">
        <v>8</v>
      </c>
      <c r="V30" s="198"/>
      <c r="W30" s="198"/>
      <c r="X30" s="180"/>
      <c r="Y30" s="180"/>
      <c r="Z30" s="180"/>
      <c r="AA30" s="180"/>
      <c r="AB30" s="180"/>
      <c r="AC30" s="198"/>
      <c r="AD30" s="198"/>
      <c r="AE30" s="180"/>
      <c r="AF30" s="180"/>
      <c r="AG30" s="180"/>
      <c r="AH30" s="180"/>
      <c r="AJ30" s="172">
        <f>SUM(D30:AH30)</f>
        <v>80</v>
      </c>
    </row>
    <row r="31" spans="2:36" ht="15.75" hidden="1" outlineLevel="1" thickTop="1" x14ac:dyDescent="0.25">
      <c r="B31" s="150"/>
      <c r="C31" s="1" t="s">
        <v>1</v>
      </c>
      <c r="D31" s="183"/>
      <c r="E31" s="181"/>
      <c r="F31" s="181"/>
      <c r="G31" s="181"/>
      <c r="H31" s="198"/>
      <c r="I31" s="198"/>
      <c r="J31" s="181"/>
      <c r="K31" s="181"/>
      <c r="L31" s="181"/>
      <c r="M31" s="181"/>
      <c r="N31" s="181"/>
      <c r="O31" s="198"/>
      <c r="P31" s="198"/>
      <c r="Q31" s="181"/>
      <c r="R31" s="181"/>
      <c r="S31" s="181"/>
      <c r="T31" s="181"/>
      <c r="U31" s="181"/>
      <c r="V31" s="198"/>
      <c r="W31" s="198"/>
      <c r="X31" s="181"/>
      <c r="Y31" s="181"/>
      <c r="Z31" s="181"/>
      <c r="AA31" s="181"/>
      <c r="AB31" s="181"/>
      <c r="AC31" s="198"/>
      <c r="AD31" s="198"/>
      <c r="AE31" s="181"/>
      <c r="AF31" s="181"/>
      <c r="AG31" s="181"/>
      <c r="AH31" s="181"/>
      <c r="AJ31" s="174">
        <f t="shared" ref="AJ31:AJ34" si="5">SUM(D31:AH31)</f>
        <v>0</v>
      </c>
    </row>
    <row r="32" spans="2:36" hidden="1" outlineLevel="1" x14ac:dyDescent="0.25">
      <c r="B32" s="151"/>
      <c r="C32" s="1" t="s">
        <v>2</v>
      </c>
      <c r="D32" s="183"/>
      <c r="E32" s="182"/>
      <c r="F32" s="182"/>
      <c r="G32" s="182"/>
      <c r="H32" s="198"/>
      <c r="I32" s="198"/>
      <c r="J32" s="182"/>
      <c r="K32" s="182"/>
      <c r="L32" s="182"/>
      <c r="M32" s="182"/>
      <c r="N32" s="182"/>
      <c r="O32" s="198"/>
      <c r="P32" s="198"/>
      <c r="Q32" s="182"/>
      <c r="R32" s="182"/>
      <c r="S32" s="182"/>
      <c r="T32" s="182"/>
      <c r="U32" s="182"/>
      <c r="V32" s="198"/>
      <c r="W32" s="198"/>
      <c r="X32" s="182"/>
      <c r="Y32" s="182"/>
      <c r="Z32" s="182"/>
      <c r="AA32" s="182"/>
      <c r="AB32" s="182"/>
      <c r="AC32" s="198"/>
      <c r="AD32" s="198"/>
      <c r="AE32" s="182"/>
      <c r="AF32" s="182"/>
      <c r="AG32" s="182"/>
      <c r="AH32" s="182"/>
      <c r="AJ32" s="175">
        <f t="shared" si="5"/>
        <v>0</v>
      </c>
    </row>
    <row r="33" spans="2:36" hidden="1" outlineLevel="1" x14ac:dyDescent="0.25">
      <c r="B33" s="151"/>
      <c r="C33" s="54" t="s">
        <v>77</v>
      </c>
      <c r="D33" s="183"/>
      <c r="E33" s="183"/>
      <c r="F33" s="183"/>
      <c r="G33" s="183"/>
      <c r="H33" s="198"/>
      <c r="I33" s="198"/>
      <c r="J33" s="183"/>
      <c r="K33" s="183"/>
      <c r="L33" s="183"/>
      <c r="M33" s="183"/>
      <c r="N33" s="183"/>
      <c r="O33" s="198"/>
      <c r="P33" s="198"/>
      <c r="Q33" s="183"/>
      <c r="R33" s="183"/>
      <c r="S33" s="183"/>
      <c r="T33" s="183"/>
      <c r="U33" s="183"/>
      <c r="V33" s="198"/>
      <c r="W33" s="198"/>
      <c r="X33" s="183"/>
      <c r="Y33" s="183"/>
      <c r="Z33" s="183"/>
      <c r="AA33" s="183"/>
      <c r="AB33" s="183"/>
      <c r="AC33" s="198"/>
      <c r="AD33" s="198"/>
      <c r="AE33" s="183"/>
      <c r="AF33" s="183"/>
      <c r="AG33" s="183"/>
      <c r="AH33" s="183"/>
      <c r="AJ33" s="176">
        <f t="shared" si="5"/>
        <v>0</v>
      </c>
    </row>
    <row r="34" spans="2:36" ht="15.75" hidden="1" outlineLevel="1" thickBot="1" x14ac:dyDescent="0.3">
      <c r="B34" s="151"/>
      <c r="C34" s="9" t="s">
        <v>3</v>
      </c>
      <c r="D34" s="237"/>
      <c r="E34" s="184"/>
      <c r="F34" s="184"/>
      <c r="G34" s="184"/>
      <c r="H34" s="199"/>
      <c r="I34" s="199"/>
      <c r="J34" s="184"/>
      <c r="K34" s="184"/>
      <c r="L34" s="184"/>
      <c r="M34" s="184"/>
      <c r="N34" s="184"/>
      <c r="O34" s="199"/>
      <c r="P34" s="199"/>
      <c r="Q34" s="184"/>
      <c r="R34" s="184"/>
      <c r="S34" s="184"/>
      <c r="T34" s="184"/>
      <c r="U34" s="184"/>
      <c r="V34" s="199"/>
      <c r="W34" s="199"/>
      <c r="X34" s="184"/>
      <c r="Y34" s="184"/>
      <c r="Z34" s="184"/>
      <c r="AA34" s="184"/>
      <c r="AB34" s="184"/>
      <c r="AC34" s="199"/>
      <c r="AD34" s="199"/>
      <c r="AE34" s="184"/>
      <c r="AF34" s="184"/>
      <c r="AG34" s="184"/>
      <c r="AH34" s="184"/>
      <c r="AI34" s="186"/>
      <c r="AJ34" s="177">
        <f t="shared" si="5"/>
        <v>0</v>
      </c>
    </row>
    <row r="35" spans="2:36" ht="16.5" collapsed="1" thickTop="1" thickBot="1" x14ac:dyDescent="0.3">
      <c r="B35" s="149" t="str">
        <f>'Hours Scheduled'!B10</f>
        <v>Dennis van 't Hul</v>
      </c>
      <c r="C35" t="s">
        <v>0</v>
      </c>
      <c r="D35" s="183"/>
      <c r="E35" s="180">
        <v>4</v>
      </c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J35" s="172">
        <f>SUM(D35:AH35)</f>
        <v>4</v>
      </c>
    </row>
    <row r="36" spans="2:36" ht="15.75" hidden="1" outlineLevel="1" thickTop="1" x14ac:dyDescent="0.25">
      <c r="B36" s="150"/>
      <c r="C36" s="1" t="s">
        <v>1</v>
      </c>
      <c r="D36" s="183"/>
      <c r="E36" s="181"/>
      <c r="F36" s="181"/>
      <c r="G36" s="181"/>
      <c r="H36" s="198"/>
      <c r="I36" s="198"/>
      <c r="J36" s="181"/>
      <c r="K36" s="181"/>
      <c r="L36" s="181"/>
      <c r="M36" s="181"/>
      <c r="N36" s="181"/>
      <c r="O36" s="198"/>
      <c r="P36" s="198"/>
      <c r="Q36" s="181"/>
      <c r="R36" s="181"/>
      <c r="S36" s="181"/>
      <c r="T36" s="181"/>
      <c r="U36" s="181"/>
      <c r="V36" s="198"/>
      <c r="W36" s="198"/>
      <c r="X36" s="181"/>
      <c r="Y36" s="181"/>
      <c r="Z36" s="181"/>
      <c r="AA36" s="181"/>
      <c r="AB36" s="181"/>
      <c r="AC36" s="198"/>
      <c r="AD36" s="198"/>
      <c r="AE36" s="181"/>
      <c r="AF36" s="181"/>
      <c r="AG36" s="181"/>
      <c r="AH36" s="181"/>
      <c r="AJ36" s="174">
        <f t="shared" ref="AJ36:AJ39" si="6">SUM(D36:AH36)</f>
        <v>0</v>
      </c>
    </row>
    <row r="37" spans="2:36" hidden="1" outlineLevel="1" x14ac:dyDescent="0.25">
      <c r="B37" s="151"/>
      <c r="C37" s="1" t="s">
        <v>2</v>
      </c>
      <c r="D37" s="183"/>
      <c r="E37" s="182"/>
      <c r="F37" s="182"/>
      <c r="G37" s="182"/>
      <c r="H37" s="198"/>
      <c r="I37" s="198"/>
      <c r="J37" s="182"/>
      <c r="K37" s="182"/>
      <c r="L37" s="182"/>
      <c r="M37" s="182"/>
      <c r="N37" s="182"/>
      <c r="O37" s="198"/>
      <c r="P37" s="198"/>
      <c r="Q37" s="182"/>
      <c r="R37" s="182"/>
      <c r="S37" s="182"/>
      <c r="T37" s="182"/>
      <c r="U37" s="182"/>
      <c r="V37" s="198"/>
      <c r="W37" s="198"/>
      <c r="X37" s="182"/>
      <c r="Y37" s="182"/>
      <c r="Z37" s="182"/>
      <c r="AA37" s="182"/>
      <c r="AB37" s="182"/>
      <c r="AC37" s="198"/>
      <c r="AD37" s="198"/>
      <c r="AE37" s="182"/>
      <c r="AF37" s="182"/>
      <c r="AG37" s="182"/>
      <c r="AH37" s="182"/>
      <c r="AJ37" s="175">
        <f t="shared" si="6"/>
        <v>0</v>
      </c>
    </row>
    <row r="38" spans="2:36" hidden="1" outlineLevel="1" x14ac:dyDescent="0.25">
      <c r="B38" s="151"/>
      <c r="C38" s="54" t="s">
        <v>77</v>
      </c>
      <c r="D38" s="183"/>
      <c r="E38" s="183"/>
      <c r="F38" s="183"/>
      <c r="G38" s="183"/>
      <c r="H38" s="198"/>
      <c r="I38" s="198"/>
      <c r="J38" s="183"/>
      <c r="K38" s="183"/>
      <c r="L38" s="183"/>
      <c r="M38" s="183"/>
      <c r="N38" s="183"/>
      <c r="O38" s="198"/>
      <c r="P38" s="198"/>
      <c r="Q38" s="183"/>
      <c r="R38" s="183"/>
      <c r="S38" s="183"/>
      <c r="T38" s="183"/>
      <c r="U38" s="183"/>
      <c r="V38" s="198"/>
      <c r="W38" s="198"/>
      <c r="X38" s="183"/>
      <c r="Y38" s="183"/>
      <c r="Z38" s="183"/>
      <c r="AA38" s="183"/>
      <c r="AB38" s="183"/>
      <c r="AC38" s="198"/>
      <c r="AD38" s="198"/>
      <c r="AE38" s="183"/>
      <c r="AF38" s="183"/>
      <c r="AG38" s="183"/>
      <c r="AH38" s="183"/>
      <c r="AJ38" s="176">
        <f t="shared" si="6"/>
        <v>0</v>
      </c>
    </row>
    <row r="39" spans="2:36" ht="15.75" hidden="1" outlineLevel="1" thickBot="1" x14ac:dyDescent="0.3">
      <c r="B39" s="151"/>
      <c r="C39" s="9" t="s">
        <v>3</v>
      </c>
      <c r="D39" s="237"/>
      <c r="E39" s="184"/>
      <c r="F39" s="184"/>
      <c r="G39" s="184"/>
      <c r="H39" s="199"/>
      <c r="I39" s="199"/>
      <c r="J39" s="184"/>
      <c r="K39" s="184"/>
      <c r="L39" s="184"/>
      <c r="M39" s="184"/>
      <c r="N39" s="184"/>
      <c r="O39" s="199"/>
      <c r="P39" s="199"/>
      <c r="Q39" s="184"/>
      <c r="R39" s="184"/>
      <c r="S39" s="184"/>
      <c r="T39" s="184"/>
      <c r="U39" s="184"/>
      <c r="V39" s="199"/>
      <c r="W39" s="199"/>
      <c r="X39" s="184"/>
      <c r="Y39" s="184"/>
      <c r="Z39" s="184"/>
      <c r="AA39" s="184"/>
      <c r="AB39" s="184"/>
      <c r="AC39" s="199"/>
      <c r="AD39" s="199"/>
      <c r="AE39" s="184"/>
      <c r="AF39" s="184"/>
      <c r="AG39" s="184"/>
      <c r="AH39" s="184"/>
      <c r="AI39" s="186"/>
      <c r="AJ39" s="177">
        <f t="shared" si="6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183"/>
      <c r="E40" s="180"/>
      <c r="F40" s="180"/>
      <c r="G40" s="180"/>
      <c r="H40" s="198"/>
      <c r="I40" s="198"/>
      <c r="J40" s="180">
        <v>8</v>
      </c>
      <c r="K40" s="180"/>
      <c r="L40" s="180"/>
      <c r="M40" s="180"/>
      <c r="N40" s="180"/>
      <c r="O40" s="198"/>
      <c r="P40" s="198"/>
      <c r="Q40" s="180"/>
      <c r="R40" s="180"/>
      <c r="S40" s="180"/>
      <c r="T40" s="180"/>
      <c r="U40" s="180"/>
      <c r="V40" s="198"/>
      <c r="W40" s="198"/>
      <c r="X40" s="180">
        <v>4</v>
      </c>
      <c r="Y40" s="180"/>
      <c r="Z40" s="180"/>
      <c r="AA40" s="180"/>
      <c r="AB40" s="180"/>
      <c r="AC40" s="198"/>
      <c r="AD40" s="198"/>
      <c r="AE40" s="180"/>
      <c r="AF40" s="180"/>
      <c r="AG40" s="180"/>
      <c r="AH40" s="180"/>
      <c r="AJ40" s="172">
        <f>SUM(D40:AH40)</f>
        <v>12</v>
      </c>
    </row>
    <row r="41" spans="2:36" ht="15.75" hidden="1" outlineLevel="1" thickTop="1" x14ac:dyDescent="0.25">
      <c r="B41" s="150"/>
      <c r="C41" s="1" t="s">
        <v>1</v>
      </c>
      <c r="D41" s="183"/>
      <c r="E41" s="181"/>
      <c r="F41" s="181"/>
      <c r="G41" s="181"/>
      <c r="H41" s="198"/>
      <c r="I41" s="198"/>
      <c r="J41" s="181"/>
      <c r="K41" s="181"/>
      <c r="L41" s="181"/>
      <c r="M41" s="181"/>
      <c r="N41" s="181"/>
      <c r="O41" s="198"/>
      <c r="P41" s="198"/>
      <c r="Q41" s="181"/>
      <c r="R41" s="181"/>
      <c r="S41" s="181"/>
      <c r="T41" s="181"/>
      <c r="U41" s="181"/>
      <c r="V41" s="198"/>
      <c r="W41" s="198"/>
      <c r="X41" s="181"/>
      <c r="Y41" s="181"/>
      <c r="Z41" s="181"/>
      <c r="AA41" s="181"/>
      <c r="AB41" s="181"/>
      <c r="AC41" s="198"/>
      <c r="AD41" s="198"/>
      <c r="AE41" s="181"/>
      <c r="AF41" s="181"/>
      <c r="AG41" s="181"/>
      <c r="AH41" s="181"/>
      <c r="AJ41" s="174">
        <f t="shared" ref="AJ41:AJ44" si="7">SUM(D41:AH41)</f>
        <v>0</v>
      </c>
    </row>
    <row r="42" spans="2:36" hidden="1" outlineLevel="1" x14ac:dyDescent="0.25">
      <c r="B42" s="151"/>
      <c r="C42" s="1" t="s">
        <v>2</v>
      </c>
      <c r="D42" s="183"/>
      <c r="E42" s="182"/>
      <c r="F42" s="182"/>
      <c r="G42" s="182"/>
      <c r="H42" s="198"/>
      <c r="I42" s="198"/>
      <c r="J42" s="182"/>
      <c r="K42" s="182"/>
      <c r="L42" s="182"/>
      <c r="M42" s="182"/>
      <c r="N42" s="182"/>
      <c r="O42" s="198"/>
      <c r="P42" s="198"/>
      <c r="Q42" s="182"/>
      <c r="R42" s="182"/>
      <c r="S42" s="182"/>
      <c r="T42" s="182"/>
      <c r="U42" s="182"/>
      <c r="V42" s="198"/>
      <c r="W42" s="198"/>
      <c r="X42" s="182"/>
      <c r="Y42" s="182"/>
      <c r="Z42" s="182"/>
      <c r="AA42" s="182"/>
      <c r="AB42" s="182"/>
      <c r="AC42" s="198"/>
      <c r="AD42" s="198"/>
      <c r="AE42" s="182"/>
      <c r="AF42" s="182"/>
      <c r="AG42" s="182"/>
      <c r="AH42" s="182"/>
      <c r="AJ42" s="175">
        <f t="shared" si="7"/>
        <v>0</v>
      </c>
    </row>
    <row r="43" spans="2:36" hidden="1" outlineLevel="1" x14ac:dyDescent="0.25">
      <c r="B43" s="151"/>
      <c r="C43" s="54" t="s">
        <v>77</v>
      </c>
      <c r="D43" s="183"/>
      <c r="E43" s="183"/>
      <c r="F43" s="183"/>
      <c r="G43" s="183"/>
      <c r="H43" s="198"/>
      <c r="I43" s="198"/>
      <c r="J43" s="183"/>
      <c r="K43" s="183"/>
      <c r="L43" s="183"/>
      <c r="M43" s="183"/>
      <c r="N43" s="183"/>
      <c r="O43" s="198"/>
      <c r="P43" s="198"/>
      <c r="Q43" s="183"/>
      <c r="R43" s="183"/>
      <c r="S43" s="183"/>
      <c r="T43" s="183"/>
      <c r="U43" s="183"/>
      <c r="V43" s="198"/>
      <c r="W43" s="198"/>
      <c r="X43" s="183"/>
      <c r="Y43" s="183"/>
      <c r="Z43" s="183"/>
      <c r="AA43" s="183"/>
      <c r="AB43" s="183"/>
      <c r="AC43" s="198"/>
      <c r="AD43" s="198"/>
      <c r="AE43" s="183"/>
      <c r="AF43" s="183"/>
      <c r="AG43" s="183"/>
      <c r="AH43" s="183"/>
      <c r="AJ43" s="176">
        <f t="shared" si="7"/>
        <v>0</v>
      </c>
    </row>
    <row r="44" spans="2:36" ht="15.75" hidden="1" outlineLevel="1" thickBot="1" x14ac:dyDescent="0.3">
      <c r="B44" s="151"/>
      <c r="C44" s="9" t="s">
        <v>3</v>
      </c>
      <c r="D44" s="237"/>
      <c r="E44" s="184"/>
      <c r="F44" s="184"/>
      <c r="G44" s="184"/>
      <c r="H44" s="199"/>
      <c r="I44" s="199"/>
      <c r="J44" s="184"/>
      <c r="K44" s="184"/>
      <c r="L44" s="184"/>
      <c r="M44" s="184"/>
      <c r="N44" s="184"/>
      <c r="O44" s="199"/>
      <c r="P44" s="199"/>
      <c r="Q44" s="184"/>
      <c r="R44" s="184"/>
      <c r="S44" s="184"/>
      <c r="T44" s="184"/>
      <c r="U44" s="184"/>
      <c r="V44" s="199"/>
      <c r="W44" s="199"/>
      <c r="X44" s="184"/>
      <c r="Y44" s="184"/>
      <c r="Z44" s="184"/>
      <c r="AA44" s="184"/>
      <c r="AB44" s="184"/>
      <c r="AC44" s="199"/>
      <c r="AD44" s="199"/>
      <c r="AE44" s="184"/>
      <c r="AF44" s="184"/>
      <c r="AG44" s="184"/>
      <c r="AH44" s="184"/>
      <c r="AI44" s="186"/>
      <c r="AJ44" s="177">
        <f t="shared" si="7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183"/>
      <c r="E45" s="180"/>
      <c r="F45" s="180"/>
      <c r="G45" s="180"/>
      <c r="H45" s="198"/>
      <c r="I45" s="198"/>
      <c r="J45" s="180"/>
      <c r="K45" s="180"/>
      <c r="L45" s="180"/>
      <c r="M45" s="180"/>
      <c r="N45" s="180"/>
      <c r="O45" s="198"/>
      <c r="P45" s="198"/>
      <c r="Q45" s="180"/>
      <c r="R45" s="180"/>
      <c r="S45" s="180"/>
      <c r="T45" s="180"/>
      <c r="U45" s="180"/>
      <c r="V45" s="198"/>
      <c r="W45" s="198"/>
      <c r="X45" s="180"/>
      <c r="Y45" s="180"/>
      <c r="Z45" s="180"/>
      <c r="AA45" s="180"/>
      <c r="AB45" s="180"/>
      <c r="AC45" s="198"/>
      <c r="AD45" s="198"/>
      <c r="AE45" s="180"/>
      <c r="AF45" s="180"/>
      <c r="AG45" s="180"/>
      <c r="AH45" s="180"/>
      <c r="AJ45" s="172">
        <f>SUM(D45:AH45)</f>
        <v>0</v>
      </c>
    </row>
    <row r="46" spans="2:36" ht="15.75" hidden="1" outlineLevel="1" thickTop="1" x14ac:dyDescent="0.25">
      <c r="B46" s="150"/>
      <c r="C46" s="1" t="s">
        <v>1</v>
      </c>
      <c r="D46" s="183"/>
      <c r="E46" s="181"/>
      <c r="F46" s="181"/>
      <c r="G46" s="181"/>
      <c r="H46" s="198"/>
      <c r="I46" s="198"/>
      <c r="J46" s="181"/>
      <c r="K46" s="181"/>
      <c r="L46" s="181"/>
      <c r="M46" s="181"/>
      <c r="N46" s="181"/>
      <c r="O46" s="198"/>
      <c r="P46" s="198"/>
      <c r="Q46" s="181"/>
      <c r="R46" s="181"/>
      <c r="S46" s="181"/>
      <c r="T46" s="181"/>
      <c r="U46" s="181"/>
      <c r="V46" s="198"/>
      <c r="W46" s="198"/>
      <c r="X46" s="181"/>
      <c r="Y46" s="181"/>
      <c r="Z46" s="181"/>
      <c r="AA46" s="181"/>
      <c r="AB46" s="181"/>
      <c r="AC46" s="198"/>
      <c r="AD46" s="198"/>
      <c r="AE46" s="181"/>
      <c r="AF46" s="181"/>
      <c r="AG46" s="181"/>
      <c r="AH46" s="181"/>
      <c r="AJ46" s="174">
        <f t="shared" ref="AJ46:AJ49" si="8">SUM(D46:AH46)</f>
        <v>0</v>
      </c>
    </row>
    <row r="47" spans="2:36" hidden="1" outlineLevel="1" x14ac:dyDescent="0.25">
      <c r="B47" s="151"/>
      <c r="C47" s="1" t="s">
        <v>2</v>
      </c>
      <c r="D47" s="183"/>
      <c r="E47" s="182"/>
      <c r="F47" s="182"/>
      <c r="G47" s="182"/>
      <c r="H47" s="198"/>
      <c r="I47" s="198"/>
      <c r="J47" s="182"/>
      <c r="K47" s="182"/>
      <c r="L47" s="182"/>
      <c r="M47" s="182"/>
      <c r="N47" s="182"/>
      <c r="O47" s="198"/>
      <c r="P47" s="198"/>
      <c r="Q47" s="182"/>
      <c r="R47" s="182"/>
      <c r="S47" s="182"/>
      <c r="T47" s="182"/>
      <c r="U47" s="182"/>
      <c r="V47" s="198"/>
      <c r="W47" s="198"/>
      <c r="X47" s="182"/>
      <c r="Y47" s="182"/>
      <c r="Z47" s="182"/>
      <c r="AA47" s="182"/>
      <c r="AB47" s="182"/>
      <c r="AC47" s="198"/>
      <c r="AD47" s="198"/>
      <c r="AE47" s="182"/>
      <c r="AF47" s="182"/>
      <c r="AG47" s="182"/>
      <c r="AH47" s="182"/>
      <c r="AJ47" s="175">
        <f t="shared" si="8"/>
        <v>0</v>
      </c>
    </row>
    <row r="48" spans="2:36" hidden="1" outlineLevel="1" x14ac:dyDescent="0.25">
      <c r="B48" s="151"/>
      <c r="C48" s="54" t="s">
        <v>77</v>
      </c>
      <c r="D48" s="183"/>
      <c r="E48" s="183"/>
      <c r="F48" s="183"/>
      <c r="G48" s="183"/>
      <c r="H48" s="198"/>
      <c r="I48" s="198"/>
      <c r="J48" s="183"/>
      <c r="K48" s="183"/>
      <c r="L48" s="183"/>
      <c r="M48" s="183"/>
      <c r="N48" s="183"/>
      <c r="O48" s="198"/>
      <c r="P48" s="198"/>
      <c r="Q48" s="183"/>
      <c r="R48" s="183"/>
      <c r="S48" s="183"/>
      <c r="T48" s="183"/>
      <c r="U48" s="183"/>
      <c r="V48" s="198"/>
      <c r="W48" s="198"/>
      <c r="X48" s="183"/>
      <c r="Y48" s="183"/>
      <c r="Z48" s="183"/>
      <c r="AA48" s="183"/>
      <c r="AB48" s="183"/>
      <c r="AC48" s="198"/>
      <c r="AD48" s="198"/>
      <c r="AE48" s="183"/>
      <c r="AF48" s="183"/>
      <c r="AG48" s="183"/>
      <c r="AH48" s="183"/>
      <c r="AJ48" s="176">
        <f t="shared" si="8"/>
        <v>0</v>
      </c>
    </row>
    <row r="49" spans="2:36" ht="15.75" hidden="1" outlineLevel="1" thickBot="1" x14ac:dyDescent="0.3">
      <c r="B49" s="151"/>
      <c r="C49" s="9" t="s">
        <v>3</v>
      </c>
      <c r="D49" s="237"/>
      <c r="E49" s="184"/>
      <c r="F49" s="184"/>
      <c r="G49" s="184"/>
      <c r="H49" s="199"/>
      <c r="I49" s="199"/>
      <c r="J49" s="184"/>
      <c r="K49" s="184"/>
      <c r="L49" s="184"/>
      <c r="M49" s="184"/>
      <c r="N49" s="184"/>
      <c r="O49" s="199"/>
      <c r="P49" s="199"/>
      <c r="Q49" s="177">
        <v>0.5</v>
      </c>
      <c r="R49" s="184"/>
      <c r="S49" s="184"/>
      <c r="T49" s="184"/>
      <c r="U49" s="184"/>
      <c r="V49" s="199"/>
      <c r="W49" s="199"/>
      <c r="X49" s="184"/>
      <c r="Y49" s="184"/>
      <c r="Z49" s="184"/>
      <c r="AA49" s="184"/>
      <c r="AB49" s="184"/>
      <c r="AC49" s="199"/>
      <c r="AD49" s="199"/>
      <c r="AE49" s="184"/>
      <c r="AF49" s="184"/>
      <c r="AG49" s="184"/>
      <c r="AH49" s="184"/>
      <c r="AI49" s="186"/>
      <c r="AJ49" s="177">
        <f t="shared" si="8"/>
        <v>0.5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183"/>
      <c r="E50" s="180"/>
      <c r="F50" s="180">
        <v>1.5</v>
      </c>
      <c r="G50" s="180"/>
      <c r="H50" s="198"/>
      <c r="I50" s="198"/>
      <c r="J50" s="180"/>
      <c r="K50" s="180">
        <v>4</v>
      </c>
      <c r="L50" s="180"/>
      <c r="M50" s="180"/>
      <c r="N50" s="180"/>
      <c r="O50" s="198"/>
      <c r="P50" s="198"/>
      <c r="Q50" s="180"/>
      <c r="R50" s="180"/>
      <c r="S50" s="180"/>
      <c r="T50" s="180"/>
      <c r="U50" s="180"/>
      <c r="V50" s="198"/>
      <c r="W50" s="198"/>
      <c r="X50" s="180"/>
      <c r="Y50" s="180"/>
      <c r="Z50" s="180"/>
      <c r="AA50" s="180"/>
      <c r="AB50" s="180"/>
      <c r="AC50" s="198"/>
      <c r="AD50" s="198"/>
      <c r="AE50" s="180"/>
      <c r="AF50" s="180"/>
      <c r="AG50" s="180"/>
      <c r="AH50" s="180"/>
      <c r="AJ50" s="172">
        <f>SUM(D50:AH50)</f>
        <v>5.5</v>
      </c>
    </row>
    <row r="51" spans="2:36" ht="15.75" hidden="1" outlineLevel="1" thickTop="1" x14ac:dyDescent="0.25">
      <c r="B51" s="150"/>
      <c r="C51" s="1" t="s">
        <v>1</v>
      </c>
      <c r="D51" s="183"/>
      <c r="E51" s="181"/>
      <c r="F51" s="181"/>
      <c r="G51" s="181"/>
      <c r="H51" s="198"/>
      <c r="I51" s="198"/>
      <c r="J51" s="181"/>
      <c r="K51" s="181"/>
      <c r="L51" s="181"/>
      <c r="M51" s="181"/>
      <c r="N51" s="181"/>
      <c r="O51" s="198"/>
      <c r="P51" s="198"/>
      <c r="Q51" s="181"/>
      <c r="R51" s="181"/>
      <c r="S51" s="181"/>
      <c r="T51" s="181"/>
      <c r="U51" s="181"/>
      <c r="V51" s="198"/>
      <c r="W51" s="198"/>
      <c r="X51" s="181"/>
      <c r="Y51" s="181"/>
      <c r="Z51" s="181"/>
      <c r="AA51" s="181"/>
      <c r="AB51" s="181"/>
      <c r="AC51" s="198"/>
      <c r="AD51" s="198"/>
      <c r="AE51" s="181"/>
      <c r="AF51" s="181"/>
      <c r="AG51" s="181"/>
      <c r="AH51" s="181"/>
      <c r="AJ51" s="174">
        <f t="shared" ref="AJ51:AJ54" si="9">SUM(D51:AH51)</f>
        <v>0</v>
      </c>
    </row>
    <row r="52" spans="2:36" hidden="1" outlineLevel="1" x14ac:dyDescent="0.25">
      <c r="B52" s="151"/>
      <c r="C52" s="1" t="s">
        <v>2</v>
      </c>
      <c r="D52" s="183"/>
      <c r="E52" s="182"/>
      <c r="F52" s="182"/>
      <c r="G52" s="182"/>
      <c r="H52" s="198"/>
      <c r="I52" s="198"/>
      <c r="J52" s="182"/>
      <c r="K52" s="182"/>
      <c r="L52" s="182"/>
      <c r="M52" s="182"/>
      <c r="N52" s="182"/>
      <c r="O52" s="198"/>
      <c r="P52" s="198"/>
      <c r="Q52" s="182"/>
      <c r="R52" s="182"/>
      <c r="S52" s="182"/>
      <c r="T52" s="182"/>
      <c r="U52" s="182"/>
      <c r="V52" s="198"/>
      <c r="W52" s="198"/>
      <c r="X52" s="182"/>
      <c r="Y52" s="182"/>
      <c r="Z52" s="182"/>
      <c r="AA52" s="182"/>
      <c r="AB52" s="182"/>
      <c r="AC52" s="198"/>
      <c r="AD52" s="198"/>
      <c r="AE52" s="182"/>
      <c r="AF52" s="182"/>
      <c r="AG52" s="182"/>
      <c r="AH52" s="182"/>
      <c r="AJ52" s="175">
        <f t="shared" si="9"/>
        <v>0</v>
      </c>
    </row>
    <row r="53" spans="2:36" hidden="1" outlineLevel="1" x14ac:dyDescent="0.25">
      <c r="B53" s="151"/>
      <c r="C53" s="54" t="s">
        <v>77</v>
      </c>
      <c r="D53" s="183"/>
      <c r="E53" s="183"/>
      <c r="F53" s="183"/>
      <c r="G53" s="183"/>
      <c r="H53" s="198"/>
      <c r="I53" s="198"/>
      <c r="J53" s="183"/>
      <c r="K53" s="183"/>
      <c r="L53" s="183"/>
      <c r="M53" s="183"/>
      <c r="N53" s="183"/>
      <c r="O53" s="198"/>
      <c r="P53" s="198"/>
      <c r="Q53" s="183">
        <v>8</v>
      </c>
      <c r="R53" s="183"/>
      <c r="S53" s="183"/>
      <c r="T53" s="183"/>
      <c r="U53" s="183"/>
      <c r="V53" s="198"/>
      <c r="W53" s="198"/>
      <c r="X53" s="183"/>
      <c r="Y53" s="183"/>
      <c r="Z53" s="183"/>
      <c r="AA53" s="183"/>
      <c r="AB53" s="183"/>
      <c r="AC53" s="198"/>
      <c r="AD53" s="198"/>
      <c r="AE53" s="183"/>
      <c r="AF53" s="183"/>
      <c r="AG53" s="183"/>
      <c r="AH53" s="183"/>
      <c r="AJ53" s="176">
        <f t="shared" si="9"/>
        <v>8</v>
      </c>
    </row>
    <row r="54" spans="2:36" ht="15.75" hidden="1" outlineLevel="1" thickBot="1" x14ac:dyDescent="0.3">
      <c r="B54" s="151"/>
      <c r="C54" s="9" t="s">
        <v>3</v>
      </c>
      <c r="D54" s="237"/>
      <c r="E54" s="184"/>
      <c r="F54" s="184"/>
      <c r="G54" s="184"/>
      <c r="H54" s="199"/>
      <c r="I54" s="199"/>
      <c r="J54" s="184"/>
      <c r="K54" s="184"/>
      <c r="L54" s="184"/>
      <c r="M54" s="184"/>
      <c r="N54" s="184"/>
      <c r="O54" s="199"/>
      <c r="P54" s="199"/>
      <c r="Q54" s="184"/>
      <c r="R54" s="184"/>
      <c r="S54" s="184"/>
      <c r="T54" s="184"/>
      <c r="U54" s="184"/>
      <c r="V54" s="199"/>
      <c r="W54" s="199"/>
      <c r="X54" s="184"/>
      <c r="Y54" s="184"/>
      <c r="Z54" s="184"/>
      <c r="AA54" s="184"/>
      <c r="AB54" s="184"/>
      <c r="AC54" s="199"/>
      <c r="AD54" s="199"/>
      <c r="AE54" s="184"/>
      <c r="AF54" s="184"/>
      <c r="AG54" s="184"/>
      <c r="AH54" s="184"/>
      <c r="AI54" s="186"/>
      <c r="AJ54" s="177">
        <f t="shared" si="9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183"/>
      <c r="E55" s="180"/>
      <c r="F55" s="180"/>
      <c r="G55" s="180"/>
      <c r="H55" s="198"/>
      <c r="I55" s="198"/>
      <c r="J55" s="180"/>
      <c r="K55" s="180"/>
      <c r="L55" s="180"/>
      <c r="M55" s="180"/>
      <c r="N55" s="180"/>
      <c r="O55" s="198"/>
      <c r="P55" s="198"/>
      <c r="Q55" s="180"/>
      <c r="R55" s="180"/>
      <c r="S55" s="180"/>
      <c r="T55" s="180"/>
      <c r="U55" s="180"/>
      <c r="V55" s="198"/>
      <c r="W55" s="198"/>
      <c r="X55" s="180"/>
      <c r="Y55" s="180"/>
      <c r="Z55" s="180"/>
      <c r="AA55" s="180"/>
      <c r="AB55" s="180"/>
      <c r="AC55" s="198"/>
      <c r="AD55" s="198"/>
      <c r="AE55" s="180"/>
      <c r="AF55" s="180"/>
      <c r="AG55" s="180"/>
      <c r="AH55" s="180"/>
      <c r="AJ55" s="172">
        <f>SUM(D55:AH55)</f>
        <v>0</v>
      </c>
    </row>
    <row r="56" spans="2:36" ht="15.75" hidden="1" outlineLevel="1" thickTop="1" x14ac:dyDescent="0.25">
      <c r="B56" s="150"/>
      <c r="C56" s="1" t="s">
        <v>1</v>
      </c>
      <c r="D56" s="183"/>
      <c r="E56" s="181"/>
      <c r="F56" s="181"/>
      <c r="G56" s="181"/>
      <c r="H56" s="198"/>
      <c r="I56" s="198"/>
      <c r="J56" s="181"/>
      <c r="K56" s="181"/>
      <c r="L56" s="181"/>
      <c r="M56" s="181"/>
      <c r="N56" s="181"/>
      <c r="O56" s="198"/>
      <c r="P56" s="198"/>
      <c r="Q56" s="181"/>
      <c r="R56" s="181"/>
      <c r="S56" s="181"/>
      <c r="T56" s="181"/>
      <c r="U56" s="181"/>
      <c r="V56" s="198"/>
      <c r="W56" s="198"/>
      <c r="X56" s="181"/>
      <c r="Y56" s="181"/>
      <c r="Z56" s="181"/>
      <c r="AA56" s="181"/>
      <c r="AB56" s="181"/>
      <c r="AC56" s="198"/>
      <c r="AD56" s="198"/>
      <c r="AE56" s="181"/>
      <c r="AF56" s="181"/>
      <c r="AG56" s="181"/>
      <c r="AH56" s="181"/>
      <c r="AJ56" s="174">
        <f t="shared" ref="AJ56:AJ59" si="10">SUM(D56:AH56)</f>
        <v>0</v>
      </c>
    </row>
    <row r="57" spans="2:36" hidden="1" outlineLevel="1" x14ac:dyDescent="0.25">
      <c r="B57" s="151"/>
      <c r="C57" s="1" t="s">
        <v>2</v>
      </c>
      <c r="D57" s="183"/>
      <c r="E57" s="182"/>
      <c r="F57" s="182"/>
      <c r="G57" s="182"/>
      <c r="H57" s="198"/>
      <c r="I57" s="198"/>
      <c r="J57" s="182"/>
      <c r="K57" s="182"/>
      <c r="L57" s="182"/>
      <c r="M57" s="182"/>
      <c r="N57" s="182"/>
      <c r="O57" s="198"/>
      <c r="P57" s="198"/>
      <c r="Q57" s="182"/>
      <c r="R57" s="182"/>
      <c r="S57" s="182"/>
      <c r="T57" s="182"/>
      <c r="U57" s="182"/>
      <c r="V57" s="198"/>
      <c r="W57" s="198"/>
      <c r="X57" s="182"/>
      <c r="Y57" s="182"/>
      <c r="Z57" s="182"/>
      <c r="AA57" s="182"/>
      <c r="AB57" s="182"/>
      <c r="AC57" s="198"/>
      <c r="AD57" s="198"/>
      <c r="AE57" s="182"/>
      <c r="AF57" s="182"/>
      <c r="AG57" s="182"/>
      <c r="AH57" s="182"/>
      <c r="AJ57" s="175">
        <f t="shared" si="10"/>
        <v>0</v>
      </c>
    </row>
    <row r="58" spans="2:36" hidden="1" outlineLevel="1" x14ac:dyDescent="0.25">
      <c r="B58" s="151"/>
      <c r="C58" s="54" t="s">
        <v>77</v>
      </c>
      <c r="D58" s="183"/>
      <c r="E58" s="183"/>
      <c r="F58" s="183"/>
      <c r="G58" s="183"/>
      <c r="H58" s="198"/>
      <c r="I58" s="198"/>
      <c r="J58" s="183"/>
      <c r="K58" s="183"/>
      <c r="L58" s="183"/>
      <c r="M58" s="183"/>
      <c r="N58" s="183"/>
      <c r="O58" s="198"/>
      <c r="P58" s="198"/>
      <c r="Q58" s="183"/>
      <c r="R58" s="183"/>
      <c r="S58" s="183"/>
      <c r="T58" s="183"/>
      <c r="U58" s="183"/>
      <c r="V58" s="198"/>
      <c r="W58" s="198"/>
      <c r="X58" s="183"/>
      <c r="Y58" s="183"/>
      <c r="Z58" s="183"/>
      <c r="AA58" s="183"/>
      <c r="AB58" s="183"/>
      <c r="AC58" s="198"/>
      <c r="AD58" s="198"/>
      <c r="AE58" s="183"/>
      <c r="AF58" s="183"/>
      <c r="AG58" s="183"/>
      <c r="AH58" s="183"/>
      <c r="AJ58" s="176">
        <f t="shared" si="10"/>
        <v>0</v>
      </c>
    </row>
    <row r="59" spans="2:36" ht="15.75" hidden="1" outlineLevel="1" thickBot="1" x14ac:dyDescent="0.3">
      <c r="B59" s="151"/>
      <c r="C59" s="9" t="s">
        <v>3</v>
      </c>
      <c r="D59" s="237"/>
      <c r="E59" s="184"/>
      <c r="F59" s="184"/>
      <c r="G59" s="184"/>
      <c r="H59" s="199"/>
      <c r="I59" s="199"/>
      <c r="J59" s="184"/>
      <c r="K59" s="184"/>
      <c r="L59" s="184"/>
      <c r="M59" s="184"/>
      <c r="N59" s="184"/>
      <c r="O59" s="199"/>
      <c r="P59" s="199"/>
      <c r="Q59" s="184"/>
      <c r="R59" s="184"/>
      <c r="S59" s="184"/>
      <c r="T59" s="184"/>
      <c r="U59" s="184"/>
      <c r="V59" s="199"/>
      <c r="W59" s="199"/>
      <c r="X59" s="184"/>
      <c r="Y59" s="184"/>
      <c r="Z59" s="184"/>
      <c r="AA59" s="184"/>
      <c r="AB59" s="184"/>
      <c r="AC59" s="199"/>
      <c r="AD59" s="199"/>
      <c r="AE59" s="184"/>
      <c r="AF59" s="184"/>
      <c r="AG59" s="184"/>
      <c r="AH59" s="184"/>
      <c r="AI59" s="186"/>
      <c r="AJ59" s="177">
        <f t="shared" si="10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183"/>
      <c r="E60" s="198"/>
      <c r="F60" s="180"/>
      <c r="G60" s="180"/>
      <c r="H60" s="198"/>
      <c r="I60" s="198"/>
      <c r="J60" s="180"/>
      <c r="K60" s="180"/>
      <c r="L60" s="198"/>
      <c r="M60" s="180">
        <v>0</v>
      </c>
      <c r="N60" s="180"/>
      <c r="O60" s="198"/>
      <c r="P60" s="198"/>
      <c r="Q60" s="180"/>
      <c r="R60" s="180"/>
      <c r="S60" s="198"/>
      <c r="T60" s="180"/>
      <c r="U60" s="180"/>
      <c r="V60" s="198"/>
      <c r="W60" s="198"/>
      <c r="X60" s="180"/>
      <c r="Y60" s="180"/>
      <c r="Z60" s="198"/>
      <c r="AA60" s="180"/>
      <c r="AB60" s="180"/>
      <c r="AC60" s="198"/>
      <c r="AD60" s="198"/>
      <c r="AE60" s="180"/>
      <c r="AF60" s="180"/>
      <c r="AG60" s="198"/>
      <c r="AH60" s="180"/>
      <c r="AJ60" s="172">
        <f>SUM(D60:AH60)</f>
        <v>0</v>
      </c>
    </row>
    <row r="61" spans="2:36" ht="15.75" hidden="1" outlineLevel="1" thickTop="1" x14ac:dyDescent="0.25">
      <c r="B61" s="150"/>
      <c r="C61" s="1" t="s">
        <v>1</v>
      </c>
      <c r="D61" s="183"/>
      <c r="E61" s="181"/>
      <c r="F61" s="181"/>
      <c r="G61" s="181"/>
      <c r="H61" s="198"/>
      <c r="I61" s="198"/>
      <c r="J61" s="181"/>
      <c r="K61" s="181"/>
      <c r="L61" s="181"/>
      <c r="M61" s="181"/>
      <c r="N61" s="181"/>
      <c r="O61" s="198"/>
      <c r="P61" s="198"/>
      <c r="Q61" s="181"/>
      <c r="R61" s="181"/>
      <c r="S61" s="181"/>
      <c r="T61" s="181"/>
      <c r="U61" s="181"/>
      <c r="V61" s="198"/>
      <c r="W61" s="198"/>
      <c r="X61" s="181"/>
      <c r="Y61" s="181"/>
      <c r="Z61" s="181"/>
      <c r="AA61" s="181"/>
      <c r="AB61" s="181"/>
      <c r="AC61" s="198"/>
      <c r="AD61" s="198"/>
      <c r="AE61" s="181"/>
      <c r="AF61" s="181"/>
      <c r="AG61" s="181"/>
      <c r="AH61" s="181"/>
      <c r="AJ61" s="174">
        <f t="shared" ref="AJ61:AJ64" si="11">SUM(D61:AH61)</f>
        <v>0</v>
      </c>
    </row>
    <row r="62" spans="2:36" hidden="1" outlineLevel="1" x14ac:dyDescent="0.25">
      <c r="B62" s="151"/>
      <c r="C62" s="1" t="s">
        <v>2</v>
      </c>
      <c r="D62" s="183"/>
      <c r="E62" s="182"/>
      <c r="F62" s="182"/>
      <c r="G62" s="182"/>
      <c r="H62" s="198"/>
      <c r="I62" s="198"/>
      <c r="J62" s="182"/>
      <c r="K62" s="182"/>
      <c r="L62" s="182"/>
      <c r="M62" s="182"/>
      <c r="N62" s="182"/>
      <c r="O62" s="198"/>
      <c r="P62" s="198"/>
      <c r="Q62" s="182"/>
      <c r="R62" s="182"/>
      <c r="S62" s="182"/>
      <c r="T62" s="182"/>
      <c r="U62" s="182"/>
      <c r="V62" s="198"/>
      <c r="W62" s="198"/>
      <c r="X62" s="182"/>
      <c r="Y62" s="182"/>
      <c r="Z62" s="182"/>
      <c r="AA62" s="182"/>
      <c r="AB62" s="182"/>
      <c r="AC62" s="198"/>
      <c r="AD62" s="198"/>
      <c r="AE62" s="182"/>
      <c r="AF62" s="182"/>
      <c r="AG62" s="182"/>
      <c r="AH62" s="182"/>
      <c r="AJ62" s="175">
        <f t="shared" si="11"/>
        <v>0</v>
      </c>
    </row>
    <row r="63" spans="2:36" hidden="1" outlineLevel="1" x14ac:dyDescent="0.25">
      <c r="B63" s="151"/>
      <c r="C63" s="54" t="s">
        <v>77</v>
      </c>
      <c r="D63" s="183"/>
      <c r="E63" s="183"/>
      <c r="F63" s="183"/>
      <c r="G63" s="183"/>
      <c r="H63" s="198"/>
      <c r="I63" s="198"/>
      <c r="J63" s="183"/>
      <c r="K63" s="183"/>
      <c r="L63" s="183"/>
      <c r="M63" s="183"/>
      <c r="N63" s="183"/>
      <c r="O63" s="198"/>
      <c r="P63" s="198"/>
      <c r="Q63" s="183"/>
      <c r="R63" s="183"/>
      <c r="S63" s="183"/>
      <c r="T63" s="183"/>
      <c r="U63" s="183"/>
      <c r="V63" s="198"/>
      <c r="W63" s="198"/>
      <c r="X63" s="183"/>
      <c r="Y63" s="183"/>
      <c r="Z63" s="183"/>
      <c r="AA63" s="183"/>
      <c r="AB63" s="183"/>
      <c r="AC63" s="198"/>
      <c r="AD63" s="198"/>
      <c r="AE63" s="183"/>
      <c r="AF63" s="183"/>
      <c r="AG63" s="183"/>
      <c r="AH63" s="183"/>
      <c r="AJ63" s="176">
        <f t="shared" si="11"/>
        <v>0</v>
      </c>
    </row>
    <row r="64" spans="2:36" ht="15.75" hidden="1" outlineLevel="1" thickBot="1" x14ac:dyDescent="0.3">
      <c r="B64" s="151"/>
      <c r="C64" s="9" t="s">
        <v>3</v>
      </c>
      <c r="D64" s="237"/>
      <c r="E64" s="184"/>
      <c r="F64" s="184"/>
      <c r="G64" s="184"/>
      <c r="H64" s="199"/>
      <c r="I64" s="199"/>
      <c r="J64" s="177">
        <v>0.1</v>
      </c>
      <c r="K64" s="243">
        <v>0.05</v>
      </c>
      <c r="L64" s="184"/>
      <c r="M64" s="184"/>
      <c r="N64" s="184"/>
      <c r="O64" s="199"/>
      <c r="P64" s="199"/>
      <c r="Q64" s="184"/>
      <c r="R64" s="184"/>
      <c r="S64" s="184"/>
      <c r="T64" s="184"/>
      <c r="U64" s="184"/>
      <c r="V64" s="199"/>
      <c r="W64" s="199"/>
      <c r="X64" s="184"/>
      <c r="Y64" s="184"/>
      <c r="Z64" s="184"/>
      <c r="AA64" s="184"/>
      <c r="AB64" s="184"/>
      <c r="AC64" s="199"/>
      <c r="AD64" s="199"/>
      <c r="AE64" s="184"/>
      <c r="AF64" s="184"/>
      <c r="AG64" s="184"/>
      <c r="AH64" s="184"/>
      <c r="AI64" s="186"/>
      <c r="AJ64" s="177">
        <f t="shared" si="11"/>
        <v>0.15000000000000002</v>
      </c>
    </row>
    <row r="65" spans="2:36" ht="16.5" collapsed="1" thickTop="1" thickBot="1" x14ac:dyDescent="0.3">
      <c r="B65" s="149" t="str">
        <f>'Hours Scheduled'!B16</f>
        <v>Jim van der Weijden</v>
      </c>
      <c r="C65" t="s">
        <v>0</v>
      </c>
      <c r="D65" s="183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J65" s="172">
        <f>SUM(D65:AH65)</f>
        <v>0</v>
      </c>
    </row>
    <row r="66" spans="2:36" ht="15.75" hidden="1" outlineLevel="1" thickTop="1" x14ac:dyDescent="0.25">
      <c r="B66" s="150"/>
      <c r="C66" s="1" t="s">
        <v>1</v>
      </c>
      <c r="D66" s="183"/>
      <c r="E66" s="181"/>
      <c r="F66" s="181"/>
      <c r="G66" s="181"/>
      <c r="H66" s="198"/>
      <c r="I66" s="198"/>
      <c r="J66" s="181"/>
      <c r="K66" s="181"/>
      <c r="L66" s="181"/>
      <c r="M66" s="181"/>
      <c r="N66" s="181"/>
      <c r="O66" s="198"/>
      <c r="P66" s="198"/>
      <c r="Q66" s="181"/>
      <c r="R66" s="181"/>
      <c r="S66" s="181"/>
      <c r="T66" s="181"/>
      <c r="U66" s="181"/>
      <c r="V66" s="198"/>
      <c r="W66" s="198"/>
      <c r="X66" s="181"/>
      <c r="Y66" s="181"/>
      <c r="Z66" s="181"/>
      <c r="AA66" s="181"/>
      <c r="AB66" s="181"/>
      <c r="AC66" s="198"/>
      <c r="AD66" s="198"/>
      <c r="AE66" s="181"/>
      <c r="AF66" s="181"/>
      <c r="AG66" s="181"/>
      <c r="AH66" s="181"/>
      <c r="AJ66" s="174">
        <f t="shared" ref="AJ66:AJ69" si="12">SUM(D66:AH66)</f>
        <v>0</v>
      </c>
    </row>
    <row r="67" spans="2:36" hidden="1" outlineLevel="1" x14ac:dyDescent="0.25">
      <c r="B67" s="151"/>
      <c r="C67" s="1" t="s">
        <v>2</v>
      </c>
      <c r="D67" s="183"/>
      <c r="E67" s="182"/>
      <c r="F67" s="182"/>
      <c r="G67" s="182"/>
      <c r="H67" s="198"/>
      <c r="I67" s="198"/>
      <c r="J67" s="182"/>
      <c r="K67" s="182"/>
      <c r="L67" s="182"/>
      <c r="M67" s="182"/>
      <c r="N67" s="182"/>
      <c r="O67" s="198"/>
      <c r="P67" s="198"/>
      <c r="Q67" s="182"/>
      <c r="R67" s="182"/>
      <c r="S67" s="182"/>
      <c r="T67" s="182"/>
      <c r="U67" s="182"/>
      <c r="V67" s="198"/>
      <c r="W67" s="198"/>
      <c r="X67" s="182"/>
      <c r="Y67" s="182"/>
      <c r="Z67" s="182"/>
      <c r="AA67" s="182"/>
      <c r="AB67" s="182"/>
      <c r="AC67" s="198"/>
      <c r="AD67" s="198"/>
      <c r="AE67" s="182"/>
      <c r="AF67" s="182"/>
      <c r="AG67" s="182"/>
      <c r="AH67" s="182"/>
      <c r="AJ67" s="175">
        <f t="shared" si="12"/>
        <v>0</v>
      </c>
    </row>
    <row r="68" spans="2:36" hidden="1" outlineLevel="1" x14ac:dyDescent="0.25">
      <c r="B68" s="151"/>
      <c r="C68" s="54" t="s">
        <v>77</v>
      </c>
      <c r="D68" s="183"/>
      <c r="E68" s="183"/>
      <c r="F68" s="183"/>
      <c r="G68" s="183"/>
      <c r="H68" s="198"/>
      <c r="I68" s="198"/>
      <c r="J68" s="183"/>
      <c r="K68" s="183"/>
      <c r="L68" s="183"/>
      <c r="M68" s="183"/>
      <c r="N68" s="183"/>
      <c r="O68" s="198"/>
      <c r="P68" s="198"/>
      <c r="Q68" s="183"/>
      <c r="R68" s="183"/>
      <c r="S68" s="183"/>
      <c r="T68" s="183"/>
      <c r="U68" s="183"/>
      <c r="V68" s="198"/>
      <c r="W68" s="198"/>
      <c r="X68" s="183"/>
      <c r="Y68" s="183"/>
      <c r="Z68" s="183"/>
      <c r="AA68" s="183"/>
      <c r="AB68" s="183"/>
      <c r="AC68" s="198"/>
      <c r="AD68" s="198"/>
      <c r="AE68" s="183"/>
      <c r="AF68" s="183"/>
      <c r="AG68" s="183"/>
      <c r="AH68" s="183"/>
      <c r="AJ68" s="176">
        <f t="shared" si="12"/>
        <v>0</v>
      </c>
    </row>
    <row r="69" spans="2:36" ht="15.75" hidden="1" outlineLevel="1" thickBot="1" x14ac:dyDescent="0.3">
      <c r="B69" s="151"/>
      <c r="C69" s="9" t="s">
        <v>3</v>
      </c>
      <c r="D69" s="237"/>
      <c r="E69" s="184"/>
      <c r="F69" s="184"/>
      <c r="G69" s="184"/>
      <c r="H69" s="199"/>
      <c r="I69" s="199"/>
      <c r="J69" s="184"/>
      <c r="K69" s="184"/>
      <c r="L69" s="184"/>
      <c r="M69" s="184"/>
      <c r="N69" s="184"/>
      <c r="O69" s="199"/>
      <c r="P69" s="199"/>
      <c r="Q69" s="184"/>
      <c r="R69" s="184"/>
      <c r="S69" s="184"/>
      <c r="T69" s="184"/>
      <c r="U69" s="184"/>
      <c r="V69" s="199"/>
      <c r="W69" s="199"/>
      <c r="X69" s="184"/>
      <c r="Y69" s="184"/>
      <c r="Z69" s="184"/>
      <c r="AA69" s="184"/>
      <c r="AB69" s="184"/>
      <c r="AC69" s="199"/>
      <c r="AD69" s="199"/>
      <c r="AE69" s="184"/>
      <c r="AF69" s="184"/>
      <c r="AG69" s="184"/>
      <c r="AH69" s="184"/>
      <c r="AI69" s="186"/>
      <c r="AJ69" s="177">
        <f t="shared" si="1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183"/>
      <c r="E70" s="180">
        <v>8</v>
      </c>
      <c r="F70" s="180">
        <v>8</v>
      </c>
      <c r="G70" s="180">
        <v>8</v>
      </c>
      <c r="H70" s="198"/>
      <c r="I70" s="198"/>
      <c r="J70" s="180"/>
      <c r="K70" s="180"/>
      <c r="L70" s="180"/>
      <c r="M70" s="180"/>
      <c r="N70" s="180">
        <v>8</v>
      </c>
      <c r="O70" s="198"/>
      <c r="P70" s="198"/>
      <c r="Q70" s="180"/>
      <c r="R70" s="180"/>
      <c r="S70" s="180"/>
      <c r="T70" s="180"/>
      <c r="U70" s="180"/>
      <c r="V70" s="198"/>
      <c r="W70" s="198"/>
      <c r="X70" s="180"/>
      <c r="Y70" s="180"/>
      <c r="Z70" s="180"/>
      <c r="AA70" s="180"/>
      <c r="AB70" s="180"/>
      <c r="AC70" s="198"/>
      <c r="AD70" s="198"/>
      <c r="AE70" s="180"/>
      <c r="AF70" s="180"/>
      <c r="AG70" s="180"/>
      <c r="AH70" s="180"/>
      <c r="AJ70" s="172">
        <f>SUM(D70:AH70)</f>
        <v>32</v>
      </c>
    </row>
    <row r="71" spans="2:36" ht="15.75" hidden="1" outlineLevel="1" thickTop="1" x14ac:dyDescent="0.25">
      <c r="B71" s="150"/>
      <c r="C71" s="1" t="s">
        <v>1</v>
      </c>
      <c r="D71" s="183"/>
      <c r="E71" s="181"/>
      <c r="F71" s="181"/>
      <c r="G71" s="181"/>
      <c r="H71" s="198"/>
      <c r="I71" s="198"/>
      <c r="J71" s="181"/>
      <c r="K71" s="181"/>
      <c r="L71" s="181"/>
      <c r="M71" s="181"/>
      <c r="N71" s="181"/>
      <c r="O71" s="198"/>
      <c r="P71" s="198"/>
      <c r="Q71" s="181"/>
      <c r="R71" s="181"/>
      <c r="S71" s="181"/>
      <c r="T71" s="181"/>
      <c r="U71" s="181"/>
      <c r="V71" s="198"/>
      <c r="W71" s="198"/>
      <c r="X71" s="181"/>
      <c r="Y71" s="181"/>
      <c r="Z71" s="181"/>
      <c r="AA71" s="181"/>
      <c r="AB71" s="181"/>
      <c r="AC71" s="198"/>
      <c r="AD71" s="198"/>
      <c r="AE71" s="181"/>
      <c r="AF71" s="181"/>
      <c r="AG71" s="181"/>
      <c r="AH71" s="181"/>
      <c r="AJ71" s="174">
        <f t="shared" ref="AJ71:AJ74" si="13">SUM(D71:AH71)</f>
        <v>0</v>
      </c>
    </row>
    <row r="72" spans="2:36" hidden="1" outlineLevel="1" x14ac:dyDescent="0.25">
      <c r="B72" s="151"/>
      <c r="C72" s="1" t="s">
        <v>2</v>
      </c>
      <c r="D72" s="183"/>
      <c r="E72" s="182"/>
      <c r="F72" s="182"/>
      <c r="G72" s="182"/>
      <c r="H72" s="198"/>
      <c r="I72" s="198"/>
      <c r="J72" s="182"/>
      <c r="K72" s="182"/>
      <c r="L72" s="182"/>
      <c r="M72" s="182"/>
      <c r="N72" s="182"/>
      <c r="O72" s="198"/>
      <c r="P72" s="198"/>
      <c r="Q72" s="182"/>
      <c r="R72" s="182"/>
      <c r="S72" s="182"/>
      <c r="T72" s="182"/>
      <c r="U72" s="182"/>
      <c r="V72" s="198"/>
      <c r="W72" s="198"/>
      <c r="X72" s="182"/>
      <c r="Y72" s="182"/>
      <c r="Z72" s="182"/>
      <c r="AA72" s="182"/>
      <c r="AB72" s="182"/>
      <c r="AC72" s="198"/>
      <c r="AD72" s="198"/>
      <c r="AE72" s="182"/>
      <c r="AF72" s="182"/>
      <c r="AG72" s="182"/>
      <c r="AH72" s="182"/>
      <c r="AJ72" s="175">
        <f t="shared" si="13"/>
        <v>0</v>
      </c>
    </row>
    <row r="73" spans="2:36" hidden="1" outlineLevel="1" x14ac:dyDescent="0.25">
      <c r="B73" s="151"/>
      <c r="C73" s="54" t="s">
        <v>77</v>
      </c>
      <c r="D73" s="183"/>
      <c r="E73" s="183"/>
      <c r="F73" s="183"/>
      <c r="G73" s="183"/>
      <c r="H73" s="198"/>
      <c r="I73" s="198"/>
      <c r="J73" s="183"/>
      <c r="K73" s="183"/>
      <c r="L73" s="183"/>
      <c r="M73" s="183"/>
      <c r="N73" s="183"/>
      <c r="O73" s="198"/>
      <c r="P73" s="198"/>
      <c r="Q73" s="183"/>
      <c r="R73" s="183"/>
      <c r="S73" s="183"/>
      <c r="T73" s="183"/>
      <c r="U73" s="183"/>
      <c r="V73" s="198"/>
      <c r="W73" s="198"/>
      <c r="X73" s="183"/>
      <c r="Y73" s="183"/>
      <c r="Z73" s="183"/>
      <c r="AA73" s="183"/>
      <c r="AB73" s="183"/>
      <c r="AC73" s="198"/>
      <c r="AD73" s="198"/>
      <c r="AE73" s="183"/>
      <c r="AF73" s="183"/>
      <c r="AG73" s="183"/>
      <c r="AH73" s="183"/>
      <c r="AJ73" s="176">
        <f t="shared" si="13"/>
        <v>0</v>
      </c>
    </row>
    <row r="74" spans="2:36" ht="15.75" hidden="1" outlineLevel="1" thickBot="1" x14ac:dyDescent="0.3">
      <c r="B74" s="151"/>
      <c r="C74" s="9" t="s">
        <v>3</v>
      </c>
      <c r="D74" s="237"/>
      <c r="E74" s="184"/>
      <c r="F74" s="184"/>
      <c r="G74" s="184"/>
      <c r="H74" s="199"/>
      <c r="I74" s="199"/>
      <c r="J74" s="184"/>
      <c r="K74" s="184">
        <v>0.1</v>
      </c>
      <c r="L74" s="184"/>
      <c r="M74" s="184"/>
      <c r="N74" s="184"/>
      <c r="O74" s="199"/>
      <c r="P74" s="199"/>
      <c r="Q74" s="184"/>
      <c r="R74" s="184"/>
      <c r="S74" s="184"/>
      <c r="T74" s="184"/>
      <c r="U74" s="184"/>
      <c r="V74" s="199"/>
      <c r="W74" s="199"/>
      <c r="X74" s="184"/>
      <c r="Y74" s="184"/>
      <c r="Z74" s="184"/>
      <c r="AA74" s="184"/>
      <c r="AB74" s="184"/>
      <c r="AC74" s="199"/>
      <c r="AD74" s="199"/>
      <c r="AE74" s="184"/>
      <c r="AF74" s="184"/>
      <c r="AG74" s="184"/>
      <c r="AH74" s="184"/>
      <c r="AI74" s="186"/>
      <c r="AJ74" s="177">
        <f t="shared" si="13"/>
        <v>0.1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183"/>
      <c r="E75" s="180"/>
      <c r="F75" s="180"/>
      <c r="G75" s="180"/>
      <c r="H75" s="198"/>
      <c r="I75" s="198"/>
      <c r="J75" s="180"/>
      <c r="K75" s="180"/>
      <c r="L75" s="180"/>
      <c r="M75" s="180"/>
      <c r="N75" s="180"/>
      <c r="O75" s="198"/>
      <c r="P75" s="198"/>
      <c r="Q75" s="180"/>
      <c r="R75" s="180"/>
      <c r="S75" s="180">
        <v>4</v>
      </c>
      <c r="T75" s="180"/>
      <c r="U75" s="180"/>
      <c r="V75" s="198"/>
      <c r="W75" s="198"/>
      <c r="X75" s="180"/>
      <c r="Y75" s="180"/>
      <c r="Z75" s="180"/>
      <c r="AA75" s="180"/>
      <c r="AB75" s="180"/>
      <c r="AC75" s="198"/>
      <c r="AD75" s="198"/>
      <c r="AE75" s="180"/>
      <c r="AF75" s="180"/>
      <c r="AG75" s="180"/>
      <c r="AH75" s="180"/>
      <c r="AJ75" s="172">
        <f>SUM(D75:AH75)</f>
        <v>4</v>
      </c>
    </row>
    <row r="76" spans="2:36" ht="15.75" hidden="1" outlineLevel="1" thickTop="1" x14ac:dyDescent="0.25">
      <c r="B76" s="150"/>
      <c r="C76" s="1" t="s">
        <v>1</v>
      </c>
      <c r="D76" s="183"/>
      <c r="E76" s="181"/>
      <c r="F76" s="181"/>
      <c r="G76" s="181"/>
      <c r="H76" s="198"/>
      <c r="I76" s="198"/>
      <c r="J76" s="181"/>
      <c r="K76" s="181"/>
      <c r="L76" s="181"/>
      <c r="M76" s="181"/>
      <c r="N76" s="181"/>
      <c r="O76" s="198"/>
      <c r="P76" s="198"/>
      <c r="Q76" s="181"/>
      <c r="R76" s="181"/>
      <c r="S76" s="181"/>
      <c r="T76" s="181"/>
      <c r="U76" s="181"/>
      <c r="V76" s="198"/>
      <c r="W76" s="198"/>
      <c r="X76" s="181"/>
      <c r="Y76" s="181"/>
      <c r="Z76" s="181"/>
      <c r="AA76" s="181"/>
      <c r="AB76" s="181"/>
      <c r="AC76" s="198"/>
      <c r="AD76" s="198"/>
      <c r="AE76" s="181"/>
      <c r="AF76" s="181"/>
      <c r="AG76" s="181"/>
      <c r="AH76" s="181"/>
      <c r="AJ76" s="174">
        <f t="shared" ref="AJ76:AJ79" si="14">SUM(D76:AH76)</f>
        <v>0</v>
      </c>
    </row>
    <row r="77" spans="2:36" hidden="1" outlineLevel="1" x14ac:dyDescent="0.25">
      <c r="B77" s="151"/>
      <c r="C77" s="1" t="s">
        <v>2</v>
      </c>
      <c r="D77" s="183"/>
      <c r="E77" s="182"/>
      <c r="F77" s="182"/>
      <c r="G77" s="182"/>
      <c r="H77" s="198"/>
      <c r="I77" s="198"/>
      <c r="J77" s="182"/>
      <c r="K77" s="182"/>
      <c r="L77" s="182"/>
      <c r="M77" s="182"/>
      <c r="N77" s="182"/>
      <c r="O77" s="198"/>
      <c r="P77" s="198"/>
      <c r="Q77" s="182"/>
      <c r="R77" s="182"/>
      <c r="S77" s="182"/>
      <c r="T77" s="182"/>
      <c r="U77" s="182"/>
      <c r="V77" s="198"/>
      <c r="W77" s="198"/>
      <c r="X77" s="182"/>
      <c r="Y77" s="182"/>
      <c r="Z77" s="182"/>
      <c r="AA77" s="182"/>
      <c r="AB77" s="182"/>
      <c r="AC77" s="198"/>
      <c r="AD77" s="198"/>
      <c r="AE77" s="182"/>
      <c r="AF77" s="182"/>
      <c r="AG77" s="182"/>
      <c r="AH77" s="182"/>
      <c r="AJ77" s="175">
        <f t="shared" si="14"/>
        <v>0</v>
      </c>
    </row>
    <row r="78" spans="2:36" hidden="1" outlineLevel="1" x14ac:dyDescent="0.25">
      <c r="B78" s="151"/>
      <c r="C78" s="54" t="s">
        <v>77</v>
      </c>
      <c r="D78" s="183"/>
      <c r="E78" s="183"/>
      <c r="F78" s="183"/>
      <c r="G78" s="183"/>
      <c r="H78" s="198"/>
      <c r="I78" s="198"/>
      <c r="J78" s="183"/>
      <c r="K78" s="183"/>
      <c r="L78" s="183"/>
      <c r="M78" s="183"/>
      <c r="N78" s="183"/>
      <c r="O78" s="198"/>
      <c r="P78" s="198"/>
      <c r="Q78" s="183"/>
      <c r="R78" s="183"/>
      <c r="S78" s="183"/>
      <c r="T78" s="183"/>
      <c r="U78" s="183"/>
      <c r="V78" s="198"/>
      <c r="W78" s="198"/>
      <c r="X78" s="183"/>
      <c r="Y78" s="183"/>
      <c r="Z78" s="183"/>
      <c r="AA78" s="183"/>
      <c r="AB78" s="183"/>
      <c r="AC78" s="198"/>
      <c r="AD78" s="198"/>
      <c r="AE78" s="183"/>
      <c r="AF78" s="183"/>
      <c r="AG78" s="183"/>
      <c r="AH78" s="183"/>
      <c r="AJ78" s="178">
        <f t="shared" si="14"/>
        <v>0</v>
      </c>
    </row>
    <row r="79" spans="2:36" ht="15.75" hidden="1" outlineLevel="1" thickBot="1" x14ac:dyDescent="0.3">
      <c r="B79" s="151"/>
      <c r="C79" s="9" t="s">
        <v>3</v>
      </c>
      <c r="D79" s="237"/>
      <c r="E79" s="184"/>
      <c r="F79" s="184"/>
      <c r="G79" s="184"/>
      <c r="H79" s="199"/>
      <c r="I79" s="199"/>
      <c r="J79" s="184"/>
      <c r="K79" s="184"/>
      <c r="L79" s="184"/>
      <c r="M79" s="184"/>
      <c r="N79" s="184"/>
      <c r="O79" s="199"/>
      <c r="P79" s="199"/>
      <c r="Q79" s="184"/>
      <c r="R79" s="184"/>
      <c r="S79" s="184"/>
      <c r="T79" s="184"/>
      <c r="U79" s="184"/>
      <c r="V79" s="199"/>
      <c r="W79" s="199"/>
      <c r="X79" s="184"/>
      <c r="Y79" s="184"/>
      <c r="Z79" s="184"/>
      <c r="AA79" s="184"/>
      <c r="AB79" s="184"/>
      <c r="AC79" s="199"/>
      <c r="AD79" s="199"/>
      <c r="AE79" s="184"/>
      <c r="AF79" s="184"/>
      <c r="AG79" s="184"/>
      <c r="AH79" s="184"/>
      <c r="AI79" s="186"/>
      <c r="AJ79" s="177">
        <f t="shared" si="14"/>
        <v>0</v>
      </c>
    </row>
    <row r="80" spans="2:36" ht="16.5" collapsed="1" thickTop="1" thickBot="1" x14ac:dyDescent="0.3">
      <c r="B80" s="149" t="str">
        <f>'Hours Scheduled'!B19</f>
        <v>Loek Moling</v>
      </c>
      <c r="C80" t="s">
        <v>0</v>
      </c>
      <c r="D80" s="183"/>
      <c r="E80" s="180"/>
      <c r="F80" s="180"/>
      <c r="G80" s="180"/>
      <c r="H80" s="198"/>
      <c r="I80" s="198"/>
      <c r="J80" s="180"/>
      <c r="K80" s="180">
        <v>8</v>
      </c>
      <c r="L80" s="180"/>
      <c r="M80" s="180">
        <v>0</v>
      </c>
      <c r="N80" s="180">
        <v>0</v>
      </c>
      <c r="O80" s="198"/>
      <c r="P80" s="198"/>
      <c r="Q80" s="180">
        <v>0</v>
      </c>
      <c r="R80" s="180">
        <v>0</v>
      </c>
      <c r="S80" s="180"/>
      <c r="T80" s="180"/>
      <c r="U80" s="180">
        <v>0</v>
      </c>
      <c r="V80" s="198"/>
      <c r="W80" s="198"/>
      <c r="X80" s="180"/>
      <c r="Y80" s="180"/>
      <c r="Z80" s="180"/>
      <c r="AA80" s="180"/>
      <c r="AB80" s="180"/>
      <c r="AC80" s="198"/>
      <c r="AD80" s="198"/>
      <c r="AE80" s="180"/>
      <c r="AF80" s="180">
        <v>4</v>
      </c>
      <c r="AG80" s="180"/>
      <c r="AH80" s="180"/>
      <c r="AJ80" s="172">
        <f>SUM(D80:AH80)</f>
        <v>12</v>
      </c>
    </row>
    <row r="81" spans="2:36" ht="15.75" hidden="1" outlineLevel="1" thickTop="1" x14ac:dyDescent="0.25">
      <c r="B81" s="150"/>
      <c r="C81" s="1" t="s">
        <v>1</v>
      </c>
      <c r="D81" s="183"/>
      <c r="E81" s="181"/>
      <c r="F81" s="181"/>
      <c r="G81" s="181"/>
      <c r="H81" s="198"/>
      <c r="I81" s="198"/>
      <c r="J81" s="181"/>
      <c r="K81" s="181"/>
      <c r="L81" s="181"/>
      <c r="M81" s="181">
        <v>8</v>
      </c>
      <c r="N81" s="181">
        <v>8</v>
      </c>
      <c r="O81" s="198"/>
      <c r="P81" s="198"/>
      <c r="Q81" s="181">
        <v>8</v>
      </c>
      <c r="R81" s="181">
        <v>8</v>
      </c>
      <c r="S81" s="181"/>
      <c r="T81" s="181"/>
      <c r="U81" s="181"/>
      <c r="V81" s="198"/>
      <c r="W81" s="198"/>
      <c r="X81" s="181"/>
      <c r="Y81" s="181"/>
      <c r="Z81" s="181"/>
      <c r="AA81" s="181"/>
      <c r="AB81" s="181"/>
      <c r="AC81" s="198"/>
      <c r="AD81" s="198"/>
      <c r="AE81" s="181"/>
      <c r="AF81" s="181"/>
      <c r="AG81" s="181"/>
      <c r="AH81" s="181"/>
      <c r="AJ81" s="174">
        <f t="shared" ref="AJ81:AJ84" si="15">SUM(D81:AH81)</f>
        <v>32</v>
      </c>
    </row>
    <row r="82" spans="2:36" hidden="1" outlineLevel="1" x14ac:dyDescent="0.25">
      <c r="B82" s="151"/>
      <c r="C82" s="1" t="s">
        <v>2</v>
      </c>
      <c r="D82" s="183"/>
      <c r="E82" s="182"/>
      <c r="F82" s="182"/>
      <c r="G82" s="182"/>
      <c r="H82" s="198"/>
      <c r="I82" s="198"/>
      <c r="J82" s="182"/>
      <c r="K82" s="182"/>
      <c r="L82" s="182"/>
      <c r="M82" s="182"/>
      <c r="N82" s="182"/>
      <c r="O82" s="198"/>
      <c r="P82" s="198"/>
      <c r="Q82" s="182"/>
      <c r="R82" s="182"/>
      <c r="S82" s="182"/>
      <c r="T82" s="182"/>
      <c r="U82" s="182"/>
      <c r="V82" s="198"/>
      <c r="W82" s="198"/>
      <c r="X82" s="182"/>
      <c r="Y82" s="182"/>
      <c r="Z82" s="182"/>
      <c r="AA82" s="182"/>
      <c r="AB82" s="182"/>
      <c r="AC82" s="198"/>
      <c r="AD82" s="198"/>
      <c r="AE82" s="182"/>
      <c r="AF82" s="182"/>
      <c r="AG82" s="182"/>
      <c r="AH82" s="182"/>
      <c r="AJ82" s="175">
        <f t="shared" si="15"/>
        <v>0</v>
      </c>
    </row>
    <row r="83" spans="2:36" hidden="1" outlineLevel="1" x14ac:dyDescent="0.25">
      <c r="B83" s="151"/>
      <c r="C83" s="54" t="s">
        <v>77</v>
      </c>
      <c r="D83" s="183"/>
      <c r="E83" s="183"/>
      <c r="F83" s="183"/>
      <c r="G83" s="183"/>
      <c r="H83" s="198"/>
      <c r="I83" s="198"/>
      <c r="J83" s="183"/>
      <c r="K83" s="183"/>
      <c r="L83" s="183"/>
      <c r="M83" s="183"/>
      <c r="N83" s="183"/>
      <c r="O83" s="198"/>
      <c r="P83" s="198"/>
      <c r="Q83" s="183"/>
      <c r="R83" s="183"/>
      <c r="S83" s="183"/>
      <c r="T83" s="183"/>
      <c r="U83" s="183">
        <v>8</v>
      </c>
      <c r="V83" s="198"/>
      <c r="W83" s="198"/>
      <c r="X83" s="183"/>
      <c r="Y83" s="183"/>
      <c r="Z83" s="183"/>
      <c r="AA83" s="183"/>
      <c r="AB83" s="183"/>
      <c r="AC83" s="198"/>
      <c r="AD83" s="198"/>
      <c r="AE83" s="183"/>
      <c r="AF83" s="183"/>
      <c r="AG83" s="183"/>
      <c r="AH83" s="183"/>
      <c r="AJ83" s="176">
        <f t="shared" si="15"/>
        <v>8</v>
      </c>
    </row>
    <row r="84" spans="2:36" ht="15.75" hidden="1" outlineLevel="1" thickBot="1" x14ac:dyDescent="0.3">
      <c r="B84" s="151"/>
      <c r="C84" s="9" t="s">
        <v>3</v>
      </c>
      <c r="D84" s="237"/>
      <c r="E84" s="184"/>
      <c r="F84" s="184"/>
      <c r="G84" s="184"/>
      <c r="H84" s="199"/>
      <c r="I84" s="199"/>
      <c r="J84" s="184"/>
      <c r="K84" s="184"/>
      <c r="L84" s="184"/>
      <c r="M84" s="184"/>
      <c r="N84" s="184"/>
      <c r="O84" s="199"/>
      <c r="P84" s="199"/>
      <c r="Q84" s="184"/>
      <c r="R84" s="184"/>
      <c r="S84" s="184"/>
      <c r="T84" s="184"/>
      <c r="U84" s="184"/>
      <c r="V84" s="199"/>
      <c r="W84" s="199"/>
      <c r="X84" s="184"/>
      <c r="Y84" s="184"/>
      <c r="Z84" s="184"/>
      <c r="AA84" s="184"/>
      <c r="AB84" s="184"/>
      <c r="AC84" s="199"/>
      <c r="AD84" s="199"/>
      <c r="AE84" s="184"/>
      <c r="AF84" s="184"/>
      <c r="AG84" s="184"/>
      <c r="AH84" s="184"/>
      <c r="AI84" s="186"/>
      <c r="AJ84" s="177">
        <f t="shared" si="15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183"/>
      <c r="E85" s="180"/>
      <c r="F85" s="180"/>
      <c r="G85" s="180"/>
      <c r="H85" s="198"/>
      <c r="I85" s="198"/>
      <c r="J85" s="180"/>
      <c r="K85" s="180"/>
      <c r="L85" s="180"/>
      <c r="M85" s="180"/>
      <c r="N85" s="180"/>
      <c r="O85" s="198"/>
      <c r="P85" s="198"/>
      <c r="Q85" s="180">
        <v>8</v>
      </c>
      <c r="R85" s="180"/>
      <c r="S85" s="180"/>
      <c r="T85" s="180"/>
      <c r="U85" s="180"/>
      <c r="V85" s="198"/>
      <c r="W85" s="198"/>
      <c r="X85" s="180">
        <v>8</v>
      </c>
      <c r="Y85" s="180"/>
      <c r="Z85" s="180"/>
      <c r="AA85" s="180"/>
      <c r="AB85" s="180"/>
      <c r="AC85" s="198"/>
      <c r="AD85" s="198"/>
      <c r="AE85" s="180"/>
      <c r="AF85" s="180"/>
      <c r="AG85" s="180"/>
      <c r="AH85" s="180"/>
      <c r="AJ85" s="172">
        <f>SUM(D85:AH85)</f>
        <v>16</v>
      </c>
    </row>
    <row r="86" spans="2:36" ht="15.75" hidden="1" outlineLevel="1" thickTop="1" x14ac:dyDescent="0.25">
      <c r="B86" s="150"/>
      <c r="C86" s="1" t="s">
        <v>1</v>
      </c>
      <c r="D86" s="183"/>
      <c r="E86" s="181"/>
      <c r="F86" s="181"/>
      <c r="G86" s="181"/>
      <c r="H86" s="198"/>
      <c r="I86" s="198"/>
      <c r="J86" s="181"/>
      <c r="K86" s="181"/>
      <c r="L86" s="181"/>
      <c r="M86" s="181"/>
      <c r="N86" s="181"/>
      <c r="O86" s="198"/>
      <c r="P86" s="198"/>
      <c r="Q86" s="181"/>
      <c r="R86" s="181"/>
      <c r="S86" s="181"/>
      <c r="T86" s="181"/>
      <c r="U86" s="181"/>
      <c r="V86" s="198"/>
      <c r="W86" s="198"/>
      <c r="X86" s="181"/>
      <c r="Y86" s="181"/>
      <c r="Z86" s="181"/>
      <c r="AA86" s="181"/>
      <c r="AB86" s="181"/>
      <c r="AC86" s="198"/>
      <c r="AD86" s="198"/>
      <c r="AE86" s="181"/>
      <c r="AF86" s="181"/>
      <c r="AG86" s="181"/>
      <c r="AH86" s="181"/>
      <c r="AJ86" s="174">
        <f t="shared" ref="AJ86:AJ89" si="16">SUM(D86:AH86)</f>
        <v>0</v>
      </c>
    </row>
    <row r="87" spans="2:36" hidden="1" outlineLevel="1" x14ac:dyDescent="0.25">
      <c r="B87" s="151"/>
      <c r="C87" s="1" t="s">
        <v>2</v>
      </c>
      <c r="D87" s="183"/>
      <c r="E87" s="182"/>
      <c r="F87" s="182"/>
      <c r="G87" s="182"/>
      <c r="H87" s="198"/>
      <c r="I87" s="198"/>
      <c r="J87" s="182"/>
      <c r="K87" s="182"/>
      <c r="L87" s="182"/>
      <c r="M87" s="182"/>
      <c r="N87" s="182"/>
      <c r="O87" s="198"/>
      <c r="P87" s="198"/>
      <c r="Q87" s="182"/>
      <c r="R87" s="182"/>
      <c r="S87" s="182"/>
      <c r="T87" s="182"/>
      <c r="U87" s="182"/>
      <c r="V87" s="198"/>
      <c r="W87" s="198"/>
      <c r="X87" s="182"/>
      <c r="Y87" s="182"/>
      <c r="Z87" s="182"/>
      <c r="AA87" s="182"/>
      <c r="AB87" s="182"/>
      <c r="AC87" s="198"/>
      <c r="AD87" s="198"/>
      <c r="AE87" s="182"/>
      <c r="AF87" s="182"/>
      <c r="AG87" s="182"/>
      <c r="AH87" s="182"/>
      <c r="AJ87" s="175">
        <f t="shared" si="16"/>
        <v>0</v>
      </c>
    </row>
    <row r="88" spans="2:36" hidden="1" outlineLevel="1" x14ac:dyDescent="0.25">
      <c r="B88" s="151"/>
      <c r="C88" s="54" t="s">
        <v>77</v>
      </c>
      <c r="D88" s="183"/>
      <c r="E88" s="183"/>
      <c r="F88" s="183"/>
      <c r="G88" s="183"/>
      <c r="H88" s="198"/>
      <c r="I88" s="198"/>
      <c r="J88" s="183"/>
      <c r="K88" s="183"/>
      <c r="L88" s="183"/>
      <c r="M88" s="183"/>
      <c r="N88" s="183"/>
      <c r="O88" s="198"/>
      <c r="P88" s="198"/>
      <c r="Q88" s="183"/>
      <c r="R88" s="183"/>
      <c r="S88" s="183"/>
      <c r="T88" s="183"/>
      <c r="U88" s="183"/>
      <c r="V88" s="198"/>
      <c r="W88" s="198"/>
      <c r="X88" s="183"/>
      <c r="Y88" s="183"/>
      <c r="Z88" s="183"/>
      <c r="AA88" s="183"/>
      <c r="AB88" s="183"/>
      <c r="AC88" s="198"/>
      <c r="AD88" s="198"/>
      <c r="AE88" s="183"/>
      <c r="AF88" s="183"/>
      <c r="AG88" s="183"/>
      <c r="AH88" s="183"/>
      <c r="AJ88" s="176">
        <f t="shared" si="16"/>
        <v>0</v>
      </c>
    </row>
    <row r="89" spans="2:36" ht="15.75" hidden="1" outlineLevel="1" thickBot="1" x14ac:dyDescent="0.3">
      <c r="B89" s="151"/>
      <c r="C89" s="9" t="s">
        <v>3</v>
      </c>
      <c r="D89" s="238"/>
      <c r="E89" s="177"/>
      <c r="F89" s="177"/>
      <c r="G89" s="177"/>
      <c r="H89" s="230"/>
      <c r="I89" s="230"/>
      <c r="J89" s="177"/>
      <c r="K89" s="177"/>
      <c r="L89" s="177"/>
      <c r="M89" s="177"/>
      <c r="N89" s="177"/>
      <c r="O89" s="230"/>
      <c r="P89" s="230"/>
      <c r="Q89" s="177"/>
      <c r="R89" s="177"/>
      <c r="S89" s="177"/>
      <c r="T89" s="177"/>
      <c r="U89" s="177"/>
      <c r="V89" s="230"/>
      <c r="W89" s="230"/>
      <c r="X89" s="177"/>
      <c r="Y89" s="177"/>
      <c r="Z89" s="177"/>
      <c r="AA89" s="177"/>
      <c r="AB89" s="177"/>
      <c r="AC89" s="230"/>
      <c r="AD89" s="230"/>
      <c r="AE89" s="177"/>
      <c r="AF89" s="177"/>
      <c r="AG89" s="177"/>
      <c r="AH89" s="177"/>
      <c r="AI89" s="186"/>
      <c r="AJ89" s="177">
        <f t="shared" si="16"/>
        <v>0</v>
      </c>
    </row>
    <row r="90" spans="2:36" ht="16.5" collapsed="1" thickTop="1" thickBot="1" x14ac:dyDescent="0.3">
      <c r="B90" s="149" t="str">
        <f>'Hours Scheduled'!B21</f>
        <v>Manuel Sperti</v>
      </c>
      <c r="C90" t="s">
        <v>0</v>
      </c>
      <c r="D90" s="183"/>
      <c r="E90" s="180"/>
      <c r="F90" s="180"/>
      <c r="G90" s="180"/>
      <c r="H90" s="198"/>
      <c r="I90" s="198"/>
      <c r="J90" s="180"/>
      <c r="K90" s="180"/>
      <c r="L90" s="180"/>
      <c r="M90" s="180"/>
      <c r="N90" s="180"/>
      <c r="O90" s="198"/>
      <c r="P90" s="198"/>
      <c r="Q90" s="180">
        <v>0</v>
      </c>
      <c r="R90" s="180">
        <v>0</v>
      </c>
      <c r="S90" s="180">
        <v>0</v>
      </c>
      <c r="T90" s="180"/>
      <c r="U90" s="180"/>
      <c r="V90" s="198"/>
      <c r="W90" s="198"/>
      <c r="X90" s="180"/>
      <c r="Y90" s="180"/>
      <c r="Z90" s="180"/>
      <c r="AA90" s="180"/>
      <c r="AB90" s="180">
        <v>0</v>
      </c>
      <c r="AC90" s="198"/>
      <c r="AD90" s="198"/>
      <c r="AE90" s="180">
        <v>0</v>
      </c>
      <c r="AF90" s="180">
        <v>0</v>
      </c>
      <c r="AG90" s="180"/>
      <c r="AH90" s="180"/>
      <c r="AJ90" s="172">
        <f>SUM(D90:AH90)</f>
        <v>0</v>
      </c>
    </row>
    <row r="91" spans="2:36" ht="15.75" hidden="1" outlineLevel="1" thickTop="1" x14ac:dyDescent="0.25">
      <c r="B91" s="150"/>
      <c r="C91" s="1" t="s">
        <v>1</v>
      </c>
      <c r="D91" s="183"/>
      <c r="E91" s="181"/>
      <c r="F91" s="181"/>
      <c r="G91" s="181"/>
      <c r="H91" s="198"/>
      <c r="I91" s="198"/>
      <c r="J91" s="181"/>
      <c r="K91" s="181">
        <v>8</v>
      </c>
      <c r="L91" s="181">
        <v>8</v>
      </c>
      <c r="M91" s="181">
        <v>8</v>
      </c>
      <c r="N91" s="181">
        <v>8</v>
      </c>
      <c r="O91" s="198"/>
      <c r="P91" s="198"/>
      <c r="Q91" s="181">
        <v>8</v>
      </c>
      <c r="R91" s="181">
        <v>8</v>
      </c>
      <c r="S91" s="181">
        <v>8</v>
      </c>
      <c r="T91" s="181"/>
      <c r="U91" s="181"/>
      <c r="V91" s="198"/>
      <c r="W91" s="198"/>
      <c r="X91" s="181"/>
      <c r="Y91" s="181"/>
      <c r="Z91" s="181"/>
      <c r="AA91" s="181"/>
      <c r="AB91" s="181">
        <v>4</v>
      </c>
      <c r="AC91" s="198"/>
      <c r="AD91" s="198"/>
      <c r="AE91" s="181">
        <v>8</v>
      </c>
      <c r="AF91" s="181">
        <v>8</v>
      </c>
      <c r="AG91" s="181"/>
      <c r="AH91" s="181"/>
      <c r="AJ91" s="174">
        <f t="shared" ref="AJ91:AJ94" si="17">SUM(D91:AH91)</f>
        <v>76</v>
      </c>
    </row>
    <row r="92" spans="2:36" hidden="1" outlineLevel="1" x14ac:dyDescent="0.25">
      <c r="B92" s="151"/>
      <c r="C92" s="1" t="s">
        <v>2</v>
      </c>
      <c r="D92" s="183"/>
      <c r="E92" s="182"/>
      <c r="F92" s="182"/>
      <c r="G92" s="182"/>
      <c r="H92" s="198"/>
      <c r="I92" s="198"/>
      <c r="J92" s="182"/>
      <c r="K92" s="182"/>
      <c r="L92" s="182"/>
      <c r="M92" s="182"/>
      <c r="N92" s="182"/>
      <c r="O92" s="198"/>
      <c r="P92" s="198"/>
      <c r="Q92" s="182"/>
      <c r="R92" s="182"/>
      <c r="S92" s="182"/>
      <c r="T92" s="182"/>
      <c r="U92" s="182"/>
      <c r="V92" s="198"/>
      <c r="W92" s="198"/>
      <c r="X92" s="182"/>
      <c r="Y92" s="182"/>
      <c r="Z92" s="182"/>
      <c r="AA92" s="182"/>
      <c r="AB92" s="182"/>
      <c r="AC92" s="198"/>
      <c r="AD92" s="198"/>
      <c r="AE92" s="182"/>
      <c r="AF92" s="182"/>
      <c r="AG92" s="182"/>
      <c r="AH92" s="182"/>
      <c r="AJ92" s="175">
        <f t="shared" si="17"/>
        <v>0</v>
      </c>
    </row>
    <row r="93" spans="2:36" hidden="1" outlineLevel="1" x14ac:dyDescent="0.25">
      <c r="B93" s="151"/>
      <c r="C93" s="54" t="s">
        <v>77</v>
      </c>
      <c r="D93" s="183"/>
      <c r="E93" s="183"/>
      <c r="F93" s="183"/>
      <c r="G93" s="183"/>
      <c r="H93" s="198"/>
      <c r="I93" s="198"/>
      <c r="J93" s="183"/>
      <c r="K93" s="183"/>
      <c r="L93" s="183"/>
      <c r="M93" s="183"/>
      <c r="N93" s="183"/>
      <c r="O93" s="198"/>
      <c r="P93" s="198"/>
      <c r="Q93" s="183"/>
      <c r="R93" s="183"/>
      <c r="S93" s="183"/>
      <c r="T93" s="183"/>
      <c r="U93" s="183"/>
      <c r="V93" s="198"/>
      <c r="W93" s="198"/>
      <c r="X93" s="183"/>
      <c r="Y93" s="183"/>
      <c r="Z93" s="183"/>
      <c r="AA93" s="183"/>
      <c r="AB93" s="183"/>
      <c r="AC93" s="198"/>
      <c r="AD93" s="198"/>
      <c r="AE93" s="183"/>
      <c r="AF93" s="183"/>
      <c r="AG93" s="183"/>
      <c r="AH93" s="183"/>
      <c r="AJ93" s="176">
        <f t="shared" si="17"/>
        <v>0</v>
      </c>
    </row>
    <row r="94" spans="2:36" ht="15.75" hidden="1" outlineLevel="1" thickBot="1" x14ac:dyDescent="0.3">
      <c r="B94" s="151"/>
      <c r="C94" s="9" t="s">
        <v>3</v>
      </c>
      <c r="D94" s="237"/>
      <c r="E94" s="184"/>
      <c r="F94" s="184"/>
      <c r="G94" s="184"/>
      <c r="H94" s="199"/>
      <c r="I94" s="199"/>
      <c r="J94" s="184"/>
      <c r="K94" s="184"/>
      <c r="L94" s="184"/>
      <c r="M94" s="184"/>
      <c r="N94" s="184"/>
      <c r="O94" s="199"/>
      <c r="P94" s="199"/>
      <c r="Q94" s="184"/>
      <c r="R94" s="184"/>
      <c r="S94" s="184"/>
      <c r="T94" s="184"/>
      <c r="U94" s="184"/>
      <c r="V94" s="199"/>
      <c r="W94" s="199"/>
      <c r="X94" s="184"/>
      <c r="Y94" s="184"/>
      <c r="Z94" s="184"/>
      <c r="AA94" s="184"/>
      <c r="AB94" s="184"/>
      <c r="AC94" s="199"/>
      <c r="AD94" s="199"/>
      <c r="AE94" s="184"/>
      <c r="AF94" s="184"/>
      <c r="AG94" s="184"/>
      <c r="AH94" s="184"/>
      <c r="AI94" s="186"/>
      <c r="AJ94" s="177">
        <f t="shared" si="17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183"/>
      <c r="E95" s="180"/>
      <c r="F95" s="180"/>
      <c r="G95" s="180"/>
      <c r="H95" s="198"/>
      <c r="I95" s="198"/>
      <c r="J95" s="180">
        <v>8</v>
      </c>
      <c r="K95" s="180"/>
      <c r="L95" s="180"/>
      <c r="M95" s="180"/>
      <c r="N95" s="180"/>
      <c r="O95" s="198"/>
      <c r="P95" s="198"/>
      <c r="Q95" s="180"/>
      <c r="R95" s="180"/>
      <c r="S95" s="180"/>
      <c r="T95" s="180"/>
      <c r="U95" s="180"/>
      <c r="V95" s="198"/>
      <c r="W95" s="198"/>
      <c r="X95" s="180"/>
      <c r="Y95" s="180"/>
      <c r="Z95" s="180"/>
      <c r="AA95" s="180"/>
      <c r="AB95" s="180"/>
      <c r="AC95" s="198"/>
      <c r="AD95" s="198"/>
      <c r="AE95" s="180"/>
      <c r="AF95" s="180"/>
      <c r="AG95" s="180"/>
      <c r="AH95" s="180"/>
      <c r="AJ95" s="172">
        <f>SUM(D95:AH95)</f>
        <v>8</v>
      </c>
    </row>
    <row r="96" spans="2:36" ht="15.75" hidden="1" outlineLevel="1" thickTop="1" x14ac:dyDescent="0.25">
      <c r="B96" s="150"/>
      <c r="C96" s="1" t="s">
        <v>1</v>
      </c>
      <c r="D96" s="183"/>
      <c r="E96" s="181"/>
      <c r="F96" s="181"/>
      <c r="G96" s="181"/>
      <c r="H96" s="198"/>
      <c r="I96" s="198"/>
      <c r="J96" s="181"/>
      <c r="K96" s="181"/>
      <c r="L96" s="181"/>
      <c r="M96" s="181"/>
      <c r="N96" s="181"/>
      <c r="O96" s="198"/>
      <c r="P96" s="198"/>
      <c r="Q96" s="181"/>
      <c r="R96" s="181"/>
      <c r="S96" s="181"/>
      <c r="T96" s="181"/>
      <c r="U96" s="181"/>
      <c r="V96" s="198"/>
      <c r="W96" s="198"/>
      <c r="X96" s="181"/>
      <c r="Y96" s="181"/>
      <c r="Z96" s="181"/>
      <c r="AA96" s="181"/>
      <c r="AB96" s="181"/>
      <c r="AC96" s="198"/>
      <c r="AD96" s="198"/>
      <c r="AE96" s="181"/>
      <c r="AF96" s="181"/>
      <c r="AG96" s="181"/>
      <c r="AH96" s="181"/>
      <c r="AJ96" s="174">
        <f t="shared" ref="AJ96:AJ99" si="18">SUM(D96:AH96)</f>
        <v>0</v>
      </c>
    </row>
    <row r="97" spans="2:36" hidden="1" outlineLevel="1" x14ac:dyDescent="0.25">
      <c r="B97" s="151"/>
      <c r="C97" s="1" t="s">
        <v>2</v>
      </c>
      <c r="D97" s="183"/>
      <c r="E97" s="182"/>
      <c r="F97" s="182"/>
      <c r="G97" s="182"/>
      <c r="H97" s="198"/>
      <c r="I97" s="198"/>
      <c r="J97" s="182"/>
      <c r="K97" s="182"/>
      <c r="L97" s="182"/>
      <c r="M97" s="182"/>
      <c r="N97" s="182"/>
      <c r="O97" s="198"/>
      <c r="P97" s="198"/>
      <c r="Q97" s="182"/>
      <c r="R97" s="182"/>
      <c r="S97" s="182"/>
      <c r="T97" s="182"/>
      <c r="U97" s="182"/>
      <c r="V97" s="198"/>
      <c r="W97" s="198"/>
      <c r="X97" s="182"/>
      <c r="Y97" s="182"/>
      <c r="Z97" s="182"/>
      <c r="AA97" s="182"/>
      <c r="AB97" s="182"/>
      <c r="AC97" s="198"/>
      <c r="AD97" s="198"/>
      <c r="AE97" s="182"/>
      <c r="AF97" s="182"/>
      <c r="AG97" s="182"/>
      <c r="AH97" s="182"/>
      <c r="AJ97" s="175">
        <f t="shared" si="18"/>
        <v>0</v>
      </c>
    </row>
    <row r="98" spans="2:36" hidden="1" outlineLevel="1" x14ac:dyDescent="0.25">
      <c r="B98" s="151"/>
      <c r="C98" s="54" t="s">
        <v>77</v>
      </c>
      <c r="D98" s="183"/>
      <c r="E98" s="183"/>
      <c r="F98" s="183"/>
      <c r="G98" s="183"/>
      <c r="H98" s="198"/>
      <c r="I98" s="198"/>
      <c r="J98" s="183"/>
      <c r="K98" s="183"/>
      <c r="L98" s="183"/>
      <c r="M98" s="183"/>
      <c r="N98" s="183"/>
      <c r="O98" s="198"/>
      <c r="P98" s="198"/>
      <c r="Q98" s="183"/>
      <c r="R98" s="183"/>
      <c r="S98" s="183"/>
      <c r="T98" s="183"/>
      <c r="U98" s="183"/>
      <c r="V98" s="198"/>
      <c r="W98" s="198"/>
      <c r="X98" s="183"/>
      <c r="Y98" s="183"/>
      <c r="Z98" s="183"/>
      <c r="AA98" s="183"/>
      <c r="AB98" s="183"/>
      <c r="AC98" s="198"/>
      <c r="AD98" s="198"/>
      <c r="AE98" s="183"/>
      <c r="AF98" s="183"/>
      <c r="AG98" s="183"/>
      <c r="AH98" s="183"/>
      <c r="AJ98" s="176">
        <f t="shared" si="18"/>
        <v>0</v>
      </c>
    </row>
    <row r="99" spans="2:36" ht="15.75" hidden="1" outlineLevel="1" thickBot="1" x14ac:dyDescent="0.3">
      <c r="B99" s="151"/>
      <c r="C99" s="9" t="s">
        <v>3</v>
      </c>
      <c r="D99" s="237"/>
      <c r="E99" s="184"/>
      <c r="F99" s="243">
        <v>6.6666666666666693E-2</v>
      </c>
      <c r="G99" s="184"/>
      <c r="H99" s="199"/>
      <c r="I99" s="199"/>
      <c r="J99" s="184"/>
      <c r="K99" s="184"/>
      <c r="L99" s="184"/>
      <c r="M99" s="184"/>
      <c r="N99" s="177">
        <v>0.1</v>
      </c>
      <c r="O99" s="199"/>
      <c r="P99" s="199"/>
      <c r="Q99" s="184">
        <v>0.05</v>
      </c>
      <c r="R99" s="184"/>
      <c r="S99" s="184"/>
      <c r="T99" s="177">
        <v>0.1</v>
      </c>
      <c r="U99" s="184"/>
      <c r="V99" s="199"/>
      <c r="W99" s="199"/>
      <c r="X99" s="184"/>
      <c r="Y99" s="184"/>
      <c r="Z99" s="184"/>
      <c r="AA99" s="184"/>
      <c r="AB99" s="184"/>
      <c r="AC99" s="199"/>
      <c r="AD99" s="199"/>
      <c r="AE99" s="184"/>
      <c r="AF99" s="184"/>
      <c r="AG99" s="184"/>
      <c r="AH99" s="184"/>
      <c r="AI99" s="186"/>
      <c r="AJ99" s="177">
        <f t="shared" si="18"/>
        <v>0.31666666666666665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183"/>
      <c r="E100" s="180"/>
      <c r="F100" s="180"/>
      <c r="G100" s="180"/>
      <c r="H100" s="198"/>
      <c r="I100" s="198"/>
      <c r="J100" s="180"/>
      <c r="K100" s="180"/>
      <c r="L100" s="180"/>
      <c r="M100" s="180"/>
      <c r="N100" s="180"/>
      <c r="O100" s="198"/>
      <c r="P100" s="198"/>
      <c r="Q100" s="180"/>
      <c r="R100" s="180">
        <v>4</v>
      </c>
      <c r="S100" s="180"/>
      <c r="T100" s="180"/>
      <c r="U100" s="180"/>
      <c r="V100" s="198"/>
      <c r="W100" s="198"/>
      <c r="X100" s="180"/>
      <c r="Y100" s="180">
        <v>4</v>
      </c>
      <c r="Z100" s="180"/>
      <c r="AA100" s="180"/>
      <c r="AB100" s="180"/>
      <c r="AC100" s="198"/>
      <c r="AD100" s="198"/>
      <c r="AE100" s="180"/>
      <c r="AF100" s="180"/>
      <c r="AG100" s="180"/>
      <c r="AH100" s="180"/>
      <c r="AJ100" s="172">
        <f>SUM(D100:AH100)</f>
        <v>8</v>
      </c>
    </row>
    <row r="101" spans="2:36" ht="15.75" hidden="1" outlineLevel="1" thickTop="1" x14ac:dyDescent="0.25">
      <c r="B101" s="150"/>
      <c r="C101" s="1" t="s">
        <v>1</v>
      </c>
      <c r="D101" s="183"/>
      <c r="E101" s="181"/>
      <c r="F101" s="181"/>
      <c r="G101" s="181"/>
      <c r="H101" s="198"/>
      <c r="I101" s="198"/>
      <c r="J101" s="181"/>
      <c r="K101" s="181"/>
      <c r="L101" s="181"/>
      <c r="M101" s="181"/>
      <c r="N101" s="181"/>
      <c r="O101" s="198"/>
      <c r="P101" s="198"/>
      <c r="Q101" s="181"/>
      <c r="R101" s="181"/>
      <c r="S101" s="181"/>
      <c r="T101" s="181"/>
      <c r="U101" s="181"/>
      <c r="V101" s="198"/>
      <c r="W101" s="198"/>
      <c r="X101" s="181"/>
      <c r="Y101" s="181"/>
      <c r="Z101" s="181"/>
      <c r="AA101" s="181"/>
      <c r="AB101" s="181"/>
      <c r="AC101" s="198"/>
      <c r="AD101" s="198"/>
      <c r="AE101" s="181"/>
      <c r="AF101" s="181"/>
      <c r="AG101" s="181"/>
      <c r="AH101" s="181"/>
      <c r="AJ101" s="174">
        <f t="shared" ref="AJ101:AJ104" si="19">SUM(D101:AH101)</f>
        <v>0</v>
      </c>
    </row>
    <row r="102" spans="2:36" hidden="1" outlineLevel="1" x14ac:dyDescent="0.25">
      <c r="B102" s="151"/>
      <c r="C102" s="1" t="s">
        <v>2</v>
      </c>
      <c r="D102" s="183"/>
      <c r="E102" s="182"/>
      <c r="F102" s="182"/>
      <c r="G102" s="182"/>
      <c r="H102" s="198"/>
      <c r="I102" s="198"/>
      <c r="J102" s="182"/>
      <c r="K102" s="182"/>
      <c r="L102" s="182"/>
      <c r="M102" s="182"/>
      <c r="N102" s="182"/>
      <c r="O102" s="198"/>
      <c r="P102" s="198"/>
      <c r="Q102" s="182"/>
      <c r="R102" s="182"/>
      <c r="S102" s="182"/>
      <c r="T102" s="182"/>
      <c r="U102" s="182"/>
      <c r="V102" s="198"/>
      <c r="W102" s="198"/>
      <c r="X102" s="182"/>
      <c r="Y102" s="182"/>
      <c r="Z102" s="182"/>
      <c r="AA102" s="182"/>
      <c r="AB102" s="182"/>
      <c r="AC102" s="198"/>
      <c r="AD102" s="198"/>
      <c r="AE102" s="182">
        <v>7</v>
      </c>
      <c r="AF102" s="182"/>
      <c r="AG102" s="182"/>
      <c r="AH102" s="182"/>
      <c r="AJ102" s="175">
        <f t="shared" si="19"/>
        <v>7</v>
      </c>
    </row>
    <row r="103" spans="2:36" hidden="1" outlineLevel="1" x14ac:dyDescent="0.25">
      <c r="B103" s="151"/>
      <c r="C103" s="54" t="s">
        <v>77</v>
      </c>
      <c r="D103" s="183"/>
      <c r="E103" s="183"/>
      <c r="F103" s="183"/>
      <c r="G103" s="183"/>
      <c r="H103" s="198"/>
      <c r="I103" s="198"/>
      <c r="J103" s="183"/>
      <c r="K103" s="183"/>
      <c r="L103" s="183"/>
      <c r="M103" s="183"/>
      <c r="N103" s="183"/>
      <c r="O103" s="198"/>
      <c r="P103" s="198"/>
      <c r="Q103" s="183"/>
      <c r="R103" s="183"/>
      <c r="S103" s="183"/>
      <c r="T103" s="183"/>
      <c r="U103" s="183"/>
      <c r="V103" s="198"/>
      <c r="W103" s="198"/>
      <c r="X103" s="183"/>
      <c r="Y103" s="183"/>
      <c r="Z103" s="183"/>
      <c r="AA103" s="183"/>
      <c r="AB103" s="183"/>
      <c r="AC103" s="198"/>
      <c r="AD103" s="198"/>
      <c r="AE103" s="183"/>
      <c r="AF103" s="183"/>
      <c r="AG103" s="183"/>
      <c r="AH103" s="183"/>
      <c r="AJ103" s="176">
        <f t="shared" si="19"/>
        <v>0</v>
      </c>
    </row>
    <row r="104" spans="2:36" ht="15.75" hidden="1" outlineLevel="1" thickBot="1" x14ac:dyDescent="0.3">
      <c r="B104" s="151"/>
      <c r="C104" s="9" t="s">
        <v>3</v>
      </c>
      <c r="D104" s="237"/>
      <c r="E104" s="184"/>
      <c r="F104" s="184"/>
      <c r="G104" s="184"/>
      <c r="H104" s="199"/>
      <c r="I104" s="199"/>
      <c r="J104" s="184"/>
      <c r="K104" s="184"/>
      <c r="L104" s="184"/>
      <c r="M104" s="184"/>
      <c r="N104" s="184"/>
      <c r="O104" s="199"/>
      <c r="P104" s="199"/>
      <c r="Q104" s="184"/>
      <c r="R104" s="184"/>
      <c r="S104" s="184"/>
      <c r="T104" s="184"/>
      <c r="U104" s="184"/>
      <c r="V104" s="199"/>
      <c r="W104" s="199"/>
      <c r="X104" s="184"/>
      <c r="Y104" s="184"/>
      <c r="Z104" s="184"/>
      <c r="AA104" s="184"/>
      <c r="AB104" s="184"/>
      <c r="AC104" s="199"/>
      <c r="AD104" s="199"/>
      <c r="AE104" s="184"/>
      <c r="AF104" s="184"/>
      <c r="AG104" s="184"/>
      <c r="AH104" s="184"/>
      <c r="AI104" s="186"/>
      <c r="AJ104" s="177">
        <f t="shared" si="19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183"/>
      <c r="E105" s="180">
        <v>8</v>
      </c>
      <c r="F105" s="180"/>
      <c r="G105" s="180"/>
      <c r="H105" s="198"/>
      <c r="I105" s="198"/>
      <c r="J105" s="180"/>
      <c r="K105" s="180"/>
      <c r="L105" s="180"/>
      <c r="M105" s="180"/>
      <c r="N105" s="180"/>
      <c r="O105" s="198"/>
      <c r="P105" s="198"/>
      <c r="Q105" s="180"/>
      <c r="R105" s="180"/>
      <c r="S105" s="180"/>
      <c r="T105" s="180"/>
      <c r="U105" s="180"/>
      <c r="V105" s="198"/>
      <c r="W105" s="198"/>
      <c r="X105" s="180">
        <v>0</v>
      </c>
      <c r="Y105" s="180"/>
      <c r="Z105" s="180">
        <v>3</v>
      </c>
      <c r="AA105" s="180"/>
      <c r="AB105" s="180"/>
      <c r="AC105" s="198"/>
      <c r="AD105" s="198"/>
      <c r="AE105" s="180">
        <v>0</v>
      </c>
      <c r="AF105" s="180">
        <v>0</v>
      </c>
      <c r="AG105" s="180">
        <v>0</v>
      </c>
      <c r="AH105" s="180">
        <v>0</v>
      </c>
      <c r="AJ105" s="172">
        <f>SUM(D105:AH105)</f>
        <v>11</v>
      </c>
    </row>
    <row r="106" spans="2:36" ht="15.75" hidden="1" outlineLevel="1" thickTop="1" x14ac:dyDescent="0.25">
      <c r="B106" s="150"/>
      <c r="C106" s="1" t="s">
        <v>1</v>
      </c>
      <c r="D106" s="183"/>
      <c r="E106" s="181"/>
      <c r="F106" s="181"/>
      <c r="G106" s="181"/>
      <c r="H106" s="198"/>
      <c r="I106" s="198"/>
      <c r="J106" s="181"/>
      <c r="K106" s="181"/>
      <c r="L106" s="181"/>
      <c r="M106" s="181"/>
      <c r="N106" s="181"/>
      <c r="O106" s="198"/>
      <c r="P106" s="198"/>
      <c r="Q106" s="181"/>
      <c r="R106" s="181"/>
      <c r="S106" s="181"/>
      <c r="T106" s="181"/>
      <c r="U106" s="181"/>
      <c r="V106" s="198"/>
      <c r="W106" s="198"/>
      <c r="X106" s="181"/>
      <c r="Y106" s="181"/>
      <c r="Z106" s="181"/>
      <c r="AA106" s="181"/>
      <c r="AB106" s="181"/>
      <c r="AC106" s="198"/>
      <c r="AD106" s="198"/>
      <c r="AE106" s="181">
        <v>8</v>
      </c>
      <c r="AF106" s="181">
        <v>8</v>
      </c>
      <c r="AG106" s="181">
        <v>8</v>
      </c>
      <c r="AH106" s="181">
        <v>8</v>
      </c>
      <c r="AJ106" s="174">
        <f t="shared" ref="AJ106:AJ109" si="20">SUM(D106:AH106)</f>
        <v>32</v>
      </c>
    </row>
    <row r="107" spans="2:36" hidden="1" outlineLevel="1" x14ac:dyDescent="0.25">
      <c r="B107" s="151"/>
      <c r="C107" s="1" t="s">
        <v>2</v>
      </c>
      <c r="D107" s="183"/>
      <c r="E107" s="182"/>
      <c r="F107" s="182"/>
      <c r="G107" s="182"/>
      <c r="H107" s="198"/>
      <c r="I107" s="198"/>
      <c r="J107" s="182"/>
      <c r="K107" s="182"/>
      <c r="L107" s="182"/>
      <c r="M107" s="182"/>
      <c r="N107" s="182"/>
      <c r="O107" s="198"/>
      <c r="P107" s="198"/>
      <c r="Q107" s="182"/>
      <c r="R107" s="182"/>
      <c r="S107" s="182"/>
      <c r="T107" s="182"/>
      <c r="U107" s="182"/>
      <c r="V107" s="198"/>
      <c r="W107" s="198"/>
      <c r="X107" s="182"/>
      <c r="Y107" s="182"/>
      <c r="Z107" s="182"/>
      <c r="AA107" s="182"/>
      <c r="AB107" s="182"/>
      <c r="AC107" s="198"/>
      <c r="AD107" s="198"/>
      <c r="AE107" s="182"/>
      <c r="AF107" s="182"/>
      <c r="AG107" s="182"/>
      <c r="AH107" s="182"/>
      <c r="AJ107" s="175">
        <f t="shared" si="20"/>
        <v>0</v>
      </c>
    </row>
    <row r="108" spans="2:36" hidden="1" outlineLevel="1" x14ac:dyDescent="0.25">
      <c r="B108" s="151"/>
      <c r="C108" s="54" t="s">
        <v>77</v>
      </c>
      <c r="D108" s="183"/>
      <c r="E108" s="183"/>
      <c r="F108" s="183"/>
      <c r="G108" s="183"/>
      <c r="H108" s="198"/>
      <c r="I108" s="198"/>
      <c r="J108" s="183"/>
      <c r="K108" s="183"/>
      <c r="L108" s="183"/>
      <c r="M108" s="183"/>
      <c r="N108" s="183"/>
      <c r="O108" s="198"/>
      <c r="P108" s="198"/>
      <c r="Q108" s="183"/>
      <c r="R108" s="183"/>
      <c r="S108" s="183"/>
      <c r="T108" s="183"/>
      <c r="U108" s="183"/>
      <c r="V108" s="198"/>
      <c r="W108" s="198"/>
      <c r="X108" s="183"/>
      <c r="Y108" s="183"/>
      <c r="Z108" s="183"/>
      <c r="AA108" s="183"/>
      <c r="AB108" s="183"/>
      <c r="AC108" s="198"/>
      <c r="AD108" s="198"/>
      <c r="AE108" s="183"/>
      <c r="AF108" s="183"/>
      <c r="AG108" s="183"/>
      <c r="AH108" s="183"/>
      <c r="AJ108" s="176">
        <f t="shared" si="20"/>
        <v>0</v>
      </c>
    </row>
    <row r="109" spans="2:36" ht="15.75" hidden="1" outlineLevel="1" thickBot="1" x14ac:dyDescent="0.3">
      <c r="B109" s="151"/>
      <c r="C109" s="9" t="s">
        <v>3</v>
      </c>
      <c r="D109" s="237"/>
      <c r="E109" s="184"/>
      <c r="F109" s="184"/>
      <c r="G109" s="184"/>
      <c r="H109" s="199"/>
      <c r="I109" s="199"/>
      <c r="J109" s="184"/>
      <c r="K109" s="184"/>
      <c r="L109" s="184"/>
      <c r="M109" s="184"/>
      <c r="N109" s="184"/>
      <c r="O109" s="199"/>
      <c r="P109" s="199"/>
      <c r="Q109" s="184"/>
      <c r="R109" s="184"/>
      <c r="S109" s="184"/>
      <c r="T109" s="184"/>
      <c r="U109" s="184"/>
      <c r="V109" s="199"/>
      <c r="W109" s="199"/>
      <c r="X109" s="184"/>
      <c r="Y109" s="184"/>
      <c r="Z109" s="184"/>
      <c r="AA109" s="184"/>
      <c r="AB109" s="184"/>
      <c r="AC109" s="199"/>
      <c r="AD109" s="199"/>
      <c r="AE109" s="184"/>
      <c r="AF109" s="184"/>
      <c r="AG109" s="184"/>
      <c r="AH109" s="184"/>
      <c r="AI109" s="186"/>
      <c r="AJ109" s="177">
        <f t="shared" si="20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183"/>
      <c r="E110" s="180"/>
      <c r="F110" s="180"/>
      <c r="G110" s="180"/>
      <c r="H110" s="198"/>
      <c r="I110" s="198"/>
      <c r="J110" s="180">
        <v>8</v>
      </c>
      <c r="K110" s="180"/>
      <c r="L110" s="180"/>
      <c r="M110" s="180"/>
      <c r="N110" s="180"/>
      <c r="O110" s="198"/>
      <c r="P110" s="198"/>
      <c r="Q110" s="180"/>
      <c r="R110" s="180"/>
      <c r="S110" s="180"/>
      <c r="T110" s="180"/>
      <c r="U110" s="180"/>
      <c r="V110" s="198"/>
      <c r="W110" s="198"/>
      <c r="X110" s="180"/>
      <c r="Y110" s="180"/>
      <c r="Z110" s="180">
        <v>0</v>
      </c>
      <c r="AA110" s="180"/>
      <c r="AB110" s="180"/>
      <c r="AC110" s="198"/>
      <c r="AD110" s="198"/>
      <c r="AE110" s="180">
        <v>8</v>
      </c>
      <c r="AF110" s="180">
        <v>8</v>
      </c>
      <c r="AG110" s="180">
        <v>8</v>
      </c>
      <c r="AH110" s="180"/>
      <c r="AJ110" s="172">
        <f>SUM(D110:AH110)</f>
        <v>32</v>
      </c>
    </row>
    <row r="111" spans="2:36" ht="15.75" hidden="1" outlineLevel="1" thickTop="1" x14ac:dyDescent="0.25">
      <c r="B111" s="150"/>
      <c r="C111" s="1" t="s">
        <v>1</v>
      </c>
      <c r="D111" s="183"/>
      <c r="E111" s="181"/>
      <c r="F111" s="181"/>
      <c r="G111" s="181"/>
      <c r="H111" s="198"/>
      <c r="I111" s="198"/>
      <c r="J111" s="181"/>
      <c r="K111" s="181"/>
      <c r="L111" s="181"/>
      <c r="M111" s="181"/>
      <c r="N111" s="181"/>
      <c r="O111" s="198"/>
      <c r="P111" s="198"/>
      <c r="Q111" s="181"/>
      <c r="R111" s="181"/>
      <c r="S111" s="181"/>
      <c r="T111" s="181"/>
      <c r="U111" s="181"/>
      <c r="V111" s="198"/>
      <c r="W111" s="198"/>
      <c r="X111" s="181"/>
      <c r="Y111" s="181"/>
      <c r="Z111" s="181"/>
      <c r="AA111" s="181"/>
      <c r="AB111" s="181"/>
      <c r="AC111" s="198"/>
      <c r="AD111" s="198"/>
      <c r="AE111" s="181"/>
      <c r="AF111" s="181"/>
      <c r="AG111" s="181"/>
      <c r="AH111" s="181"/>
      <c r="AJ111" s="174">
        <f t="shared" ref="AJ111:AJ114" si="21">SUM(D111:AH111)</f>
        <v>0</v>
      </c>
    </row>
    <row r="112" spans="2:36" hidden="1" outlineLevel="1" x14ac:dyDescent="0.25">
      <c r="B112" s="151"/>
      <c r="C112" s="1" t="s">
        <v>2</v>
      </c>
      <c r="D112" s="183"/>
      <c r="E112" s="182"/>
      <c r="F112" s="182"/>
      <c r="G112" s="182"/>
      <c r="H112" s="198"/>
      <c r="I112" s="198"/>
      <c r="J112" s="182"/>
      <c r="K112" s="182"/>
      <c r="L112" s="182"/>
      <c r="M112" s="182"/>
      <c r="N112" s="182"/>
      <c r="O112" s="198"/>
      <c r="P112" s="198"/>
      <c r="Q112" s="182"/>
      <c r="R112" s="182"/>
      <c r="S112" s="182"/>
      <c r="T112" s="182"/>
      <c r="U112" s="182"/>
      <c r="V112" s="198"/>
      <c r="W112" s="198"/>
      <c r="X112" s="182"/>
      <c r="Y112" s="182"/>
      <c r="Z112" s="182"/>
      <c r="AA112" s="182"/>
      <c r="AB112" s="182"/>
      <c r="AC112" s="198"/>
      <c r="AD112" s="198"/>
      <c r="AE112" s="182"/>
      <c r="AF112" s="182"/>
      <c r="AG112" s="182"/>
      <c r="AH112" s="182"/>
      <c r="AJ112" s="175">
        <f t="shared" si="21"/>
        <v>0</v>
      </c>
    </row>
    <row r="113" spans="2:36" hidden="1" outlineLevel="1" x14ac:dyDescent="0.25">
      <c r="B113" s="151"/>
      <c r="C113" s="54" t="s">
        <v>77</v>
      </c>
      <c r="D113" s="183"/>
      <c r="E113" s="183"/>
      <c r="F113" s="183"/>
      <c r="G113" s="183"/>
      <c r="H113" s="198"/>
      <c r="I113" s="198"/>
      <c r="J113" s="183"/>
      <c r="K113" s="183"/>
      <c r="L113" s="183"/>
      <c r="M113" s="183"/>
      <c r="N113" s="183"/>
      <c r="O113" s="198"/>
      <c r="P113" s="198"/>
      <c r="Q113" s="183"/>
      <c r="R113" s="183"/>
      <c r="S113" s="183"/>
      <c r="T113" s="183"/>
      <c r="U113" s="183"/>
      <c r="V113" s="198"/>
      <c r="W113" s="198"/>
      <c r="X113" s="183"/>
      <c r="Y113" s="183"/>
      <c r="Z113" s="183"/>
      <c r="AA113" s="183"/>
      <c r="AB113" s="183"/>
      <c r="AC113" s="198"/>
      <c r="AD113" s="198"/>
      <c r="AE113" s="183"/>
      <c r="AF113" s="183"/>
      <c r="AG113" s="183"/>
      <c r="AH113" s="183"/>
      <c r="AJ113" s="176">
        <f t="shared" si="21"/>
        <v>0</v>
      </c>
    </row>
    <row r="114" spans="2:36" ht="15.75" hidden="1" outlineLevel="1" thickBot="1" x14ac:dyDescent="0.3">
      <c r="B114" s="151"/>
      <c r="C114" s="9" t="s">
        <v>3</v>
      </c>
      <c r="D114" s="237"/>
      <c r="E114" s="184"/>
      <c r="F114" s="184"/>
      <c r="G114" s="184"/>
      <c r="H114" s="199"/>
      <c r="I114" s="199"/>
      <c r="J114" s="184"/>
      <c r="K114" s="184"/>
      <c r="L114" s="184"/>
      <c r="M114" s="184"/>
      <c r="N114" s="184"/>
      <c r="O114" s="199"/>
      <c r="P114" s="199"/>
      <c r="Q114" s="177">
        <v>0.2</v>
      </c>
      <c r="R114" s="177"/>
      <c r="S114" s="184"/>
      <c r="T114" s="184"/>
      <c r="U114" s="184"/>
      <c r="V114" s="199"/>
      <c r="W114" s="199"/>
      <c r="X114" s="184"/>
      <c r="Y114" s="184"/>
      <c r="Z114" s="184"/>
      <c r="AA114" s="184"/>
      <c r="AB114" s="184"/>
      <c r="AC114" s="199"/>
      <c r="AD114" s="199"/>
      <c r="AE114" s="184"/>
      <c r="AF114" s="184"/>
      <c r="AG114" s="184"/>
      <c r="AH114" s="184"/>
      <c r="AI114" s="186"/>
      <c r="AJ114" s="177">
        <f t="shared" si="21"/>
        <v>0.2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183"/>
      <c r="E115" s="180"/>
      <c r="F115" s="180"/>
      <c r="G115" s="180"/>
      <c r="H115" s="198"/>
      <c r="I115" s="198"/>
      <c r="J115" s="180"/>
      <c r="K115" s="180">
        <v>8</v>
      </c>
      <c r="L115" s="180"/>
      <c r="M115" s="180">
        <v>4</v>
      </c>
      <c r="N115" s="180">
        <v>0</v>
      </c>
      <c r="O115" s="198"/>
      <c r="P115" s="198"/>
      <c r="Q115" s="180">
        <v>0</v>
      </c>
      <c r="R115" s="180">
        <v>0</v>
      </c>
      <c r="S115" s="180">
        <v>0</v>
      </c>
      <c r="T115" s="180">
        <v>0</v>
      </c>
      <c r="U115" s="180"/>
      <c r="V115" s="198"/>
      <c r="W115" s="198"/>
      <c r="X115" s="180"/>
      <c r="Y115" s="180"/>
      <c r="Z115" s="180"/>
      <c r="AA115" s="180"/>
      <c r="AB115" s="180"/>
      <c r="AC115" s="198"/>
      <c r="AD115" s="198"/>
      <c r="AE115" s="180"/>
      <c r="AF115" s="180"/>
      <c r="AG115" s="180"/>
      <c r="AH115" s="180"/>
      <c r="AJ115" s="172">
        <f>SUM(D115:AH115)</f>
        <v>12</v>
      </c>
    </row>
    <row r="116" spans="2:36" ht="15.75" hidden="1" outlineLevel="1" thickTop="1" x14ac:dyDescent="0.25">
      <c r="B116" s="150"/>
      <c r="C116" s="1" t="s">
        <v>1</v>
      </c>
      <c r="D116" s="183"/>
      <c r="E116" s="181"/>
      <c r="F116" s="181"/>
      <c r="G116" s="181"/>
      <c r="H116" s="198"/>
      <c r="I116" s="198"/>
      <c r="J116" s="181"/>
      <c r="K116" s="181"/>
      <c r="L116" s="181"/>
      <c r="M116" s="181"/>
      <c r="N116" s="181"/>
      <c r="O116" s="198"/>
      <c r="P116" s="198"/>
      <c r="Q116" s="181">
        <v>8</v>
      </c>
      <c r="R116" s="181">
        <v>8</v>
      </c>
      <c r="S116" s="181">
        <v>8</v>
      </c>
      <c r="T116" s="181">
        <v>8</v>
      </c>
      <c r="U116" s="181"/>
      <c r="V116" s="198"/>
      <c r="W116" s="198"/>
      <c r="X116" s="181"/>
      <c r="Y116" s="181"/>
      <c r="Z116" s="181"/>
      <c r="AA116" s="181"/>
      <c r="AB116" s="181"/>
      <c r="AC116" s="198"/>
      <c r="AD116" s="198"/>
      <c r="AE116" s="181"/>
      <c r="AF116" s="181"/>
      <c r="AG116" s="181"/>
      <c r="AH116" s="181"/>
      <c r="AJ116" s="174">
        <f t="shared" ref="AJ116:AJ119" si="22">SUM(D116:AH116)</f>
        <v>32</v>
      </c>
    </row>
    <row r="117" spans="2:36" hidden="1" outlineLevel="1" x14ac:dyDescent="0.25">
      <c r="B117" s="151"/>
      <c r="C117" s="1" t="s">
        <v>2</v>
      </c>
      <c r="D117" s="183"/>
      <c r="E117" s="182"/>
      <c r="F117" s="182"/>
      <c r="G117" s="182"/>
      <c r="H117" s="198"/>
      <c r="I117" s="198"/>
      <c r="J117" s="182"/>
      <c r="K117" s="182"/>
      <c r="L117" s="182"/>
      <c r="M117" s="182"/>
      <c r="N117" s="182">
        <v>2</v>
      </c>
      <c r="O117" s="198"/>
      <c r="P117" s="198"/>
      <c r="Q117" s="182"/>
      <c r="R117" s="182"/>
      <c r="S117" s="182"/>
      <c r="T117" s="182"/>
      <c r="U117" s="182"/>
      <c r="V117" s="198"/>
      <c r="W117" s="198"/>
      <c r="X117" s="182"/>
      <c r="Y117" s="182"/>
      <c r="Z117" s="182"/>
      <c r="AA117" s="182"/>
      <c r="AB117" s="182"/>
      <c r="AC117" s="198"/>
      <c r="AD117" s="198"/>
      <c r="AE117" s="182"/>
      <c r="AF117" s="182"/>
      <c r="AG117" s="182"/>
      <c r="AH117" s="182"/>
      <c r="AJ117" s="175">
        <f t="shared" si="22"/>
        <v>2</v>
      </c>
    </row>
    <row r="118" spans="2:36" hidden="1" outlineLevel="1" x14ac:dyDescent="0.25">
      <c r="B118" s="151"/>
      <c r="C118" s="54" t="s">
        <v>77</v>
      </c>
      <c r="D118" s="183"/>
      <c r="E118" s="183"/>
      <c r="F118" s="183"/>
      <c r="G118" s="183"/>
      <c r="H118" s="198"/>
      <c r="I118" s="198"/>
      <c r="J118" s="183"/>
      <c r="K118" s="183"/>
      <c r="L118" s="183"/>
      <c r="M118" s="183"/>
      <c r="N118" s="183"/>
      <c r="O118" s="198"/>
      <c r="P118" s="198"/>
      <c r="Q118" s="183"/>
      <c r="R118" s="183"/>
      <c r="S118" s="183"/>
      <c r="T118" s="183"/>
      <c r="U118" s="183"/>
      <c r="V118" s="198"/>
      <c r="W118" s="198"/>
      <c r="X118" s="183"/>
      <c r="Y118" s="183"/>
      <c r="Z118" s="183"/>
      <c r="AA118" s="183"/>
      <c r="AB118" s="183"/>
      <c r="AC118" s="198"/>
      <c r="AD118" s="198"/>
      <c r="AE118" s="183"/>
      <c r="AF118" s="183"/>
      <c r="AG118" s="183"/>
      <c r="AH118" s="183"/>
      <c r="AJ118" s="176">
        <f t="shared" si="22"/>
        <v>0</v>
      </c>
    </row>
    <row r="119" spans="2:36" ht="15.75" hidden="1" outlineLevel="1" thickBot="1" x14ac:dyDescent="0.3">
      <c r="B119" s="151"/>
      <c r="C119" s="9" t="s">
        <v>3</v>
      </c>
      <c r="D119" s="237"/>
      <c r="E119" s="184"/>
      <c r="F119" s="184"/>
      <c r="G119" s="184"/>
      <c r="H119" s="199"/>
      <c r="I119" s="199"/>
      <c r="J119" s="184"/>
      <c r="K119" s="184"/>
      <c r="L119" s="184"/>
      <c r="M119" s="184"/>
      <c r="N119" s="184"/>
      <c r="O119" s="199"/>
      <c r="P119" s="199"/>
      <c r="Q119" s="184"/>
      <c r="R119" s="184"/>
      <c r="S119" s="184"/>
      <c r="T119" s="184"/>
      <c r="U119" s="184"/>
      <c r="V119" s="199"/>
      <c r="W119" s="199"/>
      <c r="X119" s="184"/>
      <c r="Y119" s="184"/>
      <c r="Z119" s="184"/>
      <c r="AA119" s="184"/>
      <c r="AB119" s="184"/>
      <c r="AC119" s="199"/>
      <c r="AD119" s="199"/>
      <c r="AE119" s="184"/>
      <c r="AF119" s="184"/>
      <c r="AG119" s="184"/>
      <c r="AH119" s="184"/>
      <c r="AI119" s="186"/>
      <c r="AJ119" s="177">
        <f t="shared" si="22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183"/>
      <c r="E120" s="180"/>
      <c r="F120" s="180"/>
      <c r="G120" s="180"/>
      <c r="H120" s="198"/>
      <c r="I120" s="198"/>
      <c r="J120" s="180"/>
      <c r="K120" s="180"/>
      <c r="L120" s="180"/>
      <c r="M120" s="180"/>
      <c r="N120" s="180"/>
      <c r="O120" s="198"/>
      <c r="P120" s="198"/>
      <c r="Q120" s="180"/>
      <c r="R120" s="180"/>
      <c r="S120" s="180"/>
      <c r="T120" s="180"/>
      <c r="U120" s="180"/>
      <c r="V120" s="198"/>
      <c r="W120" s="198"/>
      <c r="X120" s="180"/>
      <c r="Y120" s="180"/>
      <c r="Z120" s="180"/>
      <c r="AA120" s="180"/>
      <c r="AB120" s="180"/>
      <c r="AC120" s="198"/>
      <c r="AD120" s="198"/>
      <c r="AE120" s="180"/>
      <c r="AF120" s="180">
        <v>2</v>
      </c>
      <c r="AG120" s="180"/>
      <c r="AH120" s="180"/>
      <c r="AJ120" s="172">
        <f>SUM(D120:AH120)</f>
        <v>2</v>
      </c>
    </row>
    <row r="121" spans="2:36" ht="15.75" hidden="1" outlineLevel="1" thickTop="1" x14ac:dyDescent="0.25">
      <c r="B121" s="150"/>
      <c r="C121" s="1" t="s">
        <v>1</v>
      </c>
      <c r="D121" s="183"/>
      <c r="E121" s="181"/>
      <c r="F121" s="181"/>
      <c r="G121" s="181"/>
      <c r="H121" s="198"/>
      <c r="I121" s="198"/>
      <c r="J121" s="181"/>
      <c r="K121" s="181"/>
      <c r="L121" s="181"/>
      <c r="M121" s="181"/>
      <c r="N121" s="181"/>
      <c r="O121" s="198"/>
      <c r="P121" s="198"/>
      <c r="Q121" s="181"/>
      <c r="R121" s="181"/>
      <c r="S121" s="181"/>
      <c r="T121" s="181"/>
      <c r="U121" s="181"/>
      <c r="V121" s="198"/>
      <c r="W121" s="198"/>
      <c r="X121" s="181"/>
      <c r="Y121" s="181"/>
      <c r="Z121" s="181"/>
      <c r="AA121" s="181"/>
      <c r="AB121" s="181"/>
      <c r="AC121" s="198"/>
      <c r="AD121" s="198"/>
      <c r="AE121" s="181"/>
      <c r="AF121" s="181"/>
      <c r="AG121" s="181"/>
      <c r="AH121" s="181"/>
      <c r="AJ121" s="174">
        <f t="shared" ref="AJ121:AJ124" si="23">SUM(D121:AH121)</f>
        <v>0</v>
      </c>
    </row>
    <row r="122" spans="2:36" hidden="1" outlineLevel="1" x14ac:dyDescent="0.25">
      <c r="B122" s="151"/>
      <c r="C122" s="1" t="s">
        <v>2</v>
      </c>
      <c r="D122" s="183"/>
      <c r="E122" s="182"/>
      <c r="F122" s="182"/>
      <c r="G122" s="182"/>
      <c r="H122" s="198"/>
      <c r="I122" s="198"/>
      <c r="J122" s="182"/>
      <c r="K122" s="182"/>
      <c r="L122" s="182"/>
      <c r="M122" s="182"/>
      <c r="N122" s="182"/>
      <c r="O122" s="198"/>
      <c r="P122" s="198"/>
      <c r="Q122" s="182"/>
      <c r="R122" s="182"/>
      <c r="S122" s="182"/>
      <c r="T122" s="182"/>
      <c r="U122" s="182"/>
      <c r="V122" s="198"/>
      <c r="W122" s="198"/>
      <c r="X122" s="182"/>
      <c r="Y122" s="182"/>
      <c r="Z122" s="182"/>
      <c r="AA122" s="182"/>
      <c r="AB122" s="182"/>
      <c r="AC122" s="198"/>
      <c r="AD122" s="198"/>
      <c r="AE122" s="182"/>
      <c r="AF122" s="182"/>
      <c r="AG122" s="182"/>
      <c r="AH122" s="182"/>
      <c r="AJ122" s="175">
        <f t="shared" si="23"/>
        <v>0</v>
      </c>
    </row>
    <row r="123" spans="2:36" hidden="1" outlineLevel="1" x14ac:dyDescent="0.25">
      <c r="B123" s="151"/>
      <c r="C123" s="54" t="s">
        <v>77</v>
      </c>
      <c r="D123" s="183"/>
      <c r="E123" s="183"/>
      <c r="F123" s="183"/>
      <c r="G123" s="183"/>
      <c r="H123" s="198"/>
      <c r="I123" s="198"/>
      <c r="J123" s="183"/>
      <c r="K123" s="183"/>
      <c r="L123" s="183"/>
      <c r="M123" s="183"/>
      <c r="N123" s="183"/>
      <c r="O123" s="198"/>
      <c r="P123" s="198"/>
      <c r="Q123" s="183"/>
      <c r="R123" s="183"/>
      <c r="S123" s="183"/>
      <c r="T123" s="183"/>
      <c r="U123" s="183"/>
      <c r="V123" s="198"/>
      <c r="W123" s="198"/>
      <c r="X123" s="183"/>
      <c r="Y123" s="183"/>
      <c r="Z123" s="183"/>
      <c r="AA123" s="183"/>
      <c r="AB123" s="183"/>
      <c r="AC123" s="198"/>
      <c r="AD123" s="198"/>
      <c r="AE123" s="183"/>
      <c r="AF123" s="183"/>
      <c r="AG123" s="183"/>
      <c r="AH123" s="183"/>
      <c r="AJ123" s="176">
        <f t="shared" si="23"/>
        <v>0</v>
      </c>
    </row>
    <row r="124" spans="2:36" ht="15.75" hidden="1" outlineLevel="1" thickBot="1" x14ac:dyDescent="0.3">
      <c r="B124" s="151"/>
      <c r="C124" s="9" t="s">
        <v>3</v>
      </c>
      <c r="D124" s="237"/>
      <c r="E124" s="184"/>
      <c r="F124" s="184"/>
      <c r="G124" s="184"/>
      <c r="H124" s="199"/>
      <c r="I124" s="199"/>
      <c r="J124" s="184"/>
      <c r="K124" s="184"/>
      <c r="L124" s="184"/>
      <c r="M124" s="184"/>
      <c r="N124" s="184"/>
      <c r="O124" s="199"/>
      <c r="P124" s="199"/>
      <c r="Q124" s="184"/>
      <c r="R124" s="184"/>
      <c r="S124" s="184"/>
      <c r="T124" s="184"/>
      <c r="U124" s="184"/>
      <c r="V124" s="199"/>
      <c r="W124" s="199"/>
      <c r="X124" s="184"/>
      <c r="Y124" s="184"/>
      <c r="Z124" s="184"/>
      <c r="AA124" s="184"/>
      <c r="AB124" s="184"/>
      <c r="AC124" s="199"/>
      <c r="AD124" s="199"/>
      <c r="AE124" s="184"/>
      <c r="AF124" s="184"/>
      <c r="AG124" s="184"/>
      <c r="AH124" s="184"/>
      <c r="AI124" s="186"/>
      <c r="AJ124" s="177">
        <f t="shared" si="23"/>
        <v>0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183"/>
      <c r="E125" s="180"/>
      <c r="F125" s="180"/>
      <c r="G125" s="180"/>
      <c r="H125" s="198"/>
      <c r="I125" s="198"/>
      <c r="J125" s="180">
        <v>8</v>
      </c>
      <c r="K125" s="180">
        <v>8</v>
      </c>
      <c r="L125" s="180"/>
      <c r="M125" s="180">
        <v>1</v>
      </c>
      <c r="N125" s="180"/>
      <c r="O125" s="198"/>
      <c r="P125" s="198"/>
      <c r="Q125" s="180"/>
      <c r="R125" s="180"/>
      <c r="S125" s="180"/>
      <c r="T125" s="180">
        <v>1</v>
      </c>
      <c r="U125" s="180"/>
      <c r="V125" s="198"/>
      <c r="W125" s="198"/>
      <c r="X125" s="180"/>
      <c r="Y125" s="180"/>
      <c r="Z125" s="180"/>
      <c r="AA125" s="180"/>
      <c r="AB125" s="180"/>
      <c r="AC125" s="198"/>
      <c r="AD125" s="198"/>
      <c r="AE125" s="180"/>
      <c r="AF125" s="180"/>
      <c r="AG125" s="180"/>
      <c r="AH125" s="180"/>
      <c r="AJ125" s="172">
        <f>SUM(D125:AH125)</f>
        <v>18</v>
      </c>
    </row>
    <row r="126" spans="2:36" ht="15.75" hidden="1" outlineLevel="1" thickTop="1" x14ac:dyDescent="0.25">
      <c r="B126" s="150"/>
      <c r="C126" s="1" t="s">
        <v>1</v>
      </c>
      <c r="D126" s="183"/>
      <c r="E126" s="181"/>
      <c r="F126" s="181"/>
      <c r="G126" s="181"/>
      <c r="H126" s="198"/>
      <c r="I126" s="198"/>
      <c r="J126" s="181"/>
      <c r="K126" s="181"/>
      <c r="L126" s="181"/>
      <c r="M126" s="181"/>
      <c r="N126" s="181"/>
      <c r="O126" s="198"/>
      <c r="P126" s="198"/>
      <c r="Q126" s="181"/>
      <c r="R126" s="181"/>
      <c r="S126" s="181"/>
      <c r="T126" s="181"/>
      <c r="U126" s="181"/>
      <c r="V126" s="198"/>
      <c r="W126" s="198"/>
      <c r="X126" s="181"/>
      <c r="Y126" s="181"/>
      <c r="Z126" s="181"/>
      <c r="AA126" s="181"/>
      <c r="AB126" s="181"/>
      <c r="AC126" s="198"/>
      <c r="AD126" s="198"/>
      <c r="AE126" s="181"/>
      <c r="AF126" s="181"/>
      <c r="AG126" s="181"/>
      <c r="AH126" s="181"/>
      <c r="AJ126" s="174">
        <f t="shared" ref="AJ126:AJ129" si="24">SUM(D126:AH126)</f>
        <v>0</v>
      </c>
    </row>
    <row r="127" spans="2:36" hidden="1" outlineLevel="1" x14ac:dyDescent="0.25">
      <c r="B127" s="151"/>
      <c r="C127" s="1" t="s">
        <v>2</v>
      </c>
      <c r="D127" s="183"/>
      <c r="E127" s="182"/>
      <c r="F127" s="182"/>
      <c r="G127" s="182"/>
      <c r="H127" s="198"/>
      <c r="I127" s="198"/>
      <c r="J127" s="182"/>
      <c r="K127" s="182"/>
      <c r="L127" s="182"/>
      <c r="M127" s="182"/>
      <c r="N127" s="182"/>
      <c r="O127" s="198"/>
      <c r="P127" s="198"/>
      <c r="Q127" s="182"/>
      <c r="R127" s="182"/>
      <c r="S127" s="182"/>
      <c r="T127" s="182"/>
      <c r="U127" s="182"/>
      <c r="V127" s="198"/>
      <c r="W127" s="198"/>
      <c r="X127" s="182"/>
      <c r="Y127" s="182"/>
      <c r="Z127" s="182"/>
      <c r="AA127" s="182"/>
      <c r="AB127" s="182"/>
      <c r="AC127" s="198"/>
      <c r="AD127" s="198"/>
      <c r="AE127" s="182"/>
      <c r="AF127" s="182"/>
      <c r="AG127" s="182"/>
      <c r="AH127" s="182"/>
      <c r="AJ127" s="175">
        <f t="shared" si="24"/>
        <v>0</v>
      </c>
    </row>
    <row r="128" spans="2:36" hidden="1" outlineLevel="1" x14ac:dyDescent="0.25">
      <c r="B128" s="151"/>
      <c r="C128" s="54" t="s">
        <v>77</v>
      </c>
      <c r="D128" s="183"/>
      <c r="E128" s="183"/>
      <c r="F128" s="183"/>
      <c r="G128" s="183"/>
      <c r="H128" s="198"/>
      <c r="I128" s="198"/>
      <c r="J128" s="183"/>
      <c r="K128" s="183"/>
      <c r="L128" s="183"/>
      <c r="M128" s="183"/>
      <c r="N128" s="183"/>
      <c r="O128" s="198"/>
      <c r="P128" s="198"/>
      <c r="Q128" s="183"/>
      <c r="R128" s="183"/>
      <c r="S128" s="183"/>
      <c r="T128" s="183"/>
      <c r="U128" s="183"/>
      <c r="V128" s="198"/>
      <c r="W128" s="198"/>
      <c r="X128" s="183"/>
      <c r="Y128" s="183"/>
      <c r="Z128" s="183"/>
      <c r="AA128" s="183"/>
      <c r="AB128" s="183"/>
      <c r="AC128" s="198"/>
      <c r="AD128" s="198"/>
      <c r="AE128" s="183"/>
      <c r="AF128" s="183"/>
      <c r="AG128" s="183"/>
      <c r="AH128" s="183"/>
      <c r="AJ128" s="176">
        <f t="shared" si="24"/>
        <v>0</v>
      </c>
    </row>
    <row r="129" spans="2:36" ht="15.75" hidden="1" outlineLevel="1" thickBot="1" x14ac:dyDescent="0.3">
      <c r="B129" s="151"/>
      <c r="C129" s="9" t="s">
        <v>3</v>
      </c>
      <c r="D129" s="237"/>
      <c r="E129" s="184"/>
      <c r="F129" s="184"/>
      <c r="G129" s="184"/>
      <c r="H129" s="199"/>
      <c r="I129" s="199"/>
      <c r="J129" s="184"/>
      <c r="K129" s="184"/>
      <c r="L129" s="184"/>
      <c r="M129" s="184"/>
      <c r="N129" s="184"/>
      <c r="O129" s="199"/>
      <c r="P129" s="199"/>
      <c r="Q129" s="184"/>
      <c r="R129" s="184"/>
      <c r="S129" s="184"/>
      <c r="T129" s="184"/>
      <c r="U129" s="184"/>
      <c r="V129" s="199"/>
      <c r="W129" s="199"/>
      <c r="X129" s="184"/>
      <c r="Y129" s="184"/>
      <c r="Z129" s="184"/>
      <c r="AA129" s="184"/>
      <c r="AB129" s="184"/>
      <c r="AC129" s="199"/>
      <c r="AD129" s="199"/>
      <c r="AE129" s="184"/>
      <c r="AF129" s="184"/>
      <c r="AG129" s="184"/>
      <c r="AH129" s="184"/>
      <c r="AI129" s="186"/>
      <c r="AJ129" s="177">
        <f t="shared" si="24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183"/>
      <c r="E130" s="180"/>
      <c r="F130" s="180"/>
      <c r="G130" s="180"/>
      <c r="H130" s="198"/>
      <c r="I130" s="198"/>
      <c r="J130" s="180"/>
      <c r="K130" s="180"/>
      <c r="L130" s="180"/>
      <c r="M130" s="180"/>
      <c r="N130" s="180"/>
      <c r="O130" s="198"/>
      <c r="P130" s="198"/>
      <c r="Q130" s="180"/>
      <c r="R130" s="180"/>
      <c r="S130" s="180"/>
      <c r="T130" s="180"/>
      <c r="U130" s="180"/>
      <c r="V130" s="198"/>
      <c r="W130" s="198"/>
      <c r="X130" s="180"/>
      <c r="Y130" s="180"/>
      <c r="Z130" s="180"/>
      <c r="AA130" s="180"/>
      <c r="AB130" s="180"/>
      <c r="AC130" s="198"/>
      <c r="AD130" s="198"/>
      <c r="AE130" s="180"/>
      <c r="AF130" s="180">
        <v>8</v>
      </c>
      <c r="AG130" s="180">
        <v>8</v>
      </c>
      <c r="AH130" s="180">
        <v>8</v>
      </c>
      <c r="AJ130" s="172">
        <f>SUM(D130:AH130)</f>
        <v>24</v>
      </c>
    </row>
    <row r="131" spans="2:36" ht="15.75" hidden="1" outlineLevel="1" thickTop="1" x14ac:dyDescent="0.25">
      <c r="B131" s="150"/>
      <c r="C131" s="1" t="s">
        <v>1</v>
      </c>
      <c r="D131" s="183"/>
      <c r="E131" s="181"/>
      <c r="F131" s="181"/>
      <c r="G131" s="181"/>
      <c r="H131" s="198"/>
      <c r="I131" s="198"/>
      <c r="J131" s="181"/>
      <c r="K131" s="181"/>
      <c r="L131" s="181"/>
      <c r="M131" s="181"/>
      <c r="N131" s="181"/>
      <c r="O131" s="198"/>
      <c r="P131" s="198"/>
      <c r="Q131" s="181"/>
      <c r="R131" s="181"/>
      <c r="S131" s="181"/>
      <c r="T131" s="181"/>
      <c r="U131" s="181"/>
      <c r="V131" s="198"/>
      <c r="W131" s="198"/>
      <c r="X131" s="181"/>
      <c r="Y131" s="181"/>
      <c r="Z131" s="181"/>
      <c r="AA131" s="181"/>
      <c r="AB131" s="181"/>
      <c r="AC131" s="198"/>
      <c r="AD131" s="198"/>
      <c r="AE131" s="181"/>
      <c r="AF131" s="181"/>
      <c r="AG131" s="181"/>
      <c r="AH131" s="181"/>
      <c r="AJ131" s="174">
        <f t="shared" ref="AJ131:AJ134" si="25">SUM(D131:AH131)</f>
        <v>0</v>
      </c>
    </row>
    <row r="132" spans="2:36" hidden="1" outlineLevel="1" x14ac:dyDescent="0.25">
      <c r="B132" s="151"/>
      <c r="C132" s="1" t="s">
        <v>2</v>
      </c>
      <c r="D132" s="183"/>
      <c r="E132" s="182"/>
      <c r="F132" s="182"/>
      <c r="G132" s="182"/>
      <c r="H132" s="198"/>
      <c r="I132" s="198"/>
      <c r="J132" s="182"/>
      <c r="K132" s="182"/>
      <c r="L132" s="182"/>
      <c r="M132" s="182"/>
      <c r="N132" s="182"/>
      <c r="O132" s="198"/>
      <c r="P132" s="198"/>
      <c r="Q132" s="182"/>
      <c r="R132" s="182"/>
      <c r="S132" s="182"/>
      <c r="T132" s="182"/>
      <c r="U132" s="182"/>
      <c r="V132" s="198"/>
      <c r="W132" s="198"/>
      <c r="X132" s="182"/>
      <c r="Y132" s="182"/>
      <c r="Z132" s="182"/>
      <c r="AA132" s="182"/>
      <c r="AB132" s="182"/>
      <c r="AC132" s="198"/>
      <c r="AD132" s="198"/>
      <c r="AE132" s="182"/>
      <c r="AF132" s="182"/>
      <c r="AG132" s="182"/>
      <c r="AH132" s="182"/>
      <c r="AJ132" s="175">
        <f t="shared" si="25"/>
        <v>0</v>
      </c>
    </row>
    <row r="133" spans="2:36" hidden="1" outlineLevel="1" x14ac:dyDescent="0.25">
      <c r="B133" s="151"/>
      <c r="C133" s="54" t="s">
        <v>77</v>
      </c>
      <c r="D133" s="183"/>
      <c r="E133" s="183"/>
      <c r="F133" s="183"/>
      <c r="G133" s="183"/>
      <c r="H133" s="198"/>
      <c r="I133" s="198"/>
      <c r="J133" s="183"/>
      <c r="K133" s="183"/>
      <c r="L133" s="183"/>
      <c r="M133" s="183"/>
      <c r="N133" s="183"/>
      <c r="O133" s="198"/>
      <c r="P133" s="198"/>
      <c r="Q133" s="183"/>
      <c r="R133" s="183"/>
      <c r="S133" s="183"/>
      <c r="T133" s="183"/>
      <c r="U133" s="183"/>
      <c r="V133" s="198"/>
      <c r="W133" s="198"/>
      <c r="X133" s="183"/>
      <c r="Y133" s="183"/>
      <c r="Z133" s="183"/>
      <c r="AA133" s="183"/>
      <c r="AB133" s="183">
        <v>8</v>
      </c>
      <c r="AC133" s="198"/>
      <c r="AD133" s="198"/>
      <c r="AE133" s="183">
        <v>8</v>
      </c>
      <c r="AF133" s="183"/>
      <c r="AG133" s="183"/>
      <c r="AH133" s="183"/>
      <c r="AJ133" s="176">
        <f t="shared" si="25"/>
        <v>16</v>
      </c>
    </row>
    <row r="134" spans="2:36" ht="15.75" hidden="1" outlineLevel="1" thickBot="1" x14ac:dyDescent="0.3">
      <c r="B134" s="151"/>
      <c r="C134" s="9" t="s">
        <v>3</v>
      </c>
      <c r="D134" s="237"/>
      <c r="E134" s="184"/>
      <c r="F134" s="184"/>
      <c r="G134" s="184"/>
      <c r="H134" s="199"/>
      <c r="I134" s="199"/>
      <c r="J134" s="184"/>
      <c r="K134" s="184"/>
      <c r="L134" s="184"/>
      <c r="M134" s="184"/>
      <c r="N134" s="184"/>
      <c r="O134" s="199"/>
      <c r="P134" s="199"/>
      <c r="Q134" s="184">
        <v>0.05</v>
      </c>
      <c r="R134" s="177">
        <v>0.3</v>
      </c>
      <c r="S134" s="184"/>
      <c r="T134" s="184"/>
      <c r="U134" s="184"/>
      <c r="V134" s="199"/>
      <c r="W134" s="199"/>
      <c r="X134" s="184"/>
      <c r="Y134" s="184"/>
      <c r="Z134" s="184"/>
      <c r="AA134" s="184"/>
      <c r="AB134" s="184"/>
      <c r="AC134" s="199"/>
      <c r="AD134" s="199"/>
      <c r="AE134" s="184"/>
      <c r="AF134" s="184"/>
      <c r="AG134" s="184"/>
      <c r="AH134" s="184"/>
      <c r="AI134" s="186"/>
      <c r="AJ134" s="177">
        <f t="shared" si="25"/>
        <v>0.35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183"/>
      <c r="E135" s="180"/>
      <c r="F135" s="180">
        <v>1</v>
      </c>
      <c r="G135" s="180"/>
      <c r="H135" s="198"/>
      <c r="I135" s="198"/>
      <c r="J135" s="180"/>
      <c r="K135" s="180"/>
      <c r="L135" s="180"/>
      <c r="M135" s="180"/>
      <c r="N135" s="180">
        <v>4</v>
      </c>
      <c r="O135" s="198"/>
      <c r="P135" s="198"/>
      <c r="Q135" s="180"/>
      <c r="R135" s="180"/>
      <c r="S135" s="180"/>
      <c r="T135" s="180"/>
      <c r="U135" s="180"/>
      <c r="V135" s="198"/>
      <c r="W135" s="198"/>
      <c r="X135" s="180"/>
      <c r="Y135" s="180"/>
      <c r="Z135" s="180"/>
      <c r="AA135" s="180">
        <v>0</v>
      </c>
      <c r="AB135" s="180">
        <v>0</v>
      </c>
      <c r="AC135" s="198"/>
      <c r="AD135" s="198"/>
      <c r="AE135" s="180"/>
      <c r="AF135" s="180">
        <v>4</v>
      </c>
      <c r="AG135" s="180">
        <v>8</v>
      </c>
      <c r="AH135" s="180"/>
      <c r="AJ135" s="172">
        <f>SUM(D135:AH135)</f>
        <v>17</v>
      </c>
    </row>
    <row r="136" spans="2:36" ht="15.75" hidden="1" outlineLevel="1" thickTop="1" x14ac:dyDescent="0.25">
      <c r="B136" s="150"/>
      <c r="C136" s="1" t="s">
        <v>1</v>
      </c>
      <c r="D136" s="183"/>
      <c r="E136" s="181"/>
      <c r="F136" s="181"/>
      <c r="G136" s="181"/>
      <c r="H136" s="198"/>
      <c r="I136" s="198"/>
      <c r="J136" s="181"/>
      <c r="K136" s="181"/>
      <c r="L136" s="181"/>
      <c r="M136" s="181"/>
      <c r="N136" s="181"/>
      <c r="O136" s="198"/>
      <c r="P136" s="198"/>
      <c r="Q136" s="181"/>
      <c r="R136" s="181"/>
      <c r="S136" s="181"/>
      <c r="T136" s="181"/>
      <c r="U136" s="181"/>
      <c r="V136" s="198"/>
      <c r="W136" s="198"/>
      <c r="X136" s="181"/>
      <c r="Y136" s="181"/>
      <c r="Z136" s="181"/>
      <c r="AA136" s="181">
        <v>8</v>
      </c>
      <c r="AB136" s="181">
        <v>8</v>
      </c>
      <c r="AC136" s="198"/>
      <c r="AD136" s="198"/>
      <c r="AE136" s="181"/>
      <c r="AF136" s="181"/>
      <c r="AG136" s="181"/>
      <c r="AH136" s="181"/>
      <c r="AJ136" s="174">
        <f t="shared" ref="AJ136:AJ139" si="26">SUM(D136:AH136)</f>
        <v>16</v>
      </c>
    </row>
    <row r="137" spans="2:36" hidden="1" outlineLevel="1" x14ac:dyDescent="0.25">
      <c r="B137" s="151"/>
      <c r="C137" s="1" t="s">
        <v>2</v>
      </c>
      <c r="D137" s="183"/>
      <c r="E137" s="182"/>
      <c r="F137" s="182"/>
      <c r="G137" s="182"/>
      <c r="H137" s="198"/>
      <c r="I137" s="198"/>
      <c r="J137" s="182"/>
      <c r="K137" s="182"/>
      <c r="L137" s="182"/>
      <c r="M137" s="182"/>
      <c r="N137" s="182"/>
      <c r="O137" s="198"/>
      <c r="P137" s="198"/>
      <c r="Q137" s="182"/>
      <c r="R137" s="182"/>
      <c r="S137" s="182"/>
      <c r="T137" s="182"/>
      <c r="U137" s="182"/>
      <c r="V137" s="198"/>
      <c r="W137" s="198"/>
      <c r="X137" s="182"/>
      <c r="Y137" s="182"/>
      <c r="Z137" s="182"/>
      <c r="AA137" s="182"/>
      <c r="AB137" s="182"/>
      <c r="AC137" s="198"/>
      <c r="AD137" s="198"/>
      <c r="AE137" s="182"/>
      <c r="AF137" s="182"/>
      <c r="AG137" s="182"/>
      <c r="AH137" s="182"/>
      <c r="AJ137" s="175">
        <f t="shared" si="26"/>
        <v>0</v>
      </c>
    </row>
    <row r="138" spans="2:36" hidden="1" outlineLevel="1" x14ac:dyDescent="0.25">
      <c r="B138" s="151"/>
      <c r="C138" s="54" t="s">
        <v>77</v>
      </c>
      <c r="D138" s="183"/>
      <c r="E138" s="183"/>
      <c r="F138" s="183"/>
      <c r="G138" s="183"/>
      <c r="H138" s="198"/>
      <c r="I138" s="198"/>
      <c r="J138" s="183"/>
      <c r="K138" s="183"/>
      <c r="L138" s="183"/>
      <c r="M138" s="183"/>
      <c r="N138" s="183"/>
      <c r="O138" s="198"/>
      <c r="P138" s="198"/>
      <c r="Q138" s="183"/>
      <c r="R138" s="183"/>
      <c r="S138" s="183"/>
      <c r="T138" s="183"/>
      <c r="U138" s="183"/>
      <c r="V138" s="198"/>
      <c r="W138" s="198"/>
      <c r="X138" s="183"/>
      <c r="Y138" s="183"/>
      <c r="Z138" s="183"/>
      <c r="AA138" s="183"/>
      <c r="AB138" s="183"/>
      <c r="AC138" s="198"/>
      <c r="AD138" s="198"/>
      <c r="AE138" s="183"/>
      <c r="AF138" s="183"/>
      <c r="AG138" s="183"/>
      <c r="AH138" s="183"/>
      <c r="AJ138" s="176">
        <f t="shared" si="26"/>
        <v>0</v>
      </c>
    </row>
    <row r="139" spans="2:36" ht="15.75" hidden="1" outlineLevel="1" thickBot="1" x14ac:dyDescent="0.3">
      <c r="B139" s="151"/>
      <c r="C139" s="9" t="s">
        <v>3</v>
      </c>
      <c r="D139" s="237"/>
      <c r="E139" s="184"/>
      <c r="F139" s="184"/>
      <c r="G139" s="184"/>
      <c r="H139" s="199"/>
      <c r="I139" s="199"/>
      <c r="J139" s="184"/>
      <c r="K139" s="184"/>
      <c r="L139" s="184"/>
      <c r="M139" s="184"/>
      <c r="N139" s="184"/>
      <c r="O139" s="199"/>
      <c r="P139" s="199"/>
      <c r="Q139" s="184"/>
      <c r="R139" s="184"/>
      <c r="S139" s="184"/>
      <c r="T139" s="184"/>
      <c r="U139" s="184"/>
      <c r="V139" s="199"/>
      <c r="W139" s="199"/>
      <c r="X139" s="184"/>
      <c r="Y139" s="184"/>
      <c r="Z139" s="184"/>
      <c r="AA139" s="184"/>
      <c r="AB139" s="184"/>
      <c r="AC139" s="199"/>
      <c r="AD139" s="199"/>
      <c r="AE139" s="184"/>
      <c r="AF139" s="184"/>
      <c r="AG139" s="184"/>
      <c r="AH139" s="184"/>
      <c r="AI139" s="186"/>
      <c r="AJ139" s="177">
        <f t="shared" si="26"/>
        <v>0</v>
      </c>
    </row>
    <row r="140" spans="2:36" ht="16.5" collapsed="1" thickTop="1" thickBot="1" x14ac:dyDescent="0.3">
      <c r="B140" s="149" t="str">
        <f>'Hours Scheduled'!B31</f>
        <v>Thom van Bodegraven</v>
      </c>
      <c r="C140" t="s">
        <v>0</v>
      </c>
      <c r="D140" s="183"/>
      <c r="E140" s="180"/>
      <c r="F140" s="180"/>
      <c r="G140" s="180">
        <v>4</v>
      </c>
      <c r="H140" s="198"/>
      <c r="I140" s="198"/>
      <c r="J140" s="180"/>
      <c r="K140" s="249"/>
      <c r="L140" s="180"/>
      <c r="M140" s="249"/>
      <c r="N140" s="180"/>
      <c r="O140" s="198"/>
      <c r="P140" s="198"/>
      <c r="Q140" s="180"/>
      <c r="R140" s="249"/>
      <c r="S140" s="180"/>
      <c r="T140" s="249"/>
      <c r="U140" s="180">
        <v>0</v>
      </c>
      <c r="V140" s="198"/>
      <c r="W140" s="198"/>
      <c r="X140" s="180">
        <v>0</v>
      </c>
      <c r="Y140" s="249"/>
      <c r="Z140" s="180"/>
      <c r="AA140" s="249"/>
      <c r="AB140" s="180"/>
      <c r="AC140" s="198"/>
      <c r="AD140" s="198"/>
      <c r="AE140" s="180"/>
      <c r="AF140" s="249"/>
      <c r="AG140" s="180"/>
      <c r="AH140" s="249"/>
      <c r="AJ140" s="172">
        <f>SUM(D140:AH140)</f>
        <v>4</v>
      </c>
    </row>
    <row r="141" spans="2:36" ht="15.75" hidden="1" outlineLevel="1" thickTop="1" x14ac:dyDescent="0.25">
      <c r="B141" s="150"/>
      <c r="C141" s="1" t="s">
        <v>1</v>
      </c>
      <c r="D141" s="183"/>
      <c r="E141" s="181"/>
      <c r="F141" s="181"/>
      <c r="G141" s="181"/>
      <c r="H141" s="198"/>
      <c r="I141" s="198"/>
      <c r="J141" s="181"/>
      <c r="K141" s="181"/>
      <c r="L141" s="181"/>
      <c r="M141" s="181"/>
      <c r="N141" s="181"/>
      <c r="O141" s="198"/>
      <c r="P141" s="198"/>
      <c r="Q141" s="181"/>
      <c r="R141" s="181"/>
      <c r="S141" s="181"/>
      <c r="T141" s="181"/>
      <c r="U141" s="181">
        <v>8</v>
      </c>
      <c r="V141" s="198"/>
      <c r="W141" s="198"/>
      <c r="X141" s="181">
        <v>8</v>
      </c>
      <c r="Y141" s="181"/>
      <c r="Z141" s="181"/>
      <c r="AA141" s="181"/>
      <c r="AB141" s="181"/>
      <c r="AC141" s="198"/>
      <c r="AD141" s="198"/>
      <c r="AE141" s="181"/>
      <c r="AF141" s="181"/>
      <c r="AG141" s="181"/>
      <c r="AH141" s="181"/>
      <c r="AJ141" s="174">
        <f t="shared" ref="AJ141:AJ144" si="27">SUM(D141:AH141)</f>
        <v>16</v>
      </c>
    </row>
    <row r="142" spans="2:36" hidden="1" outlineLevel="1" x14ac:dyDescent="0.25">
      <c r="B142" s="151"/>
      <c r="C142" s="1" t="s">
        <v>2</v>
      </c>
      <c r="D142" s="183"/>
      <c r="E142" s="182"/>
      <c r="F142" s="182"/>
      <c r="G142" s="182"/>
      <c r="H142" s="198"/>
      <c r="I142" s="198"/>
      <c r="J142" s="182"/>
      <c r="K142" s="182"/>
      <c r="L142" s="182"/>
      <c r="M142" s="182"/>
      <c r="N142" s="182"/>
      <c r="O142" s="198"/>
      <c r="P142" s="198"/>
      <c r="Q142" s="182"/>
      <c r="R142" s="182"/>
      <c r="S142" s="182"/>
      <c r="T142" s="182"/>
      <c r="U142" s="182"/>
      <c r="V142" s="198"/>
      <c r="W142" s="198"/>
      <c r="X142" s="182"/>
      <c r="Y142" s="182"/>
      <c r="Z142" s="182"/>
      <c r="AA142" s="182"/>
      <c r="AB142" s="182"/>
      <c r="AC142" s="198"/>
      <c r="AD142" s="198"/>
      <c r="AE142" s="182"/>
      <c r="AF142" s="182"/>
      <c r="AG142" s="182"/>
      <c r="AH142" s="182"/>
      <c r="AJ142" s="175">
        <f t="shared" si="27"/>
        <v>0</v>
      </c>
    </row>
    <row r="143" spans="2:36" hidden="1" outlineLevel="1" x14ac:dyDescent="0.25">
      <c r="B143" s="151"/>
      <c r="C143" s="54" t="s">
        <v>77</v>
      </c>
      <c r="D143" s="183"/>
      <c r="E143" s="183"/>
      <c r="F143" s="183"/>
      <c r="G143" s="183"/>
      <c r="H143" s="198"/>
      <c r="I143" s="198"/>
      <c r="J143" s="183"/>
      <c r="K143" s="183"/>
      <c r="L143" s="183"/>
      <c r="M143" s="183"/>
      <c r="N143" s="183"/>
      <c r="O143" s="198"/>
      <c r="P143" s="198"/>
      <c r="Q143" s="183"/>
      <c r="R143" s="183"/>
      <c r="S143" s="183"/>
      <c r="T143" s="183"/>
      <c r="U143" s="183"/>
      <c r="V143" s="198"/>
      <c r="W143" s="198"/>
      <c r="X143" s="183"/>
      <c r="Y143" s="183"/>
      <c r="Z143" s="183"/>
      <c r="AA143" s="183"/>
      <c r="AB143" s="183"/>
      <c r="AC143" s="198"/>
      <c r="AD143" s="198"/>
      <c r="AE143" s="183"/>
      <c r="AF143" s="183"/>
      <c r="AG143" s="183"/>
      <c r="AH143" s="183"/>
      <c r="AJ143" s="176">
        <f t="shared" si="27"/>
        <v>0</v>
      </c>
    </row>
    <row r="144" spans="2:36" ht="15.75" hidden="1" outlineLevel="1" thickBot="1" x14ac:dyDescent="0.3">
      <c r="B144" s="151"/>
      <c r="C144" s="9" t="s">
        <v>3</v>
      </c>
      <c r="D144" s="237"/>
      <c r="E144" s="184"/>
      <c r="F144" s="184"/>
      <c r="G144" s="184"/>
      <c r="H144" s="199"/>
      <c r="I144" s="199"/>
      <c r="J144" s="184"/>
      <c r="K144" s="184"/>
      <c r="L144" s="184"/>
      <c r="M144" s="184"/>
      <c r="N144" s="184"/>
      <c r="O144" s="199"/>
      <c r="P144" s="199"/>
      <c r="Q144" s="243">
        <v>0.05</v>
      </c>
      <c r="R144" s="184"/>
      <c r="S144" s="184"/>
      <c r="T144" s="184"/>
      <c r="U144" s="184"/>
      <c r="V144" s="199"/>
      <c r="W144" s="199"/>
      <c r="X144" s="184"/>
      <c r="Y144" s="184"/>
      <c r="Z144" s="184"/>
      <c r="AA144" s="184"/>
      <c r="AB144" s="184"/>
      <c r="AC144" s="199"/>
      <c r="AD144" s="199"/>
      <c r="AE144" s="184"/>
      <c r="AF144" s="184"/>
      <c r="AG144" s="184"/>
      <c r="AH144" s="184"/>
      <c r="AI144" s="186"/>
      <c r="AJ144" s="177">
        <f t="shared" si="27"/>
        <v>0.05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183"/>
      <c r="E145" s="180"/>
      <c r="F145" s="180"/>
      <c r="G145" s="180"/>
      <c r="H145" s="198"/>
      <c r="I145" s="198"/>
      <c r="J145" s="180"/>
      <c r="K145" s="180"/>
      <c r="L145" s="180"/>
      <c r="M145" s="180"/>
      <c r="N145" s="180"/>
      <c r="O145" s="198"/>
      <c r="P145" s="198"/>
      <c r="Q145" s="180"/>
      <c r="R145" s="180"/>
      <c r="S145" s="180">
        <v>0</v>
      </c>
      <c r="T145" s="180"/>
      <c r="U145" s="180">
        <v>0</v>
      </c>
      <c r="V145" s="198"/>
      <c r="W145" s="198"/>
      <c r="X145" s="180"/>
      <c r="Y145" s="180"/>
      <c r="Z145" s="180"/>
      <c r="AA145" s="180"/>
      <c r="AB145" s="180">
        <v>3</v>
      </c>
      <c r="AC145" s="198"/>
      <c r="AD145" s="198"/>
      <c r="AE145" s="180"/>
      <c r="AF145" s="180"/>
      <c r="AG145" s="180"/>
      <c r="AH145" s="180"/>
      <c r="AJ145" s="172">
        <f>SUM(D145:AH145)</f>
        <v>3</v>
      </c>
    </row>
    <row r="146" spans="2:36" ht="15.75" hidden="1" outlineLevel="1" thickTop="1" x14ac:dyDescent="0.25">
      <c r="B146" s="150"/>
      <c r="C146" s="1" t="s">
        <v>1</v>
      </c>
      <c r="D146" s="183"/>
      <c r="E146" s="181"/>
      <c r="F146" s="181"/>
      <c r="G146" s="181"/>
      <c r="H146" s="198"/>
      <c r="I146" s="198"/>
      <c r="J146" s="181"/>
      <c r="K146" s="181"/>
      <c r="L146" s="181"/>
      <c r="M146" s="181"/>
      <c r="N146" s="181"/>
      <c r="O146" s="198"/>
      <c r="P146" s="198"/>
      <c r="Q146" s="181"/>
      <c r="R146" s="181"/>
      <c r="S146" s="181"/>
      <c r="T146" s="181"/>
      <c r="U146" s="181"/>
      <c r="V146" s="198"/>
      <c r="W146" s="198"/>
      <c r="X146" s="181"/>
      <c r="Y146" s="181"/>
      <c r="Z146" s="181"/>
      <c r="AA146" s="181"/>
      <c r="AB146" s="181"/>
      <c r="AC146" s="198"/>
      <c r="AD146" s="198"/>
      <c r="AE146" s="181"/>
      <c r="AF146" s="181"/>
      <c r="AG146" s="181"/>
      <c r="AH146" s="181"/>
      <c r="AJ146" s="174">
        <f t="shared" ref="AJ146:AJ149" si="28">SUM(D146:AH146)</f>
        <v>0</v>
      </c>
    </row>
    <row r="147" spans="2:36" hidden="1" outlineLevel="1" x14ac:dyDescent="0.25">
      <c r="B147" s="151"/>
      <c r="C147" s="1" t="s">
        <v>2</v>
      </c>
      <c r="D147" s="183"/>
      <c r="E147" s="182"/>
      <c r="F147" s="182"/>
      <c r="G147" s="182"/>
      <c r="H147" s="198"/>
      <c r="I147" s="198"/>
      <c r="J147" s="182"/>
      <c r="K147" s="182"/>
      <c r="L147" s="182"/>
      <c r="M147" s="182"/>
      <c r="N147" s="182"/>
      <c r="O147" s="198"/>
      <c r="P147" s="198"/>
      <c r="Q147" s="182"/>
      <c r="R147" s="182"/>
      <c r="S147" s="182">
        <v>1</v>
      </c>
      <c r="T147" s="182"/>
      <c r="U147" s="182">
        <v>1</v>
      </c>
      <c r="V147" s="198"/>
      <c r="W147" s="198"/>
      <c r="X147" s="182"/>
      <c r="Y147" s="182"/>
      <c r="Z147" s="182"/>
      <c r="AA147" s="182"/>
      <c r="AB147" s="182"/>
      <c r="AC147" s="198"/>
      <c r="AD147" s="198"/>
      <c r="AE147" s="182"/>
      <c r="AF147" s="182"/>
      <c r="AG147" s="182"/>
      <c r="AH147" s="182"/>
      <c r="AJ147" s="175">
        <f t="shared" si="28"/>
        <v>2</v>
      </c>
    </row>
    <row r="148" spans="2:36" hidden="1" outlineLevel="1" x14ac:dyDescent="0.25">
      <c r="B148" s="151"/>
      <c r="C148" s="54" t="s">
        <v>77</v>
      </c>
      <c r="D148" s="183"/>
      <c r="E148" s="183"/>
      <c r="F148" s="183"/>
      <c r="G148" s="183"/>
      <c r="H148" s="198"/>
      <c r="I148" s="198"/>
      <c r="J148" s="183"/>
      <c r="K148" s="183"/>
      <c r="L148" s="183"/>
      <c r="M148" s="183"/>
      <c r="N148" s="183"/>
      <c r="O148" s="198"/>
      <c r="P148" s="198"/>
      <c r="Q148" s="183"/>
      <c r="R148" s="183"/>
      <c r="S148" s="183"/>
      <c r="T148" s="183"/>
      <c r="U148" s="183"/>
      <c r="V148" s="198"/>
      <c r="W148" s="198"/>
      <c r="X148" s="183"/>
      <c r="Y148" s="183"/>
      <c r="Z148" s="183"/>
      <c r="AA148" s="183"/>
      <c r="AB148" s="183"/>
      <c r="AC148" s="198"/>
      <c r="AD148" s="198"/>
      <c r="AE148" s="183"/>
      <c r="AF148" s="183"/>
      <c r="AG148" s="183"/>
      <c r="AH148" s="183"/>
      <c r="AJ148" s="176">
        <f t="shared" si="28"/>
        <v>0</v>
      </c>
    </row>
    <row r="149" spans="2:36" ht="15.75" hidden="1" outlineLevel="1" thickBot="1" x14ac:dyDescent="0.3">
      <c r="B149" s="151"/>
      <c r="C149" s="9" t="s">
        <v>3</v>
      </c>
      <c r="D149" s="237"/>
      <c r="E149" s="184"/>
      <c r="F149" s="184"/>
      <c r="G149" s="184"/>
      <c r="H149" s="199"/>
      <c r="I149" s="199"/>
      <c r="J149" s="184"/>
      <c r="K149" s="184"/>
      <c r="L149" s="184"/>
      <c r="M149" s="184"/>
      <c r="N149" s="184"/>
      <c r="O149" s="199"/>
      <c r="P149" s="199"/>
      <c r="Q149" s="184"/>
      <c r="R149" s="184"/>
      <c r="S149" s="184"/>
      <c r="T149" s="184"/>
      <c r="U149" s="184"/>
      <c r="V149" s="199"/>
      <c r="W149" s="199"/>
      <c r="X149" s="184"/>
      <c r="Y149" s="184"/>
      <c r="Z149" s="184"/>
      <c r="AA149" s="184"/>
      <c r="AB149" s="184"/>
      <c r="AC149" s="199"/>
      <c r="AD149" s="199"/>
      <c r="AE149" s="184"/>
      <c r="AF149" s="184"/>
      <c r="AG149" s="184"/>
      <c r="AH149" s="184"/>
      <c r="AI149" s="186"/>
      <c r="AJ149" s="177">
        <f t="shared" si="28"/>
        <v>0</v>
      </c>
    </row>
    <row r="150" spans="2:36" ht="15.75" collapsed="1" thickTop="1" x14ac:dyDescent="0.25"/>
    <row r="153" spans="2:36" ht="15.75" thickBot="1" x14ac:dyDescent="0.3">
      <c r="B153" s="149" t="s">
        <v>204</v>
      </c>
      <c r="E153" s="180">
        <v>8</v>
      </c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  <c r="AA153" s="239"/>
      <c r="AB153" s="239"/>
      <c r="AC153" s="239"/>
      <c r="AD153" s="239"/>
      <c r="AE153" s="239"/>
      <c r="AF153" s="239"/>
      <c r="AG153" s="239"/>
      <c r="AH153" s="239"/>
    </row>
    <row r="154" spans="2:36" ht="15.75" thickTop="1" x14ac:dyDescent="0.25"/>
  </sheetData>
  <autoFilter ref="B4:AJ149"/>
  <customSheetViews>
    <customSheetView guid="{98CBC5BF-8C89-48A4-860E-9C56014CD200}" scale="90" showGridLines="0" showAutoFilter="1" hiddenRows="1" topLeftCell="A4">
      <selection activeCell="AQ110" sqref="AQ110"/>
      <pageMargins left="0.7" right="0.7" top="0.75" bottom="0.75" header="0.3" footer="0.3"/>
      <pageSetup paperSize="9" orientation="portrait" horizontalDpi="1200" r:id="rId1"/>
      <autoFilter ref="B4:AJ149"/>
    </customSheetView>
    <customSheetView guid="{1BC25061-32D5-45DE-83F9-EFA3A1092E03}" scale="90" showGridLines="0" filter="1" showAutoFilter="1" hiddenRows="1" topLeftCell="A2">
      <pane ySplit="3" topLeftCell="A5" activePane="bottomLeft" state="frozenSplit"/>
      <selection pane="bottomLeft" activeCell="AH100" sqref="AH100"/>
      <pageMargins left="0.7" right="0.7" top="0.75" bottom="0.75" header="0.3" footer="0.3"/>
      <pageSetup paperSize="9" orientation="portrait" horizontalDpi="1200" r:id="rId2"/>
      <autoFilter ref="B4:AJ145">
        <filterColumn colId="0">
          <customFilters>
            <customFilter operator="notEqual" val=" "/>
          </customFilters>
        </filterColumn>
      </autoFilter>
    </customSheetView>
    <customSheetView guid="{CF917189-7AB9-4E55-816F-ACFC7FA45C05}" scale="90" showGridLines="0" filter="1" showAutoFilter="1" hiddenRows="1" topLeftCell="A2">
      <pane ySplit="2" topLeftCell="A5" activePane="bottomLeft" state="frozenSplit"/>
      <selection pane="bottomLeft" activeCell="AH100" sqref="AH100"/>
      <pageMargins left="0.7" right="0.7" top="0.75" bottom="0.75" header="0.3" footer="0.3"/>
      <pageSetup paperSize="9" orientation="portrait" horizontalDpi="1200" r:id="rId3"/>
      <autoFilter ref="B4:AJ145">
        <filterColumn colId="0">
          <customFilters>
            <customFilter operator="notEqual" val=" "/>
          </customFilters>
        </filterColumn>
      </autoFilter>
    </customSheetView>
    <customSheetView guid="{4155806E-C0D0-4CC9-9B31-04245B7DD4C8}" showGridLines="0" fitToPage="1" filter="1" showAutoFilter="1" hiddenRows="1" topLeftCell="A2">
      <pane xSplit="2" ySplit="2" topLeftCell="C40" activePane="bottomRight" state="frozen"/>
      <selection pane="bottomRight" activeCell="AO49" sqref="AO49"/>
      <pageMargins left="0.7" right="0.7" top="0.75" bottom="0.75" header="0.3" footer="0.3"/>
      <pageSetup paperSize="9" scale="87" orientation="landscape" horizontalDpi="1200" r:id="rId4"/>
      <autoFilter ref="B4:AJ145">
        <filterColumn colId="0">
          <filters blank="1">
            <filter val="Barry Berendhuysen"/>
            <filter val="Bjorn Haagen"/>
            <filter val="Dave Creusen"/>
            <filter val="Dominique Daemen"/>
            <filter val="Erwin Deckers"/>
            <filter val="Fred Boekwijt"/>
            <filter val="Frido Meijer"/>
            <filter val="Gerardus de Haas"/>
            <filter val="Jean Pierre Knubben"/>
            <filter val="Joost Dirksen"/>
            <filter val="Lars de Winter"/>
            <filter val="Loode Evers"/>
            <filter val="Marc Linssen"/>
            <filter val="Marco Smeekes"/>
            <filter val="Mark Meijer"/>
            <filter val="Marvin Machelesen"/>
            <filter val="Michael Callemeijn"/>
            <filter val="Patrick Janssen"/>
            <filter val="Patrick Ziesen"/>
            <filter val="Rudi Spees"/>
            <filter val="Tiemen Schumacher"/>
            <filter val="Wantoo Jacobs"/>
          </filters>
        </filterColumn>
      </autoFilter>
    </customSheetView>
    <customSheetView guid="{1587CBCC-2CC7-4525-8A49-E261AB2E1606}" scale="90" showGridLines="0" filter="1" showAutoFilter="1" hiddenRows="1" topLeftCell="A2">
      <selection activeCell="AH100" sqref="AH100"/>
      <pageMargins left="0.7" right="0.7" top="0.75" bottom="0.75" header="0.3" footer="0.3"/>
      <pageSetup paperSize="9" orientation="portrait" horizontalDpi="1200" r:id="rId5"/>
      <autoFilter ref="B4:AJ149">
        <filterColumn colId="0">
          <customFilters>
            <customFilter operator="notEqual" val=" "/>
          </customFilters>
        </filterColumn>
      </autoFilter>
    </customSheetView>
    <customSheetView guid="{C5D9000A-81ED-4920-B6AF-4B234775AEC9}" scale="90" showGridLines="0" filter="1" showAutoFilter="1" hiddenRows="1" topLeftCell="A2">
      <pane ySplit="2" topLeftCell="A5" activePane="bottomLeft" state="frozenSplit"/>
      <selection pane="bottomLeft" activeCell="AH100" sqref="AH100"/>
      <pageMargins left="0.7" right="0.7" top="0.75" bottom="0.75" header="0.3" footer="0.3"/>
      <pageSetup paperSize="9" orientation="portrait" horizontalDpi="1200" r:id="rId6"/>
      <autoFilter ref="B4:AJ149">
        <filterColumn colId="0">
          <customFilters>
            <customFilter operator="notEqual" val=" "/>
          </customFilters>
        </filterColumn>
      </autoFilter>
    </customSheetView>
  </customSheetViews>
  <conditionalFormatting sqref="D3:AH3">
    <cfRule type="expression" dxfId="75" priority="6">
      <formula>WEEKDAY(D3:AH3)=1</formula>
    </cfRule>
    <cfRule type="expression" dxfId="74" priority="7">
      <formula>WEEKDAY(D3:AH3)=7</formula>
    </cfRule>
  </conditionalFormatting>
  <conditionalFormatting sqref="A11:A152">
    <cfRule type="cellIs" dxfId="73" priority="5" operator="equal">
      <formula>"08:00/16:30"</formula>
    </cfRule>
  </conditionalFormatting>
  <conditionalFormatting sqref="A15:A152">
    <cfRule type="cellIs" dxfId="72" priority="4" operator="equal">
      <formula>"09:30/18:00"</formula>
    </cfRule>
  </conditionalFormatting>
  <conditionalFormatting sqref="A5:A10">
    <cfRule type="cellIs" dxfId="71" priority="2" operator="equal">
      <formula>"08:00/16:30"</formula>
    </cfRule>
  </conditionalFormatting>
  <conditionalFormatting sqref="A5:A10">
    <cfRule type="cellIs" dxfId="70" priority="1" operator="equal">
      <formula>"09:30/18:00"</formula>
    </cfRule>
  </conditionalFormatting>
  <dataValidations count="1">
    <dataValidation type="list" allowBlank="1" showInputMessage="1" sqref="A5 A10 A15 A20 A25 A30 A35 A40 A45 A50 A55 A60 A65 A70 A75 A80 A85 A90 A95 A100 A105 A110 A115 A120 A125 A130 A135 A140:A152">
      <formula1>"08:00/16:30,09:00/17:00,09:30/18:00"</formula1>
    </dataValidation>
  </dataValidations>
  <pageMargins left="0.7" right="0.7" top="0.75" bottom="0.75" header="0.3" footer="0.3"/>
  <pageSetup paperSize="9" orientation="portrait" horizontalDpi="12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CFFCC"/>
    <pageSetUpPr fitToPage="1"/>
  </sheetPr>
  <dimension ref="A1:AJ150"/>
  <sheetViews>
    <sheetView showGridLines="0" topLeftCell="A2" zoomScale="90" zoomScaleNormal="90" workbookViewId="0">
      <pane ySplit="2" topLeftCell="A35" activePane="bottomLeft" state="frozenSplit"/>
      <selection activeCell="A2" sqref="A2"/>
      <selection pane="bottomLeft" activeCell="AD140" sqref="AD140"/>
    </sheetView>
  </sheetViews>
  <sheetFormatPr defaultRowHeight="15" outlineLevelRow="1" x14ac:dyDescent="0.25"/>
  <cols>
    <col min="1" max="1" width="5.140625" bestFit="1" customWidth="1"/>
    <col min="2" max="2" width="18.85546875" bestFit="1" customWidth="1"/>
    <col min="3" max="3" width="11.5703125" bestFit="1" customWidth="1"/>
    <col min="4" max="10" width="3.42578125" bestFit="1" customWidth="1"/>
    <col min="11" max="11" width="4.42578125" bestFit="1" customWidth="1"/>
    <col min="12" max="17" width="3.42578125" bestFit="1" customWidth="1"/>
    <col min="18" max="18" width="4.42578125" bestFit="1" customWidth="1"/>
    <col min="19" max="28" width="3.42578125" bestFit="1" customWidth="1"/>
    <col min="29" max="29" width="3.140625" customWidth="1"/>
    <col min="30" max="30" width="4.42578125" bestFit="1" customWidth="1"/>
    <col min="31" max="32" width="3.42578125" bestFit="1" customWidth="1"/>
    <col min="33" max="34" width="3.28515625" bestFit="1" customWidth="1"/>
    <col min="35" max="35" width="3.7109375" customWidth="1"/>
    <col min="36" max="36" width="6.140625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x14ac:dyDescent="0.25">
      <c r="B2" s="12" t="s">
        <v>8</v>
      </c>
    </row>
    <row r="3" spans="1:36" ht="113.25" customHeight="1" x14ac:dyDescent="0.25">
      <c r="A3" t="s">
        <v>163</v>
      </c>
      <c r="B3" s="96" t="s">
        <v>4</v>
      </c>
      <c r="D3" s="188">
        <f>DATE(Title!$F$12,2,D1)</f>
        <v>41306</v>
      </c>
      <c r="E3" s="188">
        <f>DATE(Title!$F$12,2,E1)</f>
        <v>41307</v>
      </c>
      <c r="F3" s="188">
        <f>DATE(Title!$F$12,2,F1)</f>
        <v>41308</v>
      </c>
      <c r="G3" s="188">
        <f>DATE(Title!$F$12,2,G1)</f>
        <v>41309</v>
      </c>
      <c r="H3" s="188">
        <f>DATE(Title!$F$12,2,H1)</f>
        <v>41310</v>
      </c>
      <c r="I3" s="188">
        <f>DATE(Title!$F$12,2,I1)</f>
        <v>41311</v>
      </c>
      <c r="J3" s="188">
        <f>DATE(Title!$F$12,2,J1)</f>
        <v>41312</v>
      </c>
      <c r="K3" s="188">
        <f>DATE(Title!$F$12,2,K1)</f>
        <v>41313</v>
      </c>
      <c r="L3" s="188">
        <f>DATE(Title!$F$12,2,L1)</f>
        <v>41314</v>
      </c>
      <c r="M3" s="188">
        <f>DATE(Title!$F$12,2,M1)</f>
        <v>41315</v>
      </c>
      <c r="N3" s="188">
        <f>DATE(Title!$F$12,2,N1)</f>
        <v>41316</v>
      </c>
      <c r="O3" s="188">
        <f>DATE(Title!$F$12,2,O1)</f>
        <v>41317</v>
      </c>
      <c r="P3" s="188">
        <f>DATE(Title!$F$12,2,P1)</f>
        <v>41318</v>
      </c>
      <c r="Q3" s="188">
        <f>DATE(Title!$F$12,2,Q1)</f>
        <v>41319</v>
      </c>
      <c r="R3" s="188">
        <f>DATE(Title!$F$12,2,R1)</f>
        <v>41320</v>
      </c>
      <c r="S3" s="188">
        <f>DATE(Title!$F$12,2,S1)</f>
        <v>41321</v>
      </c>
      <c r="T3" s="188">
        <f>DATE(Title!$F$12,2,T1)</f>
        <v>41322</v>
      </c>
      <c r="U3" s="188">
        <f>DATE(Title!$F$12,2,U1)</f>
        <v>41323</v>
      </c>
      <c r="V3" s="188">
        <f>DATE(Title!$F$12,2,V1)</f>
        <v>41324</v>
      </c>
      <c r="W3" s="188">
        <f>DATE(Title!$F$12,2,W1)</f>
        <v>41325</v>
      </c>
      <c r="X3" s="188">
        <f>DATE(Title!$F$12,2,X1)</f>
        <v>41326</v>
      </c>
      <c r="Y3" s="188">
        <f>DATE(Title!$F$12,2,Y1)</f>
        <v>41327</v>
      </c>
      <c r="Z3" s="188">
        <f>DATE(Title!$F$12,2,Z1)</f>
        <v>41328</v>
      </c>
      <c r="AA3" s="188">
        <f>DATE(Title!$F$12,2,AA1)</f>
        <v>41329</v>
      </c>
      <c r="AB3" s="188">
        <f>DATE(Title!$F$12,2,AB1)</f>
        <v>41330</v>
      </c>
      <c r="AC3" s="188">
        <f>DATE(Title!$F$12,2,AC1)</f>
        <v>41331</v>
      </c>
      <c r="AD3" s="188">
        <f>DATE(Title!$F$12,2,AD1)</f>
        <v>41332</v>
      </c>
      <c r="AE3" s="188">
        <f>DATE(Title!$F$12,2,AE1)</f>
        <v>41333</v>
      </c>
      <c r="AF3" s="188"/>
      <c r="AG3" s="188"/>
      <c r="AH3" s="188"/>
      <c r="AI3" s="189"/>
      <c r="AJ3" s="190" t="s">
        <v>5</v>
      </c>
    </row>
    <row r="4" spans="1:36" x14ac:dyDescent="0.25">
      <c r="B4" s="96"/>
    </row>
    <row r="5" spans="1:36" ht="15.75" thickBot="1" x14ac:dyDescent="0.3">
      <c r="B5" s="149" t="str">
        <f>'Hours Scheduled'!B4</f>
        <v>Barry Berendhuysen</v>
      </c>
      <c r="C5" t="s">
        <v>0</v>
      </c>
      <c r="D5" s="180"/>
      <c r="E5" s="198"/>
      <c r="F5" s="198"/>
      <c r="G5" s="180"/>
      <c r="H5" s="180"/>
      <c r="I5" s="180"/>
      <c r="J5" s="180"/>
      <c r="K5" s="180"/>
      <c r="L5" s="198"/>
      <c r="M5" s="198"/>
      <c r="N5" s="180"/>
      <c r="O5" s="180"/>
      <c r="P5" s="180"/>
      <c r="Q5" s="180"/>
      <c r="R5" s="180"/>
      <c r="S5" s="198"/>
      <c r="T5" s="198"/>
      <c r="U5" s="180"/>
      <c r="V5" s="180"/>
      <c r="W5" s="180"/>
      <c r="X5" s="180"/>
      <c r="Y5" s="180">
        <v>0</v>
      </c>
      <c r="Z5" s="198"/>
      <c r="AA5" s="198"/>
      <c r="AB5" s="180">
        <v>0</v>
      </c>
      <c r="AC5" s="180">
        <v>0</v>
      </c>
      <c r="AD5" s="180">
        <v>0</v>
      </c>
      <c r="AE5" s="180">
        <v>0</v>
      </c>
      <c r="AF5" s="180"/>
      <c r="AG5" s="180"/>
      <c r="AH5" s="180"/>
      <c r="AJ5" s="64">
        <f>SUM(D5:AH5)</f>
        <v>0</v>
      </c>
    </row>
    <row r="6" spans="1:36" ht="15.75" hidden="1" outlineLevel="1" thickTop="1" x14ac:dyDescent="0.25">
      <c r="B6" s="150"/>
      <c r="C6" s="1" t="s">
        <v>1</v>
      </c>
      <c r="D6" s="181"/>
      <c r="E6" s="198"/>
      <c r="F6" s="198"/>
      <c r="G6" s="181"/>
      <c r="H6" s="181"/>
      <c r="I6" s="181"/>
      <c r="J6" s="181"/>
      <c r="K6" s="181"/>
      <c r="L6" s="198"/>
      <c r="M6" s="198"/>
      <c r="N6" s="181"/>
      <c r="O6" s="181"/>
      <c r="P6" s="181"/>
      <c r="Q6" s="181"/>
      <c r="R6" s="181"/>
      <c r="S6" s="198"/>
      <c r="T6" s="198"/>
      <c r="U6" s="181"/>
      <c r="V6" s="181"/>
      <c r="W6" s="181"/>
      <c r="X6" s="181"/>
      <c r="Y6" s="181">
        <v>8</v>
      </c>
      <c r="Z6" s="198"/>
      <c r="AA6" s="198"/>
      <c r="AB6" s="181">
        <v>8</v>
      </c>
      <c r="AC6" s="181">
        <v>8</v>
      </c>
      <c r="AD6" s="181">
        <v>8</v>
      </c>
      <c r="AE6" s="181">
        <v>8</v>
      </c>
      <c r="AF6" s="181"/>
      <c r="AG6" s="181"/>
      <c r="AH6" s="181"/>
      <c r="AJ6" s="70">
        <f t="shared" ref="AJ6:AJ9" si="0">SUM(D6:AH6)</f>
        <v>40</v>
      </c>
    </row>
    <row r="7" spans="1:36" hidden="1" outlineLevel="1" x14ac:dyDescent="0.25">
      <c r="B7" s="151"/>
      <c r="C7" s="1" t="s">
        <v>2</v>
      </c>
      <c r="D7" s="182"/>
      <c r="E7" s="198"/>
      <c r="F7" s="198"/>
      <c r="G7" s="182"/>
      <c r="H7" s="182"/>
      <c r="I7" s="182"/>
      <c r="J7" s="182"/>
      <c r="K7" s="182"/>
      <c r="L7" s="198"/>
      <c r="M7" s="198"/>
      <c r="N7" s="182"/>
      <c r="O7" s="182"/>
      <c r="P7" s="182"/>
      <c r="Q7" s="182"/>
      <c r="R7" s="182"/>
      <c r="S7" s="198"/>
      <c r="T7" s="198"/>
      <c r="U7" s="182"/>
      <c r="V7" s="182"/>
      <c r="W7" s="182"/>
      <c r="X7" s="182"/>
      <c r="Y7" s="182"/>
      <c r="Z7" s="198"/>
      <c r="AA7" s="198"/>
      <c r="AB7" s="182"/>
      <c r="AC7" s="182"/>
      <c r="AD7" s="182"/>
      <c r="AE7" s="182"/>
      <c r="AF7" s="182"/>
      <c r="AG7" s="182"/>
      <c r="AH7" s="182"/>
      <c r="AJ7" s="71">
        <f t="shared" si="0"/>
        <v>0</v>
      </c>
    </row>
    <row r="8" spans="1:36" hidden="1" outlineLevel="1" x14ac:dyDescent="0.25">
      <c r="B8" s="151"/>
      <c r="C8" s="54" t="s">
        <v>77</v>
      </c>
      <c r="D8" s="183"/>
      <c r="E8" s="198"/>
      <c r="F8" s="198"/>
      <c r="G8" s="183"/>
      <c r="H8" s="183"/>
      <c r="I8" s="183"/>
      <c r="J8" s="183"/>
      <c r="K8" s="183"/>
      <c r="L8" s="198"/>
      <c r="M8" s="198"/>
      <c r="N8" s="183"/>
      <c r="O8" s="183"/>
      <c r="P8" s="183"/>
      <c r="Q8" s="183"/>
      <c r="R8" s="183"/>
      <c r="S8" s="198"/>
      <c r="T8" s="198"/>
      <c r="U8" s="183"/>
      <c r="V8" s="183"/>
      <c r="W8" s="183"/>
      <c r="X8" s="183"/>
      <c r="Y8" s="183"/>
      <c r="Z8" s="198"/>
      <c r="AA8" s="198"/>
      <c r="AB8" s="183"/>
      <c r="AC8" s="183"/>
      <c r="AD8" s="183"/>
      <c r="AE8" s="183"/>
      <c r="AF8" s="183"/>
      <c r="AG8" s="183"/>
      <c r="AH8" s="183"/>
      <c r="AJ8" s="72">
        <f t="shared" si="0"/>
        <v>0</v>
      </c>
    </row>
    <row r="9" spans="1:36" ht="15.75" hidden="1" outlineLevel="1" thickBot="1" x14ac:dyDescent="0.3">
      <c r="B9" s="151"/>
      <c r="C9" s="9" t="s">
        <v>3</v>
      </c>
      <c r="D9" s="184"/>
      <c r="E9" s="199"/>
      <c r="F9" s="199"/>
      <c r="G9" s="184"/>
      <c r="H9" s="184"/>
      <c r="I9" s="184"/>
      <c r="J9" s="184"/>
      <c r="K9" s="184"/>
      <c r="L9" s="199"/>
      <c r="M9" s="199"/>
      <c r="N9" s="184"/>
      <c r="O9" s="184"/>
      <c r="P9" s="184"/>
      <c r="Q9" s="184"/>
      <c r="R9" s="184"/>
      <c r="S9" s="199"/>
      <c r="T9" s="199"/>
      <c r="U9" s="184"/>
      <c r="V9" s="184"/>
      <c r="W9" s="184"/>
      <c r="X9" s="184"/>
      <c r="Y9" s="184"/>
      <c r="Z9" s="199"/>
      <c r="AA9" s="199"/>
      <c r="AB9" s="184"/>
      <c r="AC9" s="184"/>
      <c r="AD9" s="184"/>
      <c r="AE9" s="184"/>
      <c r="AF9" s="184"/>
      <c r="AG9" s="184"/>
      <c r="AH9" s="184"/>
      <c r="AI9" s="7"/>
      <c r="AJ9" s="69">
        <f t="shared" si="0"/>
        <v>0</v>
      </c>
    </row>
    <row r="10" spans="1:36" ht="16.5" collapsed="1" thickTop="1" thickBot="1" x14ac:dyDescent="0.3">
      <c r="B10" s="149" t="str">
        <f>'Hours Scheduled'!B5</f>
        <v>Bas Boermans</v>
      </c>
      <c r="C10" t="s">
        <v>0</v>
      </c>
      <c r="D10" s="180">
        <v>0</v>
      </c>
      <c r="E10" s="198"/>
      <c r="F10" s="198"/>
      <c r="G10" s="180">
        <v>0</v>
      </c>
      <c r="H10" s="180">
        <v>0</v>
      </c>
      <c r="I10" s="180">
        <v>0</v>
      </c>
      <c r="J10" s="180">
        <v>0</v>
      </c>
      <c r="K10" s="180">
        <v>0</v>
      </c>
      <c r="L10" s="198"/>
      <c r="M10" s="198"/>
      <c r="N10" s="180">
        <v>0</v>
      </c>
      <c r="O10" s="180">
        <v>0</v>
      </c>
      <c r="P10" s="180">
        <v>0</v>
      </c>
      <c r="Q10" s="180">
        <v>0</v>
      </c>
      <c r="R10" s="180">
        <v>0</v>
      </c>
      <c r="S10" s="198"/>
      <c r="T10" s="198"/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98"/>
      <c r="AA10" s="198"/>
      <c r="AB10" s="180"/>
      <c r="AC10" s="180"/>
      <c r="AD10" s="180"/>
      <c r="AE10" s="180"/>
      <c r="AF10" s="180"/>
      <c r="AG10" s="180"/>
      <c r="AH10" s="180"/>
      <c r="AJ10" s="64">
        <f>SUM(D10:AH10)</f>
        <v>0</v>
      </c>
    </row>
    <row r="11" spans="1:36" ht="15.75" hidden="1" outlineLevel="1" thickTop="1" x14ac:dyDescent="0.25">
      <c r="B11" s="150"/>
      <c r="C11" s="1" t="s">
        <v>1</v>
      </c>
      <c r="D11" s="181">
        <v>8</v>
      </c>
      <c r="E11" s="198"/>
      <c r="F11" s="198"/>
      <c r="G11" s="181">
        <v>8</v>
      </c>
      <c r="H11" s="181">
        <v>8</v>
      </c>
      <c r="I11" s="181">
        <v>8</v>
      </c>
      <c r="J11" s="181">
        <v>8</v>
      </c>
      <c r="K11" s="181">
        <v>8</v>
      </c>
      <c r="L11" s="198"/>
      <c r="M11" s="198"/>
      <c r="N11" s="181">
        <v>8</v>
      </c>
      <c r="O11" s="181">
        <v>8</v>
      </c>
      <c r="P11" s="181">
        <v>8</v>
      </c>
      <c r="Q11" s="181">
        <v>8</v>
      </c>
      <c r="R11" s="181">
        <v>8</v>
      </c>
      <c r="S11" s="198"/>
      <c r="T11" s="198"/>
      <c r="U11" s="181">
        <v>8</v>
      </c>
      <c r="V11" s="181">
        <v>8</v>
      </c>
      <c r="W11" s="181">
        <v>8</v>
      </c>
      <c r="X11" s="181">
        <v>8</v>
      </c>
      <c r="Y11" s="181">
        <v>8</v>
      </c>
      <c r="Z11" s="198"/>
      <c r="AA11" s="198"/>
      <c r="AB11" s="181"/>
      <c r="AC11" s="181"/>
      <c r="AD11" s="181"/>
      <c r="AE11" s="181"/>
      <c r="AF11" s="181"/>
      <c r="AG11" s="181"/>
      <c r="AH11" s="181"/>
      <c r="AJ11" s="70">
        <f t="shared" ref="AJ11:AJ14" si="1">SUM(D11:AH11)</f>
        <v>128</v>
      </c>
    </row>
    <row r="12" spans="1:36" hidden="1" outlineLevel="1" x14ac:dyDescent="0.25">
      <c r="B12" s="151"/>
      <c r="C12" s="1" t="s">
        <v>2</v>
      </c>
      <c r="D12" s="182"/>
      <c r="E12" s="198"/>
      <c r="F12" s="198"/>
      <c r="G12" s="182"/>
      <c r="H12" s="182"/>
      <c r="I12" s="182"/>
      <c r="J12" s="182"/>
      <c r="K12" s="182"/>
      <c r="L12" s="198"/>
      <c r="M12" s="198"/>
      <c r="N12" s="182"/>
      <c r="O12" s="182"/>
      <c r="P12" s="182"/>
      <c r="Q12" s="182"/>
      <c r="R12" s="182"/>
      <c r="S12" s="198"/>
      <c r="T12" s="198"/>
      <c r="U12" s="182"/>
      <c r="V12" s="182"/>
      <c r="W12" s="182"/>
      <c r="X12" s="182"/>
      <c r="Y12" s="182"/>
      <c r="Z12" s="198"/>
      <c r="AA12" s="198"/>
      <c r="AB12" s="182"/>
      <c r="AC12" s="182"/>
      <c r="AD12" s="182"/>
      <c r="AE12" s="182"/>
      <c r="AF12" s="182"/>
      <c r="AG12" s="182"/>
      <c r="AH12" s="182"/>
      <c r="AJ12" s="71">
        <f t="shared" si="1"/>
        <v>0</v>
      </c>
    </row>
    <row r="13" spans="1:36" hidden="1" outlineLevel="1" x14ac:dyDescent="0.25">
      <c r="B13" s="151"/>
      <c r="C13" s="54" t="s">
        <v>77</v>
      </c>
      <c r="D13" s="183"/>
      <c r="E13" s="198"/>
      <c r="F13" s="198"/>
      <c r="G13" s="183"/>
      <c r="H13" s="183"/>
      <c r="I13" s="183"/>
      <c r="J13" s="183"/>
      <c r="K13" s="183"/>
      <c r="L13" s="198"/>
      <c r="M13" s="198"/>
      <c r="N13" s="183"/>
      <c r="O13" s="183"/>
      <c r="P13" s="183"/>
      <c r="Q13" s="183"/>
      <c r="R13" s="183"/>
      <c r="S13" s="198"/>
      <c r="T13" s="198"/>
      <c r="U13" s="183"/>
      <c r="V13" s="183"/>
      <c r="W13" s="183"/>
      <c r="X13" s="183"/>
      <c r="Y13" s="183"/>
      <c r="Z13" s="198"/>
      <c r="AA13" s="198"/>
      <c r="AB13" s="183"/>
      <c r="AC13" s="183"/>
      <c r="AD13" s="183"/>
      <c r="AE13" s="183"/>
      <c r="AF13" s="183"/>
      <c r="AG13" s="183"/>
      <c r="AH13" s="183"/>
      <c r="AJ13" s="72">
        <f t="shared" si="1"/>
        <v>0</v>
      </c>
    </row>
    <row r="14" spans="1:36" ht="15.75" hidden="1" outlineLevel="1" thickBot="1" x14ac:dyDescent="0.3">
      <c r="B14" s="151"/>
      <c r="C14" s="9" t="s">
        <v>3</v>
      </c>
      <c r="D14" s="184"/>
      <c r="E14" s="199"/>
      <c r="F14" s="199"/>
      <c r="G14" s="184"/>
      <c r="H14" s="184"/>
      <c r="I14" s="184"/>
      <c r="J14" s="184"/>
      <c r="K14" s="184"/>
      <c r="L14" s="199"/>
      <c r="M14" s="199"/>
      <c r="N14" s="184"/>
      <c r="O14" s="184"/>
      <c r="P14" s="184"/>
      <c r="Q14" s="184"/>
      <c r="R14" s="184"/>
      <c r="S14" s="199"/>
      <c r="T14" s="199"/>
      <c r="U14" s="184"/>
      <c r="V14" s="184"/>
      <c r="W14" s="184"/>
      <c r="X14" s="184"/>
      <c r="Y14" s="184"/>
      <c r="Z14" s="199"/>
      <c r="AA14" s="199"/>
      <c r="AB14" s="184"/>
      <c r="AC14" s="184"/>
      <c r="AD14" s="184"/>
      <c r="AE14" s="184"/>
      <c r="AF14" s="184"/>
      <c r="AG14" s="184"/>
      <c r="AH14" s="184"/>
      <c r="AI14" s="7"/>
      <c r="AJ14" s="69">
        <f t="shared" si="1"/>
        <v>0</v>
      </c>
    </row>
    <row r="15" spans="1:36" ht="16.5" collapsed="1" thickTop="1" thickBot="1" x14ac:dyDescent="0.3">
      <c r="B15" s="149" t="str">
        <f>'Hours Scheduled'!B6</f>
        <v>Bastiaan Franssen</v>
      </c>
      <c r="C15" t="s">
        <v>0</v>
      </c>
      <c r="D15" s="180"/>
      <c r="E15" s="198"/>
      <c r="F15" s="198"/>
      <c r="G15" s="180"/>
      <c r="H15" s="180">
        <v>0</v>
      </c>
      <c r="I15" s="180">
        <v>0</v>
      </c>
      <c r="J15" s="180"/>
      <c r="K15" s="180">
        <v>0</v>
      </c>
      <c r="L15" s="198"/>
      <c r="M15" s="198"/>
      <c r="N15" s="180">
        <v>8</v>
      </c>
      <c r="O15" s="180"/>
      <c r="P15" s="180"/>
      <c r="Q15" s="180"/>
      <c r="R15" s="180"/>
      <c r="S15" s="198"/>
      <c r="T15" s="198"/>
      <c r="U15" s="180"/>
      <c r="V15" s="180"/>
      <c r="W15" s="180"/>
      <c r="X15" s="180"/>
      <c r="Y15" s="180"/>
      <c r="Z15" s="198"/>
      <c r="AA15" s="198"/>
      <c r="AB15" s="180"/>
      <c r="AC15" s="180"/>
      <c r="AD15" s="180"/>
      <c r="AE15" s="180"/>
      <c r="AF15" s="180"/>
      <c r="AG15" s="180"/>
      <c r="AH15" s="180"/>
      <c r="AJ15" s="64">
        <f>SUM(D15:AH15)</f>
        <v>8</v>
      </c>
    </row>
    <row r="16" spans="1:36" ht="15.75" hidden="1" outlineLevel="1" thickTop="1" x14ac:dyDescent="0.25">
      <c r="B16" s="150"/>
      <c r="C16" s="1" t="s">
        <v>1</v>
      </c>
      <c r="D16" s="181"/>
      <c r="E16" s="198"/>
      <c r="F16" s="198"/>
      <c r="G16" s="181"/>
      <c r="H16" s="181">
        <v>4</v>
      </c>
      <c r="I16" s="181">
        <v>8</v>
      </c>
      <c r="J16" s="181"/>
      <c r="K16" s="181"/>
      <c r="L16" s="198"/>
      <c r="M16" s="198"/>
      <c r="N16" s="181"/>
      <c r="O16" s="181"/>
      <c r="P16" s="181"/>
      <c r="Q16" s="181"/>
      <c r="R16" s="181"/>
      <c r="S16" s="198"/>
      <c r="T16" s="198"/>
      <c r="U16" s="181"/>
      <c r="V16" s="181"/>
      <c r="W16" s="181"/>
      <c r="X16" s="181"/>
      <c r="Y16" s="181"/>
      <c r="Z16" s="198"/>
      <c r="AA16" s="198"/>
      <c r="AB16" s="181"/>
      <c r="AC16" s="181"/>
      <c r="AD16" s="181"/>
      <c r="AE16" s="181"/>
      <c r="AF16" s="181"/>
      <c r="AG16" s="181"/>
      <c r="AH16" s="181"/>
      <c r="AJ16" s="70">
        <f t="shared" ref="AJ16:AJ19" si="2">SUM(D16:AH16)</f>
        <v>12</v>
      </c>
    </row>
    <row r="17" spans="2:36" hidden="1" outlineLevel="1" x14ac:dyDescent="0.25">
      <c r="B17" s="151"/>
      <c r="C17" s="1" t="s">
        <v>2</v>
      </c>
      <c r="D17" s="182"/>
      <c r="E17" s="198"/>
      <c r="F17" s="198"/>
      <c r="G17" s="182"/>
      <c r="H17" s="182"/>
      <c r="I17" s="182"/>
      <c r="J17" s="182"/>
      <c r="K17" s="182"/>
      <c r="L17" s="198"/>
      <c r="M17" s="198"/>
      <c r="N17" s="182"/>
      <c r="O17" s="182"/>
      <c r="P17" s="182"/>
      <c r="Q17" s="182"/>
      <c r="R17" s="182"/>
      <c r="S17" s="198"/>
      <c r="T17" s="198"/>
      <c r="U17" s="182"/>
      <c r="V17" s="182"/>
      <c r="W17" s="182"/>
      <c r="X17" s="182"/>
      <c r="Y17" s="182"/>
      <c r="Z17" s="198"/>
      <c r="AA17" s="198"/>
      <c r="AB17" s="182"/>
      <c r="AC17" s="182"/>
      <c r="AD17" s="182"/>
      <c r="AE17" s="182"/>
      <c r="AF17" s="182"/>
      <c r="AG17" s="182"/>
      <c r="AH17" s="182"/>
      <c r="AJ17" s="71">
        <f t="shared" si="2"/>
        <v>0</v>
      </c>
    </row>
    <row r="18" spans="2:36" hidden="1" outlineLevel="1" x14ac:dyDescent="0.25">
      <c r="B18" s="151"/>
      <c r="C18" s="54" t="s">
        <v>77</v>
      </c>
      <c r="D18" s="183"/>
      <c r="E18" s="198"/>
      <c r="F18" s="198"/>
      <c r="G18" s="183"/>
      <c r="H18" s="183"/>
      <c r="I18" s="183"/>
      <c r="J18" s="183"/>
      <c r="K18" s="183">
        <v>8</v>
      </c>
      <c r="L18" s="198"/>
      <c r="M18" s="198"/>
      <c r="N18" s="183"/>
      <c r="O18" s="183"/>
      <c r="P18" s="183"/>
      <c r="Q18" s="183"/>
      <c r="R18" s="183"/>
      <c r="S18" s="198"/>
      <c r="T18" s="198"/>
      <c r="U18" s="183"/>
      <c r="V18" s="183"/>
      <c r="W18" s="183"/>
      <c r="X18" s="183"/>
      <c r="Y18" s="183"/>
      <c r="Z18" s="198"/>
      <c r="AA18" s="198"/>
      <c r="AB18" s="183"/>
      <c r="AC18" s="183"/>
      <c r="AD18" s="183"/>
      <c r="AE18" s="183"/>
      <c r="AF18" s="183"/>
      <c r="AG18" s="183"/>
      <c r="AH18" s="183"/>
      <c r="AJ18" s="72">
        <f t="shared" si="2"/>
        <v>8</v>
      </c>
    </row>
    <row r="19" spans="2:36" ht="15.75" hidden="1" outlineLevel="1" thickBot="1" x14ac:dyDescent="0.3">
      <c r="B19" s="151"/>
      <c r="C19" s="9" t="s">
        <v>3</v>
      </c>
      <c r="D19" s="184"/>
      <c r="E19" s="199"/>
      <c r="F19" s="199"/>
      <c r="G19" s="184"/>
      <c r="H19" s="184"/>
      <c r="I19" s="184"/>
      <c r="J19" s="184"/>
      <c r="K19" s="184"/>
      <c r="L19" s="199"/>
      <c r="M19" s="199"/>
      <c r="N19" s="184"/>
      <c r="O19" s="184"/>
      <c r="P19" s="184"/>
      <c r="Q19" s="184"/>
      <c r="R19" s="184"/>
      <c r="S19" s="199"/>
      <c r="T19" s="199"/>
      <c r="U19" s="184"/>
      <c r="V19" s="184"/>
      <c r="W19" s="184"/>
      <c r="X19" s="184"/>
      <c r="Y19" s="184"/>
      <c r="Z19" s="199"/>
      <c r="AA19" s="199"/>
      <c r="AB19" s="184"/>
      <c r="AC19" s="184"/>
      <c r="AD19" s="184"/>
      <c r="AE19" s="184"/>
      <c r="AF19" s="184"/>
      <c r="AG19" s="184"/>
      <c r="AH19" s="184"/>
      <c r="AI19" s="7"/>
      <c r="AJ19" s="69">
        <f t="shared" si="2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180"/>
      <c r="E20" s="198"/>
      <c r="F20" s="198"/>
      <c r="G20" s="180"/>
      <c r="H20" s="180"/>
      <c r="I20" s="180"/>
      <c r="J20" s="180"/>
      <c r="K20" s="180"/>
      <c r="L20" s="198"/>
      <c r="M20" s="198"/>
      <c r="N20" s="180"/>
      <c r="O20" s="180"/>
      <c r="P20" s="180">
        <v>0</v>
      </c>
      <c r="Q20" s="180"/>
      <c r="R20" s="180"/>
      <c r="S20" s="198"/>
      <c r="T20" s="198"/>
      <c r="U20" s="180"/>
      <c r="V20" s="180"/>
      <c r="W20" s="180"/>
      <c r="X20" s="180"/>
      <c r="Y20" s="180"/>
      <c r="Z20" s="198"/>
      <c r="AA20" s="198"/>
      <c r="AB20" s="180"/>
      <c r="AC20" s="180"/>
      <c r="AD20" s="180"/>
      <c r="AE20" s="180"/>
      <c r="AF20" s="180"/>
      <c r="AG20" s="180"/>
      <c r="AH20" s="180"/>
      <c r="AJ20" s="64">
        <f>SUM(D20:AH20)</f>
        <v>0</v>
      </c>
    </row>
    <row r="21" spans="2:36" ht="15.75" hidden="1" outlineLevel="1" thickTop="1" x14ac:dyDescent="0.25">
      <c r="B21" s="150"/>
      <c r="C21" s="1" t="s">
        <v>1</v>
      </c>
      <c r="D21" s="181"/>
      <c r="E21" s="198"/>
      <c r="F21" s="198"/>
      <c r="G21" s="181"/>
      <c r="H21" s="181"/>
      <c r="I21" s="181"/>
      <c r="J21" s="181"/>
      <c r="K21" s="181"/>
      <c r="L21" s="198"/>
      <c r="M21" s="198"/>
      <c r="N21" s="181"/>
      <c r="O21" s="181"/>
      <c r="P21" s="181"/>
      <c r="Q21" s="181"/>
      <c r="R21" s="181"/>
      <c r="S21" s="198"/>
      <c r="T21" s="198"/>
      <c r="U21" s="181"/>
      <c r="V21" s="181"/>
      <c r="W21" s="181"/>
      <c r="X21" s="181"/>
      <c r="Y21" s="181"/>
      <c r="Z21" s="198"/>
      <c r="AA21" s="198"/>
      <c r="AB21" s="181"/>
      <c r="AC21" s="181"/>
      <c r="AD21" s="181"/>
      <c r="AE21" s="181"/>
      <c r="AF21" s="181"/>
      <c r="AG21" s="181"/>
      <c r="AH21" s="181"/>
      <c r="AJ21" s="70">
        <f t="shared" ref="AJ21:AJ24" si="3">SUM(D21:AH21)</f>
        <v>0</v>
      </c>
    </row>
    <row r="22" spans="2:36" hidden="1" outlineLevel="1" x14ac:dyDescent="0.25">
      <c r="B22" s="151"/>
      <c r="C22" s="1" t="s">
        <v>2</v>
      </c>
      <c r="D22" s="182"/>
      <c r="E22" s="198"/>
      <c r="F22" s="198"/>
      <c r="G22" s="182"/>
      <c r="H22" s="182"/>
      <c r="I22" s="182"/>
      <c r="J22" s="182"/>
      <c r="K22" s="182"/>
      <c r="L22" s="198"/>
      <c r="M22" s="198"/>
      <c r="N22" s="182"/>
      <c r="O22" s="182"/>
      <c r="P22" s="182"/>
      <c r="Q22" s="182"/>
      <c r="R22" s="182"/>
      <c r="S22" s="198"/>
      <c r="T22" s="198"/>
      <c r="U22" s="182"/>
      <c r="V22" s="182"/>
      <c r="W22" s="182"/>
      <c r="X22" s="182"/>
      <c r="Y22" s="182"/>
      <c r="Z22" s="198"/>
      <c r="AA22" s="198"/>
      <c r="AB22" s="182"/>
      <c r="AC22" s="182"/>
      <c r="AD22" s="182"/>
      <c r="AE22" s="182"/>
      <c r="AF22" s="182"/>
      <c r="AG22" s="182"/>
      <c r="AH22" s="182"/>
      <c r="AJ22" s="71">
        <f t="shared" si="3"/>
        <v>0</v>
      </c>
    </row>
    <row r="23" spans="2:36" hidden="1" outlineLevel="1" x14ac:dyDescent="0.25">
      <c r="B23" s="151"/>
      <c r="C23" s="54" t="s">
        <v>77</v>
      </c>
      <c r="D23" s="183"/>
      <c r="E23" s="198"/>
      <c r="F23" s="198"/>
      <c r="G23" s="183"/>
      <c r="H23" s="183"/>
      <c r="I23" s="183"/>
      <c r="J23" s="183"/>
      <c r="K23" s="183"/>
      <c r="L23" s="198"/>
      <c r="M23" s="198"/>
      <c r="N23" s="183"/>
      <c r="O23" s="183"/>
      <c r="P23" s="183"/>
      <c r="Q23" s="183"/>
      <c r="R23" s="183"/>
      <c r="S23" s="198"/>
      <c r="T23" s="198"/>
      <c r="U23" s="183"/>
      <c r="V23" s="183"/>
      <c r="W23" s="183"/>
      <c r="X23" s="183"/>
      <c r="Y23" s="183"/>
      <c r="Z23" s="198"/>
      <c r="AA23" s="198"/>
      <c r="AB23" s="183"/>
      <c r="AC23" s="183"/>
      <c r="AD23" s="183"/>
      <c r="AE23" s="183"/>
      <c r="AF23" s="183"/>
      <c r="AG23" s="183"/>
      <c r="AH23" s="183"/>
      <c r="AJ23" s="72">
        <f t="shared" si="3"/>
        <v>0</v>
      </c>
    </row>
    <row r="24" spans="2:36" ht="15.75" hidden="1" outlineLevel="1" thickBot="1" x14ac:dyDescent="0.3">
      <c r="B24" s="151"/>
      <c r="C24" s="9" t="s">
        <v>3</v>
      </c>
      <c r="D24" s="184"/>
      <c r="E24" s="199"/>
      <c r="F24" s="199"/>
      <c r="G24" s="184"/>
      <c r="H24" s="184"/>
      <c r="I24" s="184"/>
      <c r="J24" s="184"/>
      <c r="K24" s="184"/>
      <c r="L24" s="199"/>
      <c r="M24" s="199"/>
      <c r="N24" s="184"/>
      <c r="O24" s="184"/>
      <c r="P24" s="184"/>
      <c r="Q24" s="184"/>
      <c r="R24" s="184"/>
      <c r="S24" s="199"/>
      <c r="T24" s="199"/>
      <c r="U24" s="184"/>
      <c r="V24" s="184"/>
      <c r="W24" s="184"/>
      <c r="X24" s="184"/>
      <c r="Y24" s="184"/>
      <c r="Z24" s="199"/>
      <c r="AA24" s="199"/>
      <c r="AB24" s="184"/>
      <c r="AC24" s="184"/>
      <c r="AD24" s="184"/>
      <c r="AE24" s="184"/>
      <c r="AF24" s="184"/>
      <c r="AG24" s="184"/>
      <c r="AH24" s="184"/>
      <c r="AI24" s="7"/>
      <c r="AJ24" s="69">
        <f t="shared" si="3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180"/>
      <c r="E25" s="198"/>
      <c r="F25" s="198"/>
      <c r="G25" s="180"/>
      <c r="H25" s="180">
        <v>0</v>
      </c>
      <c r="I25" s="180"/>
      <c r="J25" s="180">
        <v>0</v>
      </c>
      <c r="K25" s="180">
        <v>4</v>
      </c>
      <c r="L25" s="198"/>
      <c r="M25" s="198"/>
      <c r="N25" s="180">
        <v>8</v>
      </c>
      <c r="O25" s="180">
        <v>8</v>
      </c>
      <c r="P25" s="180">
        <v>8</v>
      </c>
      <c r="Q25" s="180">
        <v>8</v>
      </c>
      <c r="R25" s="180">
        <v>8</v>
      </c>
      <c r="S25" s="198"/>
      <c r="T25" s="198"/>
      <c r="U25" s="180"/>
      <c r="V25" s="180"/>
      <c r="W25" s="180"/>
      <c r="X25" s="180"/>
      <c r="Y25" s="180"/>
      <c r="Z25" s="198"/>
      <c r="AA25" s="198"/>
      <c r="AB25" s="180"/>
      <c r="AC25" s="180"/>
      <c r="AD25" s="180">
        <v>0</v>
      </c>
      <c r="AE25" s="180"/>
      <c r="AF25" s="180"/>
      <c r="AG25" s="180"/>
      <c r="AH25" s="180"/>
      <c r="AJ25" s="64">
        <f>SUM(D25:AH25)</f>
        <v>44</v>
      </c>
    </row>
    <row r="26" spans="2:36" ht="15.75" hidden="1" outlineLevel="1" thickTop="1" x14ac:dyDescent="0.25">
      <c r="B26" s="150"/>
      <c r="C26" s="1" t="s">
        <v>1</v>
      </c>
      <c r="D26" s="181"/>
      <c r="E26" s="198"/>
      <c r="F26" s="198"/>
      <c r="G26" s="181"/>
      <c r="H26" s="181"/>
      <c r="I26" s="181"/>
      <c r="J26" s="181"/>
      <c r="K26" s="181"/>
      <c r="L26" s="198"/>
      <c r="M26" s="198"/>
      <c r="N26" s="181"/>
      <c r="O26" s="181"/>
      <c r="P26" s="181"/>
      <c r="Q26" s="181"/>
      <c r="R26" s="181"/>
      <c r="S26" s="198"/>
      <c r="T26" s="198"/>
      <c r="U26" s="181"/>
      <c r="V26" s="181"/>
      <c r="W26" s="181"/>
      <c r="X26" s="181"/>
      <c r="Y26" s="181"/>
      <c r="Z26" s="198"/>
      <c r="AA26" s="198"/>
      <c r="AB26" s="181"/>
      <c r="AC26" s="181"/>
      <c r="AD26" s="181"/>
      <c r="AE26" s="181"/>
      <c r="AF26" s="181"/>
      <c r="AG26" s="181"/>
      <c r="AH26" s="181"/>
      <c r="AJ26" s="70">
        <f t="shared" ref="AJ26:AJ29" si="4">SUM(D26:AH26)</f>
        <v>0</v>
      </c>
    </row>
    <row r="27" spans="2:36" hidden="1" outlineLevel="1" x14ac:dyDescent="0.25">
      <c r="B27" s="151"/>
      <c r="C27" s="1" t="s">
        <v>2</v>
      </c>
      <c r="D27" s="182"/>
      <c r="E27" s="198"/>
      <c r="F27" s="198"/>
      <c r="G27" s="182"/>
      <c r="H27" s="182">
        <v>4</v>
      </c>
      <c r="I27" s="182"/>
      <c r="J27" s="182"/>
      <c r="K27" s="182"/>
      <c r="L27" s="198"/>
      <c r="M27" s="198"/>
      <c r="N27" s="182"/>
      <c r="O27" s="182"/>
      <c r="P27" s="182"/>
      <c r="Q27" s="182"/>
      <c r="R27" s="182"/>
      <c r="S27" s="198"/>
      <c r="T27" s="198"/>
      <c r="U27" s="182"/>
      <c r="V27" s="182"/>
      <c r="W27" s="182"/>
      <c r="X27" s="182"/>
      <c r="Y27" s="182"/>
      <c r="Z27" s="198"/>
      <c r="AA27" s="198"/>
      <c r="AB27" s="182"/>
      <c r="AC27" s="182"/>
      <c r="AD27" s="182">
        <v>4</v>
      </c>
      <c r="AE27" s="182"/>
      <c r="AF27" s="182"/>
      <c r="AG27" s="182"/>
      <c r="AH27" s="182"/>
      <c r="AJ27" s="71">
        <f t="shared" si="4"/>
        <v>8</v>
      </c>
    </row>
    <row r="28" spans="2:36" hidden="1" outlineLevel="1" x14ac:dyDescent="0.25">
      <c r="B28" s="151"/>
      <c r="C28" s="54" t="s">
        <v>77</v>
      </c>
      <c r="D28" s="183"/>
      <c r="E28" s="198"/>
      <c r="F28" s="198"/>
      <c r="G28" s="183"/>
      <c r="H28" s="183"/>
      <c r="I28" s="183"/>
      <c r="J28" s="183"/>
      <c r="K28" s="183"/>
      <c r="L28" s="198"/>
      <c r="M28" s="198"/>
      <c r="N28" s="183"/>
      <c r="O28" s="183"/>
      <c r="P28" s="183"/>
      <c r="Q28" s="183"/>
      <c r="R28" s="183"/>
      <c r="S28" s="198"/>
      <c r="T28" s="198"/>
      <c r="U28" s="183"/>
      <c r="V28" s="183"/>
      <c r="W28" s="183"/>
      <c r="X28" s="183"/>
      <c r="Y28" s="183"/>
      <c r="Z28" s="198"/>
      <c r="AA28" s="198"/>
      <c r="AB28" s="183"/>
      <c r="AC28" s="183"/>
      <c r="AD28" s="183"/>
      <c r="AE28" s="183"/>
      <c r="AF28" s="183"/>
      <c r="AG28" s="183"/>
      <c r="AH28" s="183"/>
      <c r="AJ28" s="72">
        <f t="shared" si="4"/>
        <v>0</v>
      </c>
    </row>
    <row r="29" spans="2:36" ht="15.75" hidden="1" outlineLevel="1" thickBot="1" x14ac:dyDescent="0.3">
      <c r="B29" s="151"/>
      <c r="C29" s="9" t="s">
        <v>3</v>
      </c>
      <c r="D29" s="184"/>
      <c r="E29" s="199"/>
      <c r="F29" s="199"/>
      <c r="G29" s="184"/>
      <c r="H29" s="184"/>
      <c r="I29" s="184"/>
      <c r="J29" s="184">
        <v>0.5</v>
      </c>
      <c r="K29" s="184"/>
      <c r="L29" s="199"/>
      <c r="M29" s="199"/>
      <c r="N29" s="184"/>
      <c r="O29" s="184"/>
      <c r="P29" s="184"/>
      <c r="Q29" s="184"/>
      <c r="R29" s="184"/>
      <c r="S29" s="199"/>
      <c r="T29" s="199"/>
      <c r="U29" s="184"/>
      <c r="V29" s="184"/>
      <c r="W29" s="184"/>
      <c r="X29" s="184"/>
      <c r="Y29" s="184"/>
      <c r="Z29" s="199"/>
      <c r="AA29" s="199"/>
      <c r="AB29" s="184"/>
      <c r="AC29" s="184"/>
      <c r="AD29" s="184"/>
      <c r="AE29" s="184"/>
      <c r="AF29" s="184"/>
      <c r="AG29" s="184"/>
      <c r="AH29" s="184"/>
      <c r="AI29" s="7"/>
      <c r="AJ29" s="69">
        <f t="shared" si="4"/>
        <v>0.5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180"/>
      <c r="E30" s="198"/>
      <c r="F30" s="198"/>
      <c r="G30" s="180"/>
      <c r="H30" s="180"/>
      <c r="I30" s="180"/>
      <c r="J30" s="180">
        <v>0</v>
      </c>
      <c r="K30" s="180">
        <v>0</v>
      </c>
      <c r="L30" s="198"/>
      <c r="M30" s="198"/>
      <c r="N30" s="180">
        <v>0</v>
      </c>
      <c r="O30" s="180">
        <v>0</v>
      </c>
      <c r="P30" s="180">
        <v>0</v>
      </c>
      <c r="Q30" s="180">
        <v>0</v>
      </c>
      <c r="R30" s="180">
        <v>0</v>
      </c>
      <c r="S30" s="198"/>
      <c r="T30" s="198"/>
      <c r="U30" s="180"/>
      <c r="V30" s="180"/>
      <c r="W30" s="180"/>
      <c r="X30" s="180"/>
      <c r="Y30" s="180"/>
      <c r="Z30" s="198"/>
      <c r="AA30" s="198"/>
      <c r="AB30" s="180"/>
      <c r="AC30" s="180"/>
      <c r="AD30" s="180">
        <v>8</v>
      </c>
      <c r="AE30" s="180"/>
      <c r="AF30" s="180"/>
      <c r="AG30" s="180"/>
      <c r="AH30" s="180"/>
      <c r="AJ30" s="64">
        <f>SUM(D30:AH30)</f>
        <v>8</v>
      </c>
    </row>
    <row r="31" spans="2:36" ht="15.75" hidden="1" outlineLevel="1" thickTop="1" x14ac:dyDescent="0.25">
      <c r="B31" s="150"/>
      <c r="C31" s="1" t="s">
        <v>1</v>
      </c>
      <c r="D31" s="181"/>
      <c r="E31" s="198"/>
      <c r="F31" s="198"/>
      <c r="G31" s="181"/>
      <c r="H31" s="181"/>
      <c r="I31" s="181"/>
      <c r="J31" s="181">
        <v>8</v>
      </c>
      <c r="K31" s="181">
        <v>8</v>
      </c>
      <c r="L31" s="198"/>
      <c r="M31" s="198"/>
      <c r="N31" s="181">
        <v>8</v>
      </c>
      <c r="O31" s="181">
        <v>8</v>
      </c>
      <c r="P31" s="181">
        <v>8</v>
      </c>
      <c r="Q31" s="181"/>
      <c r="R31" s="181"/>
      <c r="S31" s="198"/>
      <c r="T31" s="198"/>
      <c r="U31" s="181"/>
      <c r="V31" s="181"/>
      <c r="W31" s="181"/>
      <c r="X31" s="181"/>
      <c r="Y31" s="181"/>
      <c r="Z31" s="198"/>
      <c r="AA31" s="198"/>
      <c r="AB31" s="181"/>
      <c r="AC31" s="181"/>
      <c r="AD31" s="181"/>
      <c r="AE31" s="181"/>
      <c r="AF31" s="181"/>
      <c r="AG31" s="181"/>
      <c r="AH31" s="181"/>
      <c r="AJ31" s="70">
        <f t="shared" ref="AJ31:AJ34" si="5">SUM(D31:AH31)</f>
        <v>40</v>
      </c>
    </row>
    <row r="32" spans="2:36" hidden="1" outlineLevel="1" x14ac:dyDescent="0.25">
      <c r="B32" s="151"/>
      <c r="C32" s="1" t="s">
        <v>2</v>
      </c>
      <c r="D32" s="182"/>
      <c r="E32" s="198"/>
      <c r="F32" s="198"/>
      <c r="G32" s="182"/>
      <c r="H32" s="182"/>
      <c r="I32" s="182"/>
      <c r="J32" s="182"/>
      <c r="K32" s="182"/>
      <c r="L32" s="198"/>
      <c r="M32" s="198"/>
      <c r="N32" s="182"/>
      <c r="O32" s="182"/>
      <c r="P32" s="182"/>
      <c r="Q32" s="182"/>
      <c r="R32" s="182"/>
      <c r="S32" s="198"/>
      <c r="T32" s="198"/>
      <c r="U32" s="182"/>
      <c r="V32" s="182"/>
      <c r="W32" s="182"/>
      <c r="X32" s="182"/>
      <c r="Y32" s="182"/>
      <c r="Z32" s="198"/>
      <c r="AA32" s="198"/>
      <c r="AB32" s="182"/>
      <c r="AC32" s="182"/>
      <c r="AD32" s="182"/>
      <c r="AE32" s="182"/>
      <c r="AF32" s="182"/>
      <c r="AG32" s="182"/>
      <c r="AH32" s="182"/>
      <c r="AJ32" s="71">
        <f t="shared" si="5"/>
        <v>0</v>
      </c>
    </row>
    <row r="33" spans="2:36" hidden="1" outlineLevel="1" x14ac:dyDescent="0.25">
      <c r="B33" s="151"/>
      <c r="C33" s="54" t="s">
        <v>77</v>
      </c>
      <c r="D33" s="183"/>
      <c r="E33" s="198"/>
      <c r="F33" s="198"/>
      <c r="G33" s="183"/>
      <c r="H33" s="183"/>
      <c r="I33" s="183"/>
      <c r="J33" s="183"/>
      <c r="K33" s="183"/>
      <c r="L33" s="198"/>
      <c r="M33" s="198"/>
      <c r="N33" s="183"/>
      <c r="O33" s="183"/>
      <c r="P33" s="183"/>
      <c r="Q33" s="183"/>
      <c r="R33" s="183"/>
      <c r="S33" s="198"/>
      <c r="T33" s="198"/>
      <c r="U33" s="183"/>
      <c r="V33" s="183"/>
      <c r="W33" s="183"/>
      <c r="X33" s="183"/>
      <c r="Y33" s="183"/>
      <c r="Z33" s="198"/>
      <c r="AA33" s="198"/>
      <c r="AB33" s="183"/>
      <c r="AC33" s="183"/>
      <c r="AD33" s="183"/>
      <c r="AE33" s="183"/>
      <c r="AF33" s="183"/>
      <c r="AG33" s="183"/>
      <c r="AH33" s="183"/>
      <c r="AJ33" s="72">
        <f t="shared" si="5"/>
        <v>0</v>
      </c>
    </row>
    <row r="34" spans="2:36" ht="15.75" hidden="1" outlineLevel="1" thickBot="1" x14ac:dyDescent="0.3">
      <c r="B34" s="151"/>
      <c r="C34" s="9" t="s">
        <v>3</v>
      </c>
      <c r="D34" s="184"/>
      <c r="E34" s="199"/>
      <c r="F34" s="199"/>
      <c r="G34" s="184"/>
      <c r="H34" s="184"/>
      <c r="I34" s="184"/>
      <c r="J34" s="184"/>
      <c r="K34" s="184"/>
      <c r="L34" s="199"/>
      <c r="M34" s="199"/>
      <c r="N34" s="184"/>
      <c r="O34" s="184"/>
      <c r="P34" s="184"/>
      <c r="Q34" s="184"/>
      <c r="R34" s="184"/>
      <c r="S34" s="199"/>
      <c r="T34" s="199"/>
      <c r="U34" s="184"/>
      <c r="V34" s="184"/>
      <c r="W34" s="184"/>
      <c r="X34" s="184"/>
      <c r="Y34" s="184"/>
      <c r="Z34" s="199"/>
      <c r="AA34" s="199"/>
      <c r="AB34" s="184"/>
      <c r="AC34" s="184"/>
      <c r="AD34" s="184"/>
      <c r="AE34" s="184"/>
      <c r="AF34" s="184"/>
      <c r="AG34" s="184"/>
      <c r="AH34" s="184"/>
      <c r="AI34" s="7"/>
      <c r="AJ34" s="69">
        <f t="shared" si="5"/>
        <v>0</v>
      </c>
    </row>
    <row r="35" spans="2:36" ht="16.5" collapsed="1" thickTop="1" thickBot="1" x14ac:dyDescent="0.3">
      <c r="B35" s="149" t="str">
        <f>'Hours Scheduled'!B10</f>
        <v>Dennis van 't Hul</v>
      </c>
      <c r="C35" t="s">
        <v>0</v>
      </c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J35" s="64">
        <f>SUM(D35:AH35)</f>
        <v>0</v>
      </c>
    </row>
    <row r="36" spans="2:36" ht="15.75" hidden="1" outlineLevel="1" thickTop="1" x14ac:dyDescent="0.25">
      <c r="B36" s="150"/>
      <c r="C36" s="1" t="s">
        <v>1</v>
      </c>
      <c r="D36" s="181"/>
      <c r="E36" s="198"/>
      <c r="F36" s="198"/>
      <c r="G36" s="181"/>
      <c r="H36" s="181"/>
      <c r="I36" s="181"/>
      <c r="J36" s="181"/>
      <c r="K36" s="181"/>
      <c r="L36" s="198"/>
      <c r="M36" s="198"/>
      <c r="N36" s="181"/>
      <c r="O36" s="181"/>
      <c r="P36" s="181"/>
      <c r="Q36" s="181"/>
      <c r="R36" s="181"/>
      <c r="S36" s="198"/>
      <c r="T36" s="198"/>
      <c r="U36" s="181"/>
      <c r="V36" s="181"/>
      <c r="W36" s="181"/>
      <c r="X36" s="181"/>
      <c r="Y36" s="181"/>
      <c r="Z36" s="198"/>
      <c r="AA36" s="198"/>
      <c r="AB36" s="181"/>
      <c r="AC36" s="181"/>
      <c r="AD36" s="181"/>
      <c r="AE36" s="181"/>
      <c r="AF36" s="181"/>
      <c r="AG36" s="181"/>
      <c r="AH36" s="181"/>
      <c r="AJ36" s="70">
        <f t="shared" ref="AJ36:AJ39" si="6">SUM(D36:AH36)</f>
        <v>0</v>
      </c>
    </row>
    <row r="37" spans="2:36" hidden="1" outlineLevel="1" x14ac:dyDescent="0.25">
      <c r="B37" s="151"/>
      <c r="C37" s="1" t="s">
        <v>2</v>
      </c>
      <c r="D37" s="182"/>
      <c r="E37" s="198"/>
      <c r="F37" s="198"/>
      <c r="G37" s="182"/>
      <c r="H37" s="182"/>
      <c r="I37" s="182"/>
      <c r="J37" s="182"/>
      <c r="K37" s="182"/>
      <c r="L37" s="198"/>
      <c r="M37" s="198"/>
      <c r="N37" s="182"/>
      <c r="O37" s="182"/>
      <c r="P37" s="182"/>
      <c r="Q37" s="182"/>
      <c r="R37" s="182"/>
      <c r="S37" s="198"/>
      <c r="T37" s="198"/>
      <c r="U37" s="182"/>
      <c r="V37" s="182"/>
      <c r="W37" s="182"/>
      <c r="X37" s="182"/>
      <c r="Y37" s="182"/>
      <c r="Z37" s="198"/>
      <c r="AA37" s="198"/>
      <c r="AB37" s="182"/>
      <c r="AC37" s="182"/>
      <c r="AD37" s="182"/>
      <c r="AE37" s="182"/>
      <c r="AF37" s="182"/>
      <c r="AG37" s="182"/>
      <c r="AH37" s="182"/>
      <c r="AJ37" s="71">
        <f t="shared" si="6"/>
        <v>0</v>
      </c>
    </row>
    <row r="38" spans="2:36" hidden="1" outlineLevel="1" x14ac:dyDescent="0.25">
      <c r="B38" s="151"/>
      <c r="C38" s="54" t="s">
        <v>77</v>
      </c>
      <c r="D38" s="183"/>
      <c r="E38" s="198"/>
      <c r="F38" s="198"/>
      <c r="G38" s="183"/>
      <c r="H38" s="183"/>
      <c r="I38" s="183"/>
      <c r="J38" s="183"/>
      <c r="K38" s="183"/>
      <c r="L38" s="198"/>
      <c r="M38" s="198"/>
      <c r="N38" s="183"/>
      <c r="O38" s="183"/>
      <c r="P38" s="183"/>
      <c r="Q38" s="183"/>
      <c r="R38" s="183"/>
      <c r="S38" s="198"/>
      <c r="T38" s="198"/>
      <c r="U38" s="183"/>
      <c r="V38" s="183"/>
      <c r="W38" s="183"/>
      <c r="X38" s="183"/>
      <c r="Y38" s="183"/>
      <c r="Z38" s="198"/>
      <c r="AA38" s="198"/>
      <c r="AB38" s="183"/>
      <c r="AC38" s="183"/>
      <c r="AD38" s="183"/>
      <c r="AE38" s="183"/>
      <c r="AF38" s="183"/>
      <c r="AG38" s="183"/>
      <c r="AH38" s="183"/>
      <c r="AJ38" s="72">
        <f t="shared" si="6"/>
        <v>0</v>
      </c>
    </row>
    <row r="39" spans="2:36" ht="15.75" hidden="1" outlineLevel="1" thickBot="1" x14ac:dyDescent="0.3">
      <c r="B39" s="151"/>
      <c r="C39" s="9" t="s">
        <v>3</v>
      </c>
      <c r="D39" s="184"/>
      <c r="E39" s="199"/>
      <c r="F39" s="199"/>
      <c r="G39" s="184"/>
      <c r="H39" s="184"/>
      <c r="I39" s="184"/>
      <c r="J39" s="184"/>
      <c r="K39" s="184"/>
      <c r="L39" s="199"/>
      <c r="M39" s="199"/>
      <c r="N39" s="184"/>
      <c r="O39" s="184"/>
      <c r="P39" s="184"/>
      <c r="Q39" s="184"/>
      <c r="R39" s="184"/>
      <c r="S39" s="199"/>
      <c r="T39" s="199"/>
      <c r="U39" s="184"/>
      <c r="V39" s="184"/>
      <c r="W39" s="184"/>
      <c r="X39" s="184"/>
      <c r="Y39" s="184"/>
      <c r="Z39" s="199"/>
      <c r="AA39" s="199"/>
      <c r="AB39" s="184"/>
      <c r="AC39" s="184"/>
      <c r="AD39" s="184"/>
      <c r="AE39" s="184"/>
      <c r="AF39" s="184"/>
      <c r="AG39" s="184"/>
      <c r="AH39" s="184"/>
      <c r="AI39" s="7"/>
      <c r="AJ39" s="69">
        <f t="shared" si="6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180"/>
      <c r="E40" s="198"/>
      <c r="F40" s="198"/>
      <c r="G40" s="180"/>
      <c r="H40" s="180"/>
      <c r="I40" s="180"/>
      <c r="J40" s="180"/>
      <c r="K40" s="180"/>
      <c r="L40" s="198"/>
      <c r="M40" s="198"/>
      <c r="N40" s="180"/>
      <c r="O40" s="180"/>
      <c r="P40" s="180"/>
      <c r="Q40" s="180"/>
      <c r="R40" s="180"/>
      <c r="S40" s="198"/>
      <c r="T40" s="198"/>
      <c r="U40" s="180"/>
      <c r="V40" s="180">
        <v>8</v>
      </c>
      <c r="W40" s="180"/>
      <c r="X40" s="180"/>
      <c r="Y40" s="180"/>
      <c r="Z40" s="198"/>
      <c r="AA40" s="198"/>
      <c r="AB40" s="180"/>
      <c r="AC40" s="180"/>
      <c r="AD40" s="180">
        <v>8</v>
      </c>
      <c r="AE40" s="180"/>
      <c r="AF40" s="180"/>
      <c r="AG40" s="180"/>
      <c r="AH40" s="180"/>
      <c r="AJ40" s="64">
        <f>SUM(D40:AH40)</f>
        <v>16</v>
      </c>
    </row>
    <row r="41" spans="2:36" ht="15.75" hidden="1" outlineLevel="1" thickTop="1" x14ac:dyDescent="0.25">
      <c r="B41" s="150"/>
      <c r="C41" s="1" t="s">
        <v>1</v>
      </c>
      <c r="D41" s="181"/>
      <c r="E41" s="198"/>
      <c r="F41" s="198"/>
      <c r="G41" s="181"/>
      <c r="H41" s="181"/>
      <c r="I41" s="181"/>
      <c r="J41" s="181"/>
      <c r="K41" s="181"/>
      <c r="L41" s="198"/>
      <c r="M41" s="198"/>
      <c r="N41" s="181"/>
      <c r="O41" s="181"/>
      <c r="P41" s="181"/>
      <c r="Q41" s="181"/>
      <c r="R41" s="181"/>
      <c r="S41" s="198"/>
      <c r="T41" s="198"/>
      <c r="U41" s="181"/>
      <c r="V41" s="181"/>
      <c r="W41" s="181"/>
      <c r="X41" s="181"/>
      <c r="Y41" s="181"/>
      <c r="Z41" s="198"/>
      <c r="AA41" s="198"/>
      <c r="AB41" s="181"/>
      <c r="AC41" s="181"/>
      <c r="AD41" s="181"/>
      <c r="AE41" s="181"/>
      <c r="AF41" s="181"/>
      <c r="AG41" s="181"/>
      <c r="AH41" s="181"/>
      <c r="AJ41" s="70">
        <f t="shared" ref="AJ41:AJ44" si="7">SUM(D41:AH41)</f>
        <v>0</v>
      </c>
    </row>
    <row r="42" spans="2:36" hidden="1" outlineLevel="1" x14ac:dyDescent="0.25">
      <c r="B42" s="151"/>
      <c r="C42" s="1" t="s">
        <v>2</v>
      </c>
      <c r="D42" s="182"/>
      <c r="E42" s="198"/>
      <c r="F42" s="198"/>
      <c r="G42" s="182"/>
      <c r="H42" s="182"/>
      <c r="I42" s="182"/>
      <c r="J42" s="182"/>
      <c r="K42" s="182"/>
      <c r="L42" s="198"/>
      <c r="M42" s="198"/>
      <c r="N42" s="182"/>
      <c r="O42" s="182"/>
      <c r="P42" s="182"/>
      <c r="Q42" s="182"/>
      <c r="R42" s="182"/>
      <c r="S42" s="198"/>
      <c r="T42" s="198"/>
      <c r="U42" s="182"/>
      <c r="V42" s="182"/>
      <c r="W42" s="182"/>
      <c r="X42" s="182"/>
      <c r="Y42" s="182"/>
      <c r="Z42" s="198"/>
      <c r="AA42" s="198"/>
      <c r="AB42" s="182"/>
      <c r="AC42" s="182"/>
      <c r="AD42" s="182"/>
      <c r="AE42" s="182"/>
      <c r="AF42" s="182"/>
      <c r="AG42" s="182"/>
      <c r="AH42" s="182"/>
      <c r="AJ42" s="71">
        <f t="shared" si="7"/>
        <v>0</v>
      </c>
    </row>
    <row r="43" spans="2:36" hidden="1" outlineLevel="1" x14ac:dyDescent="0.25">
      <c r="B43" s="151"/>
      <c r="C43" s="54" t="s">
        <v>77</v>
      </c>
      <c r="D43" s="183"/>
      <c r="E43" s="198"/>
      <c r="F43" s="198"/>
      <c r="G43" s="183"/>
      <c r="H43" s="183"/>
      <c r="I43" s="183"/>
      <c r="J43" s="183"/>
      <c r="K43" s="183"/>
      <c r="L43" s="198"/>
      <c r="M43" s="198"/>
      <c r="N43" s="183"/>
      <c r="O43" s="183"/>
      <c r="P43" s="183"/>
      <c r="Q43" s="183"/>
      <c r="R43" s="183"/>
      <c r="S43" s="198"/>
      <c r="T43" s="198"/>
      <c r="U43" s="183"/>
      <c r="V43" s="183"/>
      <c r="W43" s="183"/>
      <c r="X43" s="183"/>
      <c r="Y43" s="183"/>
      <c r="Z43" s="198"/>
      <c r="AA43" s="198"/>
      <c r="AB43" s="183"/>
      <c r="AC43" s="183"/>
      <c r="AD43" s="183"/>
      <c r="AE43" s="183"/>
      <c r="AF43" s="183"/>
      <c r="AG43" s="183"/>
      <c r="AH43" s="183"/>
      <c r="AJ43" s="72">
        <f t="shared" si="7"/>
        <v>0</v>
      </c>
    </row>
    <row r="44" spans="2:36" ht="15.75" hidden="1" outlineLevel="1" thickBot="1" x14ac:dyDescent="0.3">
      <c r="B44" s="151"/>
      <c r="C44" s="9" t="s">
        <v>3</v>
      </c>
      <c r="D44" s="184"/>
      <c r="E44" s="199"/>
      <c r="F44" s="199"/>
      <c r="G44" s="184"/>
      <c r="H44" s="184"/>
      <c r="I44" s="184"/>
      <c r="J44" s="184"/>
      <c r="K44" s="184"/>
      <c r="L44" s="199"/>
      <c r="M44" s="199"/>
      <c r="N44" s="184"/>
      <c r="O44" s="184"/>
      <c r="P44" s="184"/>
      <c r="Q44" s="184"/>
      <c r="R44" s="184"/>
      <c r="S44" s="199"/>
      <c r="T44" s="199"/>
      <c r="U44" s="184"/>
      <c r="V44" s="184"/>
      <c r="W44" s="184"/>
      <c r="X44" s="184"/>
      <c r="Y44" s="184"/>
      <c r="Z44" s="199"/>
      <c r="AA44" s="199"/>
      <c r="AB44" s="184"/>
      <c r="AC44" s="184"/>
      <c r="AD44" s="184"/>
      <c r="AE44" s="184"/>
      <c r="AF44" s="184"/>
      <c r="AG44" s="184"/>
      <c r="AH44" s="184"/>
      <c r="AI44" s="7"/>
      <c r="AJ44" s="69">
        <f t="shared" si="7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180"/>
      <c r="E45" s="198"/>
      <c r="F45" s="198"/>
      <c r="G45" s="180"/>
      <c r="H45" s="180">
        <v>0</v>
      </c>
      <c r="I45" s="180"/>
      <c r="J45" s="180"/>
      <c r="K45" s="180"/>
      <c r="L45" s="198"/>
      <c r="M45" s="198"/>
      <c r="N45" s="180">
        <v>0</v>
      </c>
      <c r="O45" s="180">
        <v>0</v>
      </c>
      <c r="P45" s="180">
        <v>0</v>
      </c>
      <c r="Q45" s="180"/>
      <c r="R45" s="180"/>
      <c r="S45" s="198"/>
      <c r="T45" s="198"/>
      <c r="U45" s="180"/>
      <c r="V45" s="180"/>
      <c r="W45" s="180"/>
      <c r="X45" s="180"/>
      <c r="Y45" s="180"/>
      <c r="Z45" s="198"/>
      <c r="AA45" s="198"/>
      <c r="AB45" s="180"/>
      <c r="AC45" s="180"/>
      <c r="AD45" s="180"/>
      <c r="AE45" s="180"/>
      <c r="AF45" s="180"/>
      <c r="AG45" s="180"/>
      <c r="AH45" s="180"/>
      <c r="AJ45" s="64">
        <f>SUM(D45:AH45)</f>
        <v>0</v>
      </c>
    </row>
    <row r="46" spans="2:36" ht="15.75" hidden="1" outlineLevel="1" thickTop="1" x14ac:dyDescent="0.25">
      <c r="B46" s="150"/>
      <c r="C46" s="1" t="s">
        <v>1</v>
      </c>
      <c r="D46" s="181"/>
      <c r="E46" s="198"/>
      <c r="F46" s="198"/>
      <c r="G46" s="181"/>
      <c r="H46" s="181"/>
      <c r="I46" s="181"/>
      <c r="J46" s="181"/>
      <c r="K46" s="181"/>
      <c r="L46" s="198"/>
      <c r="M46" s="198"/>
      <c r="N46" s="181">
        <v>8</v>
      </c>
      <c r="O46" s="181">
        <v>8</v>
      </c>
      <c r="P46" s="181">
        <v>8</v>
      </c>
      <c r="Q46" s="181"/>
      <c r="R46" s="181"/>
      <c r="S46" s="198"/>
      <c r="T46" s="198"/>
      <c r="U46" s="181"/>
      <c r="V46" s="181"/>
      <c r="W46" s="181"/>
      <c r="X46" s="181"/>
      <c r="Y46" s="181"/>
      <c r="Z46" s="198"/>
      <c r="AA46" s="198"/>
      <c r="AB46" s="181"/>
      <c r="AC46" s="181"/>
      <c r="AD46" s="181"/>
      <c r="AE46" s="181"/>
      <c r="AF46" s="181"/>
      <c r="AG46" s="181"/>
      <c r="AH46" s="181"/>
      <c r="AJ46" s="70">
        <f t="shared" ref="AJ46:AJ49" si="8">SUM(D46:AH46)</f>
        <v>24</v>
      </c>
    </row>
    <row r="47" spans="2:36" hidden="1" outlineLevel="1" x14ac:dyDescent="0.25">
      <c r="B47" s="151"/>
      <c r="C47" s="1" t="s">
        <v>2</v>
      </c>
      <c r="D47" s="182"/>
      <c r="E47" s="198"/>
      <c r="F47" s="198"/>
      <c r="G47" s="182"/>
      <c r="H47" s="182"/>
      <c r="I47" s="182"/>
      <c r="J47" s="182"/>
      <c r="K47" s="182"/>
      <c r="L47" s="198"/>
      <c r="M47" s="198"/>
      <c r="N47" s="182"/>
      <c r="O47" s="182"/>
      <c r="P47" s="182"/>
      <c r="Q47" s="182"/>
      <c r="R47" s="182"/>
      <c r="S47" s="198"/>
      <c r="T47" s="198"/>
      <c r="U47" s="182"/>
      <c r="V47" s="182"/>
      <c r="W47" s="182"/>
      <c r="X47" s="182"/>
      <c r="Y47" s="182"/>
      <c r="Z47" s="198"/>
      <c r="AA47" s="198"/>
      <c r="AB47" s="182"/>
      <c r="AC47" s="182"/>
      <c r="AD47" s="182"/>
      <c r="AE47" s="182"/>
      <c r="AF47" s="182"/>
      <c r="AG47" s="182"/>
      <c r="AH47" s="182"/>
      <c r="AJ47" s="71">
        <f t="shared" si="8"/>
        <v>0</v>
      </c>
    </row>
    <row r="48" spans="2:36" hidden="1" outlineLevel="1" x14ac:dyDescent="0.25">
      <c r="B48" s="151"/>
      <c r="C48" s="54" t="s">
        <v>77</v>
      </c>
      <c r="D48" s="183"/>
      <c r="E48" s="198"/>
      <c r="F48" s="198"/>
      <c r="G48" s="183"/>
      <c r="H48" s="183">
        <v>2</v>
      </c>
      <c r="I48" s="183"/>
      <c r="J48" s="183"/>
      <c r="K48" s="183"/>
      <c r="L48" s="198"/>
      <c r="M48" s="198"/>
      <c r="N48" s="183"/>
      <c r="O48" s="183"/>
      <c r="P48" s="183"/>
      <c r="Q48" s="183"/>
      <c r="R48" s="183"/>
      <c r="S48" s="198"/>
      <c r="T48" s="198"/>
      <c r="U48" s="183"/>
      <c r="V48" s="183"/>
      <c r="W48" s="183"/>
      <c r="X48" s="183"/>
      <c r="Y48" s="183"/>
      <c r="Z48" s="198"/>
      <c r="AA48" s="198"/>
      <c r="AB48" s="183"/>
      <c r="AC48" s="183"/>
      <c r="AD48" s="183"/>
      <c r="AE48" s="183"/>
      <c r="AF48" s="183"/>
      <c r="AG48" s="183"/>
      <c r="AH48" s="183"/>
      <c r="AJ48" s="72">
        <f t="shared" si="8"/>
        <v>2</v>
      </c>
    </row>
    <row r="49" spans="2:36" ht="15.75" hidden="1" outlineLevel="1" thickBot="1" x14ac:dyDescent="0.3">
      <c r="B49" s="151"/>
      <c r="C49" s="9" t="s">
        <v>3</v>
      </c>
      <c r="D49" s="184"/>
      <c r="E49" s="199"/>
      <c r="F49" s="199"/>
      <c r="G49" s="184"/>
      <c r="H49" s="184"/>
      <c r="I49" s="184"/>
      <c r="J49" s="184"/>
      <c r="K49" s="184"/>
      <c r="L49" s="199"/>
      <c r="M49" s="199"/>
      <c r="N49" s="184"/>
      <c r="O49" s="184"/>
      <c r="P49" s="184"/>
      <c r="Q49" s="184"/>
      <c r="R49" s="184"/>
      <c r="S49" s="199"/>
      <c r="T49" s="199"/>
      <c r="U49" s="184"/>
      <c r="V49" s="184"/>
      <c r="W49" s="184"/>
      <c r="X49" s="184"/>
      <c r="Y49" s="184"/>
      <c r="Z49" s="199"/>
      <c r="AA49" s="199"/>
      <c r="AB49" s="184"/>
      <c r="AC49" s="184"/>
      <c r="AD49" s="184"/>
      <c r="AE49" s="184"/>
      <c r="AF49" s="184"/>
      <c r="AG49" s="184"/>
      <c r="AH49" s="184"/>
      <c r="AI49" s="7"/>
      <c r="AJ49" s="69">
        <f t="shared" si="8"/>
        <v>0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180"/>
      <c r="E50" s="198"/>
      <c r="F50" s="198"/>
      <c r="G50" s="180"/>
      <c r="H50" s="180">
        <v>4</v>
      </c>
      <c r="I50" s="180"/>
      <c r="J50" s="180"/>
      <c r="K50" s="180"/>
      <c r="L50" s="198"/>
      <c r="M50" s="198"/>
      <c r="N50" s="180"/>
      <c r="O50" s="180"/>
      <c r="P50" s="180"/>
      <c r="Q50" s="180">
        <v>0</v>
      </c>
      <c r="R50" s="180">
        <v>0</v>
      </c>
      <c r="S50" s="198"/>
      <c r="T50" s="198"/>
      <c r="U50" s="180"/>
      <c r="V50" s="180"/>
      <c r="W50" s="180"/>
      <c r="X50" s="180"/>
      <c r="Y50" s="180"/>
      <c r="Z50" s="198"/>
      <c r="AA50" s="198"/>
      <c r="AB50" s="180"/>
      <c r="AC50" s="180"/>
      <c r="AD50" s="180"/>
      <c r="AE50" s="180">
        <v>8</v>
      </c>
      <c r="AF50" s="180"/>
      <c r="AG50" s="180"/>
      <c r="AH50" s="180"/>
      <c r="AJ50" s="64">
        <f>SUM(D50:AH50)</f>
        <v>12</v>
      </c>
    </row>
    <row r="51" spans="2:36" ht="15.75" hidden="1" outlineLevel="1" thickTop="1" x14ac:dyDescent="0.25">
      <c r="B51" s="150"/>
      <c r="C51" s="1" t="s">
        <v>1</v>
      </c>
      <c r="D51" s="181"/>
      <c r="E51" s="198"/>
      <c r="F51" s="198"/>
      <c r="G51" s="181"/>
      <c r="H51" s="181"/>
      <c r="I51" s="181"/>
      <c r="J51" s="181"/>
      <c r="K51" s="181"/>
      <c r="L51" s="198"/>
      <c r="M51" s="198"/>
      <c r="N51" s="181"/>
      <c r="O51" s="181"/>
      <c r="P51" s="181"/>
      <c r="Q51" s="181"/>
      <c r="R51" s="181"/>
      <c r="S51" s="198"/>
      <c r="T51" s="198"/>
      <c r="U51" s="181"/>
      <c r="V51" s="181"/>
      <c r="W51" s="181"/>
      <c r="X51" s="181"/>
      <c r="Y51" s="181"/>
      <c r="Z51" s="198"/>
      <c r="AA51" s="198"/>
      <c r="AB51" s="181"/>
      <c r="AC51" s="181"/>
      <c r="AD51" s="181"/>
      <c r="AE51" s="181"/>
      <c r="AF51" s="181"/>
      <c r="AG51" s="181"/>
      <c r="AH51" s="181"/>
      <c r="AJ51" s="70">
        <f t="shared" ref="AJ51:AJ54" si="9">SUM(D51:AH51)</f>
        <v>0</v>
      </c>
    </row>
    <row r="52" spans="2:36" hidden="1" outlineLevel="1" x14ac:dyDescent="0.25">
      <c r="B52" s="151"/>
      <c r="C52" s="1" t="s">
        <v>2</v>
      </c>
      <c r="D52" s="182"/>
      <c r="E52" s="198"/>
      <c r="F52" s="198"/>
      <c r="G52" s="182"/>
      <c r="H52" s="182"/>
      <c r="I52" s="182"/>
      <c r="J52" s="182"/>
      <c r="K52" s="182"/>
      <c r="L52" s="198"/>
      <c r="M52" s="198"/>
      <c r="N52" s="182"/>
      <c r="O52" s="182"/>
      <c r="P52" s="182"/>
      <c r="Q52" s="182"/>
      <c r="R52" s="182"/>
      <c r="S52" s="198"/>
      <c r="T52" s="198"/>
      <c r="U52" s="182"/>
      <c r="V52" s="182"/>
      <c r="W52" s="182"/>
      <c r="X52" s="182"/>
      <c r="Y52" s="182"/>
      <c r="Z52" s="198"/>
      <c r="AA52" s="198"/>
      <c r="AB52" s="182"/>
      <c r="AC52" s="182"/>
      <c r="AD52" s="182"/>
      <c r="AE52" s="182"/>
      <c r="AF52" s="182"/>
      <c r="AG52" s="182"/>
      <c r="AH52" s="182"/>
      <c r="AJ52" s="71">
        <f t="shared" si="9"/>
        <v>0</v>
      </c>
    </row>
    <row r="53" spans="2:36" hidden="1" outlineLevel="1" x14ac:dyDescent="0.25">
      <c r="B53" s="151"/>
      <c r="C53" s="54" t="s">
        <v>77</v>
      </c>
      <c r="D53" s="183"/>
      <c r="E53" s="198"/>
      <c r="F53" s="198"/>
      <c r="G53" s="183"/>
      <c r="H53" s="183"/>
      <c r="I53" s="183"/>
      <c r="J53" s="183"/>
      <c r="K53" s="183"/>
      <c r="L53" s="198"/>
      <c r="M53" s="198"/>
      <c r="N53" s="183"/>
      <c r="O53" s="183"/>
      <c r="P53" s="183"/>
      <c r="Q53" s="183"/>
      <c r="R53" s="183"/>
      <c r="S53" s="198"/>
      <c r="T53" s="198"/>
      <c r="U53" s="183"/>
      <c r="V53" s="183"/>
      <c r="W53" s="183"/>
      <c r="X53" s="183"/>
      <c r="Y53" s="183"/>
      <c r="Z53" s="198"/>
      <c r="AA53" s="198"/>
      <c r="AB53" s="183"/>
      <c r="AC53" s="183"/>
      <c r="AD53" s="183"/>
      <c r="AE53" s="183"/>
      <c r="AF53" s="183"/>
      <c r="AG53" s="183"/>
      <c r="AH53" s="183"/>
      <c r="AJ53" s="72">
        <f t="shared" si="9"/>
        <v>0</v>
      </c>
    </row>
    <row r="54" spans="2:36" ht="15.75" hidden="1" outlineLevel="1" thickBot="1" x14ac:dyDescent="0.3">
      <c r="B54" s="151"/>
      <c r="C54" s="9" t="s">
        <v>3</v>
      </c>
      <c r="D54" s="184"/>
      <c r="E54" s="199"/>
      <c r="F54" s="199"/>
      <c r="G54" s="184"/>
      <c r="H54" s="184"/>
      <c r="I54" s="184"/>
      <c r="J54" s="184"/>
      <c r="K54" s="184"/>
      <c r="L54" s="199"/>
      <c r="M54" s="199"/>
      <c r="N54" s="184"/>
      <c r="O54" s="184"/>
      <c r="P54" s="184"/>
      <c r="Q54" s="184"/>
      <c r="R54" s="184"/>
      <c r="S54" s="199"/>
      <c r="T54" s="199"/>
      <c r="U54" s="184"/>
      <c r="V54" s="184"/>
      <c r="W54" s="184"/>
      <c r="X54" s="184"/>
      <c r="Y54" s="184"/>
      <c r="Z54" s="199"/>
      <c r="AA54" s="199"/>
      <c r="AB54" s="184"/>
      <c r="AC54" s="184"/>
      <c r="AD54" s="184"/>
      <c r="AE54" s="184"/>
      <c r="AF54" s="184"/>
      <c r="AG54" s="184"/>
      <c r="AH54" s="184"/>
      <c r="AI54" s="7"/>
      <c r="AJ54" s="69">
        <f t="shared" si="9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180"/>
      <c r="E55" s="198"/>
      <c r="F55" s="198"/>
      <c r="G55" s="180">
        <v>0</v>
      </c>
      <c r="H55" s="180"/>
      <c r="I55" s="180"/>
      <c r="J55" s="180"/>
      <c r="K55" s="180">
        <v>8</v>
      </c>
      <c r="L55" s="198"/>
      <c r="M55" s="198"/>
      <c r="N55" s="180">
        <v>8</v>
      </c>
      <c r="O55" s="180">
        <v>8</v>
      </c>
      <c r="P55" s="180">
        <v>8</v>
      </c>
      <c r="Q55" s="180">
        <v>8</v>
      </c>
      <c r="R55" s="180">
        <v>8</v>
      </c>
      <c r="S55" s="198"/>
      <c r="T55" s="198"/>
      <c r="U55" s="180"/>
      <c r="V55" s="180"/>
      <c r="W55" s="180"/>
      <c r="X55" s="180"/>
      <c r="Y55" s="180"/>
      <c r="Z55" s="198"/>
      <c r="AA55" s="198"/>
      <c r="AB55" s="180"/>
      <c r="AC55" s="180"/>
      <c r="AD55" s="180"/>
      <c r="AE55" s="180"/>
      <c r="AF55" s="180"/>
      <c r="AG55" s="180"/>
      <c r="AH55" s="180"/>
      <c r="AJ55" s="64">
        <f>SUM(D55:AH55)</f>
        <v>48</v>
      </c>
    </row>
    <row r="56" spans="2:36" ht="15.75" hidden="1" outlineLevel="1" thickTop="1" x14ac:dyDescent="0.25">
      <c r="B56" s="150"/>
      <c r="C56" s="1" t="s">
        <v>1</v>
      </c>
      <c r="D56" s="181"/>
      <c r="E56" s="198"/>
      <c r="F56" s="198"/>
      <c r="G56" s="181"/>
      <c r="H56" s="181"/>
      <c r="I56" s="181"/>
      <c r="J56" s="181"/>
      <c r="K56" s="181"/>
      <c r="L56" s="198"/>
      <c r="M56" s="198"/>
      <c r="N56" s="181"/>
      <c r="O56" s="181"/>
      <c r="P56" s="181"/>
      <c r="Q56" s="181"/>
      <c r="R56" s="181"/>
      <c r="S56" s="198"/>
      <c r="T56" s="198"/>
      <c r="U56" s="181"/>
      <c r="V56" s="181"/>
      <c r="W56" s="181"/>
      <c r="X56" s="181"/>
      <c r="Y56" s="181"/>
      <c r="Z56" s="198"/>
      <c r="AA56" s="198"/>
      <c r="AB56" s="181"/>
      <c r="AC56" s="181"/>
      <c r="AD56" s="181"/>
      <c r="AE56" s="181"/>
      <c r="AF56" s="181"/>
      <c r="AG56" s="181"/>
      <c r="AH56" s="181"/>
      <c r="AJ56" s="70">
        <f t="shared" ref="AJ56:AJ59" si="10">SUM(D56:AH56)</f>
        <v>0</v>
      </c>
    </row>
    <row r="57" spans="2:36" hidden="1" outlineLevel="1" x14ac:dyDescent="0.25">
      <c r="B57" s="151"/>
      <c r="C57" s="1" t="s">
        <v>2</v>
      </c>
      <c r="D57" s="182"/>
      <c r="E57" s="198"/>
      <c r="F57" s="198"/>
      <c r="G57" s="182"/>
      <c r="H57" s="182"/>
      <c r="I57" s="182"/>
      <c r="J57" s="182"/>
      <c r="K57" s="182"/>
      <c r="L57" s="198"/>
      <c r="M57" s="198"/>
      <c r="N57" s="182"/>
      <c r="O57" s="182"/>
      <c r="P57" s="182"/>
      <c r="Q57" s="182"/>
      <c r="R57" s="182"/>
      <c r="S57" s="198"/>
      <c r="T57" s="198"/>
      <c r="U57" s="182"/>
      <c r="V57" s="182"/>
      <c r="W57" s="182"/>
      <c r="X57" s="182"/>
      <c r="Y57" s="182"/>
      <c r="Z57" s="198"/>
      <c r="AA57" s="198"/>
      <c r="AB57" s="182"/>
      <c r="AC57" s="182"/>
      <c r="AD57" s="182"/>
      <c r="AE57" s="182"/>
      <c r="AF57" s="182"/>
      <c r="AG57" s="182"/>
      <c r="AH57" s="182"/>
      <c r="AJ57" s="71">
        <f t="shared" si="10"/>
        <v>0</v>
      </c>
    </row>
    <row r="58" spans="2:36" hidden="1" outlineLevel="1" x14ac:dyDescent="0.25">
      <c r="B58" s="151"/>
      <c r="C58" s="54" t="s">
        <v>77</v>
      </c>
      <c r="D58" s="183"/>
      <c r="E58" s="198"/>
      <c r="F58" s="198"/>
      <c r="G58" s="183"/>
      <c r="H58" s="183"/>
      <c r="I58" s="183"/>
      <c r="J58" s="183"/>
      <c r="K58" s="183"/>
      <c r="L58" s="198"/>
      <c r="M58" s="198"/>
      <c r="N58" s="183"/>
      <c r="O58" s="183"/>
      <c r="P58" s="183"/>
      <c r="Q58" s="183"/>
      <c r="R58" s="183"/>
      <c r="S58" s="198"/>
      <c r="T58" s="198"/>
      <c r="U58" s="183"/>
      <c r="V58" s="183"/>
      <c r="W58" s="183"/>
      <c r="X58" s="183"/>
      <c r="Y58" s="183"/>
      <c r="Z58" s="198"/>
      <c r="AA58" s="198"/>
      <c r="AB58" s="183"/>
      <c r="AC58" s="183"/>
      <c r="AD58" s="183"/>
      <c r="AE58" s="183"/>
      <c r="AF58" s="183"/>
      <c r="AG58" s="183"/>
      <c r="AH58" s="183"/>
      <c r="AJ58" s="72">
        <f t="shared" si="10"/>
        <v>0</v>
      </c>
    </row>
    <row r="59" spans="2:36" ht="15.75" hidden="1" outlineLevel="1" thickBot="1" x14ac:dyDescent="0.3">
      <c r="B59" s="151"/>
      <c r="C59" s="9" t="s">
        <v>3</v>
      </c>
      <c r="D59" s="184"/>
      <c r="E59" s="199"/>
      <c r="F59" s="199"/>
      <c r="G59" s="184"/>
      <c r="H59" s="184"/>
      <c r="I59" s="184"/>
      <c r="J59" s="184"/>
      <c r="K59" s="184"/>
      <c r="L59" s="199"/>
      <c r="M59" s="199"/>
      <c r="N59" s="184"/>
      <c r="O59" s="184"/>
      <c r="P59" s="184"/>
      <c r="Q59" s="184"/>
      <c r="R59" s="184"/>
      <c r="S59" s="199"/>
      <c r="T59" s="199"/>
      <c r="U59" s="184"/>
      <c r="V59" s="184"/>
      <c r="W59" s="184"/>
      <c r="X59" s="184"/>
      <c r="Y59" s="184"/>
      <c r="Z59" s="199"/>
      <c r="AA59" s="199"/>
      <c r="AB59" s="184"/>
      <c r="AC59" s="184"/>
      <c r="AD59" s="184"/>
      <c r="AE59" s="184"/>
      <c r="AF59" s="184"/>
      <c r="AG59" s="184"/>
      <c r="AH59" s="184"/>
      <c r="AI59" s="7"/>
      <c r="AJ59" s="69">
        <f t="shared" si="10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180"/>
      <c r="E60" s="198"/>
      <c r="F60" s="198"/>
      <c r="G60" s="180"/>
      <c r="H60" s="180"/>
      <c r="I60" s="180"/>
      <c r="J60" s="180"/>
      <c r="K60" s="180"/>
      <c r="L60" s="198"/>
      <c r="M60" s="198"/>
      <c r="N60" s="180"/>
      <c r="O60" s="180"/>
      <c r="P60" s="180"/>
      <c r="Q60" s="180"/>
      <c r="R60" s="180"/>
      <c r="S60" s="198"/>
      <c r="T60" s="198"/>
      <c r="U60" s="180"/>
      <c r="V60" s="180"/>
      <c r="W60" s="180"/>
      <c r="X60" s="180"/>
      <c r="Y60" s="180"/>
      <c r="Z60" s="198"/>
      <c r="AA60" s="198"/>
      <c r="AB60" s="180">
        <v>8</v>
      </c>
      <c r="AC60" s="180">
        <v>8</v>
      </c>
      <c r="AD60" s="180"/>
      <c r="AE60" s="180">
        <v>8</v>
      </c>
      <c r="AF60" s="180"/>
      <c r="AG60" s="180"/>
      <c r="AH60" s="180"/>
      <c r="AJ60" s="64">
        <f>SUM(D60:AH60)</f>
        <v>24</v>
      </c>
    </row>
    <row r="61" spans="2:36" ht="15.75" hidden="1" outlineLevel="1" thickTop="1" x14ac:dyDescent="0.25">
      <c r="B61" s="150"/>
      <c r="C61" s="1" t="s">
        <v>1</v>
      </c>
      <c r="D61" s="181"/>
      <c r="E61" s="198"/>
      <c r="F61" s="198"/>
      <c r="G61" s="181"/>
      <c r="H61" s="181"/>
      <c r="I61" s="181"/>
      <c r="J61" s="181"/>
      <c r="K61" s="181"/>
      <c r="L61" s="198"/>
      <c r="M61" s="198"/>
      <c r="N61" s="181"/>
      <c r="O61" s="181"/>
      <c r="P61" s="181"/>
      <c r="Q61" s="181"/>
      <c r="R61" s="181"/>
      <c r="S61" s="198"/>
      <c r="T61" s="198"/>
      <c r="U61" s="181"/>
      <c r="V61" s="181"/>
      <c r="W61" s="181"/>
      <c r="X61" s="181"/>
      <c r="Y61" s="181"/>
      <c r="Z61" s="198"/>
      <c r="AA61" s="198"/>
      <c r="AB61" s="181"/>
      <c r="AC61" s="181"/>
      <c r="AD61" s="181"/>
      <c r="AE61" s="181"/>
      <c r="AF61" s="181"/>
      <c r="AG61" s="181"/>
      <c r="AH61" s="181"/>
      <c r="AJ61" s="70">
        <f t="shared" ref="AJ61:AJ64" si="11">SUM(D61:AH61)</f>
        <v>0</v>
      </c>
    </row>
    <row r="62" spans="2:36" hidden="1" outlineLevel="1" x14ac:dyDescent="0.25">
      <c r="B62" s="151"/>
      <c r="C62" s="1" t="s">
        <v>2</v>
      </c>
      <c r="D62" s="182"/>
      <c r="E62" s="198"/>
      <c r="F62" s="198"/>
      <c r="G62" s="182"/>
      <c r="H62" s="182"/>
      <c r="I62" s="182"/>
      <c r="J62" s="182"/>
      <c r="K62" s="182"/>
      <c r="L62" s="198"/>
      <c r="M62" s="198"/>
      <c r="N62" s="182"/>
      <c r="O62" s="182"/>
      <c r="P62" s="182"/>
      <c r="Q62" s="182"/>
      <c r="R62" s="182"/>
      <c r="S62" s="198"/>
      <c r="T62" s="198"/>
      <c r="U62" s="182"/>
      <c r="V62" s="182"/>
      <c r="W62" s="182"/>
      <c r="X62" s="182"/>
      <c r="Y62" s="182"/>
      <c r="Z62" s="198"/>
      <c r="AA62" s="198"/>
      <c r="AB62" s="182"/>
      <c r="AC62" s="182"/>
      <c r="AD62" s="182"/>
      <c r="AE62" s="182"/>
      <c r="AF62" s="182"/>
      <c r="AG62" s="182"/>
      <c r="AH62" s="182"/>
      <c r="AJ62" s="71">
        <f t="shared" si="11"/>
        <v>0</v>
      </c>
    </row>
    <row r="63" spans="2:36" hidden="1" outlineLevel="1" x14ac:dyDescent="0.25">
      <c r="B63" s="151"/>
      <c r="C63" s="54" t="s">
        <v>77</v>
      </c>
      <c r="D63" s="183"/>
      <c r="E63" s="198"/>
      <c r="F63" s="198"/>
      <c r="G63" s="183"/>
      <c r="H63" s="183"/>
      <c r="I63" s="183"/>
      <c r="J63" s="183"/>
      <c r="K63" s="183"/>
      <c r="L63" s="198"/>
      <c r="M63" s="198"/>
      <c r="N63" s="183"/>
      <c r="O63" s="183"/>
      <c r="P63" s="183"/>
      <c r="Q63" s="183"/>
      <c r="R63" s="183"/>
      <c r="S63" s="198"/>
      <c r="T63" s="198"/>
      <c r="U63" s="183"/>
      <c r="V63" s="183"/>
      <c r="W63" s="183"/>
      <c r="X63" s="183"/>
      <c r="Y63" s="183"/>
      <c r="Z63" s="198"/>
      <c r="AA63" s="198"/>
      <c r="AB63" s="183"/>
      <c r="AC63" s="183"/>
      <c r="AD63" s="183"/>
      <c r="AE63" s="183"/>
      <c r="AF63" s="183"/>
      <c r="AG63" s="183"/>
      <c r="AH63" s="183"/>
      <c r="AJ63" s="72">
        <f t="shared" si="11"/>
        <v>0</v>
      </c>
    </row>
    <row r="64" spans="2:36" ht="15.75" hidden="1" outlineLevel="1" thickBot="1" x14ac:dyDescent="0.3">
      <c r="B64" s="151"/>
      <c r="C64" s="9" t="s">
        <v>3</v>
      </c>
      <c r="D64" s="184"/>
      <c r="E64" s="199"/>
      <c r="F64" s="199"/>
      <c r="G64" s="184"/>
      <c r="H64" s="184"/>
      <c r="I64" s="184"/>
      <c r="J64" s="184"/>
      <c r="K64" s="184"/>
      <c r="L64" s="199"/>
      <c r="M64" s="199"/>
      <c r="N64" s="184"/>
      <c r="O64" s="184"/>
      <c r="P64" s="184"/>
      <c r="Q64" s="184"/>
      <c r="R64" s="184"/>
      <c r="S64" s="199"/>
      <c r="T64" s="199"/>
      <c r="U64" s="184"/>
      <c r="V64" s="184"/>
      <c r="W64" s="184"/>
      <c r="X64" s="184"/>
      <c r="Y64" s="184"/>
      <c r="Z64" s="199"/>
      <c r="AA64" s="199"/>
      <c r="AB64" s="184"/>
      <c r="AC64" s="184"/>
      <c r="AD64" s="184"/>
      <c r="AE64" s="184"/>
      <c r="AF64" s="184"/>
      <c r="AG64" s="184"/>
      <c r="AH64" s="184"/>
      <c r="AI64" s="7"/>
      <c r="AJ64" s="69">
        <f t="shared" si="11"/>
        <v>0</v>
      </c>
    </row>
    <row r="65" spans="2:36" ht="16.5" collapsed="1" thickTop="1" thickBot="1" x14ac:dyDescent="0.3">
      <c r="B65" s="149" t="str">
        <f>'Hours Scheduled'!B16</f>
        <v>Jim van der Weijden</v>
      </c>
      <c r="C65" t="s">
        <v>0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J65" s="64">
        <f>SUM(D65:AH65)</f>
        <v>0</v>
      </c>
    </row>
    <row r="66" spans="2:36" ht="15.75" hidden="1" outlineLevel="1" thickTop="1" x14ac:dyDescent="0.25">
      <c r="B66" s="150"/>
      <c r="C66" s="1" t="s">
        <v>1</v>
      </c>
      <c r="D66" s="181"/>
      <c r="E66" s="198"/>
      <c r="F66" s="198"/>
      <c r="G66" s="181"/>
      <c r="H66" s="181"/>
      <c r="I66" s="181"/>
      <c r="J66" s="181"/>
      <c r="K66" s="181"/>
      <c r="L66" s="198"/>
      <c r="M66" s="198"/>
      <c r="N66" s="181"/>
      <c r="O66" s="181"/>
      <c r="P66" s="181"/>
      <c r="Q66" s="181"/>
      <c r="R66" s="181"/>
      <c r="S66" s="198"/>
      <c r="T66" s="198"/>
      <c r="U66" s="181"/>
      <c r="V66" s="181"/>
      <c r="W66" s="181"/>
      <c r="X66" s="181"/>
      <c r="Y66" s="181"/>
      <c r="Z66" s="198"/>
      <c r="AA66" s="198"/>
      <c r="AB66" s="181"/>
      <c r="AC66" s="181"/>
      <c r="AD66" s="181"/>
      <c r="AE66" s="181"/>
      <c r="AF66" s="181"/>
      <c r="AG66" s="181"/>
      <c r="AH66" s="181"/>
      <c r="AJ66" s="70">
        <f t="shared" ref="AJ66:AJ69" si="12">SUM(D66:AH66)</f>
        <v>0</v>
      </c>
    </row>
    <row r="67" spans="2:36" hidden="1" outlineLevel="1" x14ac:dyDescent="0.25">
      <c r="B67" s="151"/>
      <c r="C67" s="1" t="s">
        <v>2</v>
      </c>
      <c r="D67" s="182"/>
      <c r="E67" s="198"/>
      <c r="F67" s="198"/>
      <c r="G67" s="182"/>
      <c r="H67" s="182"/>
      <c r="I67" s="182"/>
      <c r="J67" s="182"/>
      <c r="K67" s="182"/>
      <c r="L67" s="198"/>
      <c r="M67" s="198"/>
      <c r="N67" s="182"/>
      <c r="O67" s="182"/>
      <c r="P67" s="182"/>
      <c r="Q67" s="182"/>
      <c r="R67" s="182"/>
      <c r="S67" s="198"/>
      <c r="T67" s="198"/>
      <c r="U67" s="182"/>
      <c r="V67" s="182"/>
      <c r="W67" s="182"/>
      <c r="X67" s="182"/>
      <c r="Y67" s="182"/>
      <c r="Z67" s="198"/>
      <c r="AA67" s="198"/>
      <c r="AB67" s="182"/>
      <c r="AC67" s="182"/>
      <c r="AD67" s="182"/>
      <c r="AE67" s="182"/>
      <c r="AF67" s="182"/>
      <c r="AG67" s="182"/>
      <c r="AH67" s="182"/>
      <c r="AJ67" s="71">
        <f t="shared" si="12"/>
        <v>0</v>
      </c>
    </row>
    <row r="68" spans="2:36" hidden="1" outlineLevel="1" x14ac:dyDescent="0.25">
      <c r="B68" s="151"/>
      <c r="C68" s="54" t="s">
        <v>77</v>
      </c>
      <c r="D68" s="183"/>
      <c r="E68" s="198"/>
      <c r="F68" s="198"/>
      <c r="G68" s="183"/>
      <c r="H68" s="183"/>
      <c r="I68" s="183"/>
      <c r="J68" s="183"/>
      <c r="K68" s="183"/>
      <c r="L68" s="198"/>
      <c r="M68" s="198"/>
      <c r="N68" s="183"/>
      <c r="O68" s="183"/>
      <c r="P68" s="183"/>
      <c r="Q68" s="183"/>
      <c r="R68" s="183"/>
      <c r="S68" s="198"/>
      <c r="T68" s="198"/>
      <c r="U68" s="183"/>
      <c r="V68" s="183"/>
      <c r="W68" s="183"/>
      <c r="X68" s="183"/>
      <c r="Y68" s="183"/>
      <c r="Z68" s="198"/>
      <c r="AA68" s="198"/>
      <c r="AB68" s="183"/>
      <c r="AC68" s="183"/>
      <c r="AD68" s="183"/>
      <c r="AE68" s="183"/>
      <c r="AF68" s="183"/>
      <c r="AG68" s="183"/>
      <c r="AH68" s="183"/>
      <c r="AJ68" s="72">
        <f t="shared" si="12"/>
        <v>0</v>
      </c>
    </row>
    <row r="69" spans="2:36" ht="15.75" hidden="1" outlineLevel="1" thickBot="1" x14ac:dyDescent="0.3">
      <c r="B69" s="151"/>
      <c r="C69" s="9" t="s">
        <v>3</v>
      </c>
      <c r="D69" s="184"/>
      <c r="E69" s="199"/>
      <c r="F69" s="199"/>
      <c r="G69" s="184"/>
      <c r="H69" s="184"/>
      <c r="I69" s="184"/>
      <c r="J69" s="184"/>
      <c r="K69" s="184"/>
      <c r="L69" s="199"/>
      <c r="M69" s="199"/>
      <c r="N69" s="184"/>
      <c r="O69" s="184"/>
      <c r="P69" s="184"/>
      <c r="Q69" s="184"/>
      <c r="R69" s="184"/>
      <c r="S69" s="199"/>
      <c r="T69" s="199"/>
      <c r="U69" s="184"/>
      <c r="V69" s="184"/>
      <c r="W69" s="184"/>
      <c r="X69" s="184"/>
      <c r="Y69" s="184"/>
      <c r="Z69" s="199"/>
      <c r="AA69" s="199"/>
      <c r="AB69" s="184"/>
      <c r="AC69" s="184"/>
      <c r="AD69" s="184"/>
      <c r="AE69" s="184"/>
      <c r="AF69" s="184"/>
      <c r="AG69" s="184"/>
      <c r="AH69" s="184"/>
      <c r="AI69" s="7"/>
      <c r="AJ69" s="69">
        <f t="shared" si="1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180"/>
      <c r="E70" s="198"/>
      <c r="F70" s="198"/>
      <c r="G70" s="180"/>
      <c r="H70" s="180"/>
      <c r="I70" s="180"/>
      <c r="J70" s="180"/>
      <c r="K70" s="180"/>
      <c r="L70" s="198"/>
      <c r="M70" s="198"/>
      <c r="N70" s="180"/>
      <c r="O70" s="180"/>
      <c r="P70" s="180"/>
      <c r="Q70" s="180"/>
      <c r="R70" s="180"/>
      <c r="S70" s="198"/>
      <c r="T70" s="198"/>
      <c r="U70" s="180"/>
      <c r="V70" s="180"/>
      <c r="W70" s="180"/>
      <c r="X70" s="180">
        <v>0</v>
      </c>
      <c r="Y70" s="180"/>
      <c r="Z70" s="198"/>
      <c r="AA70" s="198"/>
      <c r="AB70" s="180"/>
      <c r="AC70" s="180"/>
      <c r="AD70" s="180"/>
      <c r="AE70" s="180"/>
      <c r="AF70" s="180"/>
      <c r="AG70" s="180"/>
      <c r="AH70" s="180"/>
      <c r="AJ70" s="64">
        <f>SUM(D70:AH70)</f>
        <v>0</v>
      </c>
    </row>
    <row r="71" spans="2:36" ht="15.75" hidden="1" outlineLevel="1" thickTop="1" x14ac:dyDescent="0.25">
      <c r="B71" s="150"/>
      <c r="C71" s="1" t="s">
        <v>1</v>
      </c>
      <c r="D71" s="181"/>
      <c r="E71" s="198"/>
      <c r="F71" s="198"/>
      <c r="G71" s="181"/>
      <c r="H71" s="181"/>
      <c r="I71" s="181"/>
      <c r="J71" s="181"/>
      <c r="K71" s="181"/>
      <c r="L71" s="198"/>
      <c r="M71" s="198"/>
      <c r="N71" s="181"/>
      <c r="O71" s="181"/>
      <c r="P71" s="181"/>
      <c r="Q71" s="181"/>
      <c r="R71" s="181"/>
      <c r="S71" s="198"/>
      <c r="T71" s="198"/>
      <c r="U71" s="181"/>
      <c r="V71" s="181"/>
      <c r="W71" s="181"/>
      <c r="X71" s="181"/>
      <c r="Y71" s="181"/>
      <c r="Z71" s="198"/>
      <c r="AA71" s="198"/>
      <c r="AB71" s="181"/>
      <c r="AC71" s="181"/>
      <c r="AD71" s="181"/>
      <c r="AE71" s="181"/>
      <c r="AF71" s="181"/>
      <c r="AG71" s="181"/>
      <c r="AH71" s="181"/>
      <c r="AJ71" s="70">
        <f t="shared" ref="AJ71:AJ74" si="13">SUM(D71:AH71)</f>
        <v>0</v>
      </c>
    </row>
    <row r="72" spans="2:36" hidden="1" outlineLevel="1" x14ac:dyDescent="0.25">
      <c r="B72" s="151"/>
      <c r="C72" s="1" t="s">
        <v>2</v>
      </c>
      <c r="D72" s="182"/>
      <c r="E72" s="198"/>
      <c r="F72" s="198"/>
      <c r="G72" s="182"/>
      <c r="H72" s="182"/>
      <c r="I72" s="182"/>
      <c r="J72" s="182"/>
      <c r="K72" s="182"/>
      <c r="L72" s="198"/>
      <c r="M72" s="198"/>
      <c r="N72" s="182"/>
      <c r="O72" s="182"/>
      <c r="P72" s="182"/>
      <c r="Q72" s="182"/>
      <c r="R72" s="182"/>
      <c r="S72" s="198"/>
      <c r="T72" s="198"/>
      <c r="U72" s="182"/>
      <c r="V72" s="182"/>
      <c r="W72" s="182"/>
      <c r="X72" s="182"/>
      <c r="Y72" s="182"/>
      <c r="Z72" s="198"/>
      <c r="AA72" s="198"/>
      <c r="AB72" s="182"/>
      <c r="AC72" s="182"/>
      <c r="AD72" s="182"/>
      <c r="AE72" s="182"/>
      <c r="AF72" s="182"/>
      <c r="AG72" s="182"/>
      <c r="AH72" s="182"/>
      <c r="AJ72" s="71">
        <f t="shared" si="13"/>
        <v>0</v>
      </c>
    </row>
    <row r="73" spans="2:36" hidden="1" outlineLevel="1" x14ac:dyDescent="0.25">
      <c r="B73" s="151"/>
      <c r="C73" s="54" t="s">
        <v>77</v>
      </c>
      <c r="D73" s="183"/>
      <c r="E73" s="198"/>
      <c r="F73" s="198"/>
      <c r="G73" s="183"/>
      <c r="H73" s="183"/>
      <c r="I73" s="183"/>
      <c r="J73" s="183"/>
      <c r="K73" s="183"/>
      <c r="L73" s="198"/>
      <c r="M73" s="198"/>
      <c r="N73" s="183"/>
      <c r="O73" s="183"/>
      <c r="P73" s="183"/>
      <c r="Q73" s="183"/>
      <c r="R73" s="183"/>
      <c r="S73" s="198"/>
      <c r="T73" s="198"/>
      <c r="U73" s="183"/>
      <c r="V73" s="183"/>
      <c r="W73" s="183"/>
      <c r="X73" s="183"/>
      <c r="Y73" s="183"/>
      <c r="Z73" s="198"/>
      <c r="AA73" s="198"/>
      <c r="AB73" s="183"/>
      <c r="AC73" s="183"/>
      <c r="AD73" s="183"/>
      <c r="AE73" s="183"/>
      <c r="AF73" s="183"/>
      <c r="AG73" s="183"/>
      <c r="AH73" s="183"/>
      <c r="AJ73" s="72">
        <f t="shared" si="13"/>
        <v>0</v>
      </c>
    </row>
    <row r="74" spans="2:36" ht="15.75" hidden="1" outlineLevel="1" thickBot="1" x14ac:dyDescent="0.3">
      <c r="B74" s="151"/>
      <c r="C74" s="9" t="s">
        <v>3</v>
      </c>
      <c r="D74" s="184"/>
      <c r="E74" s="199"/>
      <c r="F74" s="199"/>
      <c r="G74" s="184"/>
      <c r="H74" s="184"/>
      <c r="I74" s="184"/>
      <c r="J74" s="184"/>
      <c r="K74" s="184"/>
      <c r="L74" s="199"/>
      <c r="M74" s="199"/>
      <c r="N74" s="184"/>
      <c r="O74" s="184"/>
      <c r="P74" s="184"/>
      <c r="Q74" s="184"/>
      <c r="R74" s="184"/>
      <c r="S74" s="199"/>
      <c r="T74" s="199"/>
      <c r="U74" s="184"/>
      <c r="V74" s="184"/>
      <c r="W74" s="184"/>
      <c r="X74" s="184"/>
      <c r="Y74" s="184"/>
      <c r="Z74" s="199"/>
      <c r="AA74" s="199"/>
      <c r="AB74" s="184"/>
      <c r="AC74" s="184"/>
      <c r="AD74" s="184"/>
      <c r="AE74" s="184"/>
      <c r="AF74" s="184"/>
      <c r="AG74" s="184"/>
      <c r="AH74" s="184"/>
      <c r="AI74" s="7"/>
      <c r="AJ74" s="69">
        <f t="shared" si="13"/>
        <v>0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180">
        <v>8</v>
      </c>
      <c r="E75" s="198"/>
      <c r="F75" s="198"/>
      <c r="G75" s="180"/>
      <c r="H75" s="180"/>
      <c r="I75" s="180"/>
      <c r="J75" s="180"/>
      <c r="K75" s="180"/>
      <c r="L75" s="198"/>
      <c r="M75" s="198"/>
      <c r="N75" s="180"/>
      <c r="O75" s="180"/>
      <c r="P75" s="180"/>
      <c r="Q75" s="180"/>
      <c r="R75" s="180"/>
      <c r="S75" s="198"/>
      <c r="T75" s="198"/>
      <c r="U75" s="180"/>
      <c r="V75" s="180"/>
      <c r="W75" s="180"/>
      <c r="X75" s="180">
        <v>0</v>
      </c>
      <c r="Y75" s="180">
        <v>0</v>
      </c>
      <c r="Z75" s="198"/>
      <c r="AA75" s="198"/>
      <c r="AB75" s="180">
        <v>8</v>
      </c>
      <c r="AC75" s="180"/>
      <c r="AD75" s="180"/>
      <c r="AE75" s="180"/>
      <c r="AF75" s="180"/>
      <c r="AG75" s="180"/>
      <c r="AH75" s="180"/>
      <c r="AJ75" s="64">
        <f>SUM(D75:AH75)</f>
        <v>16</v>
      </c>
    </row>
    <row r="76" spans="2:36" ht="15.75" hidden="1" outlineLevel="1" thickTop="1" x14ac:dyDescent="0.25">
      <c r="B76" s="150"/>
      <c r="C76" s="1" t="s">
        <v>1</v>
      </c>
      <c r="D76" s="181"/>
      <c r="E76" s="198"/>
      <c r="F76" s="198"/>
      <c r="G76" s="181"/>
      <c r="H76" s="181"/>
      <c r="I76" s="181"/>
      <c r="J76" s="181"/>
      <c r="K76" s="181"/>
      <c r="L76" s="198"/>
      <c r="M76" s="198"/>
      <c r="N76" s="181"/>
      <c r="O76" s="181"/>
      <c r="P76" s="181"/>
      <c r="Q76" s="181"/>
      <c r="R76" s="181"/>
      <c r="S76" s="198"/>
      <c r="T76" s="198"/>
      <c r="U76" s="181"/>
      <c r="V76" s="181"/>
      <c r="W76" s="181"/>
      <c r="X76" s="174">
        <v>2.5</v>
      </c>
      <c r="Y76" s="181">
        <v>1</v>
      </c>
      <c r="Z76" s="198"/>
      <c r="AA76" s="198"/>
      <c r="AB76" s="181"/>
      <c r="AC76" s="181"/>
      <c r="AD76" s="181"/>
      <c r="AE76" s="181"/>
      <c r="AF76" s="181"/>
      <c r="AG76" s="181"/>
      <c r="AH76" s="181"/>
      <c r="AJ76" s="70">
        <f t="shared" ref="AJ76:AJ79" si="14">SUM(D76:AH76)</f>
        <v>3.5</v>
      </c>
    </row>
    <row r="77" spans="2:36" hidden="1" outlineLevel="1" x14ac:dyDescent="0.25">
      <c r="B77" s="151"/>
      <c r="C77" s="1" t="s">
        <v>2</v>
      </c>
      <c r="D77" s="182"/>
      <c r="E77" s="198"/>
      <c r="F77" s="198"/>
      <c r="G77" s="182"/>
      <c r="H77" s="182"/>
      <c r="I77" s="182"/>
      <c r="J77" s="182"/>
      <c r="K77" s="182"/>
      <c r="L77" s="198"/>
      <c r="M77" s="198"/>
      <c r="N77" s="182"/>
      <c r="O77" s="182"/>
      <c r="P77" s="182"/>
      <c r="Q77" s="182"/>
      <c r="R77" s="182"/>
      <c r="S77" s="198"/>
      <c r="T77" s="198"/>
      <c r="U77" s="182"/>
      <c r="V77" s="182"/>
      <c r="W77" s="182"/>
      <c r="X77" s="182"/>
      <c r="Y77" s="182"/>
      <c r="Z77" s="198"/>
      <c r="AA77" s="198"/>
      <c r="AB77" s="182"/>
      <c r="AC77" s="182"/>
      <c r="AD77" s="182"/>
      <c r="AE77" s="182"/>
      <c r="AF77" s="182"/>
      <c r="AG77" s="182"/>
      <c r="AH77" s="182"/>
      <c r="AJ77" s="71">
        <f t="shared" si="14"/>
        <v>0</v>
      </c>
    </row>
    <row r="78" spans="2:36" hidden="1" outlineLevel="1" x14ac:dyDescent="0.25">
      <c r="B78" s="151"/>
      <c r="C78" s="54" t="s">
        <v>77</v>
      </c>
      <c r="D78" s="183"/>
      <c r="E78" s="198"/>
      <c r="F78" s="198"/>
      <c r="G78" s="183"/>
      <c r="H78" s="183"/>
      <c r="I78" s="183"/>
      <c r="J78" s="183"/>
      <c r="K78" s="183"/>
      <c r="L78" s="198"/>
      <c r="M78" s="198"/>
      <c r="N78" s="183"/>
      <c r="O78" s="183"/>
      <c r="P78" s="183"/>
      <c r="Q78" s="183"/>
      <c r="R78" s="183"/>
      <c r="S78" s="198"/>
      <c r="T78" s="198"/>
      <c r="U78" s="183"/>
      <c r="V78" s="183"/>
      <c r="W78" s="183"/>
      <c r="X78" s="183"/>
      <c r="Y78" s="183"/>
      <c r="Z78" s="198"/>
      <c r="AA78" s="198"/>
      <c r="AB78" s="183"/>
      <c r="AC78" s="183"/>
      <c r="AD78" s="183"/>
      <c r="AE78" s="183"/>
      <c r="AF78" s="183"/>
      <c r="AG78" s="183"/>
      <c r="AH78" s="183"/>
      <c r="AJ78" s="72">
        <f t="shared" si="14"/>
        <v>0</v>
      </c>
    </row>
    <row r="79" spans="2:36" ht="15.75" hidden="1" outlineLevel="1" thickBot="1" x14ac:dyDescent="0.3">
      <c r="B79" s="151"/>
      <c r="C79" s="9" t="s">
        <v>3</v>
      </c>
      <c r="D79" s="184"/>
      <c r="E79" s="199"/>
      <c r="F79" s="199"/>
      <c r="G79" s="184"/>
      <c r="H79" s="184"/>
      <c r="I79" s="184"/>
      <c r="J79" s="184"/>
      <c r="K79" s="184"/>
      <c r="L79" s="199"/>
      <c r="M79" s="199"/>
      <c r="N79" s="184"/>
      <c r="O79" s="184"/>
      <c r="P79" s="184"/>
      <c r="Q79" s="184"/>
      <c r="R79" s="184"/>
      <c r="S79" s="199"/>
      <c r="T79" s="199"/>
      <c r="U79" s="184"/>
      <c r="V79" s="184"/>
      <c r="W79" s="184"/>
      <c r="X79" s="184"/>
      <c r="Y79" s="184"/>
      <c r="Z79" s="199"/>
      <c r="AA79" s="199"/>
      <c r="AB79" s="184"/>
      <c r="AC79" s="184"/>
      <c r="AD79" s="184"/>
      <c r="AE79" s="184"/>
      <c r="AF79" s="184"/>
      <c r="AG79" s="184"/>
      <c r="AH79" s="184"/>
      <c r="AI79" s="7"/>
      <c r="AJ79" s="69">
        <f t="shared" si="14"/>
        <v>0</v>
      </c>
    </row>
    <row r="80" spans="2:36" ht="16.5" collapsed="1" thickTop="1" thickBot="1" x14ac:dyDescent="0.3">
      <c r="B80" s="149" t="str">
        <f>'Hours Scheduled'!B19</f>
        <v>Loek Moling</v>
      </c>
      <c r="C80" t="s">
        <v>0</v>
      </c>
      <c r="D80" s="180"/>
      <c r="E80" s="198"/>
      <c r="F80" s="198"/>
      <c r="G80" s="180"/>
      <c r="H80" s="180">
        <v>8</v>
      </c>
      <c r="I80" s="180"/>
      <c r="J80" s="180"/>
      <c r="K80" s="180"/>
      <c r="L80" s="198"/>
      <c r="M80" s="198"/>
      <c r="N80" s="180"/>
      <c r="O80" s="180"/>
      <c r="P80" s="180"/>
      <c r="Q80" s="180">
        <v>2</v>
      </c>
      <c r="R80" s="180"/>
      <c r="S80" s="198"/>
      <c r="T80" s="198"/>
      <c r="U80" s="180"/>
      <c r="V80" s="180">
        <v>8</v>
      </c>
      <c r="W80" s="180"/>
      <c r="X80" s="180"/>
      <c r="Y80" s="180"/>
      <c r="Z80" s="198"/>
      <c r="AA80" s="198"/>
      <c r="AB80" s="180"/>
      <c r="AC80" s="180">
        <v>8</v>
      </c>
      <c r="AD80" s="180"/>
      <c r="AE80" s="180">
        <v>0</v>
      </c>
      <c r="AF80" s="180"/>
      <c r="AG80" s="180"/>
      <c r="AH80" s="180"/>
      <c r="AJ80" s="64">
        <f>SUM(D80:AH80)</f>
        <v>26</v>
      </c>
    </row>
    <row r="81" spans="2:36" ht="15.75" hidden="1" outlineLevel="1" thickTop="1" x14ac:dyDescent="0.25">
      <c r="B81" s="150"/>
      <c r="C81" s="1" t="s">
        <v>1</v>
      </c>
      <c r="D81" s="181"/>
      <c r="E81" s="198"/>
      <c r="F81" s="198"/>
      <c r="G81" s="181"/>
      <c r="H81" s="181"/>
      <c r="I81" s="181"/>
      <c r="J81" s="181"/>
      <c r="K81" s="181"/>
      <c r="L81" s="198"/>
      <c r="M81" s="198"/>
      <c r="N81" s="181"/>
      <c r="O81" s="181"/>
      <c r="P81" s="181"/>
      <c r="Q81" s="181"/>
      <c r="R81" s="181"/>
      <c r="S81" s="198"/>
      <c r="T81" s="198"/>
      <c r="U81" s="181"/>
      <c r="V81" s="181"/>
      <c r="W81" s="181"/>
      <c r="X81" s="181"/>
      <c r="Y81" s="181"/>
      <c r="Z81" s="198"/>
      <c r="AA81" s="198"/>
      <c r="AB81" s="181"/>
      <c r="AC81" s="181"/>
      <c r="AD81" s="181"/>
      <c r="AE81" s="181"/>
      <c r="AF81" s="181"/>
      <c r="AG81" s="181"/>
      <c r="AH81" s="181"/>
      <c r="AJ81" s="70">
        <f t="shared" ref="AJ81:AJ84" si="15">SUM(D81:AH81)</f>
        <v>0</v>
      </c>
    </row>
    <row r="82" spans="2:36" hidden="1" outlineLevel="1" x14ac:dyDescent="0.25">
      <c r="B82" s="151"/>
      <c r="C82" s="1" t="s">
        <v>2</v>
      </c>
      <c r="D82" s="182"/>
      <c r="E82" s="198"/>
      <c r="F82" s="198"/>
      <c r="G82" s="182"/>
      <c r="H82" s="182"/>
      <c r="I82" s="182"/>
      <c r="J82" s="182"/>
      <c r="K82" s="182"/>
      <c r="L82" s="198"/>
      <c r="M82" s="198"/>
      <c r="N82" s="182"/>
      <c r="O82" s="182"/>
      <c r="P82" s="182"/>
      <c r="Q82" s="182"/>
      <c r="R82" s="182"/>
      <c r="S82" s="198"/>
      <c r="T82" s="198"/>
      <c r="U82" s="182"/>
      <c r="V82" s="182"/>
      <c r="W82" s="182"/>
      <c r="X82" s="182"/>
      <c r="Y82" s="182"/>
      <c r="Z82" s="198"/>
      <c r="AA82" s="198"/>
      <c r="AB82" s="182"/>
      <c r="AC82" s="182"/>
      <c r="AD82" s="182"/>
      <c r="AE82" s="182"/>
      <c r="AF82" s="182"/>
      <c r="AG82" s="182"/>
      <c r="AH82" s="182"/>
      <c r="AJ82" s="71">
        <f t="shared" si="15"/>
        <v>0</v>
      </c>
    </row>
    <row r="83" spans="2:36" hidden="1" outlineLevel="1" x14ac:dyDescent="0.25">
      <c r="B83" s="151"/>
      <c r="C83" s="54" t="s">
        <v>77</v>
      </c>
      <c r="D83" s="183"/>
      <c r="E83" s="198"/>
      <c r="F83" s="198"/>
      <c r="G83" s="183"/>
      <c r="H83" s="183">
        <v>2</v>
      </c>
      <c r="I83" s="183"/>
      <c r="J83" s="183"/>
      <c r="K83" s="183"/>
      <c r="L83" s="198"/>
      <c r="M83" s="198"/>
      <c r="N83" s="183"/>
      <c r="O83" s="183"/>
      <c r="P83" s="183"/>
      <c r="Q83" s="183">
        <v>4</v>
      </c>
      <c r="R83" s="183"/>
      <c r="S83" s="198"/>
      <c r="T83" s="198"/>
      <c r="U83" s="183"/>
      <c r="V83" s="183"/>
      <c r="W83" s="183"/>
      <c r="X83" s="183"/>
      <c r="Y83" s="183"/>
      <c r="Z83" s="198"/>
      <c r="AA83" s="198"/>
      <c r="AB83" s="183"/>
      <c r="AC83" s="183"/>
      <c r="AD83" s="183"/>
      <c r="AE83" s="183"/>
      <c r="AF83" s="183"/>
      <c r="AG83" s="183"/>
      <c r="AH83" s="183"/>
      <c r="AJ83" s="72">
        <f t="shared" si="15"/>
        <v>6</v>
      </c>
    </row>
    <row r="84" spans="2:36" ht="15.75" hidden="1" outlineLevel="1" thickBot="1" x14ac:dyDescent="0.3">
      <c r="B84" s="151"/>
      <c r="C84" s="9" t="s">
        <v>3</v>
      </c>
      <c r="D84" s="184"/>
      <c r="E84" s="199"/>
      <c r="F84" s="199"/>
      <c r="G84" s="184"/>
      <c r="H84" s="184"/>
      <c r="I84" s="184"/>
      <c r="J84" s="184"/>
      <c r="K84" s="184"/>
      <c r="L84" s="199"/>
      <c r="M84" s="199"/>
      <c r="N84" s="184"/>
      <c r="O84" s="184"/>
      <c r="P84" s="184"/>
      <c r="Q84" s="184"/>
      <c r="R84" s="184"/>
      <c r="S84" s="199"/>
      <c r="T84" s="199"/>
      <c r="U84" s="184"/>
      <c r="V84" s="184"/>
      <c r="W84" s="184"/>
      <c r="X84" s="184"/>
      <c r="Y84" s="184"/>
      <c r="Z84" s="199"/>
      <c r="AA84" s="199"/>
      <c r="AB84" s="184"/>
      <c r="AC84" s="184"/>
      <c r="AD84" s="184"/>
      <c r="AE84" s="184"/>
      <c r="AF84" s="184"/>
      <c r="AG84" s="184"/>
      <c r="AH84" s="184"/>
      <c r="AI84" s="7"/>
      <c r="AJ84" s="69">
        <f t="shared" si="15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180"/>
      <c r="E85" s="198"/>
      <c r="F85" s="198"/>
      <c r="G85" s="180">
        <v>8</v>
      </c>
      <c r="H85" s="180"/>
      <c r="I85" s="180"/>
      <c r="J85" s="180"/>
      <c r="K85" s="180"/>
      <c r="L85" s="198"/>
      <c r="M85" s="198"/>
      <c r="N85" s="180"/>
      <c r="O85" s="180"/>
      <c r="P85" s="180"/>
      <c r="Q85" s="180"/>
      <c r="R85" s="180"/>
      <c r="S85" s="198"/>
      <c r="T85" s="198"/>
      <c r="U85" s="180"/>
      <c r="V85" s="180"/>
      <c r="W85" s="180"/>
      <c r="X85" s="180"/>
      <c r="Y85" s="180"/>
      <c r="Z85" s="198"/>
      <c r="AA85" s="198"/>
      <c r="AB85" s="180"/>
      <c r="AC85" s="180"/>
      <c r="AD85" s="180"/>
      <c r="AE85" s="180"/>
      <c r="AF85" s="180"/>
      <c r="AG85" s="180"/>
      <c r="AH85" s="180"/>
      <c r="AJ85" s="64">
        <f>SUM(D85:AH85)</f>
        <v>8</v>
      </c>
    </row>
    <row r="86" spans="2:36" ht="15.75" hidden="1" customHeight="1" outlineLevel="1" thickTop="1" x14ac:dyDescent="0.25">
      <c r="B86" s="150"/>
      <c r="C86" s="1" t="s">
        <v>1</v>
      </c>
      <c r="D86" s="181"/>
      <c r="E86" s="198"/>
      <c r="F86" s="198"/>
      <c r="G86" s="181"/>
      <c r="H86" s="181"/>
      <c r="I86" s="181"/>
      <c r="J86" s="181"/>
      <c r="K86" s="181"/>
      <c r="L86" s="198"/>
      <c r="M86" s="198"/>
      <c r="N86" s="181"/>
      <c r="O86" s="181"/>
      <c r="P86" s="181"/>
      <c r="Q86" s="181"/>
      <c r="R86" s="181"/>
      <c r="S86" s="198"/>
      <c r="T86" s="198"/>
      <c r="U86" s="181"/>
      <c r="V86" s="181"/>
      <c r="W86" s="181"/>
      <c r="X86" s="181"/>
      <c r="Y86" s="181"/>
      <c r="Z86" s="198"/>
      <c r="AA86" s="198"/>
      <c r="AB86" s="181"/>
      <c r="AC86" s="181"/>
      <c r="AD86" s="181"/>
      <c r="AE86" s="181"/>
      <c r="AF86" s="181"/>
      <c r="AG86" s="181"/>
      <c r="AH86" s="181"/>
      <c r="AJ86" s="70">
        <f t="shared" ref="AJ86:AJ89" si="16">SUM(D86:AH86)</f>
        <v>0</v>
      </c>
    </row>
    <row r="87" spans="2:36" ht="15" hidden="1" customHeight="1" outlineLevel="1" x14ac:dyDescent="0.25">
      <c r="B87" s="151"/>
      <c r="C87" s="1" t="s">
        <v>2</v>
      </c>
      <c r="D87" s="182"/>
      <c r="E87" s="198"/>
      <c r="F87" s="198"/>
      <c r="G87" s="182"/>
      <c r="H87" s="182"/>
      <c r="I87" s="182"/>
      <c r="J87" s="182"/>
      <c r="K87" s="182"/>
      <c r="L87" s="198"/>
      <c r="M87" s="198"/>
      <c r="N87" s="182"/>
      <c r="O87" s="182"/>
      <c r="P87" s="182"/>
      <c r="Q87" s="182"/>
      <c r="R87" s="182"/>
      <c r="S87" s="198"/>
      <c r="T87" s="198"/>
      <c r="U87" s="182"/>
      <c r="V87" s="182"/>
      <c r="W87" s="182"/>
      <c r="X87" s="182"/>
      <c r="Y87" s="182"/>
      <c r="Z87" s="198"/>
      <c r="AA87" s="198"/>
      <c r="AB87" s="182"/>
      <c r="AC87" s="182"/>
      <c r="AD87" s="182"/>
      <c r="AE87" s="182"/>
      <c r="AF87" s="182"/>
      <c r="AG87" s="182"/>
      <c r="AH87" s="182"/>
      <c r="AJ87" s="71">
        <f t="shared" si="16"/>
        <v>0</v>
      </c>
    </row>
    <row r="88" spans="2:36" ht="15" hidden="1" customHeight="1" outlineLevel="1" x14ac:dyDescent="0.25">
      <c r="B88" s="151"/>
      <c r="C88" s="54" t="s">
        <v>77</v>
      </c>
      <c r="D88" s="183"/>
      <c r="E88" s="198"/>
      <c r="F88" s="198"/>
      <c r="G88" s="183"/>
      <c r="H88" s="183"/>
      <c r="I88" s="183"/>
      <c r="J88" s="183"/>
      <c r="K88" s="183"/>
      <c r="L88" s="198"/>
      <c r="M88" s="198"/>
      <c r="N88" s="183"/>
      <c r="O88" s="183"/>
      <c r="P88" s="183"/>
      <c r="Q88" s="183"/>
      <c r="R88" s="183"/>
      <c r="S88" s="198"/>
      <c r="T88" s="198"/>
      <c r="U88" s="183"/>
      <c r="V88" s="183"/>
      <c r="W88" s="183"/>
      <c r="X88" s="183"/>
      <c r="Y88" s="183"/>
      <c r="Z88" s="198"/>
      <c r="AA88" s="198"/>
      <c r="AB88" s="183"/>
      <c r="AC88" s="183"/>
      <c r="AD88" s="183"/>
      <c r="AE88" s="183"/>
      <c r="AF88" s="183"/>
      <c r="AG88" s="183"/>
      <c r="AH88" s="183"/>
      <c r="AJ88" s="72">
        <f t="shared" si="16"/>
        <v>0</v>
      </c>
    </row>
    <row r="89" spans="2:36" ht="15.75" hidden="1" customHeight="1" outlineLevel="1" thickBot="1" x14ac:dyDescent="0.3">
      <c r="B89" s="151"/>
      <c r="C89" s="9" t="s">
        <v>3</v>
      </c>
      <c r="D89" s="177"/>
      <c r="E89" s="230"/>
      <c r="F89" s="230"/>
      <c r="G89" s="177"/>
      <c r="H89" s="177"/>
      <c r="I89" s="177"/>
      <c r="J89" s="177"/>
      <c r="K89" s="177"/>
      <c r="L89" s="230"/>
      <c r="M89" s="230"/>
      <c r="N89" s="177"/>
      <c r="O89" s="177"/>
      <c r="P89" s="177"/>
      <c r="Q89" s="177"/>
      <c r="R89" s="177"/>
      <c r="S89" s="230"/>
      <c r="T89" s="230"/>
      <c r="U89" s="177"/>
      <c r="V89" s="177"/>
      <c r="W89" s="177"/>
      <c r="X89" s="177"/>
      <c r="Y89" s="177"/>
      <c r="Z89" s="230"/>
      <c r="AA89" s="230"/>
      <c r="AB89" s="177"/>
      <c r="AC89" s="177"/>
      <c r="AD89" s="177"/>
      <c r="AE89" s="177"/>
      <c r="AF89" s="177"/>
      <c r="AG89" s="177"/>
      <c r="AH89" s="177"/>
      <c r="AI89" s="7"/>
      <c r="AJ89" s="69">
        <f t="shared" si="16"/>
        <v>0</v>
      </c>
    </row>
    <row r="90" spans="2:36" ht="16.5" collapsed="1" thickTop="1" thickBot="1" x14ac:dyDescent="0.3">
      <c r="B90" s="149" t="str">
        <f>'Hours Scheduled'!B21</f>
        <v>Manuel Sperti</v>
      </c>
      <c r="C90" t="s">
        <v>0</v>
      </c>
      <c r="D90" s="180"/>
      <c r="E90" s="198"/>
      <c r="F90" s="198"/>
      <c r="G90" s="180"/>
      <c r="H90" s="180"/>
      <c r="I90" s="180"/>
      <c r="J90" s="180"/>
      <c r="K90" s="180">
        <v>0</v>
      </c>
      <c r="L90" s="198"/>
      <c r="M90" s="198"/>
      <c r="N90" s="180">
        <v>0</v>
      </c>
      <c r="O90" s="180">
        <v>0</v>
      </c>
      <c r="P90" s="180">
        <v>0</v>
      </c>
      <c r="Q90" s="180">
        <v>0</v>
      </c>
      <c r="R90" s="180">
        <v>0</v>
      </c>
      <c r="S90" s="198"/>
      <c r="T90" s="198"/>
      <c r="U90" s="180">
        <v>0</v>
      </c>
      <c r="V90" s="180">
        <v>0</v>
      </c>
      <c r="W90" s="180">
        <v>0</v>
      </c>
      <c r="X90" s="180">
        <v>0</v>
      </c>
      <c r="Y90" s="180">
        <v>0</v>
      </c>
      <c r="Z90" s="198"/>
      <c r="AA90" s="198"/>
      <c r="AB90" s="180">
        <v>0</v>
      </c>
      <c r="AC90" s="180">
        <v>0</v>
      </c>
      <c r="AD90" s="180">
        <v>0</v>
      </c>
      <c r="AE90" s="180">
        <v>0</v>
      </c>
      <c r="AF90" s="180"/>
      <c r="AG90" s="180"/>
      <c r="AH90" s="180"/>
      <c r="AJ90" s="64">
        <f>SUM(D90:AH90)</f>
        <v>0</v>
      </c>
    </row>
    <row r="91" spans="2:36" ht="15.75" hidden="1" customHeight="1" outlineLevel="1" thickTop="1" x14ac:dyDescent="0.25">
      <c r="B91" s="150"/>
      <c r="C91" s="1" t="s">
        <v>1</v>
      </c>
      <c r="D91" s="181"/>
      <c r="E91" s="198"/>
      <c r="F91" s="198"/>
      <c r="G91" s="181"/>
      <c r="H91" s="181"/>
      <c r="I91" s="181"/>
      <c r="J91" s="181"/>
      <c r="K91" s="181">
        <v>8</v>
      </c>
      <c r="L91" s="198"/>
      <c r="M91" s="198"/>
      <c r="N91" s="181">
        <v>8</v>
      </c>
      <c r="O91" s="181">
        <v>8</v>
      </c>
      <c r="P91" s="181">
        <v>8</v>
      </c>
      <c r="Q91" s="181">
        <v>8</v>
      </c>
      <c r="R91" s="181">
        <v>8</v>
      </c>
      <c r="S91" s="198"/>
      <c r="T91" s="198"/>
      <c r="U91" s="181">
        <v>8</v>
      </c>
      <c r="V91" s="181">
        <v>8</v>
      </c>
      <c r="W91" s="181">
        <v>8</v>
      </c>
      <c r="X91" s="181">
        <v>8</v>
      </c>
      <c r="Y91" s="181">
        <v>8</v>
      </c>
      <c r="Z91" s="198"/>
      <c r="AA91" s="198"/>
      <c r="AB91" s="181">
        <v>8</v>
      </c>
      <c r="AC91" s="181">
        <v>8</v>
      </c>
      <c r="AD91" s="181">
        <v>8</v>
      </c>
      <c r="AE91" s="181">
        <v>8</v>
      </c>
      <c r="AF91" s="181"/>
      <c r="AG91" s="181"/>
      <c r="AH91" s="181"/>
      <c r="AJ91" s="70">
        <f t="shared" ref="AJ91:AJ94" si="17">SUM(D91:AH91)</f>
        <v>120</v>
      </c>
    </row>
    <row r="92" spans="2:36" ht="15" hidden="1" customHeight="1" outlineLevel="1" x14ac:dyDescent="0.25">
      <c r="B92" s="151"/>
      <c r="C92" s="1" t="s">
        <v>2</v>
      </c>
      <c r="D92" s="182"/>
      <c r="E92" s="198"/>
      <c r="F92" s="198"/>
      <c r="G92" s="182"/>
      <c r="H92" s="182"/>
      <c r="I92" s="182"/>
      <c r="J92" s="182"/>
      <c r="K92" s="182"/>
      <c r="L92" s="198"/>
      <c r="M92" s="198"/>
      <c r="N92" s="182"/>
      <c r="O92" s="182"/>
      <c r="P92" s="182"/>
      <c r="Q92" s="182"/>
      <c r="R92" s="182"/>
      <c r="S92" s="198"/>
      <c r="T92" s="198"/>
      <c r="U92" s="182"/>
      <c r="V92" s="182"/>
      <c r="W92" s="182"/>
      <c r="X92" s="182"/>
      <c r="Y92" s="182"/>
      <c r="Z92" s="198"/>
      <c r="AA92" s="198"/>
      <c r="AB92" s="182"/>
      <c r="AC92" s="182"/>
      <c r="AD92" s="182"/>
      <c r="AE92" s="182"/>
      <c r="AF92" s="182"/>
      <c r="AG92" s="182"/>
      <c r="AH92" s="182"/>
      <c r="AJ92" s="71">
        <f t="shared" si="17"/>
        <v>0</v>
      </c>
    </row>
    <row r="93" spans="2:36" ht="15" hidden="1" customHeight="1" outlineLevel="1" x14ac:dyDescent="0.25">
      <c r="B93" s="151"/>
      <c r="C93" s="54" t="s">
        <v>77</v>
      </c>
      <c r="D93" s="183"/>
      <c r="E93" s="198"/>
      <c r="F93" s="198"/>
      <c r="G93" s="183"/>
      <c r="H93" s="183"/>
      <c r="I93" s="183"/>
      <c r="J93" s="183"/>
      <c r="K93" s="183"/>
      <c r="L93" s="198"/>
      <c r="M93" s="198"/>
      <c r="N93" s="183"/>
      <c r="O93" s="183"/>
      <c r="P93" s="183"/>
      <c r="Q93" s="183"/>
      <c r="R93" s="183"/>
      <c r="S93" s="198"/>
      <c r="T93" s="198"/>
      <c r="U93" s="183"/>
      <c r="V93" s="183"/>
      <c r="W93" s="183"/>
      <c r="X93" s="183"/>
      <c r="Y93" s="183"/>
      <c r="Z93" s="198"/>
      <c r="AA93" s="198"/>
      <c r="AB93" s="183"/>
      <c r="AC93" s="183"/>
      <c r="AD93" s="183"/>
      <c r="AE93" s="183"/>
      <c r="AF93" s="183"/>
      <c r="AG93" s="183"/>
      <c r="AH93" s="183"/>
      <c r="AJ93" s="72">
        <f t="shared" si="17"/>
        <v>0</v>
      </c>
    </row>
    <row r="94" spans="2:36" ht="15.75" hidden="1" customHeight="1" outlineLevel="1" thickBot="1" x14ac:dyDescent="0.3">
      <c r="B94" s="151"/>
      <c r="C94" s="9" t="s">
        <v>3</v>
      </c>
      <c r="D94" s="184"/>
      <c r="E94" s="199"/>
      <c r="F94" s="199"/>
      <c r="G94" s="184"/>
      <c r="H94" s="184"/>
      <c r="I94" s="184"/>
      <c r="J94" s="184"/>
      <c r="K94" s="184"/>
      <c r="L94" s="199"/>
      <c r="M94" s="199"/>
      <c r="N94" s="184"/>
      <c r="O94" s="184"/>
      <c r="P94" s="184"/>
      <c r="Q94" s="184"/>
      <c r="R94" s="184"/>
      <c r="S94" s="199"/>
      <c r="T94" s="199"/>
      <c r="U94" s="184"/>
      <c r="V94" s="184"/>
      <c r="W94" s="184"/>
      <c r="X94" s="184"/>
      <c r="Y94" s="184"/>
      <c r="Z94" s="199"/>
      <c r="AA94" s="199"/>
      <c r="AB94" s="184"/>
      <c r="AC94" s="184"/>
      <c r="AD94" s="184"/>
      <c r="AE94" s="184"/>
      <c r="AF94" s="184"/>
      <c r="AG94" s="184"/>
      <c r="AH94" s="184"/>
      <c r="AI94" s="7"/>
      <c r="AJ94" s="69">
        <f t="shared" si="17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180"/>
      <c r="E95" s="198"/>
      <c r="F95" s="198"/>
      <c r="G95" s="180"/>
      <c r="H95" s="180"/>
      <c r="I95" s="180"/>
      <c r="J95" s="180"/>
      <c r="K95" s="250">
        <v>2.25</v>
      </c>
      <c r="L95" s="198"/>
      <c r="M95" s="198"/>
      <c r="N95" s="180">
        <v>8</v>
      </c>
      <c r="O95" s="180">
        <v>8</v>
      </c>
      <c r="P95" s="180">
        <v>8</v>
      </c>
      <c r="Q95" s="180">
        <v>8</v>
      </c>
      <c r="R95" s="180">
        <v>8</v>
      </c>
      <c r="S95" s="198"/>
      <c r="T95" s="198"/>
      <c r="U95" s="180"/>
      <c r="V95" s="180"/>
      <c r="W95" s="180"/>
      <c r="X95" s="180"/>
      <c r="Y95" s="180"/>
      <c r="Z95" s="198"/>
      <c r="AA95" s="198"/>
      <c r="AB95" s="180"/>
      <c r="AC95" s="180"/>
      <c r="AD95" s="250">
        <v>4.5</v>
      </c>
      <c r="AE95" s="180"/>
      <c r="AF95" s="180"/>
      <c r="AG95" s="180"/>
      <c r="AH95" s="180"/>
      <c r="AJ95" s="64">
        <f>SUM(D95:AH95)</f>
        <v>46.75</v>
      </c>
    </row>
    <row r="96" spans="2:36" ht="15.75" hidden="1" outlineLevel="1" thickTop="1" x14ac:dyDescent="0.25">
      <c r="B96" s="150"/>
      <c r="C96" s="1" t="s">
        <v>1</v>
      </c>
      <c r="D96" s="181"/>
      <c r="E96" s="198"/>
      <c r="F96" s="198"/>
      <c r="G96" s="181"/>
      <c r="H96" s="181"/>
      <c r="I96" s="181"/>
      <c r="J96" s="181"/>
      <c r="K96" s="181"/>
      <c r="L96" s="198"/>
      <c r="M96" s="198"/>
      <c r="N96" s="181"/>
      <c r="O96" s="181"/>
      <c r="P96" s="181"/>
      <c r="Q96" s="181"/>
      <c r="R96" s="181"/>
      <c r="S96" s="198"/>
      <c r="T96" s="198"/>
      <c r="U96" s="181"/>
      <c r="V96" s="181"/>
      <c r="W96" s="181"/>
      <c r="X96" s="181"/>
      <c r="Y96" s="181"/>
      <c r="Z96" s="198"/>
      <c r="AA96" s="198"/>
      <c r="AB96" s="181"/>
      <c r="AC96" s="181"/>
      <c r="AD96" s="181"/>
      <c r="AE96" s="181"/>
      <c r="AF96" s="181"/>
      <c r="AG96" s="181"/>
      <c r="AH96" s="181"/>
      <c r="AJ96" s="70">
        <f t="shared" ref="AJ96:AJ99" si="18">SUM(D96:AH96)</f>
        <v>0</v>
      </c>
    </row>
    <row r="97" spans="2:36" hidden="1" outlineLevel="1" x14ac:dyDescent="0.25">
      <c r="B97" s="151"/>
      <c r="C97" s="1" t="s">
        <v>2</v>
      </c>
      <c r="D97" s="182"/>
      <c r="E97" s="198"/>
      <c r="F97" s="198"/>
      <c r="G97" s="182"/>
      <c r="H97" s="182"/>
      <c r="I97" s="182"/>
      <c r="J97" s="182"/>
      <c r="K97" s="182"/>
      <c r="L97" s="198"/>
      <c r="M97" s="198"/>
      <c r="N97" s="182"/>
      <c r="O97" s="182"/>
      <c r="P97" s="182"/>
      <c r="Q97" s="182"/>
      <c r="R97" s="182"/>
      <c r="S97" s="198"/>
      <c r="T97" s="198"/>
      <c r="U97" s="182"/>
      <c r="V97" s="182"/>
      <c r="W97" s="182"/>
      <c r="X97" s="182"/>
      <c r="Y97" s="182"/>
      <c r="Z97" s="198"/>
      <c r="AA97" s="198"/>
      <c r="AB97" s="182"/>
      <c r="AC97" s="182"/>
      <c r="AD97" s="182"/>
      <c r="AE97" s="182"/>
      <c r="AF97" s="182"/>
      <c r="AG97" s="182"/>
      <c r="AH97" s="182"/>
      <c r="AJ97" s="71">
        <f t="shared" si="18"/>
        <v>0</v>
      </c>
    </row>
    <row r="98" spans="2:36" hidden="1" outlineLevel="1" x14ac:dyDescent="0.25">
      <c r="B98" s="151"/>
      <c r="C98" s="54" t="s">
        <v>77</v>
      </c>
      <c r="D98" s="183"/>
      <c r="E98" s="198"/>
      <c r="F98" s="198"/>
      <c r="G98" s="183"/>
      <c r="H98" s="183"/>
      <c r="I98" s="183"/>
      <c r="J98" s="183"/>
      <c r="K98" s="183"/>
      <c r="L98" s="198"/>
      <c r="M98" s="198"/>
      <c r="N98" s="183"/>
      <c r="O98" s="183"/>
      <c r="P98" s="183"/>
      <c r="Q98" s="183"/>
      <c r="R98" s="183"/>
      <c r="S98" s="198"/>
      <c r="T98" s="198"/>
      <c r="U98" s="183"/>
      <c r="V98" s="183"/>
      <c r="W98" s="183"/>
      <c r="X98" s="183"/>
      <c r="Y98" s="183"/>
      <c r="Z98" s="198"/>
      <c r="AA98" s="198"/>
      <c r="AB98" s="183"/>
      <c r="AC98" s="183"/>
      <c r="AD98" s="183"/>
      <c r="AE98" s="183"/>
      <c r="AF98" s="183"/>
      <c r="AG98" s="183"/>
      <c r="AH98" s="183"/>
      <c r="AJ98" s="72">
        <f t="shared" si="18"/>
        <v>0</v>
      </c>
    </row>
    <row r="99" spans="2:36" ht="15.75" hidden="1" outlineLevel="1" thickBot="1" x14ac:dyDescent="0.3">
      <c r="B99" s="151"/>
      <c r="C99" s="9" t="s">
        <v>3</v>
      </c>
      <c r="D99" s="184"/>
      <c r="E99" s="199"/>
      <c r="F99" s="199"/>
      <c r="G99" s="184"/>
      <c r="H99" s="184"/>
      <c r="I99" s="184"/>
      <c r="J99" s="184"/>
      <c r="K99" s="184"/>
      <c r="L99" s="199"/>
      <c r="M99" s="199"/>
      <c r="N99" s="184"/>
      <c r="O99" s="184"/>
      <c r="P99" s="184"/>
      <c r="Q99" s="184"/>
      <c r="R99" s="184"/>
      <c r="S99" s="199"/>
      <c r="T99" s="199"/>
      <c r="U99" s="184"/>
      <c r="V99" s="184"/>
      <c r="W99" s="184"/>
      <c r="X99" s="184"/>
      <c r="Y99" s="184"/>
      <c r="Z99" s="199"/>
      <c r="AA99" s="199"/>
      <c r="AB99" s="184"/>
      <c r="AC99" s="184"/>
      <c r="AD99" s="184"/>
      <c r="AE99" s="184"/>
      <c r="AF99" s="184"/>
      <c r="AG99" s="184"/>
      <c r="AH99" s="184"/>
      <c r="AI99" s="7"/>
      <c r="AJ99" s="69">
        <f t="shared" si="18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180"/>
      <c r="E100" s="198"/>
      <c r="F100" s="198"/>
      <c r="G100" s="180"/>
      <c r="H100" s="180"/>
      <c r="I100" s="180"/>
      <c r="J100" s="180"/>
      <c r="K100" s="180"/>
      <c r="L100" s="198"/>
      <c r="M100" s="198"/>
      <c r="N100" s="180"/>
      <c r="O100" s="180"/>
      <c r="P100" s="180">
        <v>1</v>
      </c>
      <c r="Q100" s="180"/>
      <c r="R100" s="180"/>
      <c r="S100" s="198"/>
      <c r="T100" s="198"/>
      <c r="U100" s="180"/>
      <c r="V100" s="180"/>
      <c r="W100" s="180"/>
      <c r="X100" s="180"/>
      <c r="Y100" s="180"/>
      <c r="Z100" s="198"/>
      <c r="AA100" s="198"/>
      <c r="AB100" s="180"/>
      <c r="AC100" s="180">
        <v>4</v>
      </c>
      <c r="AD100" s="180"/>
      <c r="AE100" s="180"/>
      <c r="AF100" s="180"/>
      <c r="AG100" s="180"/>
      <c r="AH100" s="180"/>
      <c r="AJ100" s="64">
        <f>SUM(D100:AH100)</f>
        <v>5</v>
      </c>
    </row>
    <row r="101" spans="2:36" ht="15.75" hidden="1" outlineLevel="1" thickTop="1" x14ac:dyDescent="0.25">
      <c r="B101" s="150"/>
      <c r="C101" s="1" t="s">
        <v>1</v>
      </c>
      <c r="D101" s="181"/>
      <c r="E101" s="198"/>
      <c r="F101" s="198"/>
      <c r="G101" s="181"/>
      <c r="H101" s="181"/>
      <c r="I101" s="181"/>
      <c r="J101" s="181"/>
      <c r="K101" s="181"/>
      <c r="L101" s="198"/>
      <c r="M101" s="198"/>
      <c r="N101" s="181"/>
      <c r="O101" s="181"/>
      <c r="P101" s="181"/>
      <c r="Q101" s="181"/>
      <c r="R101" s="181"/>
      <c r="S101" s="198"/>
      <c r="T101" s="198"/>
      <c r="U101" s="181"/>
      <c r="V101" s="181"/>
      <c r="W101" s="181"/>
      <c r="X101" s="181"/>
      <c r="Y101" s="181"/>
      <c r="Z101" s="198"/>
      <c r="AA101" s="198"/>
      <c r="AB101" s="181"/>
      <c r="AC101" s="181"/>
      <c r="AD101" s="181"/>
      <c r="AE101" s="181"/>
      <c r="AF101" s="181"/>
      <c r="AG101" s="181"/>
      <c r="AH101" s="181"/>
      <c r="AJ101" s="70">
        <f t="shared" ref="AJ101:AJ104" si="19">SUM(D101:AH101)</f>
        <v>0</v>
      </c>
    </row>
    <row r="102" spans="2:36" hidden="1" outlineLevel="1" x14ac:dyDescent="0.25">
      <c r="B102" s="151"/>
      <c r="C102" s="1" t="s">
        <v>2</v>
      </c>
      <c r="D102" s="182"/>
      <c r="E102" s="198"/>
      <c r="F102" s="198"/>
      <c r="G102" s="182"/>
      <c r="H102" s="182"/>
      <c r="I102" s="182"/>
      <c r="J102" s="182"/>
      <c r="K102" s="182"/>
      <c r="L102" s="198"/>
      <c r="M102" s="198"/>
      <c r="N102" s="182"/>
      <c r="O102" s="182"/>
      <c r="P102" s="182"/>
      <c r="Q102" s="182"/>
      <c r="R102" s="182"/>
      <c r="S102" s="198"/>
      <c r="T102" s="198"/>
      <c r="U102" s="182"/>
      <c r="V102" s="182"/>
      <c r="W102" s="182"/>
      <c r="X102" s="182"/>
      <c r="Y102" s="182"/>
      <c r="Z102" s="198"/>
      <c r="AA102" s="198"/>
      <c r="AB102" s="182"/>
      <c r="AC102" s="182"/>
      <c r="AD102" s="182"/>
      <c r="AE102" s="182"/>
      <c r="AF102" s="182"/>
      <c r="AG102" s="182"/>
      <c r="AH102" s="182"/>
      <c r="AJ102" s="71">
        <f t="shared" si="19"/>
        <v>0</v>
      </c>
    </row>
    <row r="103" spans="2:36" hidden="1" outlineLevel="1" x14ac:dyDescent="0.25">
      <c r="B103" s="151"/>
      <c r="C103" s="54" t="s">
        <v>77</v>
      </c>
      <c r="D103" s="183"/>
      <c r="E103" s="198"/>
      <c r="F103" s="198"/>
      <c r="G103" s="183"/>
      <c r="H103" s="183"/>
      <c r="I103" s="183"/>
      <c r="J103" s="183"/>
      <c r="K103" s="183"/>
      <c r="L103" s="198"/>
      <c r="M103" s="198"/>
      <c r="N103" s="183"/>
      <c r="O103" s="183"/>
      <c r="P103" s="183"/>
      <c r="Q103" s="183"/>
      <c r="R103" s="183"/>
      <c r="S103" s="198"/>
      <c r="T103" s="198"/>
      <c r="U103" s="183"/>
      <c r="V103" s="183"/>
      <c r="W103" s="183"/>
      <c r="X103" s="183"/>
      <c r="Y103" s="183"/>
      <c r="Z103" s="198"/>
      <c r="AA103" s="198"/>
      <c r="AB103" s="183"/>
      <c r="AC103" s="183"/>
      <c r="AD103" s="183"/>
      <c r="AE103" s="183"/>
      <c r="AF103" s="183"/>
      <c r="AG103" s="183"/>
      <c r="AH103" s="183"/>
      <c r="AJ103" s="72">
        <f t="shared" si="19"/>
        <v>0</v>
      </c>
    </row>
    <row r="104" spans="2:36" ht="15.75" hidden="1" outlineLevel="1" thickBot="1" x14ac:dyDescent="0.3">
      <c r="B104" s="151"/>
      <c r="C104" s="9" t="s">
        <v>3</v>
      </c>
      <c r="D104" s="184"/>
      <c r="E104" s="199"/>
      <c r="F104" s="199"/>
      <c r="G104" s="184"/>
      <c r="H104" s="184"/>
      <c r="I104" s="184"/>
      <c r="J104" s="184"/>
      <c r="K104" s="184"/>
      <c r="L104" s="199"/>
      <c r="M104" s="199"/>
      <c r="N104" s="184"/>
      <c r="O104" s="184"/>
      <c r="P104" s="184"/>
      <c r="Q104" s="184"/>
      <c r="R104" s="184"/>
      <c r="S104" s="199"/>
      <c r="T104" s="199"/>
      <c r="U104" s="184"/>
      <c r="V104" s="184"/>
      <c r="W104" s="184"/>
      <c r="X104" s="184"/>
      <c r="Y104" s="184"/>
      <c r="Z104" s="199"/>
      <c r="AA104" s="199"/>
      <c r="AB104" s="184"/>
      <c r="AC104" s="184"/>
      <c r="AD104" s="184"/>
      <c r="AE104" s="184"/>
      <c r="AF104" s="184"/>
      <c r="AG104" s="184"/>
      <c r="AH104" s="184"/>
      <c r="AI104" s="7"/>
      <c r="AJ104" s="69">
        <f t="shared" si="19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180">
        <v>0</v>
      </c>
      <c r="E105" s="198"/>
      <c r="F105" s="198"/>
      <c r="G105" s="180"/>
      <c r="H105" s="180"/>
      <c r="I105" s="180"/>
      <c r="J105" s="180"/>
      <c r="K105" s="180"/>
      <c r="L105" s="198"/>
      <c r="M105" s="198"/>
      <c r="N105" s="180"/>
      <c r="O105" s="180"/>
      <c r="P105" s="180">
        <v>0</v>
      </c>
      <c r="Q105" s="180"/>
      <c r="R105" s="180">
        <v>4</v>
      </c>
      <c r="S105" s="198"/>
      <c r="T105" s="198"/>
      <c r="U105" s="180"/>
      <c r="V105" s="180"/>
      <c r="W105" s="180"/>
      <c r="X105" s="180"/>
      <c r="Y105" s="180">
        <v>8</v>
      </c>
      <c r="Z105" s="198"/>
      <c r="AA105" s="198"/>
      <c r="AB105" s="180"/>
      <c r="AC105" s="180"/>
      <c r="AD105" s="180">
        <v>2</v>
      </c>
      <c r="AE105" s="180"/>
      <c r="AF105" s="180"/>
      <c r="AG105" s="180"/>
      <c r="AH105" s="180"/>
      <c r="AJ105" s="64">
        <f>SUM(D105:AH105)</f>
        <v>14</v>
      </c>
    </row>
    <row r="106" spans="2:36" ht="15.75" hidden="1" outlineLevel="1" thickTop="1" x14ac:dyDescent="0.25">
      <c r="B106" s="150"/>
      <c r="C106" s="1" t="s">
        <v>1</v>
      </c>
      <c r="D106" s="181">
        <v>8</v>
      </c>
      <c r="E106" s="198"/>
      <c r="F106" s="198"/>
      <c r="G106" s="181"/>
      <c r="H106" s="181"/>
      <c r="I106" s="181"/>
      <c r="J106" s="181"/>
      <c r="K106" s="181"/>
      <c r="L106" s="198"/>
      <c r="M106" s="198"/>
      <c r="N106" s="181"/>
      <c r="O106" s="181"/>
      <c r="P106" s="181"/>
      <c r="Q106" s="181"/>
      <c r="R106" s="181"/>
      <c r="S106" s="198"/>
      <c r="T106" s="198"/>
      <c r="U106" s="181"/>
      <c r="V106" s="181"/>
      <c r="W106" s="181"/>
      <c r="X106" s="181"/>
      <c r="Y106" s="181"/>
      <c r="Z106" s="198"/>
      <c r="AA106" s="198"/>
      <c r="AB106" s="181"/>
      <c r="AC106" s="181"/>
      <c r="AD106" s="181"/>
      <c r="AE106" s="181"/>
      <c r="AF106" s="181"/>
      <c r="AG106" s="181"/>
      <c r="AH106" s="181"/>
      <c r="AJ106" s="70">
        <f t="shared" ref="AJ106:AJ109" si="20">SUM(D106:AH106)</f>
        <v>8</v>
      </c>
    </row>
    <row r="107" spans="2:36" hidden="1" outlineLevel="1" x14ac:dyDescent="0.25">
      <c r="B107" s="151"/>
      <c r="C107" s="1" t="s">
        <v>2</v>
      </c>
      <c r="D107" s="182"/>
      <c r="E107" s="198"/>
      <c r="F107" s="198"/>
      <c r="G107" s="182"/>
      <c r="H107" s="182"/>
      <c r="I107" s="182"/>
      <c r="J107" s="182"/>
      <c r="K107" s="182"/>
      <c r="L107" s="198"/>
      <c r="M107" s="198"/>
      <c r="N107" s="182"/>
      <c r="O107" s="182"/>
      <c r="P107" s="182"/>
      <c r="Q107" s="182"/>
      <c r="R107" s="182"/>
      <c r="S107" s="198"/>
      <c r="T107" s="198"/>
      <c r="U107" s="182"/>
      <c r="V107" s="182"/>
      <c r="W107" s="182"/>
      <c r="X107" s="182"/>
      <c r="Y107" s="182"/>
      <c r="Z107" s="198"/>
      <c r="AA107" s="198"/>
      <c r="AB107" s="182"/>
      <c r="AC107" s="182"/>
      <c r="AD107" s="182"/>
      <c r="AE107" s="182"/>
      <c r="AF107" s="182"/>
      <c r="AG107" s="182"/>
      <c r="AH107" s="182"/>
      <c r="AJ107" s="71">
        <f t="shared" si="20"/>
        <v>0</v>
      </c>
    </row>
    <row r="108" spans="2:36" hidden="1" outlineLevel="1" x14ac:dyDescent="0.25">
      <c r="B108" s="151"/>
      <c r="C108" s="54" t="s">
        <v>77</v>
      </c>
      <c r="D108" s="183"/>
      <c r="E108" s="198"/>
      <c r="F108" s="198"/>
      <c r="G108" s="183"/>
      <c r="H108" s="183"/>
      <c r="I108" s="183"/>
      <c r="J108" s="183"/>
      <c r="K108" s="183"/>
      <c r="L108" s="198"/>
      <c r="M108" s="198"/>
      <c r="N108" s="183"/>
      <c r="O108" s="183"/>
      <c r="P108" s="183"/>
      <c r="Q108" s="183"/>
      <c r="R108" s="183">
        <v>4</v>
      </c>
      <c r="S108" s="198"/>
      <c r="T108" s="198"/>
      <c r="U108" s="183"/>
      <c r="V108" s="183"/>
      <c r="W108" s="183"/>
      <c r="X108" s="183"/>
      <c r="Y108" s="183"/>
      <c r="Z108" s="198"/>
      <c r="AA108" s="198"/>
      <c r="AB108" s="183"/>
      <c r="AC108" s="183"/>
      <c r="AD108" s="183"/>
      <c r="AE108" s="183"/>
      <c r="AF108" s="183"/>
      <c r="AG108" s="183"/>
      <c r="AH108" s="183"/>
      <c r="AJ108" s="72">
        <f t="shared" si="20"/>
        <v>4</v>
      </c>
    </row>
    <row r="109" spans="2:36" ht="15.75" hidden="1" outlineLevel="1" thickBot="1" x14ac:dyDescent="0.3">
      <c r="B109" s="151"/>
      <c r="C109" s="9" t="s">
        <v>3</v>
      </c>
      <c r="D109" s="184"/>
      <c r="E109" s="199"/>
      <c r="F109" s="199"/>
      <c r="G109" s="184"/>
      <c r="H109" s="184"/>
      <c r="I109" s="184"/>
      <c r="J109" s="184"/>
      <c r="K109" s="184"/>
      <c r="L109" s="199"/>
      <c r="M109" s="199"/>
      <c r="N109" s="184"/>
      <c r="O109" s="184"/>
      <c r="P109" s="184"/>
      <c r="Q109" s="184"/>
      <c r="R109" s="184"/>
      <c r="S109" s="199"/>
      <c r="T109" s="199"/>
      <c r="U109" s="184"/>
      <c r="V109" s="184"/>
      <c r="W109" s="184"/>
      <c r="X109" s="184"/>
      <c r="Y109" s="184"/>
      <c r="Z109" s="199"/>
      <c r="AA109" s="199"/>
      <c r="AB109" s="184"/>
      <c r="AC109" s="184"/>
      <c r="AD109" s="184"/>
      <c r="AE109" s="184"/>
      <c r="AF109" s="184"/>
      <c r="AG109" s="184"/>
      <c r="AH109" s="184"/>
      <c r="AI109" s="7"/>
      <c r="AJ109" s="69">
        <f t="shared" si="20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180"/>
      <c r="E110" s="198"/>
      <c r="F110" s="198"/>
      <c r="G110" s="180"/>
      <c r="H110" s="180"/>
      <c r="I110" s="180"/>
      <c r="J110" s="180"/>
      <c r="K110" s="180"/>
      <c r="L110" s="198"/>
      <c r="M110" s="198"/>
      <c r="N110" s="180"/>
      <c r="O110" s="180"/>
      <c r="P110" s="180"/>
      <c r="Q110" s="180"/>
      <c r="R110" s="180"/>
      <c r="S110" s="198"/>
      <c r="T110" s="198"/>
      <c r="U110" s="180"/>
      <c r="V110" s="180"/>
      <c r="W110" s="180"/>
      <c r="X110" s="180"/>
      <c r="Y110" s="180"/>
      <c r="Z110" s="198"/>
      <c r="AA110" s="198"/>
      <c r="AB110" s="180"/>
      <c r="AC110" s="180">
        <v>9</v>
      </c>
      <c r="AD110" s="180"/>
      <c r="AE110" s="180"/>
      <c r="AF110" s="180"/>
      <c r="AG110" s="180"/>
      <c r="AH110" s="180"/>
      <c r="AJ110" s="64">
        <f>SUM(D110:AH110)</f>
        <v>9</v>
      </c>
    </row>
    <row r="111" spans="2:36" ht="15.75" hidden="1" outlineLevel="1" thickTop="1" x14ac:dyDescent="0.25">
      <c r="B111" s="150"/>
      <c r="C111" s="1" t="s">
        <v>1</v>
      </c>
      <c r="D111" s="181"/>
      <c r="E111" s="198"/>
      <c r="F111" s="198"/>
      <c r="G111" s="181"/>
      <c r="H111" s="181"/>
      <c r="I111" s="181"/>
      <c r="J111" s="181"/>
      <c r="K111" s="181"/>
      <c r="L111" s="198"/>
      <c r="M111" s="198"/>
      <c r="N111" s="181"/>
      <c r="O111" s="181"/>
      <c r="P111" s="181"/>
      <c r="Q111" s="181"/>
      <c r="R111" s="181"/>
      <c r="S111" s="198"/>
      <c r="T111" s="198"/>
      <c r="U111" s="181"/>
      <c r="V111" s="181"/>
      <c r="W111" s="181"/>
      <c r="X111" s="181"/>
      <c r="Y111" s="181"/>
      <c r="Z111" s="198"/>
      <c r="AA111" s="198"/>
      <c r="AB111" s="181"/>
      <c r="AC111" s="181"/>
      <c r="AD111" s="181"/>
      <c r="AE111" s="181"/>
      <c r="AF111" s="181"/>
      <c r="AG111" s="181"/>
      <c r="AH111" s="181"/>
      <c r="AJ111" s="70">
        <f t="shared" ref="AJ111:AJ114" si="21">SUM(D111:AH111)</f>
        <v>0</v>
      </c>
    </row>
    <row r="112" spans="2:36" hidden="1" outlineLevel="1" x14ac:dyDescent="0.25">
      <c r="B112" s="151"/>
      <c r="C112" s="1" t="s">
        <v>2</v>
      </c>
      <c r="D112" s="182"/>
      <c r="E112" s="198"/>
      <c r="F112" s="198"/>
      <c r="G112" s="182"/>
      <c r="H112" s="182"/>
      <c r="I112" s="182"/>
      <c r="J112" s="182"/>
      <c r="K112" s="182"/>
      <c r="L112" s="198"/>
      <c r="M112" s="198"/>
      <c r="N112" s="182"/>
      <c r="O112" s="182"/>
      <c r="P112" s="182"/>
      <c r="Q112" s="182"/>
      <c r="R112" s="182"/>
      <c r="S112" s="198"/>
      <c r="T112" s="198"/>
      <c r="U112" s="182"/>
      <c r="V112" s="182"/>
      <c r="W112" s="182"/>
      <c r="X112" s="182"/>
      <c r="Y112" s="182"/>
      <c r="Z112" s="198"/>
      <c r="AA112" s="198"/>
      <c r="AB112" s="182"/>
      <c r="AC112" s="182"/>
      <c r="AD112" s="182"/>
      <c r="AE112" s="182"/>
      <c r="AF112" s="182"/>
      <c r="AG112" s="182"/>
      <c r="AH112" s="182"/>
      <c r="AJ112" s="71">
        <f t="shared" si="21"/>
        <v>0</v>
      </c>
    </row>
    <row r="113" spans="2:36" hidden="1" outlineLevel="1" x14ac:dyDescent="0.25">
      <c r="B113" s="151"/>
      <c r="C113" s="54" t="s">
        <v>77</v>
      </c>
      <c r="D113" s="183"/>
      <c r="E113" s="198"/>
      <c r="F113" s="198"/>
      <c r="G113" s="183"/>
      <c r="H113" s="183"/>
      <c r="I113" s="183"/>
      <c r="J113" s="183"/>
      <c r="K113" s="183"/>
      <c r="L113" s="198"/>
      <c r="M113" s="198"/>
      <c r="N113" s="183"/>
      <c r="O113" s="183"/>
      <c r="P113" s="183"/>
      <c r="Q113" s="183"/>
      <c r="R113" s="183"/>
      <c r="S113" s="198"/>
      <c r="T113" s="198"/>
      <c r="U113" s="183"/>
      <c r="V113" s="183"/>
      <c r="W113" s="183"/>
      <c r="X113" s="183"/>
      <c r="Y113" s="183"/>
      <c r="Z113" s="198"/>
      <c r="AA113" s="198"/>
      <c r="AB113" s="183"/>
      <c r="AC113" s="183"/>
      <c r="AD113" s="183"/>
      <c r="AE113" s="183"/>
      <c r="AF113" s="183"/>
      <c r="AG113" s="183"/>
      <c r="AH113" s="183"/>
      <c r="AJ113" s="72">
        <f t="shared" si="21"/>
        <v>0</v>
      </c>
    </row>
    <row r="114" spans="2:36" ht="15.75" hidden="1" outlineLevel="1" thickBot="1" x14ac:dyDescent="0.3">
      <c r="B114" s="151"/>
      <c r="C114" s="9" t="s">
        <v>3</v>
      </c>
      <c r="D114" s="184"/>
      <c r="E114" s="199"/>
      <c r="F114" s="199"/>
      <c r="G114" s="184"/>
      <c r="H114" s="184"/>
      <c r="I114" s="184"/>
      <c r="J114" s="184"/>
      <c r="K114" s="184"/>
      <c r="L114" s="199"/>
      <c r="M114" s="199"/>
      <c r="N114" s="184"/>
      <c r="O114" s="184"/>
      <c r="P114" s="184"/>
      <c r="Q114" s="184"/>
      <c r="R114" s="184"/>
      <c r="S114" s="199"/>
      <c r="T114" s="199"/>
      <c r="U114" s="184"/>
      <c r="V114" s="184"/>
      <c r="W114" s="184"/>
      <c r="X114" s="184"/>
      <c r="Y114" s="184"/>
      <c r="Z114" s="199"/>
      <c r="AA114" s="199"/>
      <c r="AB114" s="184"/>
      <c r="AC114" s="184"/>
      <c r="AD114" s="184"/>
      <c r="AE114" s="184"/>
      <c r="AF114" s="184"/>
      <c r="AG114" s="184"/>
      <c r="AH114" s="184"/>
      <c r="AI114" s="7"/>
      <c r="AJ114" s="69">
        <f t="shared" si="21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180">
        <v>0</v>
      </c>
      <c r="E115" s="198"/>
      <c r="F115" s="198"/>
      <c r="G115" s="180"/>
      <c r="H115" s="180"/>
      <c r="I115" s="180">
        <v>0</v>
      </c>
      <c r="J115" s="180"/>
      <c r="K115" s="180"/>
      <c r="L115" s="198"/>
      <c r="M115" s="198"/>
      <c r="N115" s="180"/>
      <c r="O115" s="180"/>
      <c r="P115" s="180"/>
      <c r="Q115" s="180"/>
      <c r="R115" s="180"/>
      <c r="S115" s="198"/>
      <c r="T115" s="198"/>
      <c r="U115" s="180"/>
      <c r="V115" s="180"/>
      <c r="W115" s="180"/>
      <c r="X115" s="180"/>
      <c r="Y115" s="180"/>
      <c r="Z115" s="198"/>
      <c r="AA115" s="198"/>
      <c r="AB115" s="180"/>
      <c r="AC115" s="180"/>
      <c r="AD115" s="180"/>
      <c r="AE115" s="180"/>
      <c r="AF115" s="180"/>
      <c r="AG115" s="180"/>
      <c r="AH115" s="180"/>
      <c r="AJ115" s="64">
        <f>SUM(D115:AH115)</f>
        <v>0</v>
      </c>
    </row>
    <row r="116" spans="2:36" ht="15.75" hidden="1" outlineLevel="1" thickTop="1" x14ac:dyDescent="0.25">
      <c r="B116" s="150"/>
      <c r="C116" s="1" t="s">
        <v>1</v>
      </c>
      <c r="D116" s="181"/>
      <c r="E116" s="198"/>
      <c r="F116" s="198"/>
      <c r="G116" s="181"/>
      <c r="H116" s="181"/>
      <c r="I116" s="181"/>
      <c r="J116" s="181"/>
      <c r="K116" s="181"/>
      <c r="L116" s="198"/>
      <c r="M116" s="198"/>
      <c r="N116" s="181"/>
      <c r="O116" s="181"/>
      <c r="P116" s="181"/>
      <c r="Q116" s="181"/>
      <c r="R116" s="181"/>
      <c r="S116" s="198"/>
      <c r="T116" s="198"/>
      <c r="U116" s="181"/>
      <c r="V116" s="181"/>
      <c r="W116" s="181"/>
      <c r="X116" s="181"/>
      <c r="Y116" s="181"/>
      <c r="Z116" s="198"/>
      <c r="AA116" s="198"/>
      <c r="AB116" s="181"/>
      <c r="AC116" s="181"/>
      <c r="AD116" s="181"/>
      <c r="AE116" s="181"/>
      <c r="AF116" s="181"/>
      <c r="AG116" s="181"/>
      <c r="AH116" s="181"/>
      <c r="AJ116" s="70">
        <f t="shared" ref="AJ116:AJ119" si="22">SUM(D116:AH116)</f>
        <v>0</v>
      </c>
    </row>
    <row r="117" spans="2:36" hidden="1" outlineLevel="1" x14ac:dyDescent="0.25">
      <c r="B117" s="151"/>
      <c r="C117" s="1" t="s">
        <v>2</v>
      </c>
      <c r="D117" s="182">
        <v>8</v>
      </c>
      <c r="E117" s="198"/>
      <c r="F117" s="198"/>
      <c r="G117" s="182"/>
      <c r="H117" s="182"/>
      <c r="I117" s="182"/>
      <c r="J117" s="182"/>
      <c r="K117" s="182"/>
      <c r="L117" s="198"/>
      <c r="M117" s="198"/>
      <c r="N117" s="182"/>
      <c r="O117" s="182"/>
      <c r="P117" s="182"/>
      <c r="Q117" s="182"/>
      <c r="R117" s="182"/>
      <c r="S117" s="198"/>
      <c r="T117" s="198"/>
      <c r="U117" s="182"/>
      <c r="V117" s="182"/>
      <c r="W117" s="182"/>
      <c r="X117" s="182"/>
      <c r="Y117" s="182"/>
      <c r="Z117" s="198"/>
      <c r="AA117" s="198"/>
      <c r="AB117" s="182"/>
      <c r="AC117" s="182"/>
      <c r="AD117" s="182"/>
      <c r="AE117" s="182"/>
      <c r="AF117" s="182"/>
      <c r="AG117" s="182"/>
      <c r="AH117" s="182"/>
      <c r="AJ117" s="71">
        <f t="shared" si="22"/>
        <v>8</v>
      </c>
    </row>
    <row r="118" spans="2:36" hidden="1" outlineLevel="1" x14ac:dyDescent="0.25">
      <c r="B118" s="151"/>
      <c r="C118" s="54" t="s">
        <v>77</v>
      </c>
      <c r="D118" s="183"/>
      <c r="E118" s="198"/>
      <c r="F118" s="198"/>
      <c r="G118" s="183"/>
      <c r="H118" s="183"/>
      <c r="I118" s="183">
        <v>2</v>
      </c>
      <c r="J118" s="183"/>
      <c r="K118" s="183"/>
      <c r="L118" s="198"/>
      <c r="M118" s="198"/>
      <c r="N118" s="183"/>
      <c r="O118" s="183"/>
      <c r="P118" s="183"/>
      <c r="Q118" s="183"/>
      <c r="R118" s="183"/>
      <c r="S118" s="198"/>
      <c r="T118" s="198"/>
      <c r="U118" s="183"/>
      <c r="V118" s="183"/>
      <c r="W118" s="183"/>
      <c r="X118" s="183"/>
      <c r="Y118" s="183"/>
      <c r="Z118" s="198"/>
      <c r="AA118" s="198"/>
      <c r="AB118" s="183"/>
      <c r="AC118" s="183"/>
      <c r="AD118" s="183"/>
      <c r="AE118" s="183"/>
      <c r="AF118" s="183"/>
      <c r="AG118" s="183"/>
      <c r="AH118" s="183"/>
      <c r="AJ118" s="72">
        <f t="shared" si="22"/>
        <v>2</v>
      </c>
    </row>
    <row r="119" spans="2:36" ht="15.75" hidden="1" outlineLevel="1" thickBot="1" x14ac:dyDescent="0.3">
      <c r="B119" s="151"/>
      <c r="C119" s="9" t="s">
        <v>3</v>
      </c>
      <c r="D119" s="184"/>
      <c r="E119" s="199"/>
      <c r="F119" s="199"/>
      <c r="G119" s="184"/>
      <c r="H119" s="184"/>
      <c r="I119" s="184"/>
      <c r="J119" s="184"/>
      <c r="K119" s="184"/>
      <c r="L119" s="199"/>
      <c r="M119" s="199"/>
      <c r="N119" s="184"/>
      <c r="O119" s="184"/>
      <c r="P119" s="184"/>
      <c r="Q119" s="184"/>
      <c r="R119" s="184"/>
      <c r="S119" s="199"/>
      <c r="T119" s="199"/>
      <c r="U119" s="184"/>
      <c r="V119" s="184"/>
      <c r="W119" s="184"/>
      <c r="X119" s="184"/>
      <c r="Y119" s="184"/>
      <c r="Z119" s="199"/>
      <c r="AA119" s="199"/>
      <c r="AB119" s="184"/>
      <c r="AC119" s="184"/>
      <c r="AD119" s="184"/>
      <c r="AE119" s="184"/>
      <c r="AF119" s="184"/>
      <c r="AG119" s="184"/>
      <c r="AH119" s="184"/>
      <c r="AI119" s="7"/>
      <c r="AJ119" s="69">
        <f t="shared" si="22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180"/>
      <c r="E120" s="198"/>
      <c r="F120" s="198"/>
      <c r="G120" s="180"/>
      <c r="H120" s="180"/>
      <c r="I120" s="180">
        <v>4</v>
      </c>
      <c r="J120" s="180"/>
      <c r="K120" s="180"/>
      <c r="L120" s="198"/>
      <c r="M120" s="198"/>
      <c r="N120" s="180"/>
      <c r="O120" s="180"/>
      <c r="P120" s="180"/>
      <c r="Q120" s="180"/>
      <c r="R120" s="250">
        <v>2.5</v>
      </c>
      <c r="S120" s="198"/>
      <c r="T120" s="198"/>
      <c r="U120" s="180"/>
      <c r="V120" s="180">
        <v>8</v>
      </c>
      <c r="W120" s="180"/>
      <c r="X120" s="180"/>
      <c r="Y120" s="180"/>
      <c r="Z120" s="198"/>
      <c r="AA120" s="198"/>
      <c r="AB120" s="180"/>
      <c r="AC120" s="180"/>
      <c r="AD120" s="180"/>
      <c r="AE120" s="180"/>
      <c r="AF120" s="180"/>
      <c r="AG120" s="180"/>
      <c r="AH120" s="180"/>
      <c r="AJ120" s="64">
        <f>SUM(D120:AH120)</f>
        <v>14.5</v>
      </c>
    </row>
    <row r="121" spans="2:36" ht="15.75" hidden="1" outlineLevel="1" thickTop="1" x14ac:dyDescent="0.25">
      <c r="B121" s="150"/>
      <c r="C121" s="1" t="s">
        <v>1</v>
      </c>
      <c r="D121" s="181"/>
      <c r="E121" s="198"/>
      <c r="F121" s="198"/>
      <c r="G121" s="181"/>
      <c r="H121" s="181"/>
      <c r="I121" s="181"/>
      <c r="J121" s="181"/>
      <c r="K121" s="181"/>
      <c r="L121" s="198"/>
      <c r="M121" s="198"/>
      <c r="N121" s="181"/>
      <c r="O121" s="181"/>
      <c r="P121" s="181"/>
      <c r="Q121" s="181"/>
      <c r="R121" s="181"/>
      <c r="S121" s="198"/>
      <c r="T121" s="198"/>
      <c r="U121" s="181"/>
      <c r="V121" s="181"/>
      <c r="W121" s="181"/>
      <c r="X121" s="181"/>
      <c r="Y121" s="181"/>
      <c r="Z121" s="198"/>
      <c r="AA121" s="198"/>
      <c r="AB121" s="181"/>
      <c r="AC121" s="181"/>
      <c r="AD121" s="181"/>
      <c r="AE121" s="181"/>
      <c r="AF121" s="181"/>
      <c r="AG121" s="181"/>
      <c r="AH121" s="181"/>
      <c r="AJ121" s="70">
        <f t="shared" ref="AJ121:AJ124" si="23">SUM(D121:AH121)</f>
        <v>0</v>
      </c>
    </row>
    <row r="122" spans="2:36" hidden="1" outlineLevel="1" x14ac:dyDescent="0.25">
      <c r="B122" s="151"/>
      <c r="C122" s="1" t="s">
        <v>2</v>
      </c>
      <c r="D122" s="182"/>
      <c r="E122" s="198"/>
      <c r="F122" s="198"/>
      <c r="G122" s="182"/>
      <c r="H122" s="182"/>
      <c r="I122" s="182"/>
      <c r="J122" s="182"/>
      <c r="K122" s="182"/>
      <c r="L122" s="198"/>
      <c r="M122" s="198"/>
      <c r="N122" s="182"/>
      <c r="O122" s="182"/>
      <c r="P122" s="182"/>
      <c r="Q122" s="182"/>
      <c r="R122" s="182"/>
      <c r="S122" s="198"/>
      <c r="T122" s="198"/>
      <c r="U122" s="182"/>
      <c r="V122" s="182"/>
      <c r="W122" s="182"/>
      <c r="X122" s="182"/>
      <c r="Y122" s="182"/>
      <c r="Z122" s="198"/>
      <c r="AA122" s="198"/>
      <c r="AB122" s="182"/>
      <c r="AC122" s="182"/>
      <c r="AD122" s="182"/>
      <c r="AE122" s="182"/>
      <c r="AF122" s="182"/>
      <c r="AG122" s="182"/>
      <c r="AH122" s="182"/>
      <c r="AJ122" s="71">
        <f t="shared" si="23"/>
        <v>0</v>
      </c>
    </row>
    <row r="123" spans="2:36" hidden="1" outlineLevel="1" x14ac:dyDescent="0.25">
      <c r="B123" s="151"/>
      <c r="C123" s="54" t="s">
        <v>77</v>
      </c>
      <c r="D123" s="183"/>
      <c r="E123" s="198"/>
      <c r="F123" s="198"/>
      <c r="G123" s="183"/>
      <c r="H123" s="183"/>
      <c r="I123" s="183"/>
      <c r="J123" s="183"/>
      <c r="K123" s="183"/>
      <c r="L123" s="198"/>
      <c r="M123" s="198"/>
      <c r="N123" s="183"/>
      <c r="O123" s="183"/>
      <c r="P123" s="183"/>
      <c r="Q123" s="183"/>
      <c r="R123" s="183"/>
      <c r="S123" s="198"/>
      <c r="T123" s="198"/>
      <c r="U123" s="183"/>
      <c r="V123" s="183"/>
      <c r="W123" s="183"/>
      <c r="X123" s="183"/>
      <c r="Y123" s="183"/>
      <c r="Z123" s="198"/>
      <c r="AA123" s="198"/>
      <c r="AB123" s="183"/>
      <c r="AC123" s="183"/>
      <c r="AD123" s="183"/>
      <c r="AE123" s="183"/>
      <c r="AF123" s="183"/>
      <c r="AG123" s="183"/>
      <c r="AH123" s="183"/>
      <c r="AJ123" s="72">
        <f t="shared" si="23"/>
        <v>0</v>
      </c>
    </row>
    <row r="124" spans="2:36" ht="15.75" hidden="1" outlineLevel="1" thickBot="1" x14ac:dyDescent="0.3">
      <c r="B124" s="151"/>
      <c r="C124" s="9" t="s">
        <v>3</v>
      </c>
      <c r="D124" s="184"/>
      <c r="E124" s="199"/>
      <c r="F124" s="199"/>
      <c r="G124" s="184"/>
      <c r="H124" s="184"/>
      <c r="I124" s="184"/>
      <c r="J124" s="184"/>
      <c r="K124" s="184"/>
      <c r="L124" s="199"/>
      <c r="M124" s="199"/>
      <c r="N124" s="184"/>
      <c r="O124" s="184"/>
      <c r="P124" s="184"/>
      <c r="Q124" s="184"/>
      <c r="R124" s="184"/>
      <c r="S124" s="199"/>
      <c r="T124" s="199"/>
      <c r="U124" s="184"/>
      <c r="V124" s="184"/>
      <c r="W124" s="184"/>
      <c r="X124" s="184"/>
      <c r="Y124" s="184"/>
      <c r="Z124" s="199"/>
      <c r="AA124" s="199"/>
      <c r="AB124" s="184"/>
      <c r="AC124" s="184"/>
      <c r="AD124" s="184"/>
      <c r="AE124" s="184"/>
      <c r="AF124" s="184"/>
      <c r="AG124" s="184"/>
      <c r="AH124" s="184"/>
      <c r="AI124" s="7"/>
      <c r="AJ124" s="69">
        <f t="shared" si="23"/>
        <v>0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180"/>
      <c r="E125" s="198"/>
      <c r="F125" s="198"/>
      <c r="G125" s="180"/>
      <c r="H125" s="180"/>
      <c r="I125" s="180"/>
      <c r="J125" s="180"/>
      <c r="K125" s="180"/>
      <c r="L125" s="198"/>
      <c r="M125" s="198"/>
      <c r="N125" s="180">
        <v>8</v>
      </c>
      <c r="O125" s="180"/>
      <c r="P125" s="180"/>
      <c r="Q125" s="180"/>
      <c r="R125" s="180"/>
      <c r="S125" s="198"/>
      <c r="T125" s="198"/>
      <c r="U125" s="180"/>
      <c r="V125" s="180"/>
      <c r="W125" s="180"/>
      <c r="X125" s="180"/>
      <c r="Y125" s="180"/>
      <c r="Z125" s="198"/>
      <c r="AA125" s="198"/>
      <c r="AB125" s="180">
        <v>0</v>
      </c>
      <c r="AC125" s="180"/>
      <c r="AD125" s="180"/>
      <c r="AE125" s="180"/>
      <c r="AF125" s="180"/>
      <c r="AG125" s="180"/>
      <c r="AH125" s="180"/>
      <c r="AJ125" s="64">
        <f>SUM(D125:AH125)</f>
        <v>8</v>
      </c>
    </row>
    <row r="126" spans="2:36" ht="15.75" hidden="1" outlineLevel="1" thickTop="1" x14ac:dyDescent="0.25">
      <c r="B126" s="150"/>
      <c r="C126" s="1" t="s">
        <v>1</v>
      </c>
      <c r="D126" s="181"/>
      <c r="E126" s="198"/>
      <c r="F126" s="198"/>
      <c r="G126" s="181"/>
      <c r="H126" s="181"/>
      <c r="I126" s="181"/>
      <c r="J126" s="181"/>
      <c r="K126" s="181"/>
      <c r="L126" s="198"/>
      <c r="M126" s="198"/>
      <c r="N126" s="181"/>
      <c r="O126" s="181"/>
      <c r="P126" s="181"/>
      <c r="Q126" s="181"/>
      <c r="R126" s="181"/>
      <c r="S126" s="198"/>
      <c r="T126" s="198"/>
      <c r="U126" s="181"/>
      <c r="V126" s="181"/>
      <c r="W126" s="181"/>
      <c r="X126" s="181"/>
      <c r="Y126" s="181"/>
      <c r="Z126" s="198"/>
      <c r="AA126" s="198"/>
      <c r="AB126" s="181"/>
      <c r="AC126" s="181"/>
      <c r="AD126" s="181"/>
      <c r="AE126" s="181"/>
      <c r="AF126" s="181"/>
      <c r="AG126" s="181"/>
      <c r="AH126" s="181"/>
      <c r="AJ126" s="70">
        <f t="shared" ref="AJ126:AJ129" si="24">SUM(D126:AH126)</f>
        <v>0</v>
      </c>
    </row>
    <row r="127" spans="2:36" hidden="1" outlineLevel="1" x14ac:dyDescent="0.25">
      <c r="B127" s="151"/>
      <c r="C127" s="1" t="s">
        <v>2</v>
      </c>
      <c r="D127" s="182"/>
      <c r="E127" s="198"/>
      <c r="F127" s="198"/>
      <c r="G127" s="182"/>
      <c r="H127" s="182"/>
      <c r="I127" s="182"/>
      <c r="J127" s="182"/>
      <c r="K127" s="182"/>
      <c r="L127" s="198"/>
      <c r="M127" s="198"/>
      <c r="N127" s="182"/>
      <c r="O127" s="182"/>
      <c r="P127" s="182"/>
      <c r="Q127" s="182"/>
      <c r="R127" s="182"/>
      <c r="S127" s="198"/>
      <c r="T127" s="198"/>
      <c r="U127" s="182"/>
      <c r="V127" s="182"/>
      <c r="W127" s="182"/>
      <c r="X127" s="182"/>
      <c r="Y127" s="182"/>
      <c r="Z127" s="198"/>
      <c r="AA127" s="198"/>
      <c r="AB127" s="182"/>
      <c r="AC127" s="182"/>
      <c r="AD127" s="182"/>
      <c r="AE127" s="182"/>
      <c r="AF127" s="182"/>
      <c r="AG127" s="182"/>
      <c r="AH127" s="182"/>
      <c r="AJ127" s="71">
        <f t="shared" si="24"/>
        <v>0</v>
      </c>
    </row>
    <row r="128" spans="2:36" hidden="1" outlineLevel="1" x14ac:dyDescent="0.25">
      <c r="B128" s="151"/>
      <c r="C128" s="54" t="s">
        <v>77</v>
      </c>
      <c r="D128" s="183"/>
      <c r="E128" s="198"/>
      <c r="F128" s="198"/>
      <c r="G128" s="183"/>
      <c r="H128" s="183"/>
      <c r="I128" s="183"/>
      <c r="J128" s="183"/>
      <c r="K128" s="183"/>
      <c r="L128" s="198"/>
      <c r="M128" s="198"/>
      <c r="N128" s="183"/>
      <c r="O128" s="183"/>
      <c r="P128" s="183"/>
      <c r="Q128" s="183"/>
      <c r="R128" s="183"/>
      <c r="S128" s="198"/>
      <c r="T128" s="198"/>
      <c r="U128" s="183"/>
      <c r="V128" s="183"/>
      <c r="W128" s="183"/>
      <c r="X128" s="183"/>
      <c r="Y128" s="183"/>
      <c r="Z128" s="198"/>
      <c r="AA128" s="198"/>
      <c r="AB128" s="183">
        <v>2</v>
      </c>
      <c r="AC128" s="183"/>
      <c r="AD128" s="183"/>
      <c r="AE128" s="183"/>
      <c r="AF128" s="183"/>
      <c r="AG128" s="183"/>
      <c r="AH128" s="183"/>
      <c r="AJ128" s="72">
        <f t="shared" si="24"/>
        <v>2</v>
      </c>
    </row>
    <row r="129" spans="2:36" ht="15.75" hidden="1" outlineLevel="1" thickBot="1" x14ac:dyDescent="0.3">
      <c r="B129" s="151"/>
      <c r="C129" s="9" t="s">
        <v>3</v>
      </c>
      <c r="D129" s="184"/>
      <c r="E129" s="199"/>
      <c r="F129" s="199"/>
      <c r="G129" s="184"/>
      <c r="H129" s="184"/>
      <c r="I129" s="184"/>
      <c r="J129" s="184"/>
      <c r="K129" s="184"/>
      <c r="L129" s="199"/>
      <c r="M129" s="199"/>
      <c r="N129" s="184"/>
      <c r="O129" s="184"/>
      <c r="P129" s="184"/>
      <c r="Q129" s="184"/>
      <c r="R129" s="184"/>
      <c r="S129" s="199"/>
      <c r="T129" s="199"/>
      <c r="U129" s="184"/>
      <c r="V129" s="184"/>
      <c r="W129" s="184"/>
      <c r="X129" s="184"/>
      <c r="Y129" s="184"/>
      <c r="Z129" s="199"/>
      <c r="AA129" s="199"/>
      <c r="AB129" s="184"/>
      <c r="AC129" s="184"/>
      <c r="AD129" s="184"/>
      <c r="AE129" s="184"/>
      <c r="AF129" s="184"/>
      <c r="AG129" s="184"/>
      <c r="AH129" s="184"/>
      <c r="AI129" s="7"/>
      <c r="AJ129" s="69">
        <f t="shared" si="24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180">
        <v>8</v>
      </c>
      <c r="E130" s="198"/>
      <c r="F130" s="198"/>
      <c r="G130" s="180">
        <v>8</v>
      </c>
      <c r="H130" s="180">
        <v>8</v>
      </c>
      <c r="I130" s="180">
        <v>8</v>
      </c>
      <c r="J130" s="180">
        <v>8</v>
      </c>
      <c r="K130" s="180">
        <v>8</v>
      </c>
      <c r="L130" s="198"/>
      <c r="M130" s="198"/>
      <c r="N130" s="180"/>
      <c r="O130" s="180"/>
      <c r="P130" s="180"/>
      <c r="Q130" s="180"/>
      <c r="R130" s="180"/>
      <c r="S130" s="198"/>
      <c r="T130" s="198"/>
      <c r="U130" s="180"/>
      <c r="V130" s="180"/>
      <c r="W130" s="180"/>
      <c r="X130" s="180"/>
      <c r="Y130" s="180"/>
      <c r="Z130" s="198"/>
      <c r="AA130" s="198"/>
      <c r="AB130" s="180"/>
      <c r="AC130" s="180"/>
      <c r="AD130" s="180"/>
      <c r="AE130" s="180"/>
      <c r="AF130" s="180"/>
      <c r="AG130" s="180"/>
      <c r="AH130" s="180"/>
      <c r="AJ130" s="64">
        <f>SUM(D130:AH130)</f>
        <v>48</v>
      </c>
    </row>
    <row r="131" spans="2:36" ht="15.75" hidden="1" outlineLevel="1" thickTop="1" x14ac:dyDescent="0.25">
      <c r="B131" s="150"/>
      <c r="C131" s="1" t="s">
        <v>1</v>
      </c>
      <c r="D131" s="181"/>
      <c r="E131" s="198"/>
      <c r="F131" s="198"/>
      <c r="G131" s="181"/>
      <c r="H131" s="181"/>
      <c r="I131" s="181"/>
      <c r="J131" s="181"/>
      <c r="K131" s="181"/>
      <c r="L131" s="198"/>
      <c r="M131" s="198"/>
      <c r="N131" s="181"/>
      <c r="O131" s="181"/>
      <c r="P131" s="181"/>
      <c r="Q131" s="181"/>
      <c r="R131" s="181"/>
      <c r="S131" s="198"/>
      <c r="T131" s="198"/>
      <c r="U131" s="181"/>
      <c r="V131" s="181"/>
      <c r="W131" s="181"/>
      <c r="X131" s="181"/>
      <c r="Y131" s="181"/>
      <c r="Z131" s="198"/>
      <c r="AA131" s="198"/>
      <c r="AB131" s="181"/>
      <c r="AC131" s="181"/>
      <c r="AD131" s="181"/>
      <c r="AE131" s="181"/>
      <c r="AF131" s="181"/>
      <c r="AG131" s="181"/>
      <c r="AH131" s="181"/>
      <c r="AJ131" s="70">
        <f t="shared" ref="AJ131:AJ134" si="25">SUM(D131:AH131)</f>
        <v>0</v>
      </c>
    </row>
    <row r="132" spans="2:36" hidden="1" outlineLevel="1" x14ac:dyDescent="0.25">
      <c r="B132" s="151"/>
      <c r="C132" s="1" t="s">
        <v>2</v>
      </c>
      <c r="D132" s="182"/>
      <c r="E132" s="198"/>
      <c r="F132" s="198"/>
      <c r="G132" s="182"/>
      <c r="H132" s="182"/>
      <c r="I132" s="182"/>
      <c r="J132" s="182"/>
      <c r="K132" s="182"/>
      <c r="L132" s="198"/>
      <c r="M132" s="198"/>
      <c r="N132" s="182"/>
      <c r="O132" s="182"/>
      <c r="P132" s="182"/>
      <c r="Q132" s="182"/>
      <c r="R132" s="182"/>
      <c r="S132" s="198"/>
      <c r="T132" s="198"/>
      <c r="U132" s="182"/>
      <c r="V132" s="182"/>
      <c r="W132" s="182"/>
      <c r="X132" s="182"/>
      <c r="Y132" s="182"/>
      <c r="Z132" s="198"/>
      <c r="AA132" s="198"/>
      <c r="AB132" s="182"/>
      <c r="AC132" s="182"/>
      <c r="AD132" s="182"/>
      <c r="AE132" s="182"/>
      <c r="AF132" s="182"/>
      <c r="AG132" s="182"/>
      <c r="AH132" s="182"/>
      <c r="AJ132" s="71">
        <f t="shared" si="25"/>
        <v>0</v>
      </c>
    </row>
    <row r="133" spans="2:36" hidden="1" outlineLevel="1" x14ac:dyDescent="0.25">
      <c r="B133" s="151"/>
      <c r="C133" s="54" t="s">
        <v>77</v>
      </c>
      <c r="D133" s="183"/>
      <c r="E133" s="198"/>
      <c r="F133" s="198"/>
      <c r="G133" s="183"/>
      <c r="H133" s="183"/>
      <c r="I133" s="183"/>
      <c r="J133" s="183"/>
      <c r="K133" s="183"/>
      <c r="L133" s="198"/>
      <c r="M133" s="198"/>
      <c r="N133" s="183"/>
      <c r="O133" s="183"/>
      <c r="P133" s="183"/>
      <c r="Q133" s="183"/>
      <c r="R133" s="183"/>
      <c r="S133" s="198"/>
      <c r="T133" s="198"/>
      <c r="U133" s="183"/>
      <c r="V133" s="183"/>
      <c r="W133" s="183"/>
      <c r="X133" s="183"/>
      <c r="Y133" s="183"/>
      <c r="Z133" s="198"/>
      <c r="AA133" s="198"/>
      <c r="AB133" s="183"/>
      <c r="AC133" s="183"/>
      <c r="AD133" s="183"/>
      <c r="AE133" s="183"/>
      <c r="AF133" s="183"/>
      <c r="AG133" s="183"/>
      <c r="AH133" s="183"/>
      <c r="AJ133" s="72">
        <f t="shared" si="25"/>
        <v>0</v>
      </c>
    </row>
    <row r="134" spans="2:36" ht="15.75" hidden="1" outlineLevel="1" thickBot="1" x14ac:dyDescent="0.3">
      <c r="B134" s="151"/>
      <c r="C134" s="9" t="s">
        <v>3</v>
      </c>
      <c r="D134" s="184"/>
      <c r="E134" s="199"/>
      <c r="F134" s="199"/>
      <c r="G134" s="184"/>
      <c r="H134" s="184"/>
      <c r="I134" s="184"/>
      <c r="J134" s="184"/>
      <c r="K134" s="184"/>
      <c r="L134" s="199"/>
      <c r="M134" s="199"/>
      <c r="N134" s="184"/>
      <c r="O134" s="184"/>
      <c r="P134" s="184"/>
      <c r="Q134" s="184"/>
      <c r="R134" s="184"/>
      <c r="S134" s="199"/>
      <c r="T134" s="199"/>
      <c r="U134" s="184"/>
      <c r="V134" s="184"/>
      <c r="W134" s="184"/>
      <c r="X134" s="184"/>
      <c r="Y134" s="184"/>
      <c r="Z134" s="199"/>
      <c r="AA134" s="199"/>
      <c r="AB134" s="184"/>
      <c r="AC134" s="184"/>
      <c r="AD134" s="184"/>
      <c r="AE134" s="184"/>
      <c r="AF134" s="184"/>
      <c r="AG134" s="184"/>
      <c r="AH134" s="184"/>
      <c r="AI134" s="7"/>
      <c r="AJ134" s="69">
        <f t="shared" si="25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180"/>
      <c r="E135" s="198"/>
      <c r="F135" s="198"/>
      <c r="G135" s="180"/>
      <c r="H135" s="180"/>
      <c r="I135" s="180"/>
      <c r="J135" s="180"/>
      <c r="K135" s="180"/>
      <c r="L135" s="198"/>
      <c r="M135" s="198"/>
      <c r="N135" s="180"/>
      <c r="O135" s="180"/>
      <c r="P135" s="180"/>
      <c r="Q135" s="180"/>
      <c r="R135" s="180"/>
      <c r="S135" s="198"/>
      <c r="T135" s="198"/>
      <c r="U135" s="180"/>
      <c r="V135" s="180"/>
      <c r="W135" s="180">
        <v>8</v>
      </c>
      <c r="X135" s="180">
        <v>8</v>
      </c>
      <c r="Y135" s="180">
        <v>8</v>
      </c>
      <c r="Z135" s="198"/>
      <c r="AA135" s="198"/>
      <c r="AB135" s="180"/>
      <c r="AC135" s="180"/>
      <c r="AD135" s="180"/>
      <c r="AE135" s="180"/>
      <c r="AF135" s="180"/>
      <c r="AG135" s="180"/>
      <c r="AH135" s="180"/>
      <c r="AJ135" s="64">
        <f>SUM(D135:AH135)</f>
        <v>24</v>
      </c>
    </row>
    <row r="136" spans="2:36" ht="15.75" hidden="1" outlineLevel="1" thickTop="1" x14ac:dyDescent="0.25">
      <c r="B136" s="150"/>
      <c r="C136" s="1" t="s">
        <v>1</v>
      </c>
      <c r="D136" s="181"/>
      <c r="E136" s="198"/>
      <c r="F136" s="198"/>
      <c r="G136" s="181"/>
      <c r="H136" s="181"/>
      <c r="I136" s="181"/>
      <c r="J136" s="181"/>
      <c r="K136" s="181"/>
      <c r="L136" s="198"/>
      <c r="M136" s="198"/>
      <c r="N136" s="181"/>
      <c r="O136" s="181"/>
      <c r="P136" s="181"/>
      <c r="Q136" s="181"/>
      <c r="R136" s="181"/>
      <c r="S136" s="198"/>
      <c r="T136" s="198"/>
      <c r="U136" s="181"/>
      <c r="V136" s="181"/>
      <c r="W136" s="181"/>
      <c r="X136" s="181"/>
      <c r="Y136" s="181"/>
      <c r="Z136" s="198"/>
      <c r="AA136" s="198"/>
      <c r="AB136" s="181"/>
      <c r="AC136" s="181"/>
      <c r="AD136" s="181"/>
      <c r="AE136" s="181"/>
      <c r="AF136" s="181"/>
      <c r="AG136" s="181"/>
      <c r="AH136" s="181"/>
      <c r="AJ136" s="3">
        <f t="shared" ref="AJ136:AJ139" si="26">SUM(D136:AH136)</f>
        <v>0</v>
      </c>
    </row>
    <row r="137" spans="2:36" hidden="1" outlineLevel="1" x14ac:dyDescent="0.25">
      <c r="B137" s="151"/>
      <c r="C137" s="1" t="s">
        <v>2</v>
      </c>
      <c r="D137" s="182"/>
      <c r="E137" s="198"/>
      <c r="F137" s="198"/>
      <c r="G137" s="182"/>
      <c r="H137" s="182"/>
      <c r="I137" s="182"/>
      <c r="J137" s="182"/>
      <c r="K137" s="182"/>
      <c r="L137" s="198"/>
      <c r="M137" s="198"/>
      <c r="N137" s="182"/>
      <c r="O137" s="182"/>
      <c r="P137" s="182"/>
      <c r="Q137" s="182"/>
      <c r="R137" s="182"/>
      <c r="S137" s="198"/>
      <c r="T137" s="198"/>
      <c r="U137" s="182"/>
      <c r="V137" s="182"/>
      <c r="W137" s="182"/>
      <c r="X137" s="182"/>
      <c r="Y137" s="182"/>
      <c r="Z137" s="198"/>
      <c r="AA137" s="198"/>
      <c r="AB137" s="182"/>
      <c r="AC137" s="182"/>
      <c r="AD137" s="182"/>
      <c r="AE137" s="182"/>
      <c r="AF137" s="182"/>
      <c r="AG137" s="182"/>
      <c r="AH137" s="182"/>
      <c r="AJ137" s="4">
        <f t="shared" si="26"/>
        <v>0</v>
      </c>
    </row>
    <row r="138" spans="2:36" hidden="1" outlineLevel="1" x14ac:dyDescent="0.25">
      <c r="B138" s="151"/>
      <c r="C138" s="54" t="s">
        <v>77</v>
      </c>
      <c r="D138" s="183"/>
      <c r="E138" s="198"/>
      <c r="F138" s="198"/>
      <c r="G138" s="183"/>
      <c r="H138" s="183"/>
      <c r="I138" s="183"/>
      <c r="J138" s="183"/>
      <c r="K138" s="183"/>
      <c r="L138" s="198"/>
      <c r="M138" s="198"/>
      <c r="N138" s="183"/>
      <c r="O138" s="183"/>
      <c r="P138" s="183"/>
      <c r="Q138" s="183"/>
      <c r="R138" s="183"/>
      <c r="S138" s="198"/>
      <c r="T138" s="198"/>
      <c r="U138" s="183"/>
      <c r="V138" s="183"/>
      <c r="W138" s="183"/>
      <c r="X138" s="183"/>
      <c r="Y138" s="183"/>
      <c r="Z138" s="198"/>
      <c r="AA138" s="198"/>
      <c r="AB138" s="183"/>
      <c r="AC138" s="183"/>
      <c r="AD138" s="183"/>
      <c r="AE138" s="183"/>
      <c r="AF138" s="183"/>
      <c r="AG138" s="183"/>
      <c r="AH138" s="183"/>
      <c r="AJ138" s="5">
        <f t="shared" si="26"/>
        <v>0</v>
      </c>
    </row>
    <row r="139" spans="2:36" ht="15.75" hidden="1" outlineLevel="1" thickBot="1" x14ac:dyDescent="0.3">
      <c r="B139" s="151"/>
      <c r="C139" s="9" t="s">
        <v>3</v>
      </c>
      <c r="D139" s="184"/>
      <c r="E139" s="199"/>
      <c r="F139" s="199"/>
      <c r="G139" s="184"/>
      <c r="H139" s="184"/>
      <c r="I139" s="184"/>
      <c r="J139" s="184"/>
      <c r="K139" s="184"/>
      <c r="L139" s="199"/>
      <c r="M139" s="199"/>
      <c r="N139" s="184"/>
      <c r="O139" s="184"/>
      <c r="P139" s="184"/>
      <c r="Q139" s="184"/>
      <c r="R139" s="184"/>
      <c r="S139" s="199"/>
      <c r="T139" s="199"/>
      <c r="U139" s="184"/>
      <c r="V139" s="184"/>
      <c r="W139" s="184"/>
      <c r="X139" s="184"/>
      <c r="Y139" s="184"/>
      <c r="Z139" s="199"/>
      <c r="AA139" s="199"/>
      <c r="AB139" s="184"/>
      <c r="AC139" s="184"/>
      <c r="AD139" s="184"/>
      <c r="AE139" s="184"/>
      <c r="AF139" s="184"/>
      <c r="AG139" s="184"/>
      <c r="AH139" s="184"/>
      <c r="AI139" s="7"/>
      <c r="AJ139" s="8">
        <f t="shared" si="26"/>
        <v>0</v>
      </c>
    </row>
    <row r="140" spans="2:36" ht="16.5" collapsed="1" thickTop="1" thickBot="1" x14ac:dyDescent="0.3">
      <c r="B140" s="149" t="str">
        <f>'Hours Scheduled'!B31</f>
        <v>Thom van Bodegraven</v>
      </c>
      <c r="C140" t="s">
        <v>0</v>
      </c>
      <c r="D140" s="180"/>
      <c r="E140" s="198"/>
      <c r="F140" s="198"/>
      <c r="G140" s="180"/>
      <c r="H140" s="249"/>
      <c r="I140" s="180"/>
      <c r="J140" s="249"/>
      <c r="K140" s="180"/>
      <c r="L140" s="198"/>
      <c r="M140" s="198"/>
      <c r="N140" s="180"/>
      <c r="O140" s="249"/>
      <c r="P140" s="180"/>
      <c r="Q140" s="249"/>
      <c r="R140" s="180">
        <v>2</v>
      </c>
      <c r="S140" s="198"/>
      <c r="T140" s="198"/>
      <c r="U140" s="180">
        <v>8</v>
      </c>
      <c r="V140" s="249">
        <v>4</v>
      </c>
      <c r="W140" s="180"/>
      <c r="X140" s="249"/>
      <c r="Y140" s="180"/>
      <c r="Z140" s="198"/>
      <c r="AA140" s="198"/>
      <c r="AB140" s="180"/>
      <c r="AC140" s="249"/>
      <c r="AD140" s="180"/>
      <c r="AE140" s="249"/>
      <c r="AF140" s="180"/>
      <c r="AG140" s="180"/>
      <c r="AH140" s="180"/>
      <c r="AI140" s="97"/>
      <c r="AJ140" s="172">
        <f>SUM(D140:AH140)</f>
        <v>14</v>
      </c>
    </row>
    <row r="141" spans="2:36" ht="15.75" hidden="1" outlineLevel="1" thickTop="1" x14ac:dyDescent="0.25">
      <c r="B141" s="150"/>
      <c r="C141" s="1" t="s">
        <v>1</v>
      </c>
      <c r="D141" s="181"/>
      <c r="E141" s="198"/>
      <c r="F141" s="198"/>
      <c r="G141" s="181"/>
      <c r="H141" s="181"/>
      <c r="I141" s="181"/>
      <c r="J141" s="181"/>
      <c r="K141" s="181"/>
      <c r="L141" s="198"/>
      <c r="M141" s="198"/>
      <c r="N141" s="181"/>
      <c r="O141" s="181"/>
      <c r="P141" s="181"/>
      <c r="Q141" s="181"/>
      <c r="R141" s="181"/>
      <c r="S141" s="198"/>
      <c r="T141" s="198"/>
      <c r="U141" s="181"/>
      <c r="V141" s="181"/>
      <c r="W141" s="181"/>
      <c r="X141" s="181"/>
      <c r="Y141" s="181"/>
      <c r="Z141" s="198"/>
      <c r="AA141" s="198"/>
      <c r="AB141" s="181"/>
      <c r="AC141" s="181"/>
      <c r="AD141" s="181"/>
      <c r="AE141" s="181"/>
      <c r="AF141" s="181"/>
      <c r="AG141" s="181"/>
      <c r="AH141" s="181"/>
      <c r="AI141" s="97"/>
      <c r="AJ141" s="174">
        <f t="shared" ref="AJ141:AJ144" si="27">SUM(D141:AH141)</f>
        <v>0</v>
      </c>
    </row>
    <row r="142" spans="2:36" hidden="1" outlineLevel="1" x14ac:dyDescent="0.25">
      <c r="B142" s="151"/>
      <c r="C142" s="1" t="s">
        <v>2</v>
      </c>
      <c r="D142" s="182"/>
      <c r="E142" s="198"/>
      <c r="F142" s="198"/>
      <c r="G142" s="182"/>
      <c r="H142" s="182"/>
      <c r="I142" s="182"/>
      <c r="J142" s="182"/>
      <c r="K142" s="182"/>
      <c r="L142" s="198"/>
      <c r="M142" s="198"/>
      <c r="N142" s="182"/>
      <c r="O142" s="182"/>
      <c r="P142" s="182"/>
      <c r="Q142" s="182"/>
      <c r="R142" s="182"/>
      <c r="S142" s="198"/>
      <c r="T142" s="198"/>
      <c r="U142" s="182"/>
      <c r="V142" s="182"/>
      <c r="W142" s="182"/>
      <c r="X142" s="182"/>
      <c r="Y142" s="182"/>
      <c r="Z142" s="198"/>
      <c r="AA142" s="198"/>
      <c r="AB142" s="182"/>
      <c r="AC142" s="182"/>
      <c r="AD142" s="182"/>
      <c r="AE142" s="182"/>
      <c r="AF142" s="182"/>
      <c r="AG142" s="182"/>
      <c r="AH142" s="182"/>
      <c r="AI142" s="97"/>
      <c r="AJ142" s="175">
        <f t="shared" si="27"/>
        <v>0</v>
      </c>
    </row>
    <row r="143" spans="2:36" hidden="1" outlineLevel="1" x14ac:dyDescent="0.25">
      <c r="B143" s="151"/>
      <c r="C143" s="54" t="s">
        <v>77</v>
      </c>
      <c r="D143" s="183"/>
      <c r="E143" s="198"/>
      <c r="F143" s="198"/>
      <c r="G143" s="183"/>
      <c r="H143" s="183"/>
      <c r="I143" s="183"/>
      <c r="J143" s="183"/>
      <c r="K143" s="183"/>
      <c r="L143" s="198"/>
      <c r="M143" s="198"/>
      <c r="N143" s="183"/>
      <c r="O143" s="183"/>
      <c r="P143" s="183"/>
      <c r="Q143" s="183"/>
      <c r="R143" s="183"/>
      <c r="S143" s="198"/>
      <c r="T143" s="198"/>
      <c r="U143" s="183"/>
      <c r="V143" s="183"/>
      <c r="W143" s="183"/>
      <c r="X143" s="183"/>
      <c r="Y143" s="183"/>
      <c r="Z143" s="198"/>
      <c r="AA143" s="198"/>
      <c r="AB143" s="183"/>
      <c r="AC143" s="183"/>
      <c r="AD143" s="183"/>
      <c r="AE143" s="183"/>
      <c r="AF143" s="183"/>
      <c r="AG143" s="183"/>
      <c r="AH143" s="183"/>
      <c r="AI143" s="97"/>
      <c r="AJ143" s="176">
        <f t="shared" si="27"/>
        <v>0</v>
      </c>
    </row>
    <row r="144" spans="2:36" ht="15.75" hidden="1" outlineLevel="1" thickBot="1" x14ac:dyDescent="0.3">
      <c r="B144" s="151"/>
      <c r="C144" s="9" t="s">
        <v>3</v>
      </c>
      <c r="D144" s="184"/>
      <c r="E144" s="199"/>
      <c r="F144" s="199"/>
      <c r="G144" s="184"/>
      <c r="H144" s="184"/>
      <c r="I144" s="184"/>
      <c r="J144" s="184"/>
      <c r="K144" s="184"/>
      <c r="L144" s="199"/>
      <c r="M144" s="199"/>
      <c r="N144" s="184"/>
      <c r="O144" s="184"/>
      <c r="P144" s="184"/>
      <c r="Q144" s="184"/>
      <c r="R144" s="184"/>
      <c r="S144" s="199"/>
      <c r="T144" s="199"/>
      <c r="U144" s="184"/>
      <c r="V144" s="184"/>
      <c r="W144" s="184"/>
      <c r="X144" s="184"/>
      <c r="Y144" s="184"/>
      <c r="Z144" s="199"/>
      <c r="AA144" s="199"/>
      <c r="AB144" s="184"/>
      <c r="AC144" s="184"/>
      <c r="AD144" s="184"/>
      <c r="AE144" s="184"/>
      <c r="AF144" s="184"/>
      <c r="AG144" s="184"/>
      <c r="AH144" s="184"/>
      <c r="AI144" s="186"/>
      <c r="AJ144" s="177">
        <f t="shared" si="27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180"/>
      <c r="E145" s="198"/>
      <c r="F145" s="198"/>
      <c r="G145" s="180"/>
      <c r="H145" s="180"/>
      <c r="I145" s="180"/>
      <c r="J145" s="180"/>
      <c r="K145" s="180"/>
      <c r="L145" s="198"/>
      <c r="M145" s="198"/>
      <c r="N145" s="180"/>
      <c r="O145" s="180">
        <v>0</v>
      </c>
      <c r="P145" s="180"/>
      <c r="Q145" s="180"/>
      <c r="R145" s="180">
        <v>0</v>
      </c>
      <c r="S145" s="198"/>
      <c r="T145" s="198"/>
      <c r="U145" s="180"/>
      <c r="V145" s="180"/>
      <c r="W145" s="172">
        <v>0.5</v>
      </c>
      <c r="X145" s="180"/>
      <c r="Y145" s="180">
        <v>1</v>
      </c>
      <c r="Z145" s="198"/>
      <c r="AA145" s="198"/>
      <c r="AB145" s="180"/>
      <c r="AC145" s="180"/>
      <c r="AD145" s="180"/>
      <c r="AE145" s="180"/>
      <c r="AF145" s="180"/>
      <c r="AG145" s="180"/>
      <c r="AH145" s="180"/>
      <c r="AI145" s="97"/>
      <c r="AJ145" s="172">
        <f>SUM(D145:AH145)</f>
        <v>1.5</v>
      </c>
    </row>
    <row r="146" spans="2:36" ht="15.75" hidden="1" outlineLevel="1" thickTop="1" x14ac:dyDescent="0.25">
      <c r="B146" s="150"/>
      <c r="C146" s="1" t="s">
        <v>1</v>
      </c>
      <c r="D146" s="181"/>
      <c r="E146" s="198"/>
      <c r="F146" s="198"/>
      <c r="G146" s="181"/>
      <c r="H146" s="181"/>
      <c r="I146" s="181"/>
      <c r="J146" s="181"/>
      <c r="K146" s="181"/>
      <c r="L146" s="198"/>
      <c r="M146" s="198"/>
      <c r="N146" s="181"/>
      <c r="O146" s="181"/>
      <c r="P146" s="181"/>
      <c r="Q146" s="181"/>
      <c r="R146" s="181"/>
      <c r="S146" s="198"/>
      <c r="T146" s="198"/>
      <c r="U146" s="181"/>
      <c r="V146" s="181"/>
      <c r="W146" s="181"/>
      <c r="X146" s="181"/>
      <c r="Y146" s="181"/>
      <c r="Z146" s="198"/>
      <c r="AA146" s="198"/>
      <c r="AB146" s="181"/>
      <c r="AC146" s="181"/>
      <c r="AD146" s="181"/>
      <c r="AE146" s="181"/>
      <c r="AF146" s="181"/>
      <c r="AG146" s="181"/>
      <c r="AH146" s="181"/>
      <c r="AI146" s="97"/>
      <c r="AJ146" s="174">
        <f t="shared" ref="AJ146:AJ149" si="28">SUM(D146:AH146)</f>
        <v>0</v>
      </c>
    </row>
    <row r="147" spans="2:36" hidden="1" outlineLevel="1" x14ac:dyDescent="0.25">
      <c r="B147" s="151"/>
      <c r="C147" s="1" t="s">
        <v>2</v>
      </c>
      <c r="D147" s="182"/>
      <c r="E147" s="198"/>
      <c r="F147" s="198"/>
      <c r="G147" s="182"/>
      <c r="H147" s="182"/>
      <c r="I147" s="182"/>
      <c r="J147" s="182"/>
      <c r="K147" s="182"/>
      <c r="L147" s="198"/>
      <c r="M147" s="198"/>
      <c r="N147" s="182"/>
      <c r="O147" s="182"/>
      <c r="P147" s="182"/>
      <c r="Q147" s="182"/>
      <c r="R147" s="182"/>
      <c r="S147" s="198"/>
      <c r="T147" s="198"/>
      <c r="U147" s="182"/>
      <c r="V147" s="182"/>
      <c r="W147" s="182"/>
      <c r="X147" s="182"/>
      <c r="Y147" s="182">
        <v>1</v>
      </c>
      <c r="Z147" s="198"/>
      <c r="AA147" s="198"/>
      <c r="AB147" s="182"/>
      <c r="AC147" s="182"/>
      <c r="AD147" s="182"/>
      <c r="AE147" s="182"/>
      <c r="AF147" s="182"/>
      <c r="AG147" s="182"/>
      <c r="AH147" s="182"/>
      <c r="AI147" s="97"/>
      <c r="AJ147" s="175">
        <f t="shared" si="28"/>
        <v>1</v>
      </c>
    </row>
    <row r="148" spans="2:36" hidden="1" outlineLevel="1" x14ac:dyDescent="0.25">
      <c r="B148" s="151"/>
      <c r="C148" s="54" t="s">
        <v>77</v>
      </c>
      <c r="D148" s="183"/>
      <c r="E148" s="198"/>
      <c r="F148" s="198"/>
      <c r="G148" s="183"/>
      <c r="H148" s="183"/>
      <c r="I148" s="183"/>
      <c r="J148" s="183"/>
      <c r="K148" s="183"/>
      <c r="L148" s="198"/>
      <c r="M148" s="198"/>
      <c r="N148" s="183"/>
      <c r="O148" s="183">
        <v>1</v>
      </c>
      <c r="P148" s="183"/>
      <c r="Q148" s="183"/>
      <c r="R148" s="183"/>
      <c r="S148" s="198"/>
      <c r="T148" s="198"/>
      <c r="U148" s="183"/>
      <c r="V148" s="183"/>
      <c r="W148" s="183"/>
      <c r="X148" s="183"/>
      <c r="Y148" s="183"/>
      <c r="Z148" s="198"/>
      <c r="AA148" s="198"/>
      <c r="AB148" s="183"/>
      <c r="AC148" s="183"/>
      <c r="AD148" s="183"/>
      <c r="AE148" s="183"/>
      <c r="AF148" s="183"/>
      <c r="AG148" s="183"/>
      <c r="AH148" s="183"/>
      <c r="AI148" s="97"/>
      <c r="AJ148" s="176">
        <f t="shared" si="28"/>
        <v>1</v>
      </c>
    </row>
    <row r="149" spans="2:36" ht="15.75" hidden="1" outlineLevel="1" thickBot="1" x14ac:dyDescent="0.3">
      <c r="B149" s="151"/>
      <c r="C149" s="9" t="s">
        <v>3</v>
      </c>
      <c r="D149" s="184"/>
      <c r="E149" s="199"/>
      <c r="F149" s="199"/>
      <c r="G149" s="184"/>
      <c r="H149" s="184"/>
      <c r="I149" s="184"/>
      <c r="J149" s="184"/>
      <c r="K149" s="184"/>
      <c r="L149" s="199"/>
      <c r="M149" s="199"/>
      <c r="N149" s="184"/>
      <c r="O149" s="184"/>
      <c r="P149" s="184"/>
      <c r="Q149" s="184"/>
      <c r="R149" s="184"/>
      <c r="S149" s="199"/>
      <c r="T149" s="199"/>
      <c r="U149" s="184"/>
      <c r="V149" s="184"/>
      <c r="W149" s="184"/>
      <c r="X149" s="184"/>
      <c r="Y149" s="184"/>
      <c r="Z149" s="199"/>
      <c r="AA149" s="199"/>
      <c r="AB149" s="184"/>
      <c r="AC149" s="184"/>
      <c r="AD149" s="184"/>
      <c r="AE149" s="184"/>
      <c r="AF149" s="184"/>
      <c r="AG149" s="184"/>
      <c r="AH149" s="184"/>
      <c r="AI149" s="186"/>
      <c r="AJ149" s="177">
        <f t="shared" si="28"/>
        <v>0</v>
      </c>
    </row>
    <row r="150" spans="2:36" ht="15.75" collapsed="1" thickTop="1" x14ac:dyDescent="0.25"/>
  </sheetData>
  <autoFilter ref="B4:AJ149"/>
  <customSheetViews>
    <customSheetView guid="{98CBC5BF-8C89-48A4-860E-9C56014CD200}" scale="90" showGridLines="0" fitToPage="1" showAutoFilter="1" hiddenRows="1" topLeftCell="A2">
      <pane ySplit="2" topLeftCell="A35" activePane="bottomLeft" state="frozenSplit"/>
      <selection pane="bottomLeft" activeCell="AD140" sqref="AD140"/>
      <pageMargins left="0.7" right="0.7" top="0.75" bottom="0.75" header="0.3" footer="0.3"/>
      <pageSetup paperSize="9" scale="64" orientation="landscape" horizontalDpi="1200" r:id="rId1"/>
      <autoFilter ref="B4:AJ149"/>
    </customSheetView>
    <customSheetView guid="{1BC25061-32D5-45DE-83F9-EFA3A1092E03}" scale="90" showGridLines="0" showAutoFilter="1" hiddenRows="1" topLeftCell="A2">
      <pane ySplit="3" topLeftCell="A5" activePane="bottomLeft" state="frozenSplit"/>
      <selection pane="bottomLeft" activeCell="AF75" sqref="AF75"/>
      <pageMargins left="0.7" right="0.7" top="0.75" bottom="0.75" header="0.3" footer="0.3"/>
      <pageSetup paperSize="9" orientation="portrait" horizontalDpi="1200" r:id="rId2"/>
      <autoFilter ref="B4:AJ145"/>
    </customSheetView>
    <customSheetView guid="{CF917189-7AB9-4E55-816F-ACFC7FA45C05}" scale="90" showGridLines="0" showAutoFilter="1" hiddenRows="1" topLeftCell="A2">
      <pane ySplit="2" topLeftCell="A5" activePane="bottomLeft" state="frozenSplit"/>
      <selection pane="bottomLeft" activeCell="AF75" sqref="AF75"/>
      <pageMargins left="0.7" right="0.7" top="0.75" bottom="0.75" header="0.3" footer="0.3"/>
      <pageSetup paperSize="9" orientation="portrait" horizontalDpi="1200" r:id="rId3"/>
      <autoFilter ref="B4:AJ145"/>
    </customSheetView>
    <customSheetView guid="{4155806E-C0D0-4CC9-9B31-04245B7DD4C8}" showGridLines="0" showAutoFilter="1" hiddenRows="1" topLeftCell="A2">
      <pane xSplit="2" ySplit="2" topLeftCell="C15" activePane="bottomRight" state="frozen"/>
      <selection pane="bottomRight" activeCell="AL55" sqref="AL55"/>
      <pageMargins left="0.7" right="0.7" top="0.75" bottom="0.75" header="0.3" footer="0.3"/>
      <pageSetup paperSize="9" orientation="portrait" horizontalDpi="1200" r:id="rId4"/>
      <autoFilter ref="B4:AJ145"/>
    </customSheetView>
    <customSheetView guid="{1587CBCC-2CC7-4525-8A49-E261AB2E1606}" scale="90" showGridLines="0" showAutoFilter="1" topLeftCell="A2">
      <pane ySplit="2" topLeftCell="A5" activePane="bottomLeft" state="frozenSplit"/>
      <selection pane="bottomLeft" activeCell="AF75" sqref="AF75"/>
      <pageMargins left="0.7" right="0.7" top="0.75" bottom="0.75" header="0.3" footer="0.3"/>
      <pageSetup paperSize="9" orientation="portrait" horizontalDpi="1200" r:id="rId5"/>
      <autoFilter ref="B4:AJ149"/>
    </customSheetView>
    <customSheetView guid="{C5D9000A-81ED-4920-B6AF-4B234775AEC9}" scale="90" showGridLines="0" showAutoFilter="1" topLeftCell="A2">
      <pane ySplit="2" topLeftCell="A5" activePane="bottomLeft" state="frozenSplit"/>
      <selection pane="bottomLeft" activeCell="AF75" sqref="AF75"/>
      <pageMargins left="0.7" right="0.7" top="0.75" bottom="0.75" header="0.3" footer="0.3"/>
      <pageSetup paperSize="9" orientation="portrait" horizontalDpi="1200" r:id="rId6"/>
      <autoFilter ref="B4:AJ149"/>
    </customSheetView>
  </customSheetViews>
  <conditionalFormatting sqref="D3:AE3">
    <cfRule type="expression" dxfId="69" priority="11">
      <formula>WEEKDAY(D3:AH3)=1</formula>
    </cfRule>
    <cfRule type="expression" dxfId="68" priority="12">
      <formula>WEEKDAY(D3:AH3)=7</formula>
    </cfRule>
  </conditionalFormatting>
  <conditionalFormatting sqref="A11:A140">
    <cfRule type="cellIs" dxfId="67" priority="10" operator="equal">
      <formula>"08:00/16:30"</formula>
    </cfRule>
  </conditionalFormatting>
  <conditionalFormatting sqref="A15:A140">
    <cfRule type="cellIs" dxfId="66" priority="9" operator="equal">
      <formula>"09:30/18:00"</formula>
    </cfRule>
  </conditionalFormatting>
  <conditionalFormatting sqref="A5:A10">
    <cfRule type="cellIs" dxfId="65" priority="2" operator="equal">
      <formula>"08:00/16:30"</formula>
    </cfRule>
  </conditionalFormatting>
  <conditionalFormatting sqref="A5:A10">
    <cfRule type="cellIs" dxfId="64" priority="1" operator="equal">
      <formula>"09:30/18:00"</formula>
    </cfRule>
  </conditionalFormatting>
  <dataValidations count="2">
    <dataValidation type="list" allowBlank="1" showInputMessage="1" sqref="A140 A115 A120 A125 A130 A135 A5 A10 A15 A20 A25 A30 A35 A40 A50 A55 A60 A65 A70 A75 A80 A85 A90 A95:A110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" right="0.7" top="0.75" bottom="0.75" header="0.3" footer="0.3"/>
  <pageSetup paperSize="9" scale="64" orientation="landscape" horizontalDpi="12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filterMode="1">
    <tabColor rgb="FFCCFFCC"/>
  </sheetPr>
  <dimension ref="A1:AJ170"/>
  <sheetViews>
    <sheetView showGridLines="0" topLeftCell="A2" zoomScale="90" zoomScaleNormal="100" workbookViewId="0">
      <pane ySplit="2" topLeftCell="A15" activePane="bottomLeft" state="frozenSplit"/>
      <selection activeCell="A2" sqref="A2"/>
      <selection pane="bottomLeft" activeCell="AB70" activeCellId="3" sqref="G70:K70 N70:R70 U70:Y70 AB70:AF70"/>
    </sheetView>
  </sheetViews>
  <sheetFormatPr defaultRowHeight="15" outlineLevelRow="1" x14ac:dyDescent="0.25"/>
  <cols>
    <col min="1" max="1" width="5" customWidth="1"/>
    <col min="2" max="2" width="17.42578125" style="154" bestFit="1" customWidth="1"/>
    <col min="3" max="3" width="11.5703125" bestFit="1" customWidth="1"/>
    <col min="4" max="6" width="3.28515625" bestFit="1" customWidth="1"/>
    <col min="7" max="7" width="4.42578125" bestFit="1" customWidth="1"/>
    <col min="8" max="8" width="3.28515625" bestFit="1" customWidth="1"/>
    <col min="9" max="9" width="3.42578125" bestFit="1" customWidth="1"/>
    <col min="10" max="10" width="3.28515625" bestFit="1" customWidth="1"/>
    <col min="11" max="11" width="3.42578125" bestFit="1" customWidth="1"/>
    <col min="12" max="14" width="3.28515625" bestFit="1" customWidth="1"/>
    <col min="15" max="15" width="4.42578125" bestFit="1" customWidth="1"/>
    <col min="16" max="17" width="3.28515625" bestFit="1" customWidth="1"/>
    <col min="18" max="18" width="3.42578125" bestFit="1" customWidth="1"/>
    <col min="19" max="21" width="3.28515625" bestFit="1" customWidth="1"/>
    <col min="22" max="22" width="3.42578125" bestFit="1" customWidth="1"/>
    <col min="23" max="30" width="3.28515625" bestFit="1" customWidth="1"/>
    <col min="31" max="31" width="4.42578125" bestFit="1" customWidth="1"/>
    <col min="32" max="34" width="3.28515625" bestFit="1" customWidth="1"/>
    <col min="35" max="35" width="3.140625" customWidth="1"/>
    <col min="36" max="36" width="6.28515625" bestFit="1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x14ac:dyDescent="0.25">
      <c r="B2" s="155" t="s">
        <v>9</v>
      </c>
    </row>
    <row r="3" spans="1:36" ht="119.25" customHeight="1" x14ac:dyDescent="0.25">
      <c r="A3" t="s">
        <v>163</v>
      </c>
      <c r="B3" s="152" t="s">
        <v>4</v>
      </c>
      <c r="D3" s="171">
        <f>DATE(Title!$F$12,3,D1)</f>
        <v>41334</v>
      </c>
      <c r="E3" s="171">
        <f>DATE(Title!$F$12,3,E1)</f>
        <v>41335</v>
      </c>
      <c r="F3" s="171">
        <f>DATE(Title!$F$12,3,F1)</f>
        <v>41336</v>
      </c>
      <c r="G3" s="171">
        <f>DATE(Title!$F$12,3,G1)</f>
        <v>41337</v>
      </c>
      <c r="H3" s="171">
        <f>DATE(Title!$F$12,3,H1)</f>
        <v>41338</v>
      </c>
      <c r="I3" s="171">
        <f>DATE(Title!$F$12,3,I1)</f>
        <v>41339</v>
      </c>
      <c r="J3" s="171">
        <f>DATE(Title!$F$12,3,J1)</f>
        <v>41340</v>
      </c>
      <c r="K3" s="171">
        <f>DATE(Title!$F$12,3,K1)</f>
        <v>41341</v>
      </c>
      <c r="L3" s="171">
        <f>DATE(Title!$F$12,3,L1)</f>
        <v>41342</v>
      </c>
      <c r="M3" s="171">
        <f>DATE(Title!$F$12,3,M1)</f>
        <v>41343</v>
      </c>
      <c r="N3" s="171">
        <f>DATE(Title!$F$12,3,N1)</f>
        <v>41344</v>
      </c>
      <c r="O3" s="171">
        <f>DATE(Title!$F$12,3,O1)</f>
        <v>41345</v>
      </c>
      <c r="P3" s="171">
        <f>DATE(Title!$F$12,3,P1)</f>
        <v>41346</v>
      </c>
      <c r="Q3" s="171">
        <f>DATE(Title!$F$12,3,Q1)</f>
        <v>41347</v>
      </c>
      <c r="R3" s="171">
        <f>DATE(Title!$F$12,3,R1)</f>
        <v>41348</v>
      </c>
      <c r="S3" s="171">
        <f>DATE(Title!$F$12,3,S1)</f>
        <v>41349</v>
      </c>
      <c r="T3" s="171">
        <f>DATE(Title!$F$12,3,T1)</f>
        <v>41350</v>
      </c>
      <c r="U3" s="171">
        <f>DATE(Title!$F$12,3,U1)</f>
        <v>41351</v>
      </c>
      <c r="V3" s="171">
        <f>DATE(Title!$F$12,3,V1)</f>
        <v>41352</v>
      </c>
      <c r="W3" s="171">
        <f>DATE(Title!$F$12,3,W1)</f>
        <v>41353</v>
      </c>
      <c r="X3" s="171">
        <f>DATE(Title!$F$12,3,X1)</f>
        <v>41354</v>
      </c>
      <c r="Y3" s="171">
        <f>DATE(Title!$F$12,3,Y1)</f>
        <v>41355</v>
      </c>
      <c r="Z3" s="171">
        <f>DATE(Title!$F$12,3,Z1)</f>
        <v>41356</v>
      </c>
      <c r="AA3" s="171">
        <f>DATE(Title!$F$12,3,AA1)</f>
        <v>41357</v>
      </c>
      <c r="AB3" s="171">
        <f>DATE(Title!$F$12,3,AB1)</f>
        <v>41358</v>
      </c>
      <c r="AC3" s="171">
        <f>DATE(Title!$F$12,3,AC1)</f>
        <v>41359</v>
      </c>
      <c r="AD3" s="171">
        <f>DATE(Title!$F$12,3,AD1)</f>
        <v>41360</v>
      </c>
      <c r="AE3" s="171">
        <f>DATE(Title!$F$12,3,AE1)</f>
        <v>41361</v>
      </c>
      <c r="AF3" s="171">
        <f>DATE(Title!$F$12,3,AF1)</f>
        <v>41362</v>
      </c>
      <c r="AG3" s="171">
        <f>DATE(Title!$F$12,3,AG1)</f>
        <v>41363</v>
      </c>
      <c r="AH3" s="171">
        <f>DATE(Title!$F$12,3,AH1)</f>
        <v>41364</v>
      </c>
      <c r="AJ3" s="6" t="s">
        <v>5</v>
      </c>
    </row>
    <row r="4" spans="1:36" x14ac:dyDescent="0.25">
      <c r="B4" s="152"/>
    </row>
    <row r="5" spans="1:36" ht="15.75" customHeight="1" thickBot="1" x14ac:dyDescent="0.3">
      <c r="B5" s="149" t="str">
        <f>'Hours Scheduled'!B4</f>
        <v>Barry Berendhuysen</v>
      </c>
      <c r="C5" t="s">
        <v>0</v>
      </c>
      <c r="D5" s="180"/>
      <c r="E5" s="198"/>
      <c r="F5" s="198"/>
      <c r="G5" s="180"/>
      <c r="H5" s="180"/>
      <c r="I5" s="180"/>
      <c r="J5" s="180"/>
      <c r="K5" s="180"/>
      <c r="L5" s="198"/>
      <c r="M5" s="198"/>
      <c r="N5" s="180"/>
      <c r="O5" s="180"/>
      <c r="P5" s="180"/>
      <c r="Q5" s="180"/>
      <c r="R5" s="180"/>
      <c r="S5" s="198"/>
      <c r="T5" s="198"/>
      <c r="U5" s="180"/>
      <c r="V5" s="180"/>
      <c r="W5" s="180"/>
      <c r="X5" s="180"/>
      <c r="Y5" s="180"/>
      <c r="Z5" s="198"/>
      <c r="AA5" s="198"/>
      <c r="AB5" s="180"/>
      <c r="AC5" s="180"/>
      <c r="AD5" s="180"/>
      <c r="AE5" s="180"/>
      <c r="AF5" s="180"/>
      <c r="AG5" s="198"/>
      <c r="AH5" s="198"/>
      <c r="AJ5" s="74">
        <f>SUM(D5:AH5)</f>
        <v>0</v>
      </c>
    </row>
    <row r="6" spans="1:36" ht="15.75" hidden="1" outlineLevel="1" thickTop="1" x14ac:dyDescent="0.25">
      <c r="B6" s="150"/>
      <c r="C6" s="1" t="s">
        <v>1</v>
      </c>
      <c r="D6" s="181"/>
      <c r="E6" s="198"/>
      <c r="F6" s="198"/>
      <c r="G6" s="181"/>
      <c r="H6" s="181"/>
      <c r="I6" s="181"/>
      <c r="J6" s="181"/>
      <c r="K6" s="181"/>
      <c r="L6" s="198"/>
      <c r="M6" s="198"/>
      <c r="N6" s="181"/>
      <c r="O6" s="181"/>
      <c r="P6" s="181"/>
      <c r="Q6" s="181"/>
      <c r="R6" s="181"/>
      <c r="S6" s="198"/>
      <c r="T6" s="198"/>
      <c r="U6" s="181"/>
      <c r="V6" s="181"/>
      <c r="W6" s="181"/>
      <c r="X6" s="181"/>
      <c r="Y6" s="181"/>
      <c r="Z6" s="198"/>
      <c r="AA6" s="198"/>
      <c r="AB6" s="181"/>
      <c r="AC6" s="181"/>
      <c r="AD6" s="181"/>
      <c r="AE6" s="181"/>
      <c r="AF6" s="181"/>
      <c r="AG6" s="198"/>
      <c r="AH6" s="198"/>
      <c r="AJ6" s="75">
        <f t="shared" ref="AJ6:AJ9" si="0">SUM(D6:AH6)</f>
        <v>0</v>
      </c>
    </row>
    <row r="7" spans="1:36" ht="15.75" hidden="1" outlineLevel="1" thickTop="1" x14ac:dyDescent="0.25">
      <c r="B7" s="151"/>
      <c r="C7" s="1" t="s">
        <v>2</v>
      </c>
      <c r="D7" s="182"/>
      <c r="E7" s="198"/>
      <c r="F7" s="198"/>
      <c r="G7" s="182"/>
      <c r="H7" s="182"/>
      <c r="I7" s="182"/>
      <c r="J7" s="182"/>
      <c r="K7" s="182"/>
      <c r="L7" s="198"/>
      <c r="M7" s="198"/>
      <c r="N7" s="182"/>
      <c r="O7" s="182"/>
      <c r="P7" s="182"/>
      <c r="Q7" s="182"/>
      <c r="R7" s="182"/>
      <c r="S7" s="198"/>
      <c r="T7" s="198"/>
      <c r="U7" s="182"/>
      <c r="V7" s="182"/>
      <c r="W7" s="182"/>
      <c r="X7" s="182"/>
      <c r="Y7" s="182"/>
      <c r="Z7" s="198"/>
      <c r="AA7" s="198"/>
      <c r="AB7" s="182"/>
      <c r="AC7" s="182"/>
      <c r="AD7" s="182"/>
      <c r="AE7" s="182"/>
      <c r="AF7" s="182"/>
      <c r="AG7" s="198"/>
      <c r="AH7" s="198"/>
      <c r="AJ7" s="76">
        <f t="shared" si="0"/>
        <v>0</v>
      </c>
    </row>
    <row r="8" spans="1:36" ht="15.75" hidden="1" outlineLevel="1" thickTop="1" x14ac:dyDescent="0.25">
      <c r="B8" s="151"/>
      <c r="C8" s="54" t="s">
        <v>77</v>
      </c>
      <c r="D8" s="183"/>
      <c r="E8" s="198"/>
      <c r="F8" s="198"/>
      <c r="G8" s="183"/>
      <c r="H8" s="183"/>
      <c r="I8" s="183"/>
      <c r="J8" s="183"/>
      <c r="K8" s="183"/>
      <c r="L8" s="198"/>
      <c r="M8" s="198"/>
      <c r="N8" s="183"/>
      <c r="O8" s="183"/>
      <c r="P8" s="183"/>
      <c r="Q8" s="183"/>
      <c r="R8" s="183"/>
      <c r="S8" s="198"/>
      <c r="T8" s="198"/>
      <c r="U8" s="183"/>
      <c r="V8" s="183"/>
      <c r="W8" s="183"/>
      <c r="X8" s="183"/>
      <c r="Y8" s="183"/>
      <c r="Z8" s="198"/>
      <c r="AA8" s="198"/>
      <c r="AB8" s="183"/>
      <c r="AC8" s="183"/>
      <c r="AD8" s="183"/>
      <c r="AE8" s="183"/>
      <c r="AF8" s="183"/>
      <c r="AG8" s="198"/>
      <c r="AH8" s="198"/>
      <c r="AJ8" s="77">
        <f t="shared" si="0"/>
        <v>0</v>
      </c>
    </row>
    <row r="9" spans="1:36" ht="16.5" hidden="1" outlineLevel="1" thickTop="1" thickBot="1" x14ac:dyDescent="0.3">
      <c r="B9" s="151"/>
      <c r="C9" s="9" t="s">
        <v>3</v>
      </c>
      <c r="D9" s="184"/>
      <c r="E9" s="199"/>
      <c r="F9" s="199"/>
      <c r="G9" s="184"/>
      <c r="H9" s="184"/>
      <c r="I9" s="184"/>
      <c r="J9" s="184"/>
      <c r="K9" s="184"/>
      <c r="L9" s="199"/>
      <c r="M9" s="199"/>
      <c r="N9" s="184"/>
      <c r="O9" s="184"/>
      <c r="P9" s="184"/>
      <c r="Q9" s="184"/>
      <c r="R9" s="184"/>
      <c r="S9" s="199"/>
      <c r="T9" s="199"/>
      <c r="U9" s="184"/>
      <c r="V9" s="184"/>
      <c r="W9" s="184"/>
      <c r="X9" s="184"/>
      <c r="Y9" s="184"/>
      <c r="Z9" s="199"/>
      <c r="AA9" s="199"/>
      <c r="AB9" s="184"/>
      <c r="AC9" s="184"/>
      <c r="AD9" s="184"/>
      <c r="AE9" s="184"/>
      <c r="AF9" s="184"/>
      <c r="AG9" s="199"/>
      <c r="AH9" s="199"/>
      <c r="AI9" s="7"/>
      <c r="AJ9" s="73">
        <f t="shared" si="0"/>
        <v>0</v>
      </c>
    </row>
    <row r="10" spans="1:36" ht="16.5" collapsed="1" thickTop="1" thickBot="1" x14ac:dyDescent="0.3">
      <c r="B10" s="149" t="str">
        <f>'Hours Scheduled'!B5</f>
        <v>Bas Boermans</v>
      </c>
      <c r="C10" t="s">
        <v>0</v>
      </c>
      <c r="D10" s="180">
        <v>0</v>
      </c>
      <c r="E10" s="198"/>
      <c r="F10" s="198"/>
      <c r="G10" s="180">
        <v>0</v>
      </c>
      <c r="H10" s="180">
        <v>0</v>
      </c>
      <c r="I10" s="180">
        <v>0</v>
      </c>
      <c r="J10" s="180">
        <v>0</v>
      </c>
      <c r="K10" s="180">
        <v>0</v>
      </c>
      <c r="L10" s="198"/>
      <c r="M10" s="198"/>
      <c r="N10" s="180">
        <v>0</v>
      </c>
      <c r="O10" s="180">
        <v>0</v>
      </c>
      <c r="P10" s="180">
        <v>0</v>
      </c>
      <c r="Q10" s="180">
        <v>0</v>
      </c>
      <c r="R10" s="180">
        <v>0</v>
      </c>
      <c r="S10" s="198"/>
      <c r="T10" s="198"/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98"/>
      <c r="AA10" s="198"/>
      <c r="AB10" s="180">
        <v>0</v>
      </c>
      <c r="AC10" s="180">
        <v>0</v>
      </c>
      <c r="AD10" s="180">
        <v>0</v>
      </c>
      <c r="AE10" s="180">
        <v>0</v>
      </c>
      <c r="AF10" s="180">
        <v>0</v>
      </c>
      <c r="AG10" s="198"/>
      <c r="AH10" s="198"/>
      <c r="AJ10" s="74">
        <f>SUM(D10:AH10)</f>
        <v>0</v>
      </c>
    </row>
    <row r="11" spans="1:36" ht="15.75" hidden="1" outlineLevel="1" thickTop="1" x14ac:dyDescent="0.25">
      <c r="B11" s="150"/>
      <c r="C11" s="1" t="s">
        <v>1</v>
      </c>
      <c r="D11" s="181">
        <v>8</v>
      </c>
      <c r="E11" s="198"/>
      <c r="F11" s="198"/>
      <c r="G11" s="181">
        <v>8</v>
      </c>
      <c r="H11" s="181">
        <v>8</v>
      </c>
      <c r="I11" s="181">
        <v>8</v>
      </c>
      <c r="J11" s="181">
        <v>8</v>
      </c>
      <c r="K11" s="181">
        <v>8</v>
      </c>
      <c r="L11" s="198"/>
      <c r="M11" s="198"/>
      <c r="N11" s="181">
        <v>8</v>
      </c>
      <c r="O11" s="181">
        <v>8</v>
      </c>
      <c r="P11" s="181">
        <v>8</v>
      </c>
      <c r="Q11" s="181">
        <v>8</v>
      </c>
      <c r="R11" s="181">
        <v>8</v>
      </c>
      <c r="S11" s="198"/>
      <c r="T11" s="198"/>
      <c r="U11" s="181">
        <v>5</v>
      </c>
      <c r="V11" s="181">
        <v>5</v>
      </c>
      <c r="W11" s="181">
        <v>8</v>
      </c>
      <c r="X11" s="181">
        <v>5</v>
      </c>
      <c r="Y11" s="181">
        <v>5</v>
      </c>
      <c r="Z11" s="198"/>
      <c r="AA11" s="198"/>
      <c r="AB11" s="181">
        <v>4</v>
      </c>
      <c r="AC11" s="181">
        <v>4</v>
      </c>
      <c r="AD11" s="181">
        <v>8</v>
      </c>
      <c r="AE11" s="181">
        <v>4</v>
      </c>
      <c r="AF11" s="181">
        <v>4</v>
      </c>
      <c r="AG11" s="198"/>
      <c r="AH11" s="198"/>
      <c r="AJ11" s="75">
        <f t="shared" ref="AJ11:AJ14" si="1">SUM(D11:AH11)</f>
        <v>140</v>
      </c>
    </row>
    <row r="12" spans="1:36" ht="15.75" hidden="1" outlineLevel="1" thickTop="1" x14ac:dyDescent="0.25">
      <c r="B12" s="151"/>
      <c r="C12" s="1" t="s">
        <v>2</v>
      </c>
      <c r="D12" s="182"/>
      <c r="E12" s="198"/>
      <c r="F12" s="198"/>
      <c r="G12" s="182"/>
      <c r="H12" s="182"/>
      <c r="I12" s="182"/>
      <c r="J12" s="182"/>
      <c r="K12" s="182"/>
      <c r="L12" s="198"/>
      <c r="M12" s="198"/>
      <c r="N12" s="182"/>
      <c r="O12" s="182"/>
      <c r="P12" s="182"/>
      <c r="Q12" s="182"/>
      <c r="R12" s="182"/>
      <c r="S12" s="198"/>
      <c r="T12" s="198"/>
      <c r="U12" s="182"/>
      <c r="V12" s="182"/>
      <c r="W12" s="182"/>
      <c r="X12" s="182"/>
      <c r="Y12" s="182"/>
      <c r="Z12" s="198"/>
      <c r="AA12" s="198"/>
      <c r="AB12" s="182"/>
      <c r="AC12" s="182"/>
      <c r="AD12" s="182"/>
      <c r="AE12" s="182"/>
      <c r="AF12" s="182"/>
      <c r="AG12" s="198"/>
      <c r="AH12" s="198"/>
      <c r="AJ12" s="76">
        <f t="shared" si="1"/>
        <v>0</v>
      </c>
    </row>
    <row r="13" spans="1:36" ht="15.75" hidden="1" outlineLevel="1" thickTop="1" x14ac:dyDescent="0.25">
      <c r="B13" s="151"/>
      <c r="C13" s="54" t="s">
        <v>77</v>
      </c>
      <c r="D13" s="183"/>
      <c r="E13" s="198"/>
      <c r="F13" s="198"/>
      <c r="G13" s="183"/>
      <c r="H13" s="183"/>
      <c r="I13" s="183"/>
      <c r="J13" s="183"/>
      <c r="K13" s="183"/>
      <c r="L13" s="198"/>
      <c r="M13" s="198"/>
      <c r="N13" s="183"/>
      <c r="O13" s="183"/>
      <c r="P13" s="183"/>
      <c r="Q13" s="183"/>
      <c r="R13" s="183"/>
      <c r="S13" s="198"/>
      <c r="T13" s="198"/>
      <c r="U13" s="183"/>
      <c r="V13" s="183"/>
      <c r="W13" s="183"/>
      <c r="X13" s="183"/>
      <c r="Y13" s="183"/>
      <c r="Z13" s="198"/>
      <c r="AA13" s="198"/>
      <c r="AB13" s="183"/>
      <c r="AC13" s="183"/>
      <c r="AD13" s="183"/>
      <c r="AE13" s="183"/>
      <c r="AF13" s="183"/>
      <c r="AG13" s="198"/>
      <c r="AH13" s="198"/>
      <c r="AJ13" s="77">
        <f t="shared" si="1"/>
        <v>0</v>
      </c>
    </row>
    <row r="14" spans="1:36" ht="16.5" hidden="1" outlineLevel="1" thickTop="1" thickBot="1" x14ac:dyDescent="0.3">
      <c r="B14" s="151"/>
      <c r="C14" s="9" t="s">
        <v>3</v>
      </c>
      <c r="D14" s="184"/>
      <c r="E14" s="199"/>
      <c r="F14" s="199"/>
      <c r="G14" s="184"/>
      <c r="H14" s="184"/>
      <c r="I14" s="184"/>
      <c r="J14" s="184"/>
      <c r="K14" s="184"/>
      <c r="L14" s="199"/>
      <c r="M14" s="199"/>
      <c r="N14" s="184"/>
      <c r="O14" s="184"/>
      <c r="P14" s="184"/>
      <c r="Q14" s="184"/>
      <c r="R14" s="184"/>
      <c r="S14" s="199"/>
      <c r="T14" s="199"/>
      <c r="U14" s="184"/>
      <c r="V14" s="184"/>
      <c r="W14" s="184"/>
      <c r="X14" s="184"/>
      <c r="Y14" s="184"/>
      <c r="Z14" s="199"/>
      <c r="AA14" s="199"/>
      <c r="AB14" s="184"/>
      <c r="AC14" s="184"/>
      <c r="AD14" s="184"/>
      <c r="AE14" s="184"/>
      <c r="AF14" s="184"/>
      <c r="AG14" s="199"/>
      <c r="AH14" s="199"/>
      <c r="AI14" s="7"/>
      <c r="AJ14" s="73">
        <f t="shared" si="1"/>
        <v>0</v>
      </c>
    </row>
    <row r="15" spans="1:36" ht="16.5" collapsed="1" thickTop="1" thickBot="1" x14ac:dyDescent="0.3">
      <c r="B15" s="149" t="str">
        <f>'Hours Scheduled'!B6</f>
        <v>Bastiaan Franssen</v>
      </c>
      <c r="C15" t="s">
        <v>0</v>
      </c>
      <c r="D15" s="180"/>
      <c r="E15" s="198"/>
      <c r="F15" s="198"/>
      <c r="G15" s="180"/>
      <c r="H15" s="180"/>
      <c r="I15" s="180">
        <v>4</v>
      </c>
      <c r="J15" s="180">
        <v>4</v>
      </c>
      <c r="K15" s="180">
        <v>8</v>
      </c>
      <c r="L15" s="198"/>
      <c r="M15" s="198"/>
      <c r="N15" s="180"/>
      <c r="O15" s="180"/>
      <c r="P15" s="180">
        <v>4</v>
      </c>
      <c r="Q15" s="180"/>
      <c r="R15" s="180"/>
      <c r="S15" s="198"/>
      <c r="T15" s="198"/>
      <c r="U15" s="180"/>
      <c r="V15" s="180"/>
      <c r="W15" s="180">
        <v>4</v>
      </c>
      <c r="X15" s="180"/>
      <c r="Y15" s="180"/>
      <c r="Z15" s="198"/>
      <c r="AA15" s="198"/>
      <c r="AB15" s="180"/>
      <c r="AC15" s="180"/>
      <c r="AD15" s="180">
        <v>4</v>
      </c>
      <c r="AE15" s="180"/>
      <c r="AF15" s="180"/>
      <c r="AG15" s="198"/>
      <c r="AH15" s="198"/>
      <c r="AJ15" s="74">
        <f>SUM(D15:AH15)</f>
        <v>28</v>
      </c>
    </row>
    <row r="16" spans="1:36" ht="15.75" hidden="1" outlineLevel="1" thickTop="1" x14ac:dyDescent="0.25">
      <c r="B16" s="150"/>
      <c r="C16" s="1" t="s">
        <v>1</v>
      </c>
      <c r="D16" s="181"/>
      <c r="E16" s="198"/>
      <c r="F16" s="198"/>
      <c r="G16" s="181"/>
      <c r="H16" s="181"/>
      <c r="I16" s="181"/>
      <c r="J16" s="181"/>
      <c r="K16" s="181"/>
      <c r="L16" s="198"/>
      <c r="M16" s="198"/>
      <c r="N16" s="181"/>
      <c r="O16" s="181"/>
      <c r="P16" s="181"/>
      <c r="Q16" s="181"/>
      <c r="R16" s="181"/>
      <c r="S16" s="198"/>
      <c r="T16" s="198"/>
      <c r="U16" s="181"/>
      <c r="V16" s="181"/>
      <c r="W16" s="181"/>
      <c r="X16" s="181"/>
      <c r="Y16" s="181"/>
      <c r="Z16" s="198"/>
      <c r="AA16" s="198"/>
      <c r="AB16" s="181"/>
      <c r="AC16" s="181"/>
      <c r="AD16" s="181"/>
      <c r="AE16" s="181"/>
      <c r="AF16" s="181"/>
      <c r="AG16" s="198"/>
      <c r="AH16" s="198"/>
      <c r="AJ16" s="75">
        <f t="shared" ref="AJ16:AJ19" si="2">SUM(D16:AH16)</f>
        <v>0</v>
      </c>
    </row>
    <row r="17" spans="2:36" ht="15.75" hidden="1" outlineLevel="1" thickTop="1" x14ac:dyDescent="0.25">
      <c r="B17" s="151"/>
      <c r="C17" s="1" t="s">
        <v>2</v>
      </c>
      <c r="D17" s="182"/>
      <c r="E17" s="198"/>
      <c r="F17" s="198"/>
      <c r="G17" s="182"/>
      <c r="H17" s="182"/>
      <c r="I17" s="182"/>
      <c r="J17" s="182"/>
      <c r="K17" s="182"/>
      <c r="L17" s="198"/>
      <c r="M17" s="198"/>
      <c r="N17" s="182"/>
      <c r="O17" s="182"/>
      <c r="P17" s="182"/>
      <c r="Q17" s="182"/>
      <c r="R17" s="182"/>
      <c r="S17" s="198"/>
      <c r="T17" s="198"/>
      <c r="U17" s="182"/>
      <c r="V17" s="182"/>
      <c r="W17" s="182"/>
      <c r="X17" s="182"/>
      <c r="Y17" s="182"/>
      <c r="Z17" s="198"/>
      <c r="AA17" s="198"/>
      <c r="AB17" s="182"/>
      <c r="AC17" s="182"/>
      <c r="AD17" s="182"/>
      <c r="AE17" s="182"/>
      <c r="AF17" s="182"/>
      <c r="AG17" s="198"/>
      <c r="AH17" s="198"/>
      <c r="AJ17" s="76">
        <f t="shared" si="2"/>
        <v>0</v>
      </c>
    </row>
    <row r="18" spans="2:36" ht="15.75" hidden="1" outlineLevel="1" thickTop="1" x14ac:dyDescent="0.25">
      <c r="B18" s="151"/>
      <c r="C18" s="54" t="s">
        <v>77</v>
      </c>
      <c r="D18" s="183"/>
      <c r="E18" s="198"/>
      <c r="F18" s="198"/>
      <c r="G18" s="183"/>
      <c r="H18" s="183"/>
      <c r="I18" s="183"/>
      <c r="J18" s="183"/>
      <c r="K18" s="183"/>
      <c r="L18" s="198"/>
      <c r="M18" s="198"/>
      <c r="N18" s="183"/>
      <c r="O18" s="183"/>
      <c r="P18" s="183"/>
      <c r="Q18" s="183"/>
      <c r="R18" s="183"/>
      <c r="S18" s="198"/>
      <c r="T18" s="198"/>
      <c r="U18" s="183"/>
      <c r="V18" s="183"/>
      <c r="W18" s="183"/>
      <c r="X18" s="183"/>
      <c r="Y18" s="183"/>
      <c r="Z18" s="198"/>
      <c r="AA18" s="198"/>
      <c r="AB18" s="183"/>
      <c r="AC18" s="183"/>
      <c r="AD18" s="183"/>
      <c r="AE18" s="183"/>
      <c r="AF18" s="183"/>
      <c r="AG18" s="198"/>
      <c r="AH18" s="198"/>
      <c r="AJ18" s="77">
        <f t="shared" si="2"/>
        <v>0</v>
      </c>
    </row>
    <row r="19" spans="2:36" ht="16.5" hidden="1" outlineLevel="1" thickTop="1" thickBot="1" x14ac:dyDescent="0.3">
      <c r="B19" s="151"/>
      <c r="C19" s="9" t="s">
        <v>3</v>
      </c>
      <c r="D19" s="184"/>
      <c r="E19" s="199"/>
      <c r="F19" s="199"/>
      <c r="G19" s="184"/>
      <c r="H19" s="184"/>
      <c r="I19" s="184"/>
      <c r="J19" s="184"/>
      <c r="K19" s="184"/>
      <c r="L19" s="199"/>
      <c r="M19" s="199"/>
      <c r="N19" s="184"/>
      <c r="O19" s="184"/>
      <c r="P19" s="184"/>
      <c r="Q19" s="184"/>
      <c r="R19" s="184"/>
      <c r="S19" s="199"/>
      <c r="T19" s="199"/>
      <c r="U19" s="184"/>
      <c r="V19" s="184"/>
      <c r="W19" s="184"/>
      <c r="X19" s="184"/>
      <c r="Y19" s="184"/>
      <c r="Z19" s="199"/>
      <c r="AA19" s="199"/>
      <c r="AB19" s="184"/>
      <c r="AC19" s="184"/>
      <c r="AD19" s="184"/>
      <c r="AE19" s="184"/>
      <c r="AF19" s="184"/>
      <c r="AG19" s="199"/>
      <c r="AH19" s="199"/>
      <c r="AI19" s="7"/>
      <c r="AJ19" s="73">
        <f t="shared" si="2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180"/>
      <c r="E20" s="198"/>
      <c r="F20" s="198"/>
      <c r="G20" s="180"/>
      <c r="H20" s="180"/>
      <c r="I20" s="180"/>
      <c r="J20" s="180"/>
      <c r="K20" s="180"/>
      <c r="L20" s="198"/>
      <c r="M20" s="198"/>
      <c r="N20" s="180"/>
      <c r="O20" s="180"/>
      <c r="P20" s="180">
        <v>8</v>
      </c>
      <c r="Q20" s="180">
        <v>8</v>
      </c>
      <c r="R20" s="180">
        <v>8</v>
      </c>
      <c r="S20" s="198"/>
      <c r="T20" s="198"/>
      <c r="U20" s="180">
        <v>8</v>
      </c>
      <c r="V20" s="180">
        <v>8</v>
      </c>
      <c r="W20" s="180">
        <v>8</v>
      </c>
      <c r="X20" s="180">
        <v>8</v>
      </c>
      <c r="Y20" s="180">
        <v>8</v>
      </c>
      <c r="Z20" s="198"/>
      <c r="AA20" s="198"/>
      <c r="AB20" s="180"/>
      <c r="AC20" s="180"/>
      <c r="AD20" s="180"/>
      <c r="AE20" s="180"/>
      <c r="AF20" s="180"/>
      <c r="AG20" s="198"/>
      <c r="AH20" s="198"/>
      <c r="AJ20" s="74">
        <f>SUM(D20:AH20)</f>
        <v>64</v>
      </c>
    </row>
    <row r="21" spans="2:36" ht="15.75" hidden="1" outlineLevel="1" thickTop="1" x14ac:dyDescent="0.25">
      <c r="B21" s="150"/>
      <c r="C21" s="1" t="s">
        <v>1</v>
      </c>
      <c r="D21" s="181"/>
      <c r="E21" s="198"/>
      <c r="F21" s="198"/>
      <c r="G21" s="181"/>
      <c r="H21" s="181"/>
      <c r="I21" s="181"/>
      <c r="J21" s="181"/>
      <c r="K21" s="181"/>
      <c r="L21" s="198"/>
      <c r="M21" s="198"/>
      <c r="N21" s="181"/>
      <c r="O21" s="181"/>
      <c r="P21" s="181"/>
      <c r="Q21" s="181"/>
      <c r="R21" s="181"/>
      <c r="S21" s="198"/>
      <c r="T21" s="198"/>
      <c r="U21" s="181"/>
      <c r="V21" s="181"/>
      <c r="W21" s="181"/>
      <c r="X21" s="181"/>
      <c r="Y21" s="181"/>
      <c r="Z21" s="198"/>
      <c r="AA21" s="198"/>
      <c r="AB21" s="181"/>
      <c r="AC21" s="181"/>
      <c r="AD21" s="181"/>
      <c r="AE21" s="181"/>
      <c r="AF21" s="181"/>
      <c r="AG21" s="198"/>
      <c r="AH21" s="198"/>
      <c r="AJ21" s="75">
        <f t="shared" ref="AJ21:AJ24" si="3">SUM(D21:AH21)</f>
        <v>0</v>
      </c>
    </row>
    <row r="22" spans="2:36" ht="15.75" hidden="1" outlineLevel="1" thickTop="1" x14ac:dyDescent="0.25">
      <c r="B22" s="151"/>
      <c r="C22" s="1" t="s">
        <v>2</v>
      </c>
      <c r="D22" s="182"/>
      <c r="E22" s="198"/>
      <c r="F22" s="198"/>
      <c r="G22" s="182"/>
      <c r="H22" s="182"/>
      <c r="I22" s="182"/>
      <c r="J22" s="182"/>
      <c r="K22" s="182"/>
      <c r="L22" s="198"/>
      <c r="M22" s="198"/>
      <c r="N22" s="182"/>
      <c r="O22" s="182"/>
      <c r="P22" s="182"/>
      <c r="Q22" s="182"/>
      <c r="R22" s="182"/>
      <c r="S22" s="198"/>
      <c r="T22" s="198"/>
      <c r="U22" s="182"/>
      <c r="V22" s="182"/>
      <c r="W22" s="182"/>
      <c r="X22" s="182"/>
      <c r="Y22" s="182"/>
      <c r="Z22" s="198"/>
      <c r="AA22" s="198"/>
      <c r="AB22" s="182"/>
      <c r="AC22" s="182"/>
      <c r="AD22" s="182"/>
      <c r="AE22" s="182"/>
      <c r="AF22" s="182"/>
      <c r="AG22" s="198"/>
      <c r="AH22" s="198"/>
      <c r="AJ22" s="76">
        <f t="shared" si="3"/>
        <v>0</v>
      </c>
    </row>
    <row r="23" spans="2:36" ht="15.75" hidden="1" outlineLevel="1" thickTop="1" x14ac:dyDescent="0.25">
      <c r="B23" s="151"/>
      <c r="C23" s="54" t="s">
        <v>77</v>
      </c>
      <c r="D23" s="183"/>
      <c r="E23" s="198"/>
      <c r="F23" s="198"/>
      <c r="G23" s="183"/>
      <c r="H23" s="183"/>
      <c r="I23" s="183"/>
      <c r="J23" s="183"/>
      <c r="K23" s="183"/>
      <c r="L23" s="198"/>
      <c r="M23" s="198"/>
      <c r="N23" s="183"/>
      <c r="O23" s="183"/>
      <c r="P23" s="183"/>
      <c r="Q23" s="183"/>
      <c r="R23" s="183"/>
      <c r="S23" s="198"/>
      <c r="T23" s="198"/>
      <c r="U23" s="183"/>
      <c r="V23" s="183"/>
      <c r="W23" s="183"/>
      <c r="X23" s="183"/>
      <c r="Y23" s="183"/>
      <c r="Z23" s="198"/>
      <c r="AA23" s="198"/>
      <c r="AB23" s="183"/>
      <c r="AC23" s="183"/>
      <c r="AD23" s="183"/>
      <c r="AE23" s="183"/>
      <c r="AF23" s="183"/>
      <c r="AG23" s="198"/>
      <c r="AH23" s="198"/>
      <c r="AJ23" s="77">
        <f t="shared" si="3"/>
        <v>0</v>
      </c>
    </row>
    <row r="24" spans="2:36" ht="16.5" hidden="1" outlineLevel="1" thickTop="1" thickBot="1" x14ac:dyDescent="0.3">
      <c r="B24" s="151"/>
      <c r="C24" s="9" t="s">
        <v>3</v>
      </c>
      <c r="D24" s="184"/>
      <c r="E24" s="199"/>
      <c r="F24" s="199"/>
      <c r="G24" s="184"/>
      <c r="H24" s="184"/>
      <c r="I24" s="184"/>
      <c r="J24" s="184"/>
      <c r="K24" s="184"/>
      <c r="L24" s="199"/>
      <c r="M24" s="199"/>
      <c r="N24" s="184"/>
      <c r="O24" s="184"/>
      <c r="P24" s="184"/>
      <c r="Q24" s="184"/>
      <c r="R24" s="184"/>
      <c r="S24" s="199"/>
      <c r="T24" s="199"/>
      <c r="U24" s="184"/>
      <c r="V24" s="184"/>
      <c r="W24" s="184"/>
      <c r="X24" s="184"/>
      <c r="Y24" s="184"/>
      <c r="Z24" s="199"/>
      <c r="AA24" s="199"/>
      <c r="AB24" s="184"/>
      <c r="AC24" s="184"/>
      <c r="AD24" s="184"/>
      <c r="AE24" s="184"/>
      <c r="AF24" s="184"/>
      <c r="AG24" s="199"/>
      <c r="AH24" s="199"/>
      <c r="AI24" s="7"/>
      <c r="AJ24" s="73">
        <f t="shared" si="3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180"/>
      <c r="E25" s="198"/>
      <c r="F25" s="198"/>
      <c r="G25" s="180"/>
      <c r="H25" s="180"/>
      <c r="I25" s="172">
        <v>2.5</v>
      </c>
      <c r="J25" s="180"/>
      <c r="K25" s="172">
        <v>0</v>
      </c>
      <c r="L25" s="198"/>
      <c r="M25" s="198"/>
      <c r="N25" s="180"/>
      <c r="O25" s="180"/>
      <c r="P25" s="180">
        <v>4</v>
      </c>
      <c r="Q25" s="180"/>
      <c r="R25" s="180"/>
      <c r="S25" s="198"/>
      <c r="T25" s="198"/>
      <c r="U25" s="180"/>
      <c r="V25" s="180"/>
      <c r="W25" s="180"/>
      <c r="X25" s="180"/>
      <c r="Y25" s="180"/>
      <c r="Z25" s="198"/>
      <c r="AA25" s="198"/>
      <c r="AB25" s="180"/>
      <c r="AC25" s="180"/>
      <c r="AD25" s="180">
        <v>0</v>
      </c>
      <c r="AE25" s="180">
        <v>0</v>
      </c>
      <c r="AF25" s="180"/>
      <c r="AG25" s="198"/>
      <c r="AH25" s="198"/>
      <c r="AJ25" s="74">
        <f>SUM(D25:AH25)</f>
        <v>6.5</v>
      </c>
    </row>
    <row r="26" spans="2:36" ht="15.75" hidden="1" outlineLevel="1" thickTop="1" x14ac:dyDescent="0.25">
      <c r="B26" s="150"/>
      <c r="C26" s="1" t="s">
        <v>1</v>
      </c>
      <c r="D26" s="181"/>
      <c r="E26" s="198"/>
      <c r="F26" s="198"/>
      <c r="G26" s="181"/>
      <c r="H26" s="181"/>
      <c r="I26" s="181"/>
      <c r="J26" s="181"/>
      <c r="K26" s="181"/>
      <c r="L26" s="198"/>
      <c r="M26" s="198"/>
      <c r="N26" s="181"/>
      <c r="O26" s="181"/>
      <c r="P26" s="181"/>
      <c r="Q26" s="181"/>
      <c r="R26" s="181"/>
      <c r="S26" s="198"/>
      <c r="T26" s="198"/>
      <c r="U26" s="181"/>
      <c r="V26" s="181"/>
      <c r="W26" s="181"/>
      <c r="X26" s="181"/>
      <c r="Y26" s="181"/>
      <c r="Z26" s="198"/>
      <c r="AA26" s="198"/>
      <c r="AB26" s="181"/>
      <c r="AC26" s="181"/>
      <c r="AD26" s="181"/>
      <c r="AE26" s="181"/>
      <c r="AF26" s="181"/>
      <c r="AG26" s="198"/>
      <c r="AH26" s="198"/>
      <c r="AJ26" s="75">
        <f t="shared" ref="AJ26:AJ29" si="4">SUM(D26:AH26)</f>
        <v>0</v>
      </c>
    </row>
    <row r="27" spans="2:36" ht="15.75" hidden="1" outlineLevel="1" thickTop="1" x14ac:dyDescent="0.25">
      <c r="B27" s="151"/>
      <c r="C27" s="1" t="s">
        <v>2</v>
      </c>
      <c r="D27" s="182"/>
      <c r="E27" s="198"/>
      <c r="F27" s="198"/>
      <c r="G27" s="182"/>
      <c r="H27" s="182"/>
      <c r="I27" s="182"/>
      <c r="J27" s="182"/>
      <c r="K27" s="175">
        <v>3.5</v>
      </c>
      <c r="L27" s="198"/>
      <c r="M27" s="198"/>
      <c r="N27" s="182"/>
      <c r="O27" s="182"/>
      <c r="P27" s="182"/>
      <c r="Q27" s="182"/>
      <c r="R27" s="182"/>
      <c r="S27" s="198"/>
      <c r="T27" s="198"/>
      <c r="U27" s="182"/>
      <c r="V27" s="182"/>
      <c r="W27" s="182"/>
      <c r="X27" s="182"/>
      <c r="Y27" s="182"/>
      <c r="Z27" s="198"/>
      <c r="AA27" s="198"/>
      <c r="AB27" s="182"/>
      <c r="AC27" s="182"/>
      <c r="AD27" s="182">
        <v>4</v>
      </c>
      <c r="AE27" s="182">
        <v>2</v>
      </c>
      <c r="AF27" s="182"/>
      <c r="AG27" s="198"/>
      <c r="AH27" s="198"/>
      <c r="AJ27" s="76">
        <f t="shared" si="4"/>
        <v>9.5</v>
      </c>
    </row>
    <row r="28" spans="2:36" ht="15.75" hidden="1" outlineLevel="1" thickTop="1" x14ac:dyDescent="0.25">
      <c r="B28" s="151"/>
      <c r="C28" s="54" t="s">
        <v>77</v>
      </c>
      <c r="D28" s="183"/>
      <c r="E28" s="198"/>
      <c r="F28" s="198"/>
      <c r="G28" s="183"/>
      <c r="H28" s="183"/>
      <c r="I28" s="183"/>
      <c r="J28" s="183"/>
      <c r="K28" s="183"/>
      <c r="L28" s="198"/>
      <c r="M28" s="198"/>
      <c r="N28" s="183"/>
      <c r="O28" s="183"/>
      <c r="P28" s="183"/>
      <c r="Q28" s="183"/>
      <c r="R28" s="183"/>
      <c r="S28" s="198"/>
      <c r="T28" s="198"/>
      <c r="U28" s="183"/>
      <c r="V28" s="183"/>
      <c r="W28" s="183"/>
      <c r="X28" s="183"/>
      <c r="Y28" s="183"/>
      <c r="Z28" s="198"/>
      <c r="AA28" s="198"/>
      <c r="AB28" s="183"/>
      <c r="AC28" s="183"/>
      <c r="AD28" s="183"/>
      <c r="AE28" s="183"/>
      <c r="AF28" s="183"/>
      <c r="AG28" s="198"/>
      <c r="AH28" s="198"/>
      <c r="AJ28" s="77">
        <f t="shared" si="4"/>
        <v>0</v>
      </c>
    </row>
    <row r="29" spans="2:36" ht="16.5" hidden="1" outlineLevel="1" thickTop="1" thickBot="1" x14ac:dyDescent="0.3">
      <c r="B29" s="151"/>
      <c r="C29" s="9" t="s">
        <v>3</v>
      </c>
      <c r="D29" s="184"/>
      <c r="E29" s="199"/>
      <c r="F29" s="199"/>
      <c r="G29" s="184"/>
      <c r="H29" s="184"/>
      <c r="I29" s="184"/>
      <c r="J29" s="184"/>
      <c r="K29" s="184"/>
      <c r="L29" s="199"/>
      <c r="M29" s="199"/>
      <c r="N29" s="184"/>
      <c r="O29" s="184"/>
      <c r="P29" s="184"/>
      <c r="Q29" s="184"/>
      <c r="R29" s="184"/>
      <c r="S29" s="199"/>
      <c r="T29" s="199"/>
      <c r="U29" s="184"/>
      <c r="V29" s="184"/>
      <c r="W29" s="184"/>
      <c r="X29" s="184"/>
      <c r="Y29" s="184"/>
      <c r="Z29" s="199"/>
      <c r="AA29" s="199"/>
      <c r="AB29" s="184"/>
      <c r="AC29" s="184"/>
      <c r="AD29" s="184"/>
      <c r="AE29" s="184"/>
      <c r="AF29" s="184"/>
      <c r="AG29" s="199"/>
      <c r="AH29" s="199"/>
      <c r="AI29" s="7"/>
      <c r="AJ29" s="73">
        <f t="shared" si="4"/>
        <v>0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180"/>
      <c r="E30" s="198"/>
      <c r="F30" s="198"/>
      <c r="G30" s="180">
        <v>0</v>
      </c>
      <c r="H30" s="180"/>
      <c r="I30" s="180"/>
      <c r="J30" s="180">
        <v>4</v>
      </c>
      <c r="K30" s="180"/>
      <c r="L30" s="198"/>
      <c r="M30" s="198"/>
      <c r="N30" s="180"/>
      <c r="O30" s="180"/>
      <c r="P30" s="180"/>
      <c r="Q30" s="180"/>
      <c r="R30" s="180"/>
      <c r="S30" s="198"/>
      <c r="T30" s="198"/>
      <c r="U30" s="180"/>
      <c r="V30" s="180"/>
      <c r="W30" s="180"/>
      <c r="X30" s="180"/>
      <c r="Y30" s="180"/>
      <c r="Z30" s="198"/>
      <c r="AA30" s="198"/>
      <c r="AB30" s="180"/>
      <c r="AC30" s="180"/>
      <c r="AD30" s="180"/>
      <c r="AE30" s="180">
        <v>8</v>
      </c>
      <c r="AF30" s="180">
        <v>8</v>
      </c>
      <c r="AG30" s="198"/>
      <c r="AH30" s="198"/>
      <c r="AJ30" s="74">
        <f>SUM(D30:AH30)</f>
        <v>20</v>
      </c>
    </row>
    <row r="31" spans="2:36" ht="15.75" hidden="1" outlineLevel="1" thickTop="1" x14ac:dyDescent="0.25">
      <c r="B31" s="150"/>
      <c r="C31" s="1" t="s">
        <v>1</v>
      </c>
      <c r="D31" s="181"/>
      <c r="E31" s="198"/>
      <c r="F31" s="198"/>
      <c r="G31" s="181"/>
      <c r="H31" s="181"/>
      <c r="I31" s="181"/>
      <c r="J31" s="181"/>
      <c r="K31" s="181"/>
      <c r="L31" s="198"/>
      <c r="M31" s="198"/>
      <c r="N31" s="181"/>
      <c r="O31" s="181"/>
      <c r="P31" s="181"/>
      <c r="Q31" s="181"/>
      <c r="R31" s="181"/>
      <c r="S31" s="198"/>
      <c r="T31" s="198"/>
      <c r="U31" s="181"/>
      <c r="V31" s="181"/>
      <c r="W31" s="181"/>
      <c r="X31" s="181"/>
      <c r="Y31" s="181"/>
      <c r="Z31" s="198"/>
      <c r="AA31" s="198"/>
      <c r="AB31" s="181"/>
      <c r="AC31" s="181"/>
      <c r="AD31" s="181"/>
      <c r="AE31" s="181"/>
      <c r="AF31" s="181"/>
      <c r="AG31" s="198"/>
      <c r="AH31" s="198"/>
      <c r="AJ31" s="75">
        <f t="shared" ref="AJ31:AJ34" si="5">SUM(D31:AH31)</f>
        <v>0</v>
      </c>
    </row>
    <row r="32" spans="2:36" ht="15.75" hidden="1" outlineLevel="1" thickTop="1" x14ac:dyDescent="0.25">
      <c r="B32" s="151"/>
      <c r="C32" s="1" t="s">
        <v>2</v>
      </c>
      <c r="D32" s="182"/>
      <c r="E32" s="198"/>
      <c r="F32" s="198"/>
      <c r="G32" s="182"/>
      <c r="H32" s="182"/>
      <c r="I32" s="182"/>
      <c r="J32" s="182"/>
      <c r="K32" s="182"/>
      <c r="L32" s="198"/>
      <c r="M32" s="198"/>
      <c r="N32" s="182"/>
      <c r="O32" s="182"/>
      <c r="P32" s="182"/>
      <c r="Q32" s="182"/>
      <c r="R32" s="182"/>
      <c r="S32" s="198"/>
      <c r="T32" s="198"/>
      <c r="U32" s="182"/>
      <c r="V32" s="182"/>
      <c r="W32" s="182"/>
      <c r="X32" s="182"/>
      <c r="Y32" s="182"/>
      <c r="Z32" s="198"/>
      <c r="AA32" s="198"/>
      <c r="AB32" s="182"/>
      <c r="AC32" s="182"/>
      <c r="AD32" s="182"/>
      <c r="AE32" s="182"/>
      <c r="AF32" s="182"/>
      <c r="AG32" s="198"/>
      <c r="AH32" s="198"/>
      <c r="AJ32" s="76">
        <f t="shared" si="5"/>
        <v>0</v>
      </c>
    </row>
    <row r="33" spans="2:36" ht="15.75" hidden="1" outlineLevel="1" thickTop="1" x14ac:dyDescent="0.25">
      <c r="B33" s="151"/>
      <c r="C33" s="54" t="s">
        <v>77</v>
      </c>
      <c r="D33" s="183"/>
      <c r="E33" s="198"/>
      <c r="F33" s="198"/>
      <c r="G33" s="251">
        <v>2</v>
      </c>
      <c r="H33" s="183"/>
      <c r="I33" s="183"/>
      <c r="J33" s="183"/>
      <c r="K33" s="183"/>
      <c r="L33" s="198"/>
      <c r="M33" s="198"/>
      <c r="N33" s="183"/>
      <c r="O33" s="183"/>
      <c r="P33" s="183"/>
      <c r="Q33" s="183"/>
      <c r="R33" s="183"/>
      <c r="S33" s="198"/>
      <c r="T33" s="198"/>
      <c r="U33" s="183"/>
      <c r="V33" s="183"/>
      <c r="W33" s="183"/>
      <c r="X33" s="183"/>
      <c r="Y33" s="183"/>
      <c r="Z33" s="198"/>
      <c r="AA33" s="198"/>
      <c r="AB33" s="183"/>
      <c r="AC33" s="183"/>
      <c r="AD33" s="183"/>
      <c r="AE33" s="183"/>
      <c r="AF33" s="183"/>
      <c r="AG33" s="198"/>
      <c r="AH33" s="198"/>
      <c r="AJ33" s="77">
        <f t="shared" si="5"/>
        <v>2</v>
      </c>
    </row>
    <row r="34" spans="2:36" ht="16.5" hidden="1" outlineLevel="1" thickTop="1" thickBot="1" x14ac:dyDescent="0.3">
      <c r="B34" s="151"/>
      <c r="C34" s="9" t="s">
        <v>3</v>
      </c>
      <c r="D34" s="184"/>
      <c r="E34" s="199"/>
      <c r="F34" s="199"/>
      <c r="G34" s="184"/>
      <c r="H34" s="184"/>
      <c r="I34" s="184"/>
      <c r="J34" s="184"/>
      <c r="K34" s="184"/>
      <c r="L34" s="199"/>
      <c r="M34" s="199"/>
      <c r="N34" s="184"/>
      <c r="O34" s="184"/>
      <c r="P34" s="184"/>
      <c r="Q34" s="184"/>
      <c r="R34" s="184"/>
      <c r="S34" s="199"/>
      <c r="T34" s="199"/>
      <c r="U34" s="184"/>
      <c r="V34" s="184"/>
      <c r="W34" s="184"/>
      <c r="X34" s="184"/>
      <c r="Y34" s="184"/>
      <c r="Z34" s="199"/>
      <c r="AA34" s="199"/>
      <c r="AB34" s="184"/>
      <c r="AC34" s="184"/>
      <c r="AD34" s="184"/>
      <c r="AE34" s="184"/>
      <c r="AF34" s="184"/>
      <c r="AG34" s="199"/>
      <c r="AH34" s="199"/>
      <c r="AI34" s="7"/>
      <c r="AJ34" s="73">
        <f t="shared" si="5"/>
        <v>0</v>
      </c>
    </row>
    <row r="35" spans="2:36" ht="16.5" hidden="1" collapsed="1" thickTop="1" thickBot="1" x14ac:dyDescent="0.3">
      <c r="B35" s="149" t="str">
        <f>'Hours Scheduled'!B10</f>
        <v>Dennis van 't Hul</v>
      </c>
      <c r="C35" t="s">
        <v>0</v>
      </c>
      <c r="D35" s="180"/>
      <c r="E35" s="198"/>
      <c r="F35" s="198"/>
      <c r="G35" s="180"/>
      <c r="H35" s="180"/>
      <c r="I35" s="180"/>
      <c r="J35" s="180"/>
      <c r="K35" s="180"/>
      <c r="L35" s="198"/>
      <c r="M35" s="198"/>
      <c r="N35" s="180"/>
      <c r="O35" s="180"/>
      <c r="P35" s="180"/>
      <c r="Q35" s="180"/>
      <c r="R35" s="180"/>
      <c r="S35" s="198"/>
      <c r="T35" s="198"/>
      <c r="U35" s="180"/>
      <c r="V35" s="180"/>
      <c r="W35" s="180"/>
      <c r="X35" s="180"/>
      <c r="Y35" s="180"/>
      <c r="Z35" s="198"/>
      <c r="AA35" s="198"/>
      <c r="AB35" s="180"/>
      <c r="AC35" s="180"/>
      <c r="AD35" s="180"/>
      <c r="AE35" s="180"/>
      <c r="AF35" s="180"/>
      <c r="AG35" s="198"/>
      <c r="AH35" s="198"/>
      <c r="AJ35" s="74">
        <f>SUM(D35:AH35)</f>
        <v>0</v>
      </c>
    </row>
    <row r="36" spans="2:36" ht="15.75" hidden="1" outlineLevel="1" thickTop="1" x14ac:dyDescent="0.25">
      <c r="B36" s="150"/>
      <c r="C36" s="1" t="s">
        <v>1</v>
      </c>
      <c r="D36" s="181"/>
      <c r="E36" s="198"/>
      <c r="F36" s="198"/>
      <c r="G36" s="181"/>
      <c r="H36" s="181"/>
      <c r="I36" s="181"/>
      <c r="J36" s="181"/>
      <c r="K36" s="181"/>
      <c r="L36" s="198"/>
      <c r="M36" s="198"/>
      <c r="N36" s="181"/>
      <c r="O36" s="181"/>
      <c r="P36" s="181"/>
      <c r="Q36" s="181"/>
      <c r="R36" s="181"/>
      <c r="S36" s="198"/>
      <c r="T36" s="198"/>
      <c r="U36" s="181"/>
      <c r="V36" s="181"/>
      <c r="W36" s="181"/>
      <c r="X36" s="181"/>
      <c r="Y36" s="181"/>
      <c r="Z36" s="198"/>
      <c r="AA36" s="198"/>
      <c r="AB36" s="181"/>
      <c r="AC36" s="181"/>
      <c r="AD36" s="181"/>
      <c r="AE36" s="181"/>
      <c r="AF36" s="181"/>
      <c r="AG36" s="198"/>
      <c r="AH36" s="198"/>
      <c r="AJ36" s="75">
        <f t="shared" ref="AJ36:AJ39" si="6">SUM(D36:AH36)</f>
        <v>0</v>
      </c>
    </row>
    <row r="37" spans="2:36" ht="15.75" hidden="1" outlineLevel="1" thickTop="1" x14ac:dyDescent="0.25">
      <c r="B37" s="151"/>
      <c r="C37" s="1" t="s">
        <v>2</v>
      </c>
      <c r="D37" s="182"/>
      <c r="E37" s="198"/>
      <c r="F37" s="198"/>
      <c r="G37" s="182"/>
      <c r="H37" s="182"/>
      <c r="I37" s="182"/>
      <c r="J37" s="182"/>
      <c r="K37" s="182"/>
      <c r="L37" s="198"/>
      <c r="M37" s="198"/>
      <c r="N37" s="182"/>
      <c r="O37" s="182"/>
      <c r="P37" s="182"/>
      <c r="Q37" s="182"/>
      <c r="R37" s="182"/>
      <c r="S37" s="198"/>
      <c r="T37" s="198"/>
      <c r="U37" s="182"/>
      <c r="V37" s="182"/>
      <c r="W37" s="182"/>
      <c r="X37" s="182"/>
      <c r="Y37" s="182"/>
      <c r="Z37" s="198"/>
      <c r="AA37" s="198"/>
      <c r="AB37" s="182"/>
      <c r="AC37" s="182"/>
      <c r="AD37" s="182"/>
      <c r="AE37" s="182"/>
      <c r="AF37" s="182"/>
      <c r="AG37" s="198"/>
      <c r="AH37" s="198"/>
      <c r="AJ37" s="76">
        <f t="shared" si="6"/>
        <v>0</v>
      </c>
    </row>
    <row r="38" spans="2:36" ht="15.75" hidden="1" outlineLevel="1" thickTop="1" x14ac:dyDescent="0.25">
      <c r="B38" s="151"/>
      <c r="C38" s="54" t="s">
        <v>77</v>
      </c>
      <c r="D38" s="183"/>
      <c r="E38" s="198"/>
      <c r="F38" s="198"/>
      <c r="G38" s="183"/>
      <c r="H38" s="183"/>
      <c r="I38" s="183"/>
      <c r="J38" s="183"/>
      <c r="K38" s="183"/>
      <c r="L38" s="198"/>
      <c r="M38" s="198"/>
      <c r="N38" s="183"/>
      <c r="O38" s="183"/>
      <c r="P38" s="183"/>
      <c r="Q38" s="183"/>
      <c r="R38" s="183"/>
      <c r="S38" s="198"/>
      <c r="T38" s="198"/>
      <c r="U38" s="183"/>
      <c r="V38" s="183"/>
      <c r="W38" s="183"/>
      <c r="X38" s="183"/>
      <c r="Y38" s="183"/>
      <c r="Z38" s="198"/>
      <c r="AA38" s="198"/>
      <c r="AB38" s="183"/>
      <c r="AC38" s="183"/>
      <c r="AD38" s="183"/>
      <c r="AE38" s="183"/>
      <c r="AF38" s="183"/>
      <c r="AG38" s="198"/>
      <c r="AH38" s="198"/>
      <c r="AJ38" s="77">
        <f t="shared" si="6"/>
        <v>0</v>
      </c>
    </row>
    <row r="39" spans="2:36" ht="16.5" hidden="1" outlineLevel="1" thickTop="1" thickBot="1" x14ac:dyDescent="0.3">
      <c r="B39" s="151"/>
      <c r="C39" s="9" t="s">
        <v>3</v>
      </c>
      <c r="D39" s="184"/>
      <c r="E39" s="199"/>
      <c r="F39" s="199"/>
      <c r="G39" s="184"/>
      <c r="H39" s="184"/>
      <c r="I39" s="184"/>
      <c r="J39" s="184"/>
      <c r="K39" s="184"/>
      <c r="L39" s="199"/>
      <c r="M39" s="199"/>
      <c r="N39" s="184"/>
      <c r="O39" s="184"/>
      <c r="P39" s="184"/>
      <c r="Q39" s="184"/>
      <c r="R39" s="184"/>
      <c r="S39" s="199"/>
      <c r="T39" s="199"/>
      <c r="U39" s="184"/>
      <c r="V39" s="184"/>
      <c r="W39" s="184"/>
      <c r="X39" s="184"/>
      <c r="Y39" s="184"/>
      <c r="Z39" s="199"/>
      <c r="AA39" s="199"/>
      <c r="AB39" s="184"/>
      <c r="AC39" s="184"/>
      <c r="AD39" s="184"/>
      <c r="AE39" s="184"/>
      <c r="AF39" s="184"/>
      <c r="AG39" s="199"/>
      <c r="AH39" s="199"/>
      <c r="AI39" s="7"/>
      <c r="AJ39" s="73">
        <f t="shared" si="6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180"/>
      <c r="E40" s="198"/>
      <c r="F40" s="198"/>
      <c r="G40" s="180"/>
      <c r="H40" s="180"/>
      <c r="I40" s="180"/>
      <c r="J40" s="180"/>
      <c r="K40" s="180"/>
      <c r="L40" s="198"/>
      <c r="M40" s="198"/>
      <c r="N40" s="180"/>
      <c r="O40" s="180">
        <v>4</v>
      </c>
      <c r="P40" s="249"/>
      <c r="Q40" s="249"/>
      <c r="R40" s="249"/>
      <c r="S40" s="198"/>
      <c r="T40" s="198"/>
      <c r="U40" s="249"/>
      <c r="V40" s="249"/>
      <c r="W40" s="249"/>
      <c r="X40" s="249"/>
      <c r="Y40" s="249"/>
      <c r="Z40" s="198"/>
      <c r="AA40" s="198"/>
      <c r="AB40" s="249"/>
      <c r="AC40" s="249"/>
      <c r="AD40" s="249"/>
      <c r="AE40" s="180">
        <v>6</v>
      </c>
      <c r="AF40" s="180"/>
      <c r="AG40" s="198"/>
      <c r="AH40" s="198"/>
      <c r="AJ40" s="74">
        <f>SUM(D40:AH40)</f>
        <v>10</v>
      </c>
    </row>
    <row r="41" spans="2:36" ht="15.75" hidden="1" outlineLevel="1" thickTop="1" x14ac:dyDescent="0.25">
      <c r="B41" s="150"/>
      <c r="C41" s="1" t="s">
        <v>1</v>
      </c>
      <c r="D41" s="181"/>
      <c r="E41" s="198"/>
      <c r="F41" s="198"/>
      <c r="G41" s="181"/>
      <c r="H41" s="181"/>
      <c r="I41" s="181"/>
      <c r="J41" s="181"/>
      <c r="K41" s="181"/>
      <c r="L41" s="198"/>
      <c r="M41" s="198"/>
      <c r="N41" s="181"/>
      <c r="O41" s="181"/>
      <c r="P41" s="181"/>
      <c r="Q41" s="181"/>
      <c r="R41" s="181"/>
      <c r="S41" s="198"/>
      <c r="T41" s="198"/>
      <c r="U41" s="181"/>
      <c r="V41" s="181"/>
      <c r="W41" s="181"/>
      <c r="X41" s="181"/>
      <c r="Y41" s="181"/>
      <c r="Z41" s="198"/>
      <c r="AA41" s="198"/>
      <c r="AB41" s="181"/>
      <c r="AC41" s="181"/>
      <c r="AD41" s="181"/>
      <c r="AE41" s="181"/>
      <c r="AF41" s="181"/>
      <c r="AG41" s="198"/>
      <c r="AH41" s="198"/>
      <c r="AJ41" s="75">
        <f t="shared" ref="AJ41:AJ44" si="7">SUM(D41:AH41)</f>
        <v>0</v>
      </c>
    </row>
    <row r="42" spans="2:36" ht="15.75" hidden="1" outlineLevel="1" thickTop="1" x14ac:dyDescent="0.25">
      <c r="B42" s="151"/>
      <c r="C42" s="1" t="s">
        <v>2</v>
      </c>
      <c r="D42" s="182"/>
      <c r="E42" s="198"/>
      <c r="F42" s="198"/>
      <c r="G42" s="182"/>
      <c r="H42" s="182"/>
      <c r="I42" s="182"/>
      <c r="J42" s="182"/>
      <c r="K42" s="182"/>
      <c r="L42" s="198"/>
      <c r="M42" s="198"/>
      <c r="N42" s="182"/>
      <c r="O42" s="182"/>
      <c r="P42" s="182"/>
      <c r="Q42" s="182"/>
      <c r="R42" s="182"/>
      <c r="S42" s="198"/>
      <c r="T42" s="198"/>
      <c r="U42" s="182"/>
      <c r="V42" s="182"/>
      <c r="W42" s="182"/>
      <c r="X42" s="182"/>
      <c r="Y42" s="182"/>
      <c r="Z42" s="198"/>
      <c r="AA42" s="198"/>
      <c r="AB42" s="182"/>
      <c r="AC42" s="182"/>
      <c r="AD42" s="182"/>
      <c r="AE42" s="182"/>
      <c r="AF42" s="182"/>
      <c r="AG42" s="198"/>
      <c r="AH42" s="198"/>
      <c r="AJ42" s="76">
        <f t="shared" si="7"/>
        <v>0</v>
      </c>
    </row>
    <row r="43" spans="2:36" ht="15.75" hidden="1" outlineLevel="1" thickTop="1" x14ac:dyDescent="0.25">
      <c r="B43" s="151"/>
      <c r="C43" s="54" t="s">
        <v>77</v>
      </c>
      <c r="D43" s="183"/>
      <c r="E43" s="198"/>
      <c r="F43" s="198"/>
      <c r="G43" s="183"/>
      <c r="H43" s="183"/>
      <c r="I43" s="183"/>
      <c r="J43" s="183"/>
      <c r="K43" s="183"/>
      <c r="L43" s="198"/>
      <c r="M43" s="198"/>
      <c r="N43" s="183"/>
      <c r="O43" s="183">
        <v>4</v>
      </c>
      <c r="P43" s="183"/>
      <c r="Q43" s="183"/>
      <c r="R43" s="183"/>
      <c r="S43" s="198"/>
      <c r="T43" s="198"/>
      <c r="U43" s="183"/>
      <c r="V43" s="183"/>
      <c r="W43" s="183"/>
      <c r="X43" s="183"/>
      <c r="Y43" s="183"/>
      <c r="Z43" s="198"/>
      <c r="AA43" s="198"/>
      <c r="AB43" s="183"/>
      <c r="AC43" s="183"/>
      <c r="AD43" s="183"/>
      <c r="AE43" s="183">
        <v>2</v>
      </c>
      <c r="AF43" s="183"/>
      <c r="AG43" s="198"/>
      <c r="AH43" s="198"/>
      <c r="AJ43" s="77">
        <f t="shared" si="7"/>
        <v>6</v>
      </c>
    </row>
    <row r="44" spans="2:36" ht="16.5" hidden="1" outlineLevel="1" thickTop="1" thickBot="1" x14ac:dyDescent="0.3">
      <c r="B44" s="151"/>
      <c r="C44" s="9" t="s">
        <v>3</v>
      </c>
      <c r="D44" s="184"/>
      <c r="E44" s="199"/>
      <c r="F44" s="199"/>
      <c r="G44" s="184"/>
      <c r="H44" s="184"/>
      <c r="I44" s="184"/>
      <c r="J44" s="184"/>
      <c r="K44" s="184"/>
      <c r="L44" s="199"/>
      <c r="M44" s="199"/>
      <c r="N44" s="184"/>
      <c r="O44" s="184"/>
      <c r="P44" s="184"/>
      <c r="Q44" s="184"/>
      <c r="R44" s="184"/>
      <c r="S44" s="199"/>
      <c r="T44" s="199"/>
      <c r="U44" s="184"/>
      <c r="V44" s="184"/>
      <c r="W44" s="184"/>
      <c r="X44" s="184"/>
      <c r="Y44" s="184"/>
      <c r="Z44" s="199"/>
      <c r="AA44" s="199"/>
      <c r="AB44" s="184"/>
      <c r="AC44" s="184"/>
      <c r="AD44" s="184"/>
      <c r="AE44" s="184"/>
      <c r="AF44" s="184"/>
      <c r="AG44" s="199"/>
      <c r="AH44" s="199"/>
      <c r="AI44" s="7"/>
      <c r="AJ44" s="73">
        <f t="shared" si="7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180"/>
      <c r="E45" s="198"/>
      <c r="F45" s="198"/>
      <c r="G45" s="180"/>
      <c r="H45" s="180"/>
      <c r="I45" s="180">
        <v>4</v>
      </c>
      <c r="J45" s="180"/>
      <c r="K45" s="180"/>
      <c r="L45" s="198"/>
      <c r="M45" s="198"/>
      <c r="N45" s="180"/>
      <c r="O45" s="180"/>
      <c r="P45" s="180"/>
      <c r="Q45" s="180"/>
      <c r="R45" s="180">
        <v>0</v>
      </c>
      <c r="S45" s="198"/>
      <c r="T45" s="198"/>
      <c r="U45" s="180"/>
      <c r="V45" s="180"/>
      <c r="W45" s="180"/>
      <c r="X45" s="180"/>
      <c r="Y45" s="180"/>
      <c r="Z45" s="198"/>
      <c r="AA45" s="198"/>
      <c r="AB45" s="180">
        <v>8</v>
      </c>
      <c r="AC45" s="180">
        <v>8</v>
      </c>
      <c r="AD45" s="180">
        <v>8</v>
      </c>
      <c r="AE45" s="180">
        <v>8</v>
      </c>
      <c r="AF45" s="180">
        <v>8</v>
      </c>
      <c r="AG45" s="198"/>
      <c r="AH45" s="198"/>
      <c r="AJ45" s="74">
        <f>SUM(D45:AH45)</f>
        <v>44</v>
      </c>
    </row>
    <row r="46" spans="2:36" ht="15.75" hidden="1" outlineLevel="1" thickTop="1" x14ac:dyDescent="0.25">
      <c r="B46" s="150"/>
      <c r="C46" s="1" t="s">
        <v>1</v>
      </c>
      <c r="D46" s="181"/>
      <c r="E46" s="198"/>
      <c r="F46" s="198"/>
      <c r="G46" s="181"/>
      <c r="H46" s="181"/>
      <c r="I46" s="181"/>
      <c r="J46" s="181"/>
      <c r="K46" s="181"/>
      <c r="L46" s="198"/>
      <c r="M46" s="198"/>
      <c r="N46" s="181"/>
      <c r="O46" s="181"/>
      <c r="P46" s="181"/>
      <c r="Q46" s="181"/>
      <c r="R46" s="181"/>
      <c r="S46" s="198"/>
      <c r="T46" s="198"/>
      <c r="U46" s="181"/>
      <c r="V46" s="181"/>
      <c r="W46" s="181"/>
      <c r="X46" s="181"/>
      <c r="Y46" s="181"/>
      <c r="Z46" s="198"/>
      <c r="AA46" s="198"/>
      <c r="AB46" s="181"/>
      <c r="AC46" s="181"/>
      <c r="AD46" s="181"/>
      <c r="AE46" s="181"/>
      <c r="AF46" s="181"/>
      <c r="AG46" s="198"/>
      <c r="AH46" s="198"/>
      <c r="AJ46" s="75">
        <f t="shared" ref="AJ46:AJ49" si="8">SUM(D46:AH46)</f>
        <v>0</v>
      </c>
    </row>
    <row r="47" spans="2:36" ht="15.75" hidden="1" outlineLevel="1" thickTop="1" x14ac:dyDescent="0.25">
      <c r="B47" s="151"/>
      <c r="C47" s="1" t="s">
        <v>2</v>
      </c>
      <c r="D47" s="182"/>
      <c r="E47" s="198"/>
      <c r="F47" s="198"/>
      <c r="G47" s="182"/>
      <c r="H47" s="182"/>
      <c r="I47" s="182"/>
      <c r="J47" s="182"/>
      <c r="K47" s="182"/>
      <c r="L47" s="198"/>
      <c r="M47" s="198"/>
      <c r="N47" s="182"/>
      <c r="O47" s="182"/>
      <c r="P47" s="182"/>
      <c r="Q47" s="182"/>
      <c r="R47" s="182"/>
      <c r="S47" s="198"/>
      <c r="T47" s="198"/>
      <c r="U47" s="182"/>
      <c r="V47" s="182"/>
      <c r="W47" s="182"/>
      <c r="X47" s="182"/>
      <c r="Y47" s="182"/>
      <c r="Z47" s="198"/>
      <c r="AA47" s="198"/>
      <c r="AB47" s="182"/>
      <c r="AC47" s="182"/>
      <c r="AD47" s="182"/>
      <c r="AE47" s="182"/>
      <c r="AF47" s="182"/>
      <c r="AG47" s="198"/>
      <c r="AH47" s="198"/>
      <c r="AJ47" s="76">
        <f t="shared" si="8"/>
        <v>0</v>
      </c>
    </row>
    <row r="48" spans="2:36" ht="15.75" hidden="1" outlineLevel="1" thickTop="1" x14ac:dyDescent="0.25">
      <c r="B48" s="151"/>
      <c r="C48" s="54" t="s">
        <v>77</v>
      </c>
      <c r="D48" s="183"/>
      <c r="E48" s="198"/>
      <c r="F48" s="198"/>
      <c r="G48" s="183"/>
      <c r="H48" s="183"/>
      <c r="I48" s="183"/>
      <c r="J48" s="183"/>
      <c r="K48" s="183"/>
      <c r="L48" s="198"/>
      <c r="M48" s="198"/>
      <c r="N48" s="183"/>
      <c r="O48" s="183"/>
      <c r="P48" s="183"/>
      <c r="Q48" s="183"/>
      <c r="R48" s="183"/>
      <c r="S48" s="198"/>
      <c r="T48" s="198"/>
      <c r="U48" s="183"/>
      <c r="V48" s="183"/>
      <c r="W48" s="183"/>
      <c r="X48" s="183"/>
      <c r="Y48" s="183"/>
      <c r="Z48" s="198"/>
      <c r="AA48" s="198"/>
      <c r="AB48" s="183"/>
      <c r="AC48" s="183"/>
      <c r="AD48" s="183"/>
      <c r="AE48" s="183"/>
      <c r="AF48" s="183"/>
      <c r="AG48" s="198"/>
      <c r="AH48" s="198"/>
      <c r="AJ48" s="77">
        <f t="shared" si="8"/>
        <v>0</v>
      </c>
    </row>
    <row r="49" spans="2:36" ht="16.5" hidden="1" outlineLevel="1" thickTop="1" thickBot="1" x14ac:dyDescent="0.3">
      <c r="B49" s="151"/>
      <c r="C49" s="9" t="s">
        <v>3</v>
      </c>
      <c r="D49" s="184"/>
      <c r="E49" s="199"/>
      <c r="F49" s="199"/>
      <c r="G49" s="184"/>
      <c r="H49" s="184"/>
      <c r="I49" s="184"/>
      <c r="J49" s="184"/>
      <c r="K49" s="184"/>
      <c r="L49" s="199"/>
      <c r="M49" s="199"/>
      <c r="N49" s="184"/>
      <c r="O49" s="184"/>
      <c r="P49" s="184"/>
      <c r="Q49" s="184"/>
      <c r="R49" s="177">
        <v>0.5</v>
      </c>
      <c r="S49" s="199"/>
      <c r="T49" s="199"/>
      <c r="U49" s="184"/>
      <c r="V49" s="184"/>
      <c r="W49" s="184"/>
      <c r="X49" s="184"/>
      <c r="Y49" s="184"/>
      <c r="Z49" s="199"/>
      <c r="AA49" s="199"/>
      <c r="AB49" s="184"/>
      <c r="AC49" s="184"/>
      <c r="AD49" s="184"/>
      <c r="AE49" s="184"/>
      <c r="AF49" s="184"/>
      <c r="AG49" s="199"/>
      <c r="AH49" s="199"/>
      <c r="AI49" s="7"/>
      <c r="AJ49" s="73">
        <f t="shared" si="8"/>
        <v>0.5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180">
        <v>8</v>
      </c>
      <c r="E50" s="198"/>
      <c r="F50" s="198"/>
      <c r="G50" s="180"/>
      <c r="H50" s="180"/>
      <c r="I50" s="180"/>
      <c r="J50" s="180"/>
      <c r="K50" s="180"/>
      <c r="L50" s="198"/>
      <c r="M50" s="198"/>
      <c r="N50" s="180"/>
      <c r="O50" s="180"/>
      <c r="P50" s="180"/>
      <c r="Q50" s="180"/>
      <c r="R50" s="180"/>
      <c r="S50" s="198"/>
      <c r="T50" s="198"/>
      <c r="U50" s="180">
        <v>0</v>
      </c>
      <c r="V50" s="180">
        <v>0</v>
      </c>
      <c r="W50" s="180"/>
      <c r="X50" s="180"/>
      <c r="Y50" s="180"/>
      <c r="Z50" s="198"/>
      <c r="AA50" s="198"/>
      <c r="AB50" s="180"/>
      <c r="AC50" s="180"/>
      <c r="AD50" s="180"/>
      <c r="AE50" s="180"/>
      <c r="AF50" s="180"/>
      <c r="AG50" s="198"/>
      <c r="AH50" s="198"/>
      <c r="AJ50" s="74">
        <f>SUM(D50:AH50)</f>
        <v>8</v>
      </c>
    </row>
    <row r="51" spans="2:36" ht="15.75" hidden="1" outlineLevel="1" thickTop="1" x14ac:dyDescent="0.25">
      <c r="B51" s="150"/>
      <c r="C51" s="1" t="s">
        <v>1</v>
      </c>
      <c r="D51" s="181"/>
      <c r="E51" s="198"/>
      <c r="F51" s="198"/>
      <c r="G51" s="181"/>
      <c r="H51" s="181"/>
      <c r="I51" s="181"/>
      <c r="J51" s="181"/>
      <c r="K51" s="181"/>
      <c r="L51" s="198"/>
      <c r="M51" s="198"/>
      <c r="N51" s="181"/>
      <c r="O51" s="181"/>
      <c r="P51" s="181"/>
      <c r="Q51" s="181"/>
      <c r="R51" s="181"/>
      <c r="S51" s="198"/>
      <c r="T51" s="198"/>
      <c r="U51" s="181">
        <v>8</v>
      </c>
      <c r="V51" s="181">
        <v>8</v>
      </c>
      <c r="W51" s="181"/>
      <c r="X51" s="181"/>
      <c r="Y51" s="181"/>
      <c r="Z51" s="198"/>
      <c r="AA51" s="198"/>
      <c r="AB51" s="181"/>
      <c r="AC51" s="181"/>
      <c r="AD51" s="181"/>
      <c r="AE51" s="181"/>
      <c r="AF51" s="181"/>
      <c r="AG51" s="198"/>
      <c r="AH51" s="198"/>
      <c r="AJ51" s="75">
        <f t="shared" ref="AJ51:AJ54" si="9">SUM(D51:AH51)</f>
        <v>16</v>
      </c>
    </row>
    <row r="52" spans="2:36" ht="15.75" hidden="1" outlineLevel="1" thickTop="1" x14ac:dyDescent="0.25">
      <c r="B52" s="151"/>
      <c r="C52" s="1" t="s">
        <v>2</v>
      </c>
      <c r="D52" s="182"/>
      <c r="E52" s="198"/>
      <c r="F52" s="198"/>
      <c r="G52" s="182"/>
      <c r="H52" s="182"/>
      <c r="I52" s="182"/>
      <c r="J52" s="182"/>
      <c r="K52" s="182"/>
      <c r="L52" s="198"/>
      <c r="M52" s="198"/>
      <c r="N52" s="182"/>
      <c r="O52" s="182"/>
      <c r="P52" s="182"/>
      <c r="Q52" s="182"/>
      <c r="R52" s="182"/>
      <c r="S52" s="198"/>
      <c r="T52" s="198"/>
      <c r="U52" s="182"/>
      <c r="V52" s="182"/>
      <c r="W52" s="182"/>
      <c r="X52" s="182"/>
      <c r="Y52" s="182"/>
      <c r="Z52" s="198"/>
      <c r="AA52" s="198"/>
      <c r="AB52" s="182"/>
      <c r="AC52" s="182"/>
      <c r="AD52" s="182"/>
      <c r="AE52" s="182"/>
      <c r="AF52" s="182"/>
      <c r="AG52" s="198"/>
      <c r="AH52" s="198"/>
      <c r="AJ52" s="76">
        <f t="shared" si="9"/>
        <v>0</v>
      </c>
    </row>
    <row r="53" spans="2:36" ht="15.75" hidden="1" outlineLevel="1" thickTop="1" x14ac:dyDescent="0.25">
      <c r="B53" s="151"/>
      <c r="C53" s="54" t="s">
        <v>77</v>
      </c>
      <c r="D53" s="183"/>
      <c r="E53" s="198"/>
      <c r="F53" s="198"/>
      <c r="G53" s="183"/>
      <c r="H53" s="183"/>
      <c r="I53" s="183"/>
      <c r="J53" s="183"/>
      <c r="K53" s="183"/>
      <c r="L53" s="198"/>
      <c r="M53" s="198"/>
      <c r="N53" s="183"/>
      <c r="O53" s="183"/>
      <c r="P53" s="183"/>
      <c r="Q53" s="183"/>
      <c r="R53" s="183"/>
      <c r="S53" s="198"/>
      <c r="T53" s="198"/>
      <c r="U53" s="183"/>
      <c r="V53" s="183"/>
      <c r="W53" s="183"/>
      <c r="X53" s="183"/>
      <c r="Y53" s="183"/>
      <c r="Z53" s="198"/>
      <c r="AA53" s="198"/>
      <c r="AB53" s="183"/>
      <c r="AC53" s="183"/>
      <c r="AD53" s="183"/>
      <c r="AE53" s="183"/>
      <c r="AF53" s="183"/>
      <c r="AG53" s="198"/>
      <c r="AH53" s="198"/>
      <c r="AJ53" s="77">
        <f t="shared" si="9"/>
        <v>0</v>
      </c>
    </row>
    <row r="54" spans="2:36" ht="16.5" hidden="1" outlineLevel="1" thickTop="1" thickBot="1" x14ac:dyDescent="0.3">
      <c r="B54" s="151"/>
      <c r="C54" s="9" t="s">
        <v>3</v>
      </c>
      <c r="D54" s="184"/>
      <c r="E54" s="199"/>
      <c r="F54" s="199"/>
      <c r="G54" s="184"/>
      <c r="H54" s="184"/>
      <c r="I54" s="184"/>
      <c r="J54" s="184"/>
      <c r="K54" s="184"/>
      <c r="L54" s="199"/>
      <c r="M54" s="199"/>
      <c r="N54" s="184"/>
      <c r="O54" s="184"/>
      <c r="P54" s="184"/>
      <c r="Q54" s="184"/>
      <c r="R54" s="184"/>
      <c r="S54" s="199"/>
      <c r="T54" s="199"/>
      <c r="U54" s="184"/>
      <c r="V54" s="184"/>
      <c r="W54" s="184"/>
      <c r="X54" s="184"/>
      <c r="Y54" s="184"/>
      <c r="Z54" s="199"/>
      <c r="AA54" s="199"/>
      <c r="AB54" s="184"/>
      <c r="AC54" s="184"/>
      <c r="AD54" s="184"/>
      <c r="AE54" s="184"/>
      <c r="AF54" s="184"/>
      <c r="AG54" s="199"/>
      <c r="AH54" s="199"/>
      <c r="AI54" s="7"/>
      <c r="AJ54" s="73">
        <f t="shared" si="9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180">
        <v>0</v>
      </c>
      <c r="E55" s="198"/>
      <c r="F55" s="198"/>
      <c r="G55" s="180"/>
      <c r="H55" s="180"/>
      <c r="I55" s="180"/>
      <c r="J55" s="180"/>
      <c r="K55" s="180"/>
      <c r="L55" s="198"/>
      <c r="M55" s="198"/>
      <c r="N55" s="180"/>
      <c r="O55" s="180"/>
      <c r="P55" s="180"/>
      <c r="Q55" s="180"/>
      <c r="R55" s="180"/>
      <c r="S55" s="198"/>
      <c r="T55" s="198"/>
      <c r="U55" s="180"/>
      <c r="V55" s="180"/>
      <c r="W55" s="180"/>
      <c r="X55" s="180"/>
      <c r="Y55" s="180">
        <v>0</v>
      </c>
      <c r="Z55" s="198"/>
      <c r="AA55" s="198"/>
      <c r="AB55" s="180"/>
      <c r="AC55" s="180"/>
      <c r="AD55" s="180"/>
      <c r="AE55" s="180"/>
      <c r="AF55" s="180"/>
      <c r="AG55" s="198"/>
      <c r="AH55" s="198"/>
      <c r="AJ55" s="74">
        <f>SUM(D55:AH55)</f>
        <v>0</v>
      </c>
    </row>
    <row r="56" spans="2:36" ht="15.75" hidden="1" outlineLevel="1" thickTop="1" x14ac:dyDescent="0.25">
      <c r="B56" s="150"/>
      <c r="C56" s="1" t="s">
        <v>1</v>
      </c>
      <c r="D56" s="181"/>
      <c r="E56" s="198"/>
      <c r="F56" s="198"/>
      <c r="G56" s="181"/>
      <c r="H56" s="181"/>
      <c r="I56" s="181"/>
      <c r="J56" s="181"/>
      <c r="K56" s="181"/>
      <c r="L56" s="198"/>
      <c r="M56" s="198"/>
      <c r="N56" s="181"/>
      <c r="O56" s="181"/>
      <c r="P56" s="181"/>
      <c r="Q56" s="181"/>
      <c r="R56" s="181"/>
      <c r="S56" s="198"/>
      <c r="T56" s="198"/>
      <c r="U56" s="181"/>
      <c r="V56" s="181"/>
      <c r="W56" s="181"/>
      <c r="X56" s="181"/>
      <c r="Y56" s="181"/>
      <c r="Z56" s="198"/>
      <c r="AA56" s="198"/>
      <c r="AB56" s="181"/>
      <c r="AC56" s="181"/>
      <c r="AD56" s="181"/>
      <c r="AE56" s="181"/>
      <c r="AF56" s="181"/>
      <c r="AG56" s="198"/>
      <c r="AH56" s="198"/>
      <c r="AJ56" s="75">
        <f t="shared" ref="AJ56:AJ59" si="10">SUM(D56:AH56)</f>
        <v>0</v>
      </c>
    </row>
    <row r="57" spans="2:36" ht="15.75" hidden="1" outlineLevel="1" thickTop="1" x14ac:dyDescent="0.25">
      <c r="B57" s="151"/>
      <c r="C57" s="1" t="s">
        <v>2</v>
      </c>
      <c r="D57" s="182"/>
      <c r="E57" s="198"/>
      <c r="F57" s="198"/>
      <c r="G57" s="182"/>
      <c r="H57" s="182"/>
      <c r="I57" s="182"/>
      <c r="J57" s="182"/>
      <c r="K57" s="182"/>
      <c r="L57" s="198"/>
      <c r="M57" s="198"/>
      <c r="N57" s="182"/>
      <c r="O57" s="182"/>
      <c r="P57" s="182"/>
      <c r="Q57" s="182"/>
      <c r="R57" s="182"/>
      <c r="S57" s="198"/>
      <c r="T57" s="198"/>
      <c r="U57" s="182"/>
      <c r="V57" s="182"/>
      <c r="W57" s="182"/>
      <c r="X57" s="182"/>
      <c r="Y57" s="182"/>
      <c r="Z57" s="198"/>
      <c r="AA57" s="198"/>
      <c r="AB57" s="182"/>
      <c r="AC57" s="182"/>
      <c r="AD57" s="182"/>
      <c r="AE57" s="182"/>
      <c r="AF57" s="182"/>
      <c r="AG57" s="198"/>
      <c r="AH57" s="198"/>
      <c r="AJ57" s="76">
        <f t="shared" si="10"/>
        <v>0</v>
      </c>
    </row>
    <row r="58" spans="2:36" ht="15.75" hidden="1" outlineLevel="1" thickTop="1" x14ac:dyDescent="0.25">
      <c r="B58" s="151"/>
      <c r="C58" s="54" t="s">
        <v>77</v>
      </c>
      <c r="D58" s="183">
        <v>2</v>
      </c>
      <c r="E58" s="198"/>
      <c r="F58" s="198"/>
      <c r="G58" s="183"/>
      <c r="H58" s="183"/>
      <c r="I58" s="183"/>
      <c r="J58" s="183"/>
      <c r="K58" s="183"/>
      <c r="L58" s="198"/>
      <c r="M58" s="198"/>
      <c r="N58" s="183"/>
      <c r="O58" s="183"/>
      <c r="P58" s="183"/>
      <c r="Q58" s="183"/>
      <c r="R58" s="183"/>
      <c r="S58" s="198"/>
      <c r="T58" s="198"/>
      <c r="U58" s="183"/>
      <c r="V58" s="183"/>
      <c r="W58" s="183"/>
      <c r="X58" s="183"/>
      <c r="Y58" s="183"/>
      <c r="Z58" s="198"/>
      <c r="AA58" s="198"/>
      <c r="AB58" s="183"/>
      <c r="AC58" s="183"/>
      <c r="AD58" s="183"/>
      <c r="AE58" s="183"/>
      <c r="AF58" s="183"/>
      <c r="AG58" s="198"/>
      <c r="AH58" s="198"/>
      <c r="AJ58" s="77">
        <f t="shared" si="10"/>
        <v>2</v>
      </c>
    </row>
    <row r="59" spans="2:36" ht="16.5" hidden="1" outlineLevel="1" thickTop="1" thickBot="1" x14ac:dyDescent="0.3">
      <c r="B59" s="151"/>
      <c r="C59" s="9" t="s">
        <v>3</v>
      </c>
      <c r="D59" s="184"/>
      <c r="E59" s="199"/>
      <c r="F59" s="199"/>
      <c r="G59" s="184"/>
      <c r="H59" s="184"/>
      <c r="I59" s="184"/>
      <c r="J59" s="184"/>
      <c r="K59" s="184"/>
      <c r="L59" s="199"/>
      <c r="M59" s="199"/>
      <c r="N59" s="184"/>
      <c r="O59" s="184"/>
      <c r="P59" s="184"/>
      <c r="Q59" s="184"/>
      <c r="R59" s="184"/>
      <c r="S59" s="199"/>
      <c r="T59" s="199"/>
      <c r="U59" s="184"/>
      <c r="V59" s="184"/>
      <c r="W59" s="184"/>
      <c r="X59" s="184"/>
      <c r="Y59" s="184"/>
      <c r="Z59" s="199"/>
      <c r="AA59" s="199"/>
      <c r="AB59" s="184"/>
      <c r="AC59" s="184"/>
      <c r="AD59" s="184"/>
      <c r="AE59" s="184"/>
      <c r="AF59" s="184"/>
      <c r="AG59" s="199"/>
      <c r="AH59" s="199"/>
      <c r="AI59" s="7"/>
      <c r="AJ59" s="73">
        <f t="shared" si="10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180">
        <v>8</v>
      </c>
      <c r="E60" s="198"/>
      <c r="F60" s="198"/>
      <c r="G60" s="180">
        <v>8</v>
      </c>
      <c r="H60" s="180">
        <v>8</v>
      </c>
      <c r="I60" s="180"/>
      <c r="J60" s="180">
        <v>8</v>
      </c>
      <c r="K60" s="180">
        <v>8</v>
      </c>
      <c r="L60" s="198"/>
      <c r="M60" s="198"/>
      <c r="N60" s="180">
        <v>8</v>
      </c>
      <c r="O60" s="180">
        <v>8</v>
      </c>
      <c r="P60" s="180"/>
      <c r="Q60" s="180">
        <v>8</v>
      </c>
      <c r="R60" s="180">
        <v>8</v>
      </c>
      <c r="S60" s="198"/>
      <c r="T60" s="198"/>
      <c r="U60" s="180">
        <v>8</v>
      </c>
      <c r="V60" s="180">
        <v>8</v>
      </c>
      <c r="W60" s="180"/>
      <c r="X60" s="180">
        <v>8</v>
      </c>
      <c r="Y60" s="180">
        <v>8</v>
      </c>
      <c r="Z60" s="198"/>
      <c r="AA60" s="198"/>
      <c r="AB60" s="180">
        <v>8</v>
      </c>
      <c r="AC60" s="180">
        <v>8</v>
      </c>
      <c r="AD60" s="180"/>
      <c r="AE60" s="180">
        <v>8</v>
      </c>
      <c r="AF60" s="180">
        <v>8</v>
      </c>
      <c r="AG60" s="198"/>
      <c r="AH60" s="198"/>
      <c r="AJ60" s="74">
        <f>SUM(D60:AH60)</f>
        <v>136</v>
      </c>
    </row>
    <row r="61" spans="2:36" ht="15.75" hidden="1" outlineLevel="1" thickTop="1" x14ac:dyDescent="0.25">
      <c r="B61" s="150"/>
      <c r="C61" s="1" t="s">
        <v>1</v>
      </c>
      <c r="D61" s="181"/>
      <c r="E61" s="198"/>
      <c r="F61" s="198"/>
      <c r="G61" s="181"/>
      <c r="H61" s="181"/>
      <c r="I61" s="181"/>
      <c r="J61" s="181"/>
      <c r="K61" s="181"/>
      <c r="L61" s="198"/>
      <c r="M61" s="198"/>
      <c r="N61" s="181"/>
      <c r="O61" s="181"/>
      <c r="P61" s="181"/>
      <c r="Q61" s="181"/>
      <c r="R61" s="181"/>
      <c r="S61" s="198"/>
      <c r="T61" s="198"/>
      <c r="U61" s="181"/>
      <c r="V61" s="181"/>
      <c r="W61" s="181"/>
      <c r="X61" s="181"/>
      <c r="Y61" s="181"/>
      <c r="Z61" s="198"/>
      <c r="AA61" s="198"/>
      <c r="AB61" s="181"/>
      <c r="AC61" s="181"/>
      <c r="AD61" s="181"/>
      <c r="AE61" s="181"/>
      <c r="AF61" s="181"/>
      <c r="AG61" s="198"/>
      <c r="AH61" s="198"/>
      <c r="AJ61" s="75">
        <f t="shared" ref="AJ61:AJ64" si="11">SUM(D61:AH61)</f>
        <v>0</v>
      </c>
    </row>
    <row r="62" spans="2:36" ht="15.75" hidden="1" outlineLevel="1" thickTop="1" x14ac:dyDescent="0.25">
      <c r="B62" s="151"/>
      <c r="C62" s="1" t="s">
        <v>2</v>
      </c>
      <c r="D62" s="182"/>
      <c r="E62" s="198"/>
      <c r="F62" s="198"/>
      <c r="G62" s="182"/>
      <c r="H62" s="182"/>
      <c r="I62" s="182"/>
      <c r="J62" s="182"/>
      <c r="K62" s="182"/>
      <c r="L62" s="198"/>
      <c r="M62" s="198"/>
      <c r="N62" s="182"/>
      <c r="O62" s="182"/>
      <c r="P62" s="182"/>
      <c r="Q62" s="182"/>
      <c r="R62" s="182"/>
      <c r="S62" s="198"/>
      <c r="T62" s="198"/>
      <c r="U62" s="182"/>
      <c r="V62" s="182"/>
      <c r="W62" s="182"/>
      <c r="X62" s="182"/>
      <c r="Y62" s="182"/>
      <c r="Z62" s="198"/>
      <c r="AA62" s="198"/>
      <c r="AB62" s="182"/>
      <c r="AC62" s="182"/>
      <c r="AD62" s="182"/>
      <c r="AE62" s="182"/>
      <c r="AF62" s="182"/>
      <c r="AG62" s="198"/>
      <c r="AH62" s="198"/>
      <c r="AJ62" s="76">
        <f t="shared" si="11"/>
        <v>0</v>
      </c>
    </row>
    <row r="63" spans="2:36" ht="15.75" hidden="1" outlineLevel="1" thickTop="1" x14ac:dyDescent="0.25">
      <c r="B63" s="151"/>
      <c r="C63" s="54" t="s">
        <v>77</v>
      </c>
      <c r="D63" s="183"/>
      <c r="E63" s="198"/>
      <c r="F63" s="198"/>
      <c r="G63" s="183"/>
      <c r="H63" s="183"/>
      <c r="I63" s="183"/>
      <c r="J63" s="183"/>
      <c r="K63" s="183"/>
      <c r="L63" s="198"/>
      <c r="M63" s="198"/>
      <c r="N63" s="183"/>
      <c r="O63" s="183"/>
      <c r="P63" s="183"/>
      <c r="Q63" s="183"/>
      <c r="R63" s="183"/>
      <c r="S63" s="198"/>
      <c r="T63" s="198"/>
      <c r="U63" s="183"/>
      <c r="V63" s="183"/>
      <c r="W63" s="183"/>
      <c r="X63" s="183"/>
      <c r="Y63" s="183"/>
      <c r="Z63" s="198"/>
      <c r="AA63" s="198"/>
      <c r="AB63" s="183"/>
      <c r="AC63" s="183"/>
      <c r="AD63" s="183"/>
      <c r="AE63" s="183"/>
      <c r="AF63" s="183"/>
      <c r="AG63" s="198"/>
      <c r="AH63" s="198"/>
      <c r="AJ63" s="77">
        <f t="shared" si="11"/>
        <v>0</v>
      </c>
    </row>
    <row r="64" spans="2:36" ht="16.5" hidden="1" outlineLevel="1" thickTop="1" thickBot="1" x14ac:dyDescent="0.3">
      <c r="B64" s="151"/>
      <c r="C64" s="9" t="s">
        <v>3</v>
      </c>
      <c r="D64" s="184"/>
      <c r="E64" s="199"/>
      <c r="F64" s="199"/>
      <c r="G64" s="184"/>
      <c r="H64" s="184"/>
      <c r="I64" s="184"/>
      <c r="J64" s="184"/>
      <c r="K64" s="184"/>
      <c r="L64" s="199"/>
      <c r="M64" s="199"/>
      <c r="N64" s="184"/>
      <c r="O64" s="184"/>
      <c r="P64" s="184"/>
      <c r="Q64" s="184"/>
      <c r="R64" s="184"/>
      <c r="S64" s="199"/>
      <c r="T64" s="199"/>
      <c r="U64" s="184"/>
      <c r="V64" s="184"/>
      <c r="W64" s="184"/>
      <c r="X64" s="184"/>
      <c r="Y64" s="184"/>
      <c r="Z64" s="199"/>
      <c r="AA64" s="199"/>
      <c r="AB64" s="184"/>
      <c r="AC64" s="184"/>
      <c r="AD64" s="184"/>
      <c r="AE64" s="184"/>
      <c r="AF64" s="184"/>
      <c r="AG64" s="199"/>
      <c r="AH64" s="199"/>
      <c r="AI64" s="7"/>
      <c r="AJ64" s="73">
        <f t="shared" si="11"/>
        <v>0</v>
      </c>
    </row>
    <row r="65" spans="2:36" ht="16.5" hidden="1" collapsed="1" thickTop="1" thickBot="1" x14ac:dyDescent="0.3">
      <c r="B65" s="149" t="str">
        <f>'Hours Scheduled'!B16</f>
        <v>Jim van der Weijden</v>
      </c>
      <c r="C65" t="s">
        <v>0</v>
      </c>
      <c r="D65" s="180"/>
      <c r="E65" s="198"/>
      <c r="F65" s="198"/>
      <c r="G65" s="180"/>
      <c r="H65" s="180"/>
      <c r="I65" s="180"/>
      <c r="J65" s="180"/>
      <c r="K65" s="180"/>
      <c r="L65" s="198"/>
      <c r="M65" s="198"/>
      <c r="N65" s="180"/>
      <c r="O65" s="180"/>
      <c r="P65" s="180"/>
      <c r="Q65" s="180"/>
      <c r="R65" s="180"/>
      <c r="S65" s="198"/>
      <c r="T65" s="198"/>
      <c r="U65" s="180"/>
      <c r="V65" s="180"/>
      <c r="W65" s="180"/>
      <c r="X65" s="180"/>
      <c r="Y65" s="180"/>
      <c r="Z65" s="198"/>
      <c r="AA65" s="198"/>
      <c r="AB65" s="180"/>
      <c r="AC65" s="180"/>
      <c r="AD65" s="180"/>
      <c r="AE65" s="180"/>
      <c r="AF65" s="180"/>
      <c r="AG65" s="198"/>
      <c r="AH65" s="198"/>
      <c r="AJ65" s="74">
        <f>SUM(D65:AH65)</f>
        <v>0</v>
      </c>
    </row>
    <row r="66" spans="2:36" ht="15.75" hidden="1" outlineLevel="1" thickTop="1" x14ac:dyDescent="0.25">
      <c r="B66" s="150"/>
      <c r="C66" s="1" t="s">
        <v>1</v>
      </c>
      <c r="D66" s="181"/>
      <c r="E66" s="198"/>
      <c r="F66" s="198"/>
      <c r="G66" s="181"/>
      <c r="H66" s="181"/>
      <c r="I66" s="181"/>
      <c r="J66" s="181"/>
      <c r="K66" s="181"/>
      <c r="L66" s="198"/>
      <c r="M66" s="198"/>
      <c r="N66" s="181"/>
      <c r="O66" s="181"/>
      <c r="P66" s="181"/>
      <c r="Q66" s="181"/>
      <c r="R66" s="181"/>
      <c r="S66" s="198"/>
      <c r="T66" s="198"/>
      <c r="U66" s="181"/>
      <c r="V66" s="181"/>
      <c r="W66" s="181"/>
      <c r="X66" s="181"/>
      <c r="Y66" s="181"/>
      <c r="Z66" s="198"/>
      <c r="AA66" s="198"/>
      <c r="AB66" s="181"/>
      <c r="AC66" s="181"/>
      <c r="AD66" s="181"/>
      <c r="AE66" s="181"/>
      <c r="AF66" s="181"/>
      <c r="AG66" s="198"/>
      <c r="AH66" s="198"/>
      <c r="AJ66" s="75">
        <f t="shared" ref="AJ66:AJ69" si="12">SUM(D66:AH66)</f>
        <v>0</v>
      </c>
    </row>
    <row r="67" spans="2:36" ht="15.75" hidden="1" outlineLevel="1" thickTop="1" x14ac:dyDescent="0.25">
      <c r="B67" s="151"/>
      <c r="C67" s="1" t="s">
        <v>2</v>
      </c>
      <c r="D67" s="182"/>
      <c r="E67" s="198"/>
      <c r="F67" s="198"/>
      <c r="G67" s="182"/>
      <c r="H67" s="182"/>
      <c r="I67" s="182"/>
      <c r="J67" s="182"/>
      <c r="K67" s="182"/>
      <c r="L67" s="198"/>
      <c r="M67" s="198"/>
      <c r="N67" s="182"/>
      <c r="O67" s="182"/>
      <c r="P67" s="182"/>
      <c r="Q67" s="182"/>
      <c r="R67" s="182"/>
      <c r="S67" s="198"/>
      <c r="T67" s="198"/>
      <c r="U67" s="182"/>
      <c r="V67" s="182"/>
      <c r="W67" s="182"/>
      <c r="X67" s="182"/>
      <c r="Y67" s="182"/>
      <c r="Z67" s="198"/>
      <c r="AA67" s="198"/>
      <c r="AB67" s="182"/>
      <c r="AC67" s="182"/>
      <c r="AD67" s="182"/>
      <c r="AE67" s="182"/>
      <c r="AF67" s="182"/>
      <c r="AG67" s="198"/>
      <c r="AH67" s="198"/>
      <c r="AJ67" s="76">
        <f t="shared" si="12"/>
        <v>0</v>
      </c>
    </row>
    <row r="68" spans="2:36" ht="15.75" hidden="1" outlineLevel="1" thickTop="1" x14ac:dyDescent="0.25">
      <c r="B68" s="151"/>
      <c r="C68" s="54" t="s">
        <v>77</v>
      </c>
      <c r="D68" s="183"/>
      <c r="E68" s="198"/>
      <c r="F68" s="198"/>
      <c r="G68" s="183"/>
      <c r="H68" s="183"/>
      <c r="I68" s="183"/>
      <c r="J68" s="183"/>
      <c r="K68" s="183"/>
      <c r="L68" s="198"/>
      <c r="M68" s="198"/>
      <c r="N68" s="183"/>
      <c r="O68" s="183"/>
      <c r="P68" s="183"/>
      <c r="Q68" s="183"/>
      <c r="R68" s="183"/>
      <c r="S68" s="198"/>
      <c r="T68" s="198"/>
      <c r="U68" s="183"/>
      <c r="V68" s="183"/>
      <c r="W68" s="183"/>
      <c r="X68" s="183"/>
      <c r="Y68" s="183"/>
      <c r="Z68" s="198"/>
      <c r="AA68" s="198"/>
      <c r="AB68" s="183"/>
      <c r="AC68" s="183"/>
      <c r="AD68" s="183"/>
      <c r="AE68" s="183"/>
      <c r="AF68" s="183"/>
      <c r="AG68" s="198"/>
      <c r="AH68" s="198"/>
      <c r="AJ68" s="77">
        <f t="shared" si="12"/>
        <v>0</v>
      </c>
    </row>
    <row r="69" spans="2:36" ht="16.5" hidden="1" outlineLevel="1" thickTop="1" thickBot="1" x14ac:dyDescent="0.3">
      <c r="B69" s="151"/>
      <c r="C69" s="9" t="s">
        <v>3</v>
      </c>
      <c r="D69" s="184"/>
      <c r="E69" s="199"/>
      <c r="F69" s="199"/>
      <c r="G69" s="184"/>
      <c r="H69" s="184"/>
      <c r="I69" s="184"/>
      <c r="J69" s="184"/>
      <c r="K69" s="184"/>
      <c r="L69" s="199"/>
      <c r="M69" s="199"/>
      <c r="N69" s="184"/>
      <c r="O69" s="184"/>
      <c r="P69" s="184"/>
      <c r="Q69" s="184"/>
      <c r="R69" s="184"/>
      <c r="S69" s="199"/>
      <c r="T69" s="199"/>
      <c r="U69" s="184"/>
      <c r="V69" s="184"/>
      <c r="W69" s="184"/>
      <c r="X69" s="184"/>
      <c r="Y69" s="184"/>
      <c r="Z69" s="199"/>
      <c r="AA69" s="199"/>
      <c r="AB69" s="184"/>
      <c r="AC69" s="184"/>
      <c r="AD69" s="184"/>
      <c r="AE69" s="184"/>
      <c r="AF69" s="184"/>
      <c r="AG69" s="199"/>
      <c r="AH69" s="199"/>
      <c r="AI69" s="7"/>
      <c r="AJ69" s="73">
        <f t="shared" si="1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180"/>
      <c r="E70" s="198"/>
      <c r="F70" s="198"/>
      <c r="G70" s="180">
        <v>8</v>
      </c>
      <c r="H70" s="180">
        <v>8</v>
      </c>
      <c r="I70" s="180">
        <v>8</v>
      </c>
      <c r="J70" s="180">
        <v>8</v>
      </c>
      <c r="K70" s="180">
        <v>8</v>
      </c>
      <c r="L70" s="198"/>
      <c r="M70" s="198"/>
      <c r="N70" s="180">
        <v>8</v>
      </c>
      <c r="O70" s="180">
        <v>8</v>
      </c>
      <c r="P70" s="180">
        <v>8</v>
      </c>
      <c r="Q70" s="180">
        <v>8</v>
      </c>
      <c r="R70" s="180">
        <v>8</v>
      </c>
      <c r="S70" s="198"/>
      <c r="T70" s="198"/>
      <c r="U70" s="180">
        <v>8</v>
      </c>
      <c r="V70" s="180">
        <v>8</v>
      </c>
      <c r="W70" s="180">
        <v>8</v>
      </c>
      <c r="X70" s="180">
        <v>8</v>
      </c>
      <c r="Y70" s="180">
        <v>8</v>
      </c>
      <c r="Z70" s="198"/>
      <c r="AA70" s="198"/>
      <c r="AB70" s="180">
        <v>8</v>
      </c>
      <c r="AC70" s="180">
        <v>8</v>
      </c>
      <c r="AD70" s="180">
        <v>8</v>
      </c>
      <c r="AE70" s="180">
        <v>8</v>
      </c>
      <c r="AF70" s="180">
        <v>8</v>
      </c>
      <c r="AG70" s="198"/>
      <c r="AH70" s="198"/>
      <c r="AJ70" s="74">
        <f>SUM(D70:AH70)</f>
        <v>160</v>
      </c>
    </row>
    <row r="71" spans="2:36" ht="15.75" hidden="1" outlineLevel="1" thickTop="1" x14ac:dyDescent="0.25">
      <c r="B71" s="150"/>
      <c r="C71" s="1" t="s">
        <v>1</v>
      </c>
      <c r="D71" s="181"/>
      <c r="E71" s="198"/>
      <c r="F71" s="198"/>
      <c r="G71" s="181"/>
      <c r="H71" s="181"/>
      <c r="I71" s="181"/>
      <c r="J71" s="181"/>
      <c r="K71" s="181"/>
      <c r="L71" s="198"/>
      <c r="M71" s="198"/>
      <c r="N71" s="181"/>
      <c r="O71" s="181"/>
      <c r="P71" s="181"/>
      <c r="Q71" s="181"/>
      <c r="R71" s="181"/>
      <c r="S71" s="198"/>
      <c r="T71" s="198"/>
      <c r="U71" s="181"/>
      <c r="V71" s="181"/>
      <c r="W71" s="181"/>
      <c r="X71" s="181"/>
      <c r="Y71" s="181"/>
      <c r="Z71" s="198"/>
      <c r="AA71" s="198"/>
      <c r="AB71" s="181"/>
      <c r="AC71" s="181"/>
      <c r="AD71" s="181"/>
      <c r="AE71" s="181"/>
      <c r="AF71" s="181"/>
      <c r="AG71" s="198"/>
      <c r="AH71" s="198"/>
      <c r="AJ71" s="75">
        <f t="shared" ref="AJ71:AJ74" si="13">SUM(D71:AH71)</f>
        <v>0</v>
      </c>
    </row>
    <row r="72" spans="2:36" ht="15.75" hidden="1" outlineLevel="1" thickTop="1" x14ac:dyDescent="0.25">
      <c r="B72" s="151"/>
      <c r="C72" s="1" t="s">
        <v>2</v>
      </c>
      <c r="D72" s="182"/>
      <c r="E72" s="198"/>
      <c r="F72" s="198"/>
      <c r="G72" s="182"/>
      <c r="H72" s="182"/>
      <c r="I72" s="182"/>
      <c r="J72" s="182"/>
      <c r="K72" s="182"/>
      <c r="L72" s="198"/>
      <c r="M72" s="198"/>
      <c r="N72" s="182"/>
      <c r="O72" s="182"/>
      <c r="P72" s="182"/>
      <c r="Q72" s="182"/>
      <c r="R72" s="182"/>
      <c r="S72" s="198"/>
      <c r="T72" s="198"/>
      <c r="U72" s="182"/>
      <c r="V72" s="182"/>
      <c r="W72" s="182"/>
      <c r="X72" s="182"/>
      <c r="Y72" s="182"/>
      <c r="Z72" s="198"/>
      <c r="AA72" s="198"/>
      <c r="AB72" s="182"/>
      <c r="AC72" s="182"/>
      <c r="AD72" s="182"/>
      <c r="AE72" s="182"/>
      <c r="AF72" s="182"/>
      <c r="AG72" s="198"/>
      <c r="AH72" s="198"/>
      <c r="AJ72" s="76">
        <f t="shared" si="13"/>
        <v>0</v>
      </c>
    </row>
    <row r="73" spans="2:36" ht="15.75" hidden="1" outlineLevel="1" thickTop="1" x14ac:dyDescent="0.25">
      <c r="B73" s="151"/>
      <c r="C73" s="54" t="s">
        <v>77</v>
      </c>
      <c r="D73" s="183"/>
      <c r="E73" s="198"/>
      <c r="F73" s="198"/>
      <c r="G73" s="183"/>
      <c r="H73" s="183"/>
      <c r="I73" s="183"/>
      <c r="J73" s="183"/>
      <c r="K73" s="183"/>
      <c r="L73" s="198"/>
      <c r="M73" s="198"/>
      <c r="N73" s="183"/>
      <c r="O73" s="183"/>
      <c r="P73" s="183"/>
      <c r="Q73" s="183"/>
      <c r="R73" s="183"/>
      <c r="S73" s="198"/>
      <c r="T73" s="198"/>
      <c r="U73" s="183"/>
      <c r="V73" s="183"/>
      <c r="W73" s="183"/>
      <c r="X73" s="183"/>
      <c r="Y73" s="183"/>
      <c r="Z73" s="198"/>
      <c r="AA73" s="198"/>
      <c r="AB73" s="183"/>
      <c r="AC73" s="183"/>
      <c r="AD73" s="183"/>
      <c r="AE73" s="183"/>
      <c r="AF73" s="183"/>
      <c r="AG73" s="198"/>
      <c r="AH73" s="198"/>
      <c r="AJ73" s="77">
        <f t="shared" si="13"/>
        <v>0</v>
      </c>
    </row>
    <row r="74" spans="2:36" ht="16.5" hidden="1" outlineLevel="1" thickTop="1" thickBot="1" x14ac:dyDescent="0.3">
      <c r="B74" s="151"/>
      <c r="C74" s="9" t="s">
        <v>3</v>
      </c>
      <c r="D74" s="184"/>
      <c r="E74" s="199"/>
      <c r="F74" s="199"/>
      <c r="G74" s="184"/>
      <c r="H74" s="184"/>
      <c r="I74" s="184"/>
      <c r="J74" s="184"/>
      <c r="K74" s="184"/>
      <c r="L74" s="199"/>
      <c r="M74" s="199"/>
      <c r="N74" s="184"/>
      <c r="O74" s="184"/>
      <c r="P74" s="184"/>
      <c r="Q74" s="184"/>
      <c r="R74" s="184"/>
      <c r="S74" s="199"/>
      <c r="T74" s="199"/>
      <c r="U74" s="184"/>
      <c r="V74" s="184"/>
      <c r="W74" s="184"/>
      <c r="X74" s="184"/>
      <c r="Y74" s="184"/>
      <c r="Z74" s="199"/>
      <c r="AA74" s="199"/>
      <c r="AB74" s="184"/>
      <c r="AC74" s="184"/>
      <c r="AD74" s="184"/>
      <c r="AE74" s="184"/>
      <c r="AF74" s="184"/>
      <c r="AG74" s="199"/>
      <c r="AH74" s="199"/>
      <c r="AI74" s="7"/>
      <c r="AJ74" s="73">
        <f t="shared" si="13"/>
        <v>0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180"/>
      <c r="E75" s="198"/>
      <c r="F75" s="198"/>
      <c r="G75" s="180"/>
      <c r="H75" s="180"/>
      <c r="I75" s="180"/>
      <c r="J75" s="180"/>
      <c r="K75" s="180"/>
      <c r="L75" s="198"/>
      <c r="M75" s="198"/>
      <c r="N75" s="180"/>
      <c r="O75" s="180"/>
      <c r="P75" s="180"/>
      <c r="Q75" s="180"/>
      <c r="R75" s="180"/>
      <c r="S75" s="198"/>
      <c r="T75" s="198"/>
      <c r="U75" s="180"/>
      <c r="V75" s="180"/>
      <c r="W75" s="180"/>
      <c r="X75" s="180"/>
      <c r="Y75" s="180"/>
      <c r="Z75" s="198"/>
      <c r="AA75" s="198"/>
      <c r="AB75" s="180"/>
      <c r="AC75" s="180"/>
      <c r="AD75" s="180"/>
      <c r="AE75" s="180"/>
      <c r="AF75" s="180"/>
      <c r="AG75" s="198"/>
      <c r="AH75" s="198"/>
      <c r="AJ75" s="74">
        <f>SUM(D75:AG75)</f>
        <v>0</v>
      </c>
    </row>
    <row r="76" spans="2:36" ht="15.75" hidden="1" outlineLevel="1" thickTop="1" x14ac:dyDescent="0.25">
      <c r="B76" s="150"/>
      <c r="C76" s="1" t="s">
        <v>1</v>
      </c>
      <c r="D76" s="181"/>
      <c r="E76" s="198"/>
      <c r="F76" s="198"/>
      <c r="G76" s="181"/>
      <c r="H76" s="181"/>
      <c r="I76" s="181"/>
      <c r="J76" s="181"/>
      <c r="K76" s="181"/>
      <c r="L76" s="198"/>
      <c r="M76" s="198"/>
      <c r="N76" s="181"/>
      <c r="O76" s="181"/>
      <c r="P76" s="181"/>
      <c r="Q76" s="181"/>
      <c r="R76" s="181"/>
      <c r="S76" s="198"/>
      <c r="T76" s="198"/>
      <c r="U76" s="181"/>
      <c r="V76" s="181"/>
      <c r="W76" s="181"/>
      <c r="X76" s="181"/>
      <c r="Y76" s="181"/>
      <c r="Z76" s="198"/>
      <c r="AA76" s="198"/>
      <c r="AB76" s="181"/>
      <c r="AC76" s="181"/>
      <c r="AD76" s="181"/>
      <c r="AE76" s="181"/>
      <c r="AF76" s="181"/>
      <c r="AG76" s="198"/>
      <c r="AH76" s="198"/>
      <c r="AJ76" s="75">
        <f t="shared" ref="AJ76:AJ79" si="14">SUM(D76:AH76)</f>
        <v>0</v>
      </c>
    </row>
    <row r="77" spans="2:36" ht="15.75" hidden="1" outlineLevel="1" thickTop="1" x14ac:dyDescent="0.25">
      <c r="B77" s="151"/>
      <c r="C77" s="1" t="s">
        <v>2</v>
      </c>
      <c r="D77" s="182"/>
      <c r="E77" s="198"/>
      <c r="F77" s="198"/>
      <c r="G77" s="182"/>
      <c r="H77" s="182"/>
      <c r="I77" s="182"/>
      <c r="J77" s="182"/>
      <c r="K77" s="182"/>
      <c r="L77" s="198"/>
      <c r="M77" s="198"/>
      <c r="N77" s="182"/>
      <c r="O77" s="182"/>
      <c r="P77" s="182"/>
      <c r="Q77" s="182"/>
      <c r="R77" s="182"/>
      <c r="S77" s="198"/>
      <c r="T77" s="198"/>
      <c r="U77" s="182"/>
      <c r="V77" s="182"/>
      <c r="W77" s="182"/>
      <c r="X77" s="182"/>
      <c r="Y77" s="182"/>
      <c r="Z77" s="198"/>
      <c r="AA77" s="198"/>
      <c r="AB77" s="182"/>
      <c r="AC77" s="182"/>
      <c r="AD77" s="182"/>
      <c r="AE77" s="182"/>
      <c r="AF77" s="182"/>
      <c r="AG77" s="198"/>
      <c r="AH77" s="198"/>
      <c r="AJ77" s="76">
        <f t="shared" si="14"/>
        <v>0</v>
      </c>
    </row>
    <row r="78" spans="2:36" ht="15.75" hidden="1" outlineLevel="1" thickTop="1" x14ac:dyDescent="0.25">
      <c r="B78" s="151"/>
      <c r="C78" s="54" t="s">
        <v>77</v>
      </c>
      <c r="D78" s="183"/>
      <c r="E78" s="198"/>
      <c r="F78" s="198"/>
      <c r="G78" s="183"/>
      <c r="H78" s="183"/>
      <c r="I78" s="183"/>
      <c r="J78" s="183"/>
      <c r="K78" s="183"/>
      <c r="L78" s="198"/>
      <c r="M78" s="198"/>
      <c r="N78" s="183"/>
      <c r="O78" s="183"/>
      <c r="P78" s="183"/>
      <c r="Q78" s="183"/>
      <c r="R78" s="183"/>
      <c r="S78" s="198"/>
      <c r="T78" s="198"/>
      <c r="U78" s="183"/>
      <c r="V78" s="183"/>
      <c r="W78" s="183"/>
      <c r="X78" s="183"/>
      <c r="Y78" s="183"/>
      <c r="Z78" s="198"/>
      <c r="AA78" s="198"/>
      <c r="AB78" s="183"/>
      <c r="AC78" s="183"/>
      <c r="AD78" s="183"/>
      <c r="AE78" s="183"/>
      <c r="AF78" s="183"/>
      <c r="AG78" s="198"/>
      <c r="AH78" s="198"/>
      <c r="AJ78" s="77">
        <f t="shared" si="14"/>
        <v>0</v>
      </c>
    </row>
    <row r="79" spans="2:36" ht="16.5" hidden="1" outlineLevel="1" thickTop="1" thickBot="1" x14ac:dyDescent="0.3">
      <c r="B79" s="151"/>
      <c r="C79" s="9" t="s">
        <v>3</v>
      </c>
      <c r="D79" s="184"/>
      <c r="E79" s="199"/>
      <c r="F79" s="199"/>
      <c r="G79" s="184"/>
      <c r="H79" s="184"/>
      <c r="I79" s="184"/>
      <c r="J79" s="184"/>
      <c r="K79" s="184"/>
      <c r="L79" s="199"/>
      <c r="M79" s="199"/>
      <c r="N79" s="184"/>
      <c r="O79" s="184"/>
      <c r="P79" s="184"/>
      <c r="Q79" s="184"/>
      <c r="R79" s="184"/>
      <c r="S79" s="199"/>
      <c r="T79" s="199"/>
      <c r="U79" s="184"/>
      <c r="V79" s="184"/>
      <c r="W79" s="184"/>
      <c r="X79" s="184"/>
      <c r="Y79" s="184"/>
      <c r="Z79" s="199"/>
      <c r="AA79" s="199"/>
      <c r="AB79" s="184"/>
      <c r="AC79" s="184"/>
      <c r="AD79" s="184"/>
      <c r="AE79" s="184"/>
      <c r="AF79" s="184"/>
      <c r="AG79" s="199"/>
      <c r="AH79" s="199"/>
      <c r="AI79" s="7"/>
      <c r="AJ79" s="73">
        <f t="shared" si="14"/>
        <v>0</v>
      </c>
    </row>
    <row r="80" spans="2:36" ht="16.5" hidden="1" collapsed="1" thickTop="1" thickBot="1" x14ac:dyDescent="0.3">
      <c r="B80" s="149" t="str">
        <f>'Hours Scheduled'!B19</f>
        <v>Loek Moling</v>
      </c>
      <c r="C80" t="s">
        <v>0</v>
      </c>
      <c r="D80" s="249">
        <v>0</v>
      </c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J80" s="74">
        <f>SUM(D80:AH80)</f>
        <v>0</v>
      </c>
    </row>
    <row r="81" spans="2:36" ht="15.75" hidden="1" outlineLevel="1" thickTop="1" x14ac:dyDescent="0.25">
      <c r="B81" s="150"/>
      <c r="C81" s="1" t="s">
        <v>1</v>
      </c>
      <c r="D81" s="181"/>
      <c r="E81" s="198"/>
      <c r="F81" s="198"/>
      <c r="G81" s="181"/>
      <c r="H81" s="181"/>
      <c r="I81" s="181"/>
      <c r="J81" s="181"/>
      <c r="K81" s="181"/>
      <c r="L81" s="198"/>
      <c r="M81" s="198"/>
      <c r="N81" s="181"/>
      <c r="O81" s="181"/>
      <c r="P81" s="181"/>
      <c r="Q81" s="181"/>
      <c r="R81" s="181"/>
      <c r="S81" s="198"/>
      <c r="T81" s="198"/>
      <c r="U81" s="181"/>
      <c r="V81" s="181"/>
      <c r="W81" s="181"/>
      <c r="X81" s="181"/>
      <c r="Y81" s="181"/>
      <c r="Z81" s="198"/>
      <c r="AA81" s="198"/>
      <c r="AB81" s="181"/>
      <c r="AC81" s="181"/>
      <c r="AD81" s="181"/>
      <c r="AE81" s="181"/>
      <c r="AF81" s="181"/>
      <c r="AG81" s="198"/>
      <c r="AH81" s="198"/>
      <c r="AJ81" s="75">
        <f t="shared" ref="AJ81:AJ84" si="15">SUM(D81:AH81)</f>
        <v>0</v>
      </c>
    </row>
    <row r="82" spans="2:36" ht="15.75" hidden="1" outlineLevel="1" thickTop="1" x14ac:dyDescent="0.25">
      <c r="B82" s="151"/>
      <c r="C82" s="1" t="s">
        <v>2</v>
      </c>
      <c r="D82" s="182"/>
      <c r="E82" s="198"/>
      <c r="F82" s="198"/>
      <c r="G82" s="182"/>
      <c r="H82" s="182"/>
      <c r="I82" s="182"/>
      <c r="J82" s="182"/>
      <c r="K82" s="182"/>
      <c r="L82" s="198"/>
      <c r="M82" s="198"/>
      <c r="N82" s="182"/>
      <c r="O82" s="182"/>
      <c r="P82" s="182"/>
      <c r="Q82" s="182"/>
      <c r="R82" s="182"/>
      <c r="S82" s="198"/>
      <c r="T82" s="198"/>
      <c r="U82" s="182"/>
      <c r="V82" s="182"/>
      <c r="W82" s="182"/>
      <c r="X82" s="182"/>
      <c r="Y82" s="182"/>
      <c r="Z82" s="198"/>
      <c r="AA82" s="198"/>
      <c r="AB82" s="182"/>
      <c r="AC82" s="182"/>
      <c r="AD82" s="182"/>
      <c r="AE82" s="182"/>
      <c r="AF82" s="182"/>
      <c r="AG82" s="198"/>
      <c r="AH82" s="198"/>
      <c r="AJ82" s="76">
        <f t="shared" si="15"/>
        <v>0</v>
      </c>
    </row>
    <row r="83" spans="2:36" ht="15.75" hidden="1" outlineLevel="1" thickTop="1" x14ac:dyDescent="0.25">
      <c r="B83" s="151"/>
      <c r="C83" s="54" t="s">
        <v>77</v>
      </c>
      <c r="D83" s="183"/>
      <c r="E83" s="198"/>
      <c r="F83" s="198"/>
      <c r="G83" s="183"/>
      <c r="H83" s="183"/>
      <c r="I83" s="183"/>
      <c r="J83" s="183"/>
      <c r="K83" s="183"/>
      <c r="L83" s="198"/>
      <c r="M83" s="198"/>
      <c r="N83" s="183"/>
      <c r="O83" s="183"/>
      <c r="P83" s="183"/>
      <c r="Q83" s="183"/>
      <c r="R83" s="183"/>
      <c r="S83" s="198"/>
      <c r="T83" s="198"/>
      <c r="U83" s="183"/>
      <c r="V83" s="183"/>
      <c r="W83" s="183"/>
      <c r="X83" s="183"/>
      <c r="Y83" s="183"/>
      <c r="Z83" s="198"/>
      <c r="AA83" s="198"/>
      <c r="AB83" s="183"/>
      <c r="AC83" s="183"/>
      <c r="AD83" s="183"/>
      <c r="AE83" s="183"/>
      <c r="AF83" s="183"/>
      <c r="AG83" s="198"/>
      <c r="AH83" s="198"/>
      <c r="AJ83" s="77">
        <f t="shared" si="15"/>
        <v>0</v>
      </c>
    </row>
    <row r="84" spans="2:36" ht="16.5" hidden="1" outlineLevel="1" thickTop="1" thickBot="1" x14ac:dyDescent="0.3">
      <c r="B84" s="151"/>
      <c r="C84" s="9" t="s">
        <v>3</v>
      </c>
      <c r="D84" s="184"/>
      <c r="E84" s="199"/>
      <c r="F84" s="199"/>
      <c r="G84" s="184"/>
      <c r="H84" s="184"/>
      <c r="I84" s="184"/>
      <c r="J84" s="184"/>
      <c r="K84" s="184"/>
      <c r="L84" s="199"/>
      <c r="M84" s="199"/>
      <c r="N84" s="184"/>
      <c r="O84" s="184"/>
      <c r="P84" s="184"/>
      <c r="Q84" s="184"/>
      <c r="R84" s="184"/>
      <c r="S84" s="199"/>
      <c r="T84" s="199"/>
      <c r="U84" s="184"/>
      <c r="V84" s="184"/>
      <c r="W84" s="184"/>
      <c r="X84" s="184"/>
      <c r="Y84" s="184"/>
      <c r="Z84" s="199"/>
      <c r="AA84" s="199"/>
      <c r="AB84" s="184"/>
      <c r="AC84" s="184"/>
      <c r="AD84" s="184"/>
      <c r="AE84" s="184"/>
      <c r="AF84" s="184"/>
      <c r="AG84" s="199"/>
      <c r="AH84" s="199"/>
      <c r="AI84" s="7"/>
      <c r="AJ84" s="73">
        <f t="shared" si="15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180"/>
      <c r="E85" s="198"/>
      <c r="F85" s="198"/>
      <c r="G85" s="180">
        <v>0</v>
      </c>
      <c r="H85" s="180">
        <v>0</v>
      </c>
      <c r="I85" s="180">
        <v>0</v>
      </c>
      <c r="J85" s="180"/>
      <c r="K85" s="180"/>
      <c r="L85" s="198"/>
      <c r="M85" s="198"/>
      <c r="N85" s="180"/>
      <c r="O85" s="180">
        <v>0</v>
      </c>
      <c r="P85" s="180"/>
      <c r="Q85" s="180"/>
      <c r="R85" s="180"/>
      <c r="S85" s="198"/>
      <c r="T85" s="198"/>
      <c r="U85" s="180"/>
      <c r="V85" s="180"/>
      <c r="W85" s="180"/>
      <c r="X85" s="180"/>
      <c r="Y85" s="180"/>
      <c r="Z85" s="198"/>
      <c r="AA85" s="198"/>
      <c r="AB85" s="180"/>
      <c r="AC85" s="180"/>
      <c r="AD85" s="180"/>
      <c r="AE85" s="180"/>
      <c r="AF85" s="180"/>
      <c r="AG85" s="198"/>
      <c r="AH85" s="198"/>
      <c r="AJ85" s="74">
        <f>SUM(D85:AH85)</f>
        <v>0</v>
      </c>
    </row>
    <row r="86" spans="2:36" ht="15.75" hidden="1" outlineLevel="1" thickTop="1" x14ac:dyDescent="0.25">
      <c r="B86" s="150"/>
      <c r="C86" s="1" t="s">
        <v>1</v>
      </c>
      <c r="D86" s="181"/>
      <c r="E86" s="198"/>
      <c r="F86" s="198"/>
      <c r="G86" s="181">
        <v>8</v>
      </c>
      <c r="H86" s="181"/>
      <c r="I86" s="181">
        <v>8</v>
      </c>
      <c r="J86" s="181">
        <v>8</v>
      </c>
      <c r="K86" s="181"/>
      <c r="L86" s="198"/>
      <c r="M86" s="198"/>
      <c r="N86" s="181"/>
      <c r="O86" s="181"/>
      <c r="P86" s="181"/>
      <c r="Q86" s="181"/>
      <c r="R86" s="181"/>
      <c r="S86" s="198"/>
      <c r="T86" s="198"/>
      <c r="U86" s="181"/>
      <c r="V86" s="181"/>
      <c r="W86" s="181"/>
      <c r="X86" s="181"/>
      <c r="Y86" s="181"/>
      <c r="Z86" s="198"/>
      <c r="AA86" s="198"/>
      <c r="AB86" s="181"/>
      <c r="AC86" s="181"/>
      <c r="AD86" s="181"/>
      <c r="AE86" s="181"/>
      <c r="AF86" s="181"/>
      <c r="AG86" s="198"/>
      <c r="AH86" s="198"/>
      <c r="AJ86" s="75">
        <f t="shared" ref="AJ86:AJ89" si="16">SUM(D86:AH86)</f>
        <v>24</v>
      </c>
    </row>
    <row r="87" spans="2:36" ht="15.75" hidden="1" outlineLevel="1" thickTop="1" x14ac:dyDescent="0.25">
      <c r="B87" s="151"/>
      <c r="C87" s="1" t="s">
        <v>2</v>
      </c>
      <c r="D87" s="182"/>
      <c r="E87" s="198"/>
      <c r="F87" s="198"/>
      <c r="G87" s="182"/>
      <c r="H87" s="182"/>
      <c r="I87" s="182"/>
      <c r="J87" s="182"/>
      <c r="K87" s="182"/>
      <c r="L87" s="198"/>
      <c r="M87" s="198"/>
      <c r="N87" s="182"/>
      <c r="O87" s="182"/>
      <c r="P87" s="182"/>
      <c r="Q87" s="182"/>
      <c r="R87" s="182"/>
      <c r="S87" s="198"/>
      <c r="T87" s="198"/>
      <c r="U87" s="182"/>
      <c r="V87" s="182"/>
      <c r="W87" s="182"/>
      <c r="X87" s="182"/>
      <c r="Y87" s="182"/>
      <c r="Z87" s="198"/>
      <c r="AA87" s="198"/>
      <c r="AB87" s="182"/>
      <c r="AC87" s="182"/>
      <c r="AD87" s="182"/>
      <c r="AE87" s="182"/>
      <c r="AF87" s="182"/>
      <c r="AG87" s="198"/>
      <c r="AH87" s="198"/>
      <c r="AJ87" s="76">
        <f t="shared" si="16"/>
        <v>0</v>
      </c>
    </row>
    <row r="88" spans="2:36" ht="15.75" hidden="1" outlineLevel="1" thickTop="1" x14ac:dyDescent="0.25">
      <c r="B88" s="151"/>
      <c r="C88" s="54" t="s">
        <v>77</v>
      </c>
      <c r="D88" s="183"/>
      <c r="E88" s="198"/>
      <c r="F88" s="198"/>
      <c r="G88" s="183"/>
      <c r="H88" s="183"/>
      <c r="I88" s="183"/>
      <c r="J88" s="183"/>
      <c r="K88" s="183"/>
      <c r="L88" s="198"/>
      <c r="M88" s="198"/>
      <c r="N88" s="183"/>
      <c r="O88" s="183"/>
      <c r="P88" s="183"/>
      <c r="Q88" s="183"/>
      <c r="R88" s="183"/>
      <c r="S88" s="198"/>
      <c r="T88" s="198"/>
      <c r="U88" s="183"/>
      <c r="V88" s="183"/>
      <c r="W88" s="183"/>
      <c r="X88" s="183"/>
      <c r="Y88" s="183"/>
      <c r="Z88" s="198"/>
      <c r="AA88" s="198"/>
      <c r="AB88" s="183"/>
      <c r="AC88" s="183"/>
      <c r="AD88" s="183"/>
      <c r="AE88" s="183"/>
      <c r="AF88" s="183"/>
      <c r="AG88" s="198"/>
      <c r="AH88" s="198"/>
      <c r="AJ88" s="77">
        <f t="shared" si="16"/>
        <v>0</v>
      </c>
    </row>
    <row r="89" spans="2:36" ht="16.5" hidden="1" outlineLevel="1" thickTop="1" thickBot="1" x14ac:dyDescent="0.3">
      <c r="B89" s="151"/>
      <c r="C89" s="9" t="s">
        <v>3</v>
      </c>
      <c r="D89" s="177"/>
      <c r="E89" s="230"/>
      <c r="F89" s="230"/>
      <c r="G89" s="177"/>
      <c r="H89" s="177"/>
      <c r="I89" s="177"/>
      <c r="J89" s="177"/>
      <c r="K89" s="177"/>
      <c r="L89" s="230"/>
      <c r="M89" s="230"/>
      <c r="N89" s="177"/>
      <c r="O89" s="177"/>
      <c r="P89" s="177"/>
      <c r="Q89" s="177"/>
      <c r="R89" s="177"/>
      <c r="S89" s="230"/>
      <c r="T89" s="230"/>
      <c r="U89" s="177"/>
      <c r="V89" s="177"/>
      <c r="W89" s="177"/>
      <c r="X89" s="177"/>
      <c r="Y89" s="177"/>
      <c r="Z89" s="230"/>
      <c r="AA89" s="230"/>
      <c r="AB89" s="177"/>
      <c r="AC89" s="177"/>
      <c r="AD89" s="177"/>
      <c r="AE89" s="177"/>
      <c r="AF89" s="177"/>
      <c r="AG89" s="230"/>
      <c r="AH89" s="230"/>
      <c r="AI89" s="7"/>
      <c r="AJ89" s="73">
        <f t="shared" si="16"/>
        <v>0</v>
      </c>
    </row>
    <row r="90" spans="2:36" ht="16.5" hidden="1" collapsed="1" thickTop="1" thickBot="1" x14ac:dyDescent="0.3">
      <c r="B90" s="149" t="str">
        <f>'Hours Scheduled'!B21</f>
        <v>Manuel Sperti</v>
      </c>
      <c r="C90" t="s">
        <v>0</v>
      </c>
      <c r="D90" s="180"/>
      <c r="E90" s="198"/>
      <c r="F90" s="198"/>
      <c r="G90" s="180"/>
      <c r="H90" s="180"/>
      <c r="I90" s="180"/>
      <c r="J90" s="180"/>
      <c r="K90" s="180"/>
      <c r="L90" s="198"/>
      <c r="M90" s="198"/>
      <c r="N90" s="180"/>
      <c r="O90" s="180"/>
      <c r="P90" s="180"/>
      <c r="Q90" s="180"/>
      <c r="R90" s="180"/>
      <c r="S90" s="198"/>
      <c r="T90" s="198"/>
      <c r="U90" s="180"/>
      <c r="V90" s="180"/>
      <c r="W90" s="180"/>
      <c r="X90" s="180"/>
      <c r="Y90" s="180"/>
      <c r="Z90" s="198"/>
      <c r="AA90" s="198"/>
      <c r="AB90" s="180"/>
      <c r="AC90" s="180"/>
      <c r="AD90" s="180"/>
      <c r="AE90" s="180"/>
      <c r="AF90" s="180"/>
      <c r="AG90" s="198"/>
      <c r="AH90" s="198"/>
      <c r="AJ90" s="74">
        <f>SUM(D90:AH90)</f>
        <v>0</v>
      </c>
    </row>
    <row r="91" spans="2:36" ht="15.75" hidden="1" outlineLevel="1" thickTop="1" x14ac:dyDescent="0.25">
      <c r="B91" s="150"/>
      <c r="C91" s="1" t="s">
        <v>1</v>
      </c>
      <c r="D91" s="181"/>
      <c r="E91" s="198"/>
      <c r="F91" s="198"/>
      <c r="G91" s="181">
        <v>8</v>
      </c>
      <c r="H91" s="181">
        <v>8</v>
      </c>
      <c r="I91" s="181">
        <v>8</v>
      </c>
      <c r="J91" s="181"/>
      <c r="K91" s="181"/>
      <c r="L91" s="198"/>
      <c r="M91" s="198"/>
      <c r="N91" s="181"/>
      <c r="O91" s="181"/>
      <c r="P91" s="181"/>
      <c r="Q91" s="181"/>
      <c r="R91" s="181"/>
      <c r="S91" s="198"/>
      <c r="T91" s="198"/>
      <c r="U91" s="181"/>
      <c r="V91" s="181"/>
      <c r="W91" s="181"/>
      <c r="X91" s="181"/>
      <c r="Y91" s="181"/>
      <c r="Z91" s="198"/>
      <c r="AA91" s="198"/>
      <c r="AB91" s="181"/>
      <c r="AC91" s="181"/>
      <c r="AD91" s="181"/>
      <c r="AE91" s="181"/>
      <c r="AF91" s="181"/>
      <c r="AG91" s="198"/>
      <c r="AH91" s="198"/>
      <c r="AJ91" s="75">
        <f t="shared" ref="AJ91:AJ94" si="17">SUM(D91:AH91)</f>
        <v>24</v>
      </c>
    </row>
    <row r="92" spans="2:36" ht="15.75" hidden="1" outlineLevel="1" thickTop="1" x14ac:dyDescent="0.25">
      <c r="B92" s="151"/>
      <c r="C92" s="1" t="s">
        <v>2</v>
      </c>
      <c r="D92" s="182"/>
      <c r="E92" s="198"/>
      <c r="F92" s="198"/>
      <c r="G92" s="182"/>
      <c r="H92" s="182"/>
      <c r="I92" s="182"/>
      <c r="J92" s="182"/>
      <c r="K92" s="182"/>
      <c r="L92" s="198"/>
      <c r="M92" s="198"/>
      <c r="N92" s="182"/>
      <c r="O92" s="182"/>
      <c r="P92" s="182"/>
      <c r="Q92" s="182"/>
      <c r="R92" s="182"/>
      <c r="S92" s="198"/>
      <c r="T92" s="198"/>
      <c r="U92" s="182"/>
      <c r="V92" s="182"/>
      <c r="W92" s="182"/>
      <c r="X92" s="182"/>
      <c r="Y92" s="182"/>
      <c r="Z92" s="198"/>
      <c r="AA92" s="198"/>
      <c r="AB92" s="182"/>
      <c r="AC92" s="182"/>
      <c r="AD92" s="182"/>
      <c r="AE92" s="182"/>
      <c r="AF92" s="182"/>
      <c r="AG92" s="198"/>
      <c r="AH92" s="198"/>
      <c r="AJ92" s="76">
        <f t="shared" si="17"/>
        <v>0</v>
      </c>
    </row>
    <row r="93" spans="2:36" ht="15.75" hidden="1" outlineLevel="1" thickTop="1" x14ac:dyDescent="0.25">
      <c r="B93" s="151"/>
      <c r="C93" s="54" t="s">
        <v>77</v>
      </c>
      <c r="D93" s="183"/>
      <c r="E93" s="198"/>
      <c r="F93" s="198"/>
      <c r="G93" s="183"/>
      <c r="H93" s="183"/>
      <c r="I93" s="183"/>
      <c r="J93" s="183"/>
      <c r="K93" s="183"/>
      <c r="L93" s="198"/>
      <c r="M93" s="198"/>
      <c r="N93" s="183"/>
      <c r="O93" s="183"/>
      <c r="P93" s="183"/>
      <c r="Q93" s="183"/>
      <c r="R93" s="183"/>
      <c r="S93" s="198"/>
      <c r="T93" s="198"/>
      <c r="U93" s="183"/>
      <c r="V93" s="183"/>
      <c r="W93" s="183"/>
      <c r="X93" s="183"/>
      <c r="Y93" s="183"/>
      <c r="Z93" s="198"/>
      <c r="AA93" s="198"/>
      <c r="AB93" s="183"/>
      <c r="AC93" s="183"/>
      <c r="AD93" s="183"/>
      <c r="AE93" s="183"/>
      <c r="AF93" s="183"/>
      <c r="AG93" s="198"/>
      <c r="AH93" s="198"/>
      <c r="AJ93" s="77">
        <f t="shared" si="17"/>
        <v>0</v>
      </c>
    </row>
    <row r="94" spans="2:36" ht="16.5" hidden="1" outlineLevel="1" thickTop="1" thickBot="1" x14ac:dyDescent="0.3">
      <c r="B94" s="151"/>
      <c r="C94" s="9" t="s">
        <v>3</v>
      </c>
      <c r="D94" s="184"/>
      <c r="E94" s="199"/>
      <c r="F94" s="199"/>
      <c r="G94" s="184"/>
      <c r="H94" s="184"/>
      <c r="I94" s="184"/>
      <c r="J94" s="184"/>
      <c r="K94" s="184"/>
      <c r="L94" s="199"/>
      <c r="M94" s="199"/>
      <c r="N94" s="184"/>
      <c r="O94" s="177">
        <v>0.5</v>
      </c>
      <c r="P94" s="184"/>
      <c r="Q94" s="184"/>
      <c r="R94" s="184"/>
      <c r="S94" s="199"/>
      <c r="T94" s="199"/>
      <c r="U94" s="184"/>
      <c r="V94" s="184"/>
      <c r="W94" s="184"/>
      <c r="X94" s="184"/>
      <c r="Y94" s="184"/>
      <c r="Z94" s="199"/>
      <c r="AA94" s="199"/>
      <c r="AB94" s="184"/>
      <c r="AC94" s="184"/>
      <c r="AD94" s="184"/>
      <c r="AE94" s="184"/>
      <c r="AF94" s="184"/>
      <c r="AG94" s="199"/>
      <c r="AH94" s="199"/>
      <c r="AI94" s="7"/>
      <c r="AJ94" s="73">
        <f t="shared" si="17"/>
        <v>0.5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180">
        <v>0</v>
      </c>
      <c r="E95" s="198"/>
      <c r="F95" s="198"/>
      <c r="G95" s="180">
        <v>0</v>
      </c>
      <c r="H95" s="180"/>
      <c r="I95" s="180"/>
      <c r="J95" s="180"/>
      <c r="K95" s="180"/>
      <c r="L95" s="198"/>
      <c r="M95" s="198"/>
      <c r="N95" s="180"/>
      <c r="O95" s="180"/>
      <c r="P95" s="180"/>
      <c r="Q95" s="180"/>
      <c r="R95" s="180">
        <v>1</v>
      </c>
      <c r="S95" s="198"/>
      <c r="T95" s="198"/>
      <c r="U95" s="180"/>
      <c r="V95" s="172">
        <v>1.5</v>
      </c>
      <c r="W95" s="180"/>
      <c r="X95" s="180"/>
      <c r="Y95" s="180"/>
      <c r="Z95" s="198"/>
      <c r="AA95" s="198"/>
      <c r="AB95" s="180"/>
      <c r="AC95" s="180"/>
      <c r="AD95" s="180"/>
      <c r="AE95" s="250">
        <v>1.5</v>
      </c>
      <c r="AF95" s="180"/>
      <c r="AG95" s="198"/>
      <c r="AH95" s="198"/>
      <c r="AJ95" s="74">
        <f>SUM(D95:AH95)</f>
        <v>4</v>
      </c>
    </row>
    <row r="96" spans="2:36" ht="15.75" hidden="1" outlineLevel="1" thickTop="1" x14ac:dyDescent="0.25">
      <c r="B96" s="150"/>
      <c r="C96" s="1" t="s">
        <v>1</v>
      </c>
      <c r="D96" s="181">
        <v>8</v>
      </c>
      <c r="E96" s="198"/>
      <c r="F96" s="198"/>
      <c r="G96" s="181">
        <v>8</v>
      </c>
      <c r="H96" s="181"/>
      <c r="I96" s="181"/>
      <c r="J96" s="181"/>
      <c r="K96" s="181"/>
      <c r="L96" s="198"/>
      <c r="M96" s="198"/>
      <c r="N96" s="181"/>
      <c r="O96" s="181"/>
      <c r="P96" s="181"/>
      <c r="Q96" s="181"/>
      <c r="R96" s="181"/>
      <c r="S96" s="198"/>
      <c r="T96" s="198"/>
      <c r="U96" s="181"/>
      <c r="V96" s="181"/>
      <c r="W96" s="181"/>
      <c r="X96" s="181"/>
      <c r="Y96" s="181"/>
      <c r="Z96" s="198"/>
      <c r="AA96" s="198"/>
      <c r="AB96" s="181"/>
      <c r="AC96" s="181"/>
      <c r="AD96" s="181"/>
      <c r="AE96" s="181"/>
      <c r="AF96" s="181"/>
      <c r="AG96" s="198"/>
      <c r="AH96" s="198"/>
      <c r="AJ96" s="75">
        <f t="shared" ref="AJ96:AJ99" si="18">SUM(D96:AH96)</f>
        <v>16</v>
      </c>
    </row>
    <row r="97" spans="2:36" ht="15.75" hidden="1" outlineLevel="1" thickTop="1" x14ac:dyDescent="0.25">
      <c r="B97" s="151"/>
      <c r="C97" s="1" t="s">
        <v>2</v>
      </c>
      <c r="D97" s="182"/>
      <c r="E97" s="198"/>
      <c r="F97" s="198"/>
      <c r="G97" s="182"/>
      <c r="H97" s="182"/>
      <c r="I97" s="182"/>
      <c r="J97" s="182"/>
      <c r="K97" s="182"/>
      <c r="L97" s="198"/>
      <c r="M97" s="198"/>
      <c r="N97" s="182"/>
      <c r="O97" s="182"/>
      <c r="P97" s="182"/>
      <c r="Q97" s="182"/>
      <c r="R97" s="182"/>
      <c r="S97" s="198"/>
      <c r="T97" s="198"/>
      <c r="U97" s="182"/>
      <c r="V97" s="182"/>
      <c r="W97" s="182"/>
      <c r="X97" s="182"/>
      <c r="Y97" s="182"/>
      <c r="Z97" s="198"/>
      <c r="AA97" s="198"/>
      <c r="AB97" s="182"/>
      <c r="AC97" s="182"/>
      <c r="AD97" s="182"/>
      <c r="AE97" s="182"/>
      <c r="AF97" s="182"/>
      <c r="AG97" s="198"/>
      <c r="AH97" s="198"/>
      <c r="AJ97" s="76">
        <f t="shared" si="18"/>
        <v>0</v>
      </c>
    </row>
    <row r="98" spans="2:36" ht="15.75" hidden="1" outlineLevel="1" thickTop="1" x14ac:dyDescent="0.25">
      <c r="B98" s="151"/>
      <c r="C98" s="54" t="s">
        <v>77</v>
      </c>
      <c r="D98" s="183"/>
      <c r="E98" s="198"/>
      <c r="F98" s="198"/>
      <c r="G98" s="183"/>
      <c r="H98" s="183"/>
      <c r="I98" s="183"/>
      <c r="J98" s="183"/>
      <c r="K98" s="183"/>
      <c r="L98" s="198"/>
      <c r="M98" s="198"/>
      <c r="N98" s="183"/>
      <c r="O98" s="183"/>
      <c r="P98" s="183"/>
      <c r="Q98" s="183"/>
      <c r="R98" s="183"/>
      <c r="S98" s="198"/>
      <c r="T98" s="198"/>
      <c r="U98" s="183"/>
      <c r="V98" s="183"/>
      <c r="W98" s="183"/>
      <c r="X98" s="183"/>
      <c r="Y98" s="183"/>
      <c r="Z98" s="198"/>
      <c r="AA98" s="198"/>
      <c r="AB98" s="183"/>
      <c r="AC98" s="183"/>
      <c r="AD98" s="183"/>
      <c r="AE98" s="183"/>
      <c r="AF98" s="183"/>
      <c r="AG98" s="198"/>
      <c r="AH98" s="198"/>
      <c r="AJ98" s="77">
        <f t="shared" si="18"/>
        <v>0</v>
      </c>
    </row>
    <row r="99" spans="2:36" ht="16.5" hidden="1" outlineLevel="1" thickTop="1" thickBot="1" x14ac:dyDescent="0.3">
      <c r="B99" s="151"/>
      <c r="C99" s="9" t="s">
        <v>3</v>
      </c>
      <c r="D99" s="184"/>
      <c r="E99" s="199"/>
      <c r="F99" s="199"/>
      <c r="G99" s="184"/>
      <c r="H99" s="184"/>
      <c r="I99" s="184"/>
      <c r="J99" s="184"/>
      <c r="K99" s="184"/>
      <c r="L99" s="199"/>
      <c r="M99" s="199"/>
      <c r="N99" s="184"/>
      <c r="O99" s="184"/>
      <c r="P99" s="184"/>
      <c r="Q99" s="184"/>
      <c r="R99" s="184"/>
      <c r="S99" s="199"/>
      <c r="T99" s="199"/>
      <c r="U99" s="184"/>
      <c r="V99" s="184"/>
      <c r="W99" s="184"/>
      <c r="X99" s="184"/>
      <c r="Y99" s="184"/>
      <c r="Z99" s="199"/>
      <c r="AA99" s="199"/>
      <c r="AB99" s="184"/>
      <c r="AC99" s="184"/>
      <c r="AD99" s="184"/>
      <c r="AE99" s="184"/>
      <c r="AF99" s="184"/>
      <c r="AG99" s="199"/>
      <c r="AH99" s="199"/>
      <c r="AI99" s="7"/>
      <c r="AJ99" s="73">
        <f t="shared" si="18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180"/>
      <c r="E100" s="198"/>
      <c r="F100" s="198"/>
      <c r="G100" s="180"/>
      <c r="H100" s="180"/>
      <c r="I100" s="180"/>
      <c r="J100" s="180">
        <v>1</v>
      </c>
      <c r="K100" s="180"/>
      <c r="L100" s="198"/>
      <c r="M100" s="198"/>
      <c r="N100" s="180">
        <v>0</v>
      </c>
      <c r="O100" s="180">
        <v>0</v>
      </c>
      <c r="P100" s="180">
        <v>0</v>
      </c>
      <c r="Q100" s="180"/>
      <c r="R100" s="180"/>
      <c r="S100" s="198"/>
      <c r="T100" s="198"/>
      <c r="U100" s="180"/>
      <c r="V100" s="180"/>
      <c r="W100" s="180"/>
      <c r="X100" s="180"/>
      <c r="Y100" s="180"/>
      <c r="Z100" s="198"/>
      <c r="AA100" s="198"/>
      <c r="AB100" s="180"/>
      <c r="AC100" s="180"/>
      <c r="AD100" s="180"/>
      <c r="AE100" s="180"/>
      <c r="AF100" s="180"/>
      <c r="AG100" s="198"/>
      <c r="AH100" s="198"/>
      <c r="AJ100" s="74">
        <f>SUM(D100:AH100)</f>
        <v>1</v>
      </c>
    </row>
    <row r="101" spans="2:36" ht="15.75" hidden="1" outlineLevel="1" thickTop="1" x14ac:dyDescent="0.25">
      <c r="B101" s="150"/>
      <c r="C101" s="1" t="s">
        <v>1</v>
      </c>
      <c r="D101" s="181"/>
      <c r="E101" s="198"/>
      <c r="F101" s="198"/>
      <c r="G101" s="181"/>
      <c r="H101" s="181"/>
      <c r="I101" s="181"/>
      <c r="J101" s="181"/>
      <c r="K101" s="181"/>
      <c r="L101" s="198"/>
      <c r="M101" s="198"/>
      <c r="N101" s="181">
        <v>8</v>
      </c>
      <c r="O101" s="181">
        <v>8</v>
      </c>
      <c r="P101" s="181">
        <v>8</v>
      </c>
      <c r="Q101" s="181"/>
      <c r="R101" s="181"/>
      <c r="S101" s="198"/>
      <c r="T101" s="198"/>
      <c r="U101" s="181"/>
      <c r="V101" s="181"/>
      <c r="W101" s="181"/>
      <c r="X101" s="181"/>
      <c r="Y101" s="181"/>
      <c r="Z101" s="198"/>
      <c r="AA101" s="198"/>
      <c r="AB101" s="181"/>
      <c r="AC101" s="181"/>
      <c r="AD101" s="181"/>
      <c r="AE101" s="181"/>
      <c r="AF101" s="181"/>
      <c r="AG101" s="198"/>
      <c r="AH101" s="198"/>
      <c r="AJ101" s="75">
        <f t="shared" ref="AJ101:AJ104" si="19">SUM(D101:AH101)</f>
        <v>24</v>
      </c>
    </row>
    <row r="102" spans="2:36" ht="15.75" hidden="1" outlineLevel="1" thickTop="1" x14ac:dyDescent="0.25">
      <c r="B102" s="151"/>
      <c r="C102" s="1" t="s">
        <v>2</v>
      </c>
      <c r="D102" s="182"/>
      <c r="E102" s="198"/>
      <c r="F102" s="198"/>
      <c r="G102" s="182"/>
      <c r="H102" s="182"/>
      <c r="I102" s="182"/>
      <c r="J102" s="182"/>
      <c r="K102" s="182"/>
      <c r="L102" s="198"/>
      <c r="M102" s="198"/>
      <c r="N102" s="182"/>
      <c r="O102" s="182"/>
      <c r="P102" s="182"/>
      <c r="Q102" s="182"/>
      <c r="R102" s="182"/>
      <c r="S102" s="198"/>
      <c r="T102" s="198"/>
      <c r="U102" s="182"/>
      <c r="V102" s="182"/>
      <c r="W102" s="182"/>
      <c r="X102" s="182"/>
      <c r="Y102" s="182"/>
      <c r="Z102" s="198"/>
      <c r="AA102" s="198"/>
      <c r="AB102" s="182"/>
      <c r="AC102" s="182"/>
      <c r="AD102" s="182"/>
      <c r="AE102" s="182"/>
      <c r="AF102" s="182"/>
      <c r="AG102" s="198"/>
      <c r="AH102" s="198"/>
      <c r="AJ102" s="76">
        <f t="shared" si="19"/>
        <v>0</v>
      </c>
    </row>
    <row r="103" spans="2:36" ht="15.75" hidden="1" outlineLevel="1" thickTop="1" x14ac:dyDescent="0.25">
      <c r="B103" s="151"/>
      <c r="C103" s="54" t="s">
        <v>77</v>
      </c>
      <c r="D103" s="183"/>
      <c r="E103" s="198"/>
      <c r="F103" s="198"/>
      <c r="G103" s="183"/>
      <c r="H103" s="183"/>
      <c r="I103" s="183"/>
      <c r="J103" s="183"/>
      <c r="K103" s="183"/>
      <c r="L103" s="198"/>
      <c r="M103" s="198"/>
      <c r="N103" s="183"/>
      <c r="O103" s="183"/>
      <c r="P103" s="183"/>
      <c r="Q103" s="183"/>
      <c r="R103" s="183"/>
      <c r="S103" s="198"/>
      <c r="T103" s="198"/>
      <c r="U103" s="183"/>
      <c r="V103" s="183"/>
      <c r="W103" s="183"/>
      <c r="X103" s="183"/>
      <c r="Y103" s="183"/>
      <c r="Z103" s="198"/>
      <c r="AA103" s="198"/>
      <c r="AB103" s="183"/>
      <c r="AC103" s="183"/>
      <c r="AD103" s="183"/>
      <c r="AE103" s="183"/>
      <c r="AF103" s="183"/>
      <c r="AG103" s="198"/>
      <c r="AH103" s="198"/>
      <c r="AJ103" s="77">
        <f t="shared" si="19"/>
        <v>0</v>
      </c>
    </row>
    <row r="104" spans="2:36" ht="16.5" hidden="1" outlineLevel="1" thickTop="1" thickBot="1" x14ac:dyDescent="0.3">
      <c r="B104" s="151"/>
      <c r="C104" s="9" t="s">
        <v>3</v>
      </c>
      <c r="D104" s="184"/>
      <c r="E104" s="199"/>
      <c r="F104" s="199"/>
      <c r="G104" s="184"/>
      <c r="H104" s="184"/>
      <c r="I104" s="184"/>
      <c r="J104" s="184"/>
      <c r="K104" s="184"/>
      <c r="L104" s="199"/>
      <c r="M104" s="199"/>
      <c r="N104" s="184"/>
      <c r="O104" s="184"/>
      <c r="P104" s="184"/>
      <c r="Q104" s="184"/>
      <c r="R104" s="184"/>
      <c r="S104" s="199"/>
      <c r="T104" s="199"/>
      <c r="U104" s="184"/>
      <c r="V104" s="184"/>
      <c r="W104" s="184"/>
      <c r="X104" s="184"/>
      <c r="Y104" s="184"/>
      <c r="Z104" s="199"/>
      <c r="AA104" s="199"/>
      <c r="AB104" s="184"/>
      <c r="AC104" s="184"/>
      <c r="AD104" s="184"/>
      <c r="AE104" s="184"/>
      <c r="AF104" s="184"/>
      <c r="AG104" s="199"/>
      <c r="AH104" s="199"/>
      <c r="AI104" s="7"/>
      <c r="AJ104" s="73">
        <f t="shared" si="19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180"/>
      <c r="E105" s="198"/>
      <c r="F105" s="198"/>
      <c r="G105" s="180"/>
      <c r="H105" s="180"/>
      <c r="I105" s="180"/>
      <c r="J105" s="180"/>
      <c r="K105" s="180">
        <v>6</v>
      </c>
      <c r="L105" s="198"/>
      <c r="M105" s="198"/>
      <c r="N105" s="180"/>
      <c r="O105" s="180"/>
      <c r="P105" s="180"/>
      <c r="Q105" s="180"/>
      <c r="R105" s="180"/>
      <c r="S105" s="198"/>
      <c r="T105" s="198"/>
      <c r="U105" s="180"/>
      <c r="V105" s="180"/>
      <c r="W105" s="180"/>
      <c r="X105" s="180"/>
      <c r="Y105" s="180">
        <v>0</v>
      </c>
      <c r="Z105" s="198"/>
      <c r="AA105" s="198"/>
      <c r="AB105" s="180"/>
      <c r="AC105" s="180"/>
      <c r="AD105" s="180"/>
      <c r="AE105" s="180"/>
      <c r="AF105" s="180"/>
      <c r="AG105" s="198"/>
      <c r="AH105" s="198"/>
      <c r="AJ105" s="74">
        <f>SUM(D105:AH105)</f>
        <v>6</v>
      </c>
    </row>
    <row r="106" spans="2:36" ht="15.75" hidden="1" outlineLevel="1" thickTop="1" x14ac:dyDescent="0.25">
      <c r="B106" s="150"/>
      <c r="C106" s="1" t="s">
        <v>1</v>
      </c>
      <c r="D106" s="181"/>
      <c r="E106" s="198"/>
      <c r="F106" s="198"/>
      <c r="G106" s="181"/>
      <c r="H106" s="181"/>
      <c r="I106" s="181"/>
      <c r="J106" s="181"/>
      <c r="K106" s="181"/>
      <c r="L106" s="198"/>
      <c r="M106" s="198"/>
      <c r="N106" s="181"/>
      <c r="O106" s="181"/>
      <c r="P106" s="181"/>
      <c r="Q106" s="181"/>
      <c r="R106" s="181"/>
      <c r="S106" s="198"/>
      <c r="T106" s="198"/>
      <c r="U106" s="181"/>
      <c r="V106" s="181"/>
      <c r="W106" s="181"/>
      <c r="X106" s="181"/>
      <c r="Y106" s="181"/>
      <c r="Z106" s="198"/>
      <c r="AA106" s="198"/>
      <c r="AB106" s="181"/>
      <c r="AC106" s="181"/>
      <c r="AD106" s="181"/>
      <c r="AE106" s="181"/>
      <c r="AF106" s="181"/>
      <c r="AG106" s="198"/>
      <c r="AH106" s="198"/>
      <c r="AJ106" s="75">
        <f t="shared" ref="AJ106:AJ109" si="20">SUM(D106:AH106)</f>
        <v>0</v>
      </c>
    </row>
    <row r="107" spans="2:36" ht="15.75" hidden="1" outlineLevel="1" thickTop="1" x14ac:dyDescent="0.25">
      <c r="B107" s="151"/>
      <c r="C107" s="1" t="s">
        <v>2</v>
      </c>
      <c r="D107" s="182"/>
      <c r="E107" s="198"/>
      <c r="F107" s="198"/>
      <c r="G107" s="182"/>
      <c r="H107" s="182"/>
      <c r="I107" s="182"/>
      <c r="J107" s="182"/>
      <c r="K107" s="182"/>
      <c r="L107" s="198"/>
      <c r="M107" s="198"/>
      <c r="N107" s="182"/>
      <c r="O107" s="182"/>
      <c r="P107" s="182"/>
      <c r="Q107" s="182"/>
      <c r="R107" s="182"/>
      <c r="S107" s="198"/>
      <c r="T107" s="198"/>
      <c r="U107" s="182"/>
      <c r="V107" s="182"/>
      <c r="W107" s="182"/>
      <c r="X107" s="182"/>
      <c r="Y107" s="182"/>
      <c r="Z107" s="198"/>
      <c r="AA107" s="198"/>
      <c r="AB107" s="182"/>
      <c r="AC107" s="182"/>
      <c r="AD107" s="182"/>
      <c r="AE107" s="182"/>
      <c r="AF107" s="182"/>
      <c r="AG107" s="198"/>
      <c r="AH107" s="198"/>
      <c r="AJ107" s="76">
        <f t="shared" si="20"/>
        <v>0</v>
      </c>
    </row>
    <row r="108" spans="2:36" ht="15.75" hidden="1" outlineLevel="1" thickTop="1" x14ac:dyDescent="0.25">
      <c r="B108" s="151"/>
      <c r="C108" s="54" t="s">
        <v>77</v>
      </c>
      <c r="D108" s="183"/>
      <c r="E108" s="198"/>
      <c r="F108" s="198"/>
      <c r="G108" s="183"/>
      <c r="H108" s="183"/>
      <c r="I108" s="183"/>
      <c r="J108" s="183"/>
      <c r="K108" s="183">
        <v>2</v>
      </c>
      <c r="L108" s="198"/>
      <c r="M108" s="198"/>
      <c r="N108" s="183"/>
      <c r="O108" s="183"/>
      <c r="P108" s="183"/>
      <c r="Q108" s="183"/>
      <c r="R108" s="183"/>
      <c r="S108" s="198"/>
      <c r="T108" s="198"/>
      <c r="U108" s="183"/>
      <c r="V108" s="183"/>
      <c r="W108" s="183"/>
      <c r="X108" s="183"/>
      <c r="Y108" s="183"/>
      <c r="Z108" s="198"/>
      <c r="AA108" s="198"/>
      <c r="AB108" s="183"/>
      <c r="AC108" s="183"/>
      <c r="AD108" s="183"/>
      <c r="AE108" s="183"/>
      <c r="AF108" s="183"/>
      <c r="AG108" s="198"/>
      <c r="AH108" s="198"/>
      <c r="AJ108" s="77">
        <f t="shared" si="20"/>
        <v>2</v>
      </c>
    </row>
    <row r="109" spans="2:36" ht="16.5" hidden="1" outlineLevel="1" thickTop="1" thickBot="1" x14ac:dyDescent="0.3">
      <c r="B109" s="151"/>
      <c r="C109" s="9" t="s">
        <v>3</v>
      </c>
      <c r="D109" s="184"/>
      <c r="E109" s="199"/>
      <c r="F109" s="199"/>
      <c r="G109" s="184"/>
      <c r="H109" s="184"/>
      <c r="I109" s="184"/>
      <c r="J109" s="184"/>
      <c r="K109" s="184"/>
      <c r="L109" s="199"/>
      <c r="M109" s="199"/>
      <c r="N109" s="184"/>
      <c r="O109" s="184"/>
      <c r="P109" s="184"/>
      <c r="Q109" s="184"/>
      <c r="R109" s="184"/>
      <c r="S109" s="199"/>
      <c r="T109" s="199"/>
      <c r="U109" s="184"/>
      <c r="V109" s="184"/>
      <c r="W109" s="184"/>
      <c r="X109" s="184"/>
      <c r="Y109" s="184"/>
      <c r="Z109" s="199"/>
      <c r="AA109" s="199"/>
      <c r="AB109" s="184"/>
      <c r="AC109" s="184"/>
      <c r="AD109" s="184"/>
      <c r="AE109" s="184"/>
      <c r="AF109" s="184"/>
      <c r="AG109" s="199"/>
      <c r="AH109" s="199"/>
      <c r="AI109" s="7"/>
      <c r="AJ109" s="73">
        <f t="shared" si="20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180"/>
      <c r="E110" s="198"/>
      <c r="F110" s="198"/>
      <c r="G110" s="180">
        <v>0</v>
      </c>
      <c r="H110" s="180">
        <v>0</v>
      </c>
      <c r="I110" s="180">
        <v>0</v>
      </c>
      <c r="J110" s="180"/>
      <c r="K110" s="180"/>
      <c r="L110" s="198"/>
      <c r="M110" s="198"/>
      <c r="N110" s="180"/>
      <c r="O110" s="180">
        <v>0</v>
      </c>
      <c r="P110" s="180"/>
      <c r="Q110" s="180"/>
      <c r="R110" s="180">
        <v>9</v>
      </c>
      <c r="S110" s="198"/>
      <c r="T110" s="198"/>
      <c r="U110" s="180"/>
      <c r="V110" s="180"/>
      <c r="W110" s="180"/>
      <c r="X110" s="180"/>
      <c r="Y110" s="180"/>
      <c r="Z110" s="198"/>
      <c r="AA110" s="198"/>
      <c r="AB110" s="180"/>
      <c r="AC110" s="180"/>
      <c r="AD110" s="180"/>
      <c r="AE110" s="180"/>
      <c r="AF110" s="180"/>
      <c r="AG110" s="198"/>
      <c r="AH110" s="198"/>
      <c r="AJ110" s="74">
        <f>SUM(D110:AH110)</f>
        <v>9</v>
      </c>
    </row>
    <row r="111" spans="2:36" ht="15.75" hidden="1" outlineLevel="1" thickTop="1" x14ac:dyDescent="0.25">
      <c r="B111" s="150"/>
      <c r="C111" s="1" t="s">
        <v>1</v>
      </c>
      <c r="D111" s="181"/>
      <c r="E111" s="198"/>
      <c r="F111" s="198"/>
      <c r="G111" s="181">
        <v>8</v>
      </c>
      <c r="H111" s="181">
        <v>8</v>
      </c>
      <c r="I111" s="181">
        <v>8</v>
      </c>
      <c r="J111" s="181"/>
      <c r="K111" s="181"/>
      <c r="L111" s="198"/>
      <c r="M111" s="198"/>
      <c r="N111" s="181"/>
      <c r="O111" s="181"/>
      <c r="P111" s="181"/>
      <c r="Q111" s="181"/>
      <c r="R111" s="181"/>
      <c r="S111" s="198"/>
      <c r="T111" s="198"/>
      <c r="U111" s="181"/>
      <c r="V111" s="181"/>
      <c r="W111" s="181"/>
      <c r="X111" s="181"/>
      <c r="Y111" s="181"/>
      <c r="Z111" s="198"/>
      <c r="AA111" s="198"/>
      <c r="AB111" s="181"/>
      <c r="AC111" s="181"/>
      <c r="AD111" s="181"/>
      <c r="AE111" s="181"/>
      <c r="AF111" s="181"/>
      <c r="AG111" s="198"/>
      <c r="AH111" s="198"/>
      <c r="AJ111" s="75">
        <f t="shared" ref="AJ111:AJ114" si="21">SUM(D111:AH111)</f>
        <v>24</v>
      </c>
    </row>
    <row r="112" spans="2:36" ht="15.75" hidden="1" outlineLevel="1" thickTop="1" x14ac:dyDescent="0.25">
      <c r="B112" s="151"/>
      <c r="C112" s="1" t="s">
        <v>2</v>
      </c>
      <c r="D112" s="182"/>
      <c r="E112" s="198"/>
      <c r="F112" s="198"/>
      <c r="G112" s="182"/>
      <c r="H112" s="182"/>
      <c r="I112" s="182"/>
      <c r="J112" s="182"/>
      <c r="K112" s="182"/>
      <c r="L112" s="198"/>
      <c r="M112" s="198"/>
      <c r="N112" s="182"/>
      <c r="O112" s="182"/>
      <c r="P112" s="182"/>
      <c r="Q112" s="182"/>
      <c r="R112" s="182"/>
      <c r="S112" s="198"/>
      <c r="T112" s="198"/>
      <c r="U112" s="182"/>
      <c r="V112" s="182"/>
      <c r="W112" s="182"/>
      <c r="X112" s="182"/>
      <c r="Y112" s="182"/>
      <c r="Z112" s="198"/>
      <c r="AA112" s="198"/>
      <c r="AB112" s="182"/>
      <c r="AC112" s="182"/>
      <c r="AD112" s="182"/>
      <c r="AE112" s="182"/>
      <c r="AF112" s="182"/>
      <c r="AG112" s="198"/>
      <c r="AH112" s="198"/>
      <c r="AJ112" s="76">
        <f t="shared" si="21"/>
        <v>0</v>
      </c>
    </row>
    <row r="113" spans="2:36" ht="15.75" hidden="1" outlineLevel="1" thickTop="1" x14ac:dyDescent="0.25">
      <c r="B113" s="151"/>
      <c r="C113" s="54" t="s">
        <v>77</v>
      </c>
      <c r="D113" s="183"/>
      <c r="E113" s="198"/>
      <c r="F113" s="198"/>
      <c r="G113" s="183"/>
      <c r="H113" s="183"/>
      <c r="I113" s="183"/>
      <c r="J113" s="183"/>
      <c r="K113" s="183"/>
      <c r="L113" s="198"/>
      <c r="M113" s="198"/>
      <c r="N113" s="183"/>
      <c r="O113" s="183"/>
      <c r="P113" s="183"/>
      <c r="Q113" s="183"/>
      <c r="R113" s="183"/>
      <c r="S113" s="198"/>
      <c r="T113" s="198"/>
      <c r="U113" s="183"/>
      <c r="V113" s="183"/>
      <c r="W113" s="183"/>
      <c r="X113" s="183"/>
      <c r="Y113" s="183"/>
      <c r="Z113" s="198"/>
      <c r="AA113" s="198"/>
      <c r="AB113" s="183"/>
      <c r="AC113" s="183"/>
      <c r="AD113" s="183"/>
      <c r="AE113" s="183"/>
      <c r="AF113" s="183"/>
      <c r="AG113" s="198"/>
      <c r="AH113" s="198"/>
      <c r="AJ113" s="77">
        <f t="shared" si="21"/>
        <v>0</v>
      </c>
    </row>
    <row r="114" spans="2:36" ht="16.5" hidden="1" outlineLevel="1" thickTop="1" thickBot="1" x14ac:dyDescent="0.3">
      <c r="B114" s="151"/>
      <c r="C114" s="9" t="s">
        <v>3</v>
      </c>
      <c r="D114" s="184"/>
      <c r="E114" s="199"/>
      <c r="F114" s="199"/>
      <c r="G114" s="184"/>
      <c r="H114" s="184"/>
      <c r="I114" s="184"/>
      <c r="J114" s="184"/>
      <c r="K114" s="184"/>
      <c r="L114" s="199"/>
      <c r="M114" s="199"/>
      <c r="N114" s="184"/>
      <c r="O114" s="184"/>
      <c r="P114" s="184"/>
      <c r="Q114" s="184"/>
      <c r="R114" s="184"/>
      <c r="S114" s="199"/>
      <c r="T114" s="199"/>
      <c r="U114" s="184"/>
      <c r="V114" s="184"/>
      <c r="W114" s="184"/>
      <c r="X114" s="184"/>
      <c r="Y114" s="184"/>
      <c r="Z114" s="199"/>
      <c r="AA114" s="199"/>
      <c r="AB114" s="184"/>
      <c r="AC114" s="184"/>
      <c r="AD114" s="184"/>
      <c r="AE114" s="184"/>
      <c r="AF114" s="184"/>
      <c r="AG114" s="199"/>
      <c r="AH114" s="199"/>
      <c r="AI114" s="7"/>
      <c r="AJ114" s="73">
        <f t="shared" si="21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180">
        <v>0</v>
      </c>
      <c r="E115" s="198"/>
      <c r="F115" s="198"/>
      <c r="G115" s="180"/>
      <c r="H115" s="180"/>
      <c r="I115" s="180"/>
      <c r="J115" s="180"/>
      <c r="K115" s="180"/>
      <c r="L115" s="198"/>
      <c r="M115" s="198"/>
      <c r="N115" s="180"/>
      <c r="O115" s="180">
        <v>0</v>
      </c>
      <c r="P115" s="180"/>
      <c r="Q115" s="180">
        <v>0</v>
      </c>
      <c r="R115" s="180"/>
      <c r="S115" s="198"/>
      <c r="T115" s="198"/>
      <c r="U115" s="180"/>
      <c r="V115" s="180"/>
      <c r="W115" s="180"/>
      <c r="X115" s="180"/>
      <c r="Y115" s="180"/>
      <c r="Z115" s="198"/>
      <c r="AA115" s="198"/>
      <c r="AB115" s="180"/>
      <c r="AC115" s="180"/>
      <c r="AD115" s="180"/>
      <c r="AE115" s="180"/>
      <c r="AF115" s="180"/>
      <c r="AG115" s="198"/>
      <c r="AH115" s="198"/>
      <c r="AJ115" s="74">
        <f>SUM(D115:AH115)</f>
        <v>0</v>
      </c>
    </row>
    <row r="116" spans="2:36" ht="15.75" hidden="1" outlineLevel="1" thickTop="1" x14ac:dyDescent="0.25">
      <c r="B116" s="150"/>
      <c r="C116" s="1" t="s">
        <v>1</v>
      </c>
      <c r="D116" s="181"/>
      <c r="E116" s="198"/>
      <c r="F116" s="198"/>
      <c r="G116" s="181">
        <v>8</v>
      </c>
      <c r="H116" s="181"/>
      <c r="I116" s="181"/>
      <c r="J116" s="181"/>
      <c r="K116" s="181"/>
      <c r="L116" s="198"/>
      <c r="M116" s="198"/>
      <c r="N116" s="181"/>
      <c r="O116" s="181"/>
      <c r="P116" s="181"/>
      <c r="Q116" s="181"/>
      <c r="R116" s="181"/>
      <c r="S116" s="198"/>
      <c r="T116" s="198"/>
      <c r="U116" s="181"/>
      <c r="V116" s="181"/>
      <c r="W116" s="181"/>
      <c r="X116" s="181"/>
      <c r="Y116" s="181"/>
      <c r="Z116" s="198"/>
      <c r="AA116" s="198"/>
      <c r="AB116" s="181"/>
      <c r="AC116" s="181"/>
      <c r="AD116" s="181"/>
      <c r="AE116" s="181"/>
      <c r="AF116" s="181"/>
      <c r="AG116" s="198"/>
      <c r="AH116" s="198"/>
      <c r="AJ116" s="75">
        <f t="shared" ref="AJ116:AJ119" si="22">SUM(D116:AH116)</f>
        <v>8</v>
      </c>
    </row>
    <row r="117" spans="2:36" ht="15.75" hidden="1" outlineLevel="1" thickTop="1" x14ac:dyDescent="0.25">
      <c r="B117" s="151"/>
      <c r="C117" s="1" t="s">
        <v>2</v>
      </c>
      <c r="D117" s="182">
        <v>4</v>
      </c>
      <c r="E117" s="198"/>
      <c r="F117" s="198"/>
      <c r="G117" s="182"/>
      <c r="H117" s="182"/>
      <c r="I117" s="182"/>
      <c r="J117" s="182"/>
      <c r="K117" s="182"/>
      <c r="L117" s="198"/>
      <c r="M117" s="198"/>
      <c r="N117" s="182"/>
      <c r="O117" s="182"/>
      <c r="P117" s="182"/>
      <c r="Q117" s="182"/>
      <c r="R117" s="182"/>
      <c r="S117" s="198"/>
      <c r="T117" s="198"/>
      <c r="U117" s="182"/>
      <c r="V117" s="182"/>
      <c r="W117" s="182"/>
      <c r="X117" s="182"/>
      <c r="Y117" s="182"/>
      <c r="Z117" s="198"/>
      <c r="AA117" s="198"/>
      <c r="AB117" s="182"/>
      <c r="AC117" s="182"/>
      <c r="AD117" s="182"/>
      <c r="AE117" s="182"/>
      <c r="AF117" s="182"/>
      <c r="AG117" s="198"/>
      <c r="AH117" s="198"/>
      <c r="AJ117" s="76">
        <f t="shared" si="22"/>
        <v>4</v>
      </c>
    </row>
    <row r="118" spans="2:36" ht="15.75" hidden="1" outlineLevel="1" thickTop="1" x14ac:dyDescent="0.25">
      <c r="B118" s="151"/>
      <c r="C118" s="54" t="s">
        <v>77</v>
      </c>
      <c r="D118" s="183"/>
      <c r="E118" s="198"/>
      <c r="F118" s="198"/>
      <c r="G118" s="183"/>
      <c r="H118" s="183"/>
      <c r="I118" s="183"/>
      <c r="J118" s="183"/>
      <c r="K118" s="183"/>
      <c r="L118" s="198"/>
      <c r="M118" s="198"/>
      <c r="N118" s="183"/>
      <c r="O118" s="183"/>
      <c r="P118" s="183"/>
      <c r="Q118" s="183"/>
      <c r="R118" s="183"/>
      <c r="S118" s="198"/>
      <c r="T118" s="198"/>
      <c r="U118" s="183"/>
      <c r="V118" s="183"/>
      <c r="W118" s="183"/>
      <c r="X118" s="183"/>
      <c r="Y118" s="183"/>
      <c r="Z118" s="198"/>
      <c r="AA118" s="198"/>
      <c r="AB118" s="183"/>
      <c r="AC118" s="183"/>
      <c r="AD118" s="183"/>
      <c r="AE118" s="183"/>
      <c r="AF118" s="183"/>
      <c r="AG118" s="198"/>
      <c r="AH118" s="198"/>
      <c r="AJ118" s="77">
        <f t="shared" si="22"/>
        <v>0</v>
      </c>
    </row>
    <row r="119" spans="2:36" ht="16.5" hidden="1" outlineLevel="1" thickTop="1" thickBot="1" x14ac:dyDescent="0.3">
      <c r="B119" s="151"/>
      <c r="C119" s="9" t="s">
        <v>3</v>
      </c>
      <c r="D119" s="184"/>
      <c r="E119" s="199"/>
      <c r="F119" s="199"/>
      <c r="G119" s="184"/>
      <c r="H119" s="184"/>
      <c r="I119" s="184"/>
      <c r="J119" s="184"/>
      <c r="K119" s="184"/>
      <c r="L119" s="199"/>
      <c r="M119" s="199"/>
      <c r="N119" s="184"/>
      <c r="O119" s="177">
        <v>0.5</v>
      </c>
      <c r="P119" s="184"/>
      <c r="Q119" s="184"/>
      <c r="R119" s="184"/>
      <c r="S119" s="199"/>
      <c r="T119" s="199"/>
      <c r="U119" s="184"/>
      <c r="V119" s="184"/>
      <c r="W119" s="184"/>
      <c r="X119" s="184"/>
      <c r="Y119" s="184"/>
      <c r="Z119" s="199"/>
      <c r="AA119" s="199"/>
      <c r="AB119" s="184"/>
      <c r="AC119" s="184"/>
      <c r="AD119" s="184"/>
      <c r="AE119" s="184"/>
      <c r="AF119" s="184"/>
      <c r="AG119" s="199"/>
      <c r="AH119" s="199"/>
      <c r="AI119" s="7"/>
      <c r="AJ119" s="73">
        <f t="shared" si="22"/>
        <v>0.5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180"/>
      <c r="E120" s="198"/>
      <c r="F120" s="198"/>
      <c r="G120" s="180"/>
      <c r="H120" s="180"/>
      <c r="I120" s="180">
        <v>8</v>
      </c>
      <c r="J120" s="180"/>
      <c r="K120" s="180"/>
      <c r="L120" s="198"/>
      <c r="M120" s="198"/>
      <c r="N120" s="180"/>
      <c r="O120" s="180"/>
      <c r="P120" s="180">
        <v>0</v>
      </c>
      <c r="Q120" s="180"/>
      <c r="R120" s="180"/>
      <c r="S120" s="198"/>
      <c r="T120" s="198"/>
      <c r="U120" s="180"/>
      <c r="V120" s="180"/>
      <c r="W120" s="180"/>
      <c r="X120" s="180"/>
      <c r="Y120" s="180"/>
      <c r="Z120" s="198"/>
      <c r="AA120" s="198"/>
      <c r="AB120" s="180"/>
      <c r="AC120" s="180"/>
      <c r="AD120" s="180"/>
      <c r="AE120" s="180"/>
      <c r="AF120" s="180"/>
      <c r="AG120" s="198"/>
      <c r="AH120" s="198"/>
      <c r="AJ120" s="74">
        <f>SUM(D120:AH120)</f>
        <v>8</v>
      </c>
    </row>
    <row r="121" spans="2:36" ht="15.75" hidden="1" outlineLevel="1" thickTop="1" x14ac:dyDescent="0.25">
      <c r="B121" s="150"/>
      <c r="C121" s="1" t="s">
        <v>1</v>
      </c>
      <c r="D121" s="181"/>
      <c r="E121" s="198"/>
      <c r="F121" s="198"/>
      <c r="G121" s="181"/>
      <c r="H121" s="181"/>
      <c r="I121" s="181"/>
      <c r="J121" s="181"/>
      <c r="K121" s="181"/>
      <c r="L121" s="198"/>
      <c r="M121" s="198"/>
      <c r="N121" s="181"/>
      <c r="O121" s="181"/>
      <c r="P121" s="181">
        <v>8</v>
      </c>
      <c r="Q121" s="181"/>
      <c r="R121" s="181"/>
      <c r="S121" s="198"/>
      <c r="T121" s="198"/>
      <c r="U121" s="181"/>
      <c r="V121" s="181"/>
      <c r="W121" s="181"/>
      <c r="X121" s="181"/>
      <c r="Y121" s="181"/>
      <c r="Z121" s="198"/>
      <c r="AA121" s="198"/>
      <c r="AB121" s="181"/>
      <c r="AC121" s="181"/>
      <c r="AD121" s="181"/>
      <c r="AE121" s="181"/>
      <c r="AF121" s="181"/>
      <c r="AG121" s="198"/>
      <c r="AH121" s="198"/>
      <c r="AJ121" s="75">
        <f t="shared" ref="AJ121:AJ124" si="23">SUM(D121:AH121)</f>
        <v>8</v>
      </c>
    </row>
    <row r="122" spans="2:36" ht="15.75" hidden="1" outlineLevel="1" thickTop="1" x14ac:dyDescent="0.25">
      <c r="B122" s="151"/>
      <c r="C122" s="1" t="s">
        <v>2</v>
      </c>
      <c r="D122" s="182"/>
      <c r="E122" s="198"/>
      <c r="F122" s="198"/>
      <c r="G122" s="182"/>
      <c r="H122" s="182"/>
      <c r="I122" s="182"/>
      <c r="J122" s="182"/>
      <c r="K122" s="182"/>
      <c r="L122" s="198"/>
      <c r="M122" s="198"/>
      <c r="N122" s="182"/>
      <c r="O122" s="182"/>
      <c r="P122" s="182"/>
      <c r="Q122" s="182"/>
      <c r="R122" s="182"/>
      <c r="S122" s="198"/>
      <c r="T122" s="198"/>
      <c r="U122" s="182"/>
      <c r="V122" s="182"/>
      <c r="W122" s="182"/>
      <c r="X122" s="182"/>
      <c r="Y122" s="182"/>
      <c r="Z122" s="198"/>
      <c r="AA122" s="198"/>
      <c r="AB122" s="182"/>
      <c r="AC122" s="182"/>
      <c r="AD122" s="182"/>
      <c r="AE122" s="182"/>
      <c r="AF122" s="182"/>
      <c r="AG122" s="198"/>
      <c r="AH122" s="198"/>
      <c r="AJ122" s="76">
        <f t="shared" si="23"/>
        <v>0</v>
      </c>
    </row>
    <row r="123" spans="2:36" ht="15.75" hidden="1" outlineLevel="1" thickTop="1" x14ac:dyDescent="0.25">
      <c r="B123" s="151"/>
      <c r="C123" s="54" t="s">
        <v>77</v>
      </c>
      <c r="D123" s="183"/>
      <c r="E123" s="198"/>
      <c r="F123" s="198"/>
      <c r="G123" s="183"/>
      <c r="H123" s="183"/>
      <c r="I123" s="183"/>
      <c r="J123" s="183"/>
      <c r="K123" s="183"/>
      <c r="L123" s="198"/>
      <c r="M123" s="198"/>
      <c r="N123" s="183"/>
      <c r="O123" s="183"/>
      <c r="P123" s="183"/>
      <c r="Q123" s="183"/>
      <c r="R123" s="183"/>
      <c r="S123" s="198"/>
      <c r="T123" s="198"/>
      <c r="U123" s="183"/>
      <c r="V123" s="183"/>
      <c r="W123" s="183"/>
      <c r="X123" s="183"/>
      <c r="Y123" s="183"/>
      <c r="Z123" s="198"/>
      <c r="AA123" s="198"/>
      <c r="AB123" s="183"/>
      <c r="AC123" s="183"/>
      <c r="AD123" s="183"/>
      <c r="AE123" s="183"/>
      <c r="AF123" s="183"/>
      <c r="AG123" s="198"/>
      <c r="AH123" s="198"/>
      <c r="AJ123" s="77">
        <f t="shared" si="23"/>
        <v>0</v>
      </c>
    </row>
    <row r="124" spans="2:36" ht="16.5" hidden="1" outlineLevel="1" thickTop="1" thickBot="1" x14ac:dyDescent="0.3">
      <c r="B124" s="151"/>
      <c r="C124" s="9" t="s">
        <v>3</v>
      </c>
      <c r="D124" s="184"/>
      <c r="E124" s="199"/>
      <c r="F124" s="199"/>
      <c r="G124" s="184"/>
      <c r="H124" s="184"/>
      <c r="I124" s="184"/>
      <c r="J124" s="184"/>
      <c r="K124" s="184"/>
      <c r="L124" s="199"/>
      <c r="M124" s="199"/>
      <c r="N124" s="184"/>
      <c r="O124" s="184"/>
      <c r="P124" s="184"/>
      <c r="Q124" s="184"/>
      <c r="R124" s="184"/>
      <c r="S124" s="199"/>
      <c r="T124" s="199"/>
      <c r="U124" s="184"/>
      <c r="V124" s="184"/>
      <c r="W124" s="184"/>
      <c r="X124" s="184"/>
      <c r="Y124" s="184"/>
      <c r="Z124" s="199"/>
      <c r="AA124" s="199"/>
      <c r="AB124" s="184"/>
      <c r="AC124" s="184"/>
      <c r="AD124" s="184"/>
      <c r="AE124" s="177">
        <v>0.5</v>
      </c>
      <c r="AF124" s="184"/>
      <c r="AG124" s="199"/>
      <c r="AH124" s="199"/>
      <c r="AI124" s="7"/>
      <c r="AJ124" s="73">
        <f t="shared" si="23"/>
        <v>0.5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180"/>
      <c r="E125" s="198"/>
      <c r="F125" s="198"/>
      <c r="G125" s="180"/>
      <c r="H125" s="180">
        <v>8</v>
      </c>
      <c r="I125" s="180">
        <v>3</v>
      </c>
      <c r="J125" s="180"/>
      <c r="K125" s="180"/>
      <c r="L125" s="198"/>
      <c r="M125" s="198"/>
      <c r="N125" s="180"/>
      <c r="O125" s="180">
        <v>0</v>
      </c>
      <c r="P125" s="180"/>
      <c r="Q125" s="180"/>
      <c r="R125" s="180"/>
      <c r="S125" s="198"/>
      <c r="T125" s="198"/>
      <c r="U125" s="180"/>
      <c r="V125" s="180"/>
      <c r="W125" s="180"/>
      <c r="X125" s="180"/>
      <c r="Y125" s="180"/>
      <c r="Z125" s="198"/>
      <c r="AA125" s="198"/>
      <c r="AB125" s="180">
        <v>0</v>
      </c>
      <c r="AC125" s="180"/>
      <c r="AD125" s="180"/>
      <c r="AE125" s="180"/>
      <c r="AF125" s="180">
        <v>8</v>
      </c>
      <c r="AG125" s="198"/>
      <c r="AH125" s="198"/>
      <c r="AJ125" s="74">
        <f>SUM(D125:AH125)</f>
        <v>19</v>
      </c>
    </row>
    <row r="126" spans="2:36" ht="15.75" hidden="1" outlineLevel="1" thickTop="1" x14ac:dyDescent="0.25">
      <c r="B126" s="150"/>
      <c r="C126" s="1" t="s">
        <v>1</v>
      </c>
      <c r="D126" s="181"/>
      <c r="E126" s="198"/>
      <c r="F126" s="198"/>
      <c r="G126" s="181"/>
      <c r="H126" s="181"/>
      <c r="I126" s="181"/>
      <c r="J126" s="181"/>
      <c r="K126" s="181"/>
      <c r="L126" s="198"/>
      <c r="M126" s="198"/>
      <c r="N126" s="181"/>
      <c r="O126" s="181"/>
      <c r="P126" s="181"/>
      <c r="Q126" s="181"/>
      <c r="R126" s="181"/>
      <c r="S126" s="198"/>
      <c r="T126" s="198"/>
      <c r="U126" s="181"/>
      <c r="V126" s="181"/>
      <c r="W126" s="181"/>
      <c r="X126" s="181"/>
      <c r="Y126" s="181"/>
      <c r="Z126" s="198"/>
      <c r="AA126" s="198"/>
      <c r="AB126" s="181"/>
      <c r="AC126" s="181"/>
      <c r="AD126" s="181"/>
      <c r="AE126" s="181"/>
      <c r="AF126" s="181"/>
      <c r="AG126" s="198"/>
      <c r="AH126" s="198"/>
      <c r="AJ126" s="75">
        <f t="shared" ref="AJ126:AJ130" si="24">SUM(D126:AH126)</f>
        <v>0</v>
      </c>
    </row>
    <row r="127" spans="2:36" ht="15.75" hidden="1" outlineLevel="1" thickTop="1" x14ac:dyDescent="0.25">
      <c r="B127" s="151"/>
      <c r="C127" s="1" t="s">
        <v>2</v>
      </c>
      <c r="D127" s="182"/>
      <c r="E127" s="198"/>
      <c r="F127" s="198"/>
      <c r="G127" s="182"/>
      <c r="H127" s="182"/>
      <c r="I127" s="182"/>
      <c r="J127" s="182"/>
      <c r="K127" s="182"/>
      <c r="L127" s="198"/>
      <c r="M127" s="198"/>
      <c r="N127" s="182"/>
      <c r="O127" s="182"/>
      <c r="P127" s="182"/>
      <c r="Q127" s="182"/>
      <c r="R127" s="182"/>
      <c r="S127" s="198"/>
      <c r="T127" s="198"/>
      <c r="U127" s="182"/>
      <c r="V127" s="182"/>
      <c r="W127" s="182"/>
      <c r="X127" s="182"/>
      <c r="Y127" s="182"/>
      <c r="Z127" s="198"/>
      <c r="AA127" s="198"/>
      <c r="AB127" s="182"/>
      <c r="AC127" s="182"/>
      <c r="AD127" s="182"/>
      <c r="AE127" s="182"/>
      <c r="AF127" s="182"/>
      <c r="AG127" s="198"/>
      <c r="AH127" s="198"/>
      <c r="AJ127" s="76">
        <f t="shared" si="24"/>
        <v>0</v>
      </c>
    </row>
    <row r="128" spans="2:36" ht="15.75" hidden="1" outlineLevel="1" thickTop="1" x14ac:dyDescent="0.25">
      <c r="B128" s="151"/>
      <c r="C128" s="54" t="s">
        <v>77</v>
      </c>
      <c r="D128" s="183"/>
      <c r="E128" s="198"/>
      <c r="F128" s="198"/>
      <c r="G128" s="183"/>
      <c r="H128" s="183"/>
      <c r="I128" s="183"/>
      <c r="J128" s="183"/>
      <c r="K128" s="183"/>
      <c r="L128" s="198"/>
      <c r="M128" s="198"/>
      <c r="N128" s="183"/>
      <c r="O128" s="183"/>
      <c r="P128" s="183"/>
      <c r="Q128" s="183"/>
      <c r="R128" s="183"/>
      <c r="S128" s="198"/>
      <c r="T128" s="198"/>
      <c r="U128" s="183"/>
      <c r="V128" s="183"/>
      <c r="W128" s="183"/>
      <c r="X128" s="183"/>
      <c r="Y128" s="183"/>
      <c r="Z128" s="198"/>
      <c r="AA128" s="198"/>
      <c r="AB128" s="183">
        <v>2</v>
      </c>
      <c r="AC128" s="183"/>
      <c r="AD128" s="183"/>
      <c r="AE128" s="183"/>
      <c r="AF128" s="183"/>
      <c r="AG128" s="198"/>
      <c r="AH128" s="198"/>
      <c r="AJ128" s="77">
        <f t="shared" si="24"/>
        <v>2</v>
      </c>
    </row>
    <row r="129" spans="2:36" ht="16.5" hidden="1" outlineLevel="1" thickTop="1" thickBot="1" x14ac:dyDescent="0.3">
      <c r="B129" s="151"/>
      <c r="C129" s="9" t="s">
        <v>3</v>
      </c>
      <c r="D129" s="184"/>
      <c r="E129" s="199"/>
      <c r="F129" s="199"/>
      <c r="G129" s="184"/>
      <c r="H129" s="184"/>
      <c r="I129" s="184"/>
      <c r="J129" s="184"/>
      <c r="K129" s="184"/>
      <c r="L129" s="199"/>
      <c r="M129" s="199"/>
      <c r="N129" s="184"/>
      <c r="O129" s="177">
        <v>0.5</v>
      </c>
      <c r="P129" s="184"/>
      <c r="Q129" s="184"/>
      <c r="R129" s="184"/>
      <c r="S129" s="199"/>
      <c r="T129" s="199"/>
      <c r="U129" s="184"/>
      <c r="V129" s="184"/>
      <c r="W129" s="184"/>
      <c r="X129" s="184"/>
      <c r="Y129" s="184"/>
      <c r="Z129" s="199"/>
      <c r="AA129" s="199"/>
      <c r="AB129" s="184"/>
      <c r="AC129" s="184"/>
      <c r="AD129" s="184"/>
      <c r="AE129" s="184"/>
      <c r="AF129" s="184"/>
      <c r="AG129" s="199"/>
      <c r="AH129" s="199"/>
      <c r="AI129" s="7"/>
      <c r="AJ129" s="73">
        <f t="shared" si="24"/>
        <v>0.5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180"/>
      <c r="E130" s="198"/>
      <c r="F130" s="198"/>
      <c r="G130" s="180"/>
      <c r="H130" s="180"/>
      <c r="I130" s="180"/>
      <c r="J130" s="180"/>
      <c r="K130" s="180"/>
      <c r="L130" s="198"/>
      <c r="M130" s="198"/>
      <c r="N130" s="180"/>
      <c r="O130" s="180"/>
      <c r="P130" s="180"/>
      <c r="Q130" s="180"/>
      <c r="R130" s="180">
        <v>8</v>
      </c>
      <c r="S130" s="198"/>
      <c r="T130" s="198"/>
      <c r="U130" s="180"/>
      <c r="V130" s="180"/>
      <c r="W130" s="180"/>
      <c r="X130" s="180"/>
      <c r="Y130" s="180">
        <v>0</v>
      </c>
      <c r="Z130" s="198"/>
      <c r="AA130" s="198"/>
      <c r="AB130" s="180"/>
      <c r="AC130" s="180"/>
      <c r="AD130" s="180"/>
      <c r="AE130" s="180"/>
      <c r="AF130" s="180"/>
      <c r="AG130" s="198"/>
      <c r="AH130" s="198"/>
      <c r="AJ130" s="74">
        <f t="shared" si="24"/>
        <v>8</v>
      </c>
    </row>
    <row r="131" spans="2:36" ht="15.75" hidden="1" outlineLevel="1" thickTop="1" x14ac:dyDescent="0.25">
      <c r="B131" s="150"/>
      <c r="C131" s="1" t="s">
        <v>1</v>
      </c>
      <c r="D131" s="181"/>
      <c r="E131" s="198"/>
      <c r="F131" s="198"/>
      <c r="G131" s="181"/>
      <c r="H131" s="181"/>
      <c r="I131" s="181"/>
      <c r="J131" s="181"/>
      <c r="K131" s="181"/>
      <c r="L131" s="198"/>
      <c r="M131" s="198"/>
      <c r="N131" s="181"/>
      <c r="O131" s="181"/>
      <c r="P131" s="181"/>
      <c r="Q131" s="181"/>
      <c r="R131" s="181"/>
      <c r="S131" s="198"/>
      <c r="T131" s="198"/>
      <c r="U131" s="181"/>
      <c r="V131" s="181"/>
      <c r="W131" s="181"/>
      <c r="X131" s="181"/>
      <c r="Y131" s="181"/>
      <c r="Z131" s="198"/>
      <c r="AA131" s="198"/>
      <c r="AB131" s="181"/>
      <c r="AC131" s="181"/>
      <c r="AD131" s="181"/>
      <c r="AE131" s="181"/>
      <c r="AF131" s="181"/>
      <c r="AG131" s="198"/>
      <c r="AH131" s="198"/>
      <c r="AJ131" s="75">
        <f t="shared" ref="AJ131:AJ134" si="25">SUM(D131:AH131)</f>
        <v>0</v>
      </c>
    </row>
    <row r="132" spans="2:36" ht="15.75" hidden="1" outlineLevel="1" thickTop="1" x14ac:dyDescent="0.25">
      <c r="B132" s="151"/>
      <c r="C132" s="1" t="s">
        <v>2</v>
      </c>
      <c r="D132" s="182"/>
      <c r="E132" s="198"/>
      <c r="F132" s="198"/>
      <c r="G132" s="182"/>
      <c r="H132" s="182"/>
      <c r="I132" s="182"/>
      <c r="J132" s="182"/>
      <c r="K132" s="182"/>
      <c r="L132" s="198"/>
      <c r="M132" s="198"/>
      <c r="N132" s="182"/>
      <c r="O132" s="182"/>
      <c r="P132" s="182"/>
      <c r="Q132" s="182"/>
      <c r="R132" s="182"/>
      <c r="S132" s="198"/>
      <c r="T132" s="198"/>
      <c r="U132" s="182"/>
      <c r="V132" s="182"/>
      <c r="W132" s="182"/>
      <c r="X132" s="182"/>
      <c r="Y132" s="182"/>
      <c r="Z132" s="198"/>
      <c r="AA132" s="198"/>
      <c r="AB132" s="182"/>
      <c r="AC132" s="182"/>
      <c r="AD132" s="182"/>
      <c r="AE132" s="182"/>
      <c r="AF132" s="182"/>
      <c r="AG132" s="198"/>
      <c r="AH132" s="198"/>
      <c r="AJ132" s="76">
        <f t="shared" si="25"/>
        <v>0</v>
      </c>
    </row>
    <row r="133" spans="2:36" ht="15.75" hidden="1" outlineLevel="1" thickTop="1" x14ac:dyDescent="0.25">
      <c r="B133" s="151"/>
      <c r="C133" s="54" t="s">
        <v>77</v>
      </c>
      <c r="D133" s="183"/>
      <c r="E133" s="198"/>
      <c r="F133" s="198"/>
      <c r="G133" s="183"/>
      <c r="H133" s="183"/>
      <c r="I133" s="183"/>
      <c r="J133" s="183"/>
      <c r="K133" s="183"/>
      <c r="L133" s="198"/>
      <c r="M133" s="198"/>
      <c r="N133" s="183"/>
      <c r="O133" s="183"/>
      <c r="P133" s="183"/>
      <c r="Q133" s="183"/>
      <c r="R133" s="183"/>
      <c r="S133" s="198"/>
      <c r="T133" s="198"/>
      <c r="U133" s="183"/>
      <c r="V133" s="183"/>
      <c r="W133" s="183"/>
      <c r="X133" s="183"/>
      <c r="Y133" s="183"/>
      <c r="Z133" s="198"/>
      <c r="AA133" s="198"/>
      <c r="AB133" s="183"/>
      <c r="AC133" s="183"/>
      <c r="AD133" s="183"/>
      <c r="AE133" s="183"/>
      <c r="AF133" s="183"/>
      <c r="AG133" s="198"/>
      <c r="AH133" s="198"/>
      <c r="AJ133" s="77">
        <f t="shared" si="25"/>
        <v>0</v>
      </c>
    </row>
    <row r="134" spans="2:36" ht="16.5" hidden="1" outlineLevel="1" thickTop="1" thickBot="1" x14ac:dyDescent="0.3">
      <c r="B134" s="151"/>
      <c r="C134" s="9" t="s">
        <v>3</v>
      </c>
      <c r="D134" s="184"/>
      <c r="E134" s="199"/>
      <c r="F134" s="199"/>
      <c r="G134" s="184"/>
      <c r="H134" s="184"/>
      <c r="I134" s="184"/>
      <c r="J134" s="184"/>
      <c r="K134" s="184"/>
      <c r="L134" s="199"/>
      <c r="M134" s="199"/>
      <c r="N134" s="184"/>
      <c r="O134" s="184"/>
      <c r="P134" s="184"/>
      <c r="Q134" s="184"/>
      <c r="R134" s="184"/>
      <c r="S134" s="199"/>
      <c r="T134" s="199"/>
      <c r="U134" s="184"/>
      <c r="V134" s="184"/>
      <c r="W134" s="184"/>
      <c r="X134" s="184"/>
      <c r="Y134" s="184"/>
      <c r="Z134" s="199"/>
      <c r="AA134" s="199"/>
      <c r="AB134" s="184"/>
      <c r="AC134" s="184"/>
      <c r="AD134" s="184"/>
      <c r="AE134" s="184"/>
      <c r="AF134" s="184"/>
      <c r="AG134" s="199"/>
      <c r="AH134" s="199"/>
      <c r="AI134" s="7"/>
      <c r="AJ134" s="73">
        <f t="shared" si="25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180"/>
      <c r="E135" s="198"/>
      <c r="F135" s="198"/>
      <c r="G135" s="180"/>
      <c r="H135" s="180"/>
      <c r="I135" s="180"/>
      <c r="J135" s="180"/>
      <c r="K135" s="180"/>
      <c r="L135" s="198"/>
      <c r="M135" s="198"/>
      <c r="N135" s="180"/>
      <c r="O135" s="180"/>
      <c r="P135" s="180"/>
      <c r="Q135" s="180"/>
      <c r="R135" s="180"/>
      <c r="S135" s="198"/>
      <c r="T135" s="198"/>
      <c r="U135" s="180"/>
      <c r="V135" s="180">
        <v>0</v>
      </c>
      <c r="W135" s="180">
        <v>0</v>
      </c>
      <c r="X135" s="180">
        <v>0</v>
      </c>
      <c r="Y135" s="180">
        <v>0</v>
      </c>
      <c r="Z135" s="198"/>
      <c r="AA135" s="198"/>
      <c r="AB135" s="180"/>
      <c r="AC135" s="180"/>
      <c r="AD135" s="180"/>
      <c r="AE135" s="180"/>
      <c r="AF135" s="180"/>
      <c r="AG135" s="198"/>
      <c r="AH135" s="198"/>
      <c r="AJ135" s="74">
        <f>SUM(D135:AH135)</f>
        <v>0</v>
      </c>
    </row>
    <row r="136" spans="2:36" ht="15.75" hidden="1" outlineLevel="1" thickTop="1" x14ac:dyDescent="0.25">
      <c r="B136" s="150"/>
      <c r="C136" s="1" t="s">
        <v>1</v>
      </c>
      <c r="D136" s="181"/>
      <c r="E136" s="198"/>
      <c r="F136" s="198"/>
      <c r="G136" s="181"/>
      <c r="H136" s="181"/>
      <c r="I136" s="181"/>
      <c r="J136" s="181"/>
      <c r="K136" s="181"/>
      <c r="L136" s="198"/>
      <c r="M136" s="198"/>
      <c r="N136" s="181"/>
      <c r="O136" s="181"/>
      <c r="P136" s="181"/>
      <c r="Q136" s="181"/>
      <c r="R136" s="181"/>
      <c r="S136" s="198"/>
      <c r="T136" s="198"/>
      <c r="U136" s="181"/>
      <c r="V136" s="181">
        <v>8</v>
      </c>
      <c r="W136" s="181">
        <v>8</v>
      </c>
      <c r="X136" s="181">
        <v>8</v>
      </c>
      <c r="Y136" s="181">
        <v>8</v>
      </c>
      <c r="Z136" s="198"/>
      <c r="AA136" s="198"/>
      <c r="AB136" s="181"/>
      <c r="AC136" s="181"/>
      <c r="AD136" s="181"/>
      <c r="AE136" s="181"/>
      <c r="AF136" s="181"/>
      <c r="AG136" s="198"/>
      <c r="AH136" s="198"/>
      <c r="AJ136" s="75">
        <f t="shared" ref="AJ136:AJ139" si="26">SUM(D136:AH136)</f>
        <v>32</v>
      </c>
    </row>
    <row r="137" spans="2:36" ht="15.75" hidden="1" outlineLevel="1" thickTop="1" x14ac:dyDescent="0.25">
      <c r="B137" s="151"/>
      <c r="C137" s="1" t="s">
        <v>2</v>
      </c>
      <c r="D137" s="182"/>
      <c r="E137" s="198"/>
      <c r="F137" s="198"/>
      <c r="G137" s="182"/>
      <c r="H137" s="182"/>
      <c r="I137" s="182"/>
      <c r="J137" s="182"/>
      <c r="K137" s="182"/>
      <c r="L137" s="198"/>
      <c r="M137" s="198"/>
      <c r="N137" s="182"/>
      <c r="O137" s="182"/>
      <c r="P137" s="182"/>
      <c r="Q137" s="182"/>
      <c r="R137" s="182"/>
      <c r="S137" s="198"/>
      <c r="T137" s="198"/>
      <c r="U137" s="182"/>
      <c r="V137" s="182"/>
      <c r="W137" s="182"/>
      <c r="X137" s="182"/>
      <c r="Y137" s="182"/>
      <c r="Z137" s="198"/>
      <c r="AA137" s="198"/>
      <c r="AB137" s="182"/>
      <c r="AC137" s="182"/>
      <c r="AD137" s="182"/>
      <c r="AE137" s="182"/>
      <c r="AF137" s="182"/>
      <c r="AG137" s="198"/>
      <c r="AH137" s="198"/>
      <c r="AJ137" s="76">
        <f t="shared" si="26"/>
        <v>0</v>
      </c>
    </row>
    <row r="138" spans="2:36" ht="15.75" hidden="1" outlineLevel="1" thickTop="1" x14ac:dyDescent="0.25">
      <c r="B138" s="151"/>
      <c r="C138" s="54" t="s">
        <v>77</v>
      </c>
      <c r="D138" s="183"/>
      <c r="E138" s="198"/>
      <c r="F138" s="198"/>
      <c r="G138" s="183"/>
      <c r="H138" s="183"/>
      <c r="I138" s="183"/>
      <c r="J138" s="183"/>
      <c r="K138" s="183"/>
      <c r="L138" s="198"/>
      <c r="M138" s="198"/>
      <c r="N138" s="183"/>
      <c r="O138" s="183"/>
      <c r="P138" s="183"/>
      <c r="Q138" s="183"/>
      <c r="R138" s="183"/>
      <c r="S138" s="198"/>
      <c r="T138" s="198"/>
      <c r="U138" s="183"/>
      <c r="V138" s="183"/>
      <c r="W138" s="183"/>
      <c r="X138" s="183"/>
      <c r="Y138" s="183"/>
      <c r="Z138" s="198"/>
      <c r="AA138" s="198"/>
      <c r="AB138" s="183"/>
      <c r="AC138" s="183"/>
      <c r="AD138" s="183"/>
      <c r="AE138" s="183"/>
      <c r="AF138" s="183"/>
      <c r="AG138" s="198"/>
      <c r="AH138" s="198"/>
      <c r="AJ138" s="77">
        <f t="shared" si="26"/>
        <v>0</v>
      </c>
    </row>
    <row r="139" spans="2:36" ht="16.5" hidden="1" outlineLevel="1" thickTop="1" thickBot="1" x14ac:dyDescent="0.3">
      <c r="B139" s="151"/>
      <c r="C139" s="9" t="s">
        <v>3</v>
      </c>
      <c r="D139" s="184"/>
      <c r="E139" s="199"/>
      <c r="F139" s="199"/>
      <c r="G139" s="184"/>
      <c r="H139" s="184"/>
      <c r="I139" s="184"/>
      <c r="J139" s="184"/>
      <c r="K139" s="184"/>
      <c r="L139" s="199"/>
      <c r="M139" s="199"/>
      <c r="N139" s="184"/>
      <c r="O139" s="184"/>
      <c r="P139" s="184"/>
      <c r="Q139" s="184"/>
      <c r="R139" s="184"/>
      <c r="S139" s="199"/>
      <c r="T139" s="199"/>
      <c r="U139" s="184"/>
      <c r="V139" s="184"/>
      <c r="W139" s="184"/>
      <c r="X139" s="184"/>
      <c r="Y139" s="184"/>
      <c r="Z139" s="199"/>
      <c r="AA139" s="199"/>
      <c r="AB139" s="184"/>
      <c r="AC139" s="184"/>
      <c r="AD139" s="184"/>
      <c r="AE139" s="184"/>
      <c r="AF139" s="184"/>
      <c r="AG139" s="199"/>
      <c r="AH139" s="199"/>
      <c r="AI139" s="7"/>
      <c r="AJ139" s="73">
        <f t="shared" si="26"/>
        <v>0</v>
      </c>
    </row>
    <row r="140" spans="2:36" ht="16.5" collapsed="1" thickTop="1" thickBot="1" x14ac:dyDescent="0.3">
      <c r="B140" s="149" t="str">
        <f>'Hours Scheduled'!B31</f>
        <v>Thom van Bodegraven</v>
      </c>
      <c r="C140" t="s">
        <v>0</v>
      </c>
      <c r="D140" s="180"/>
      <c r="E140" s="198"/>
      <c r="F140" s="198"/>
      <c r="G140" s="180"/>
      <c r="H140" s="249"/>
      <c r="I140" s="180"/>
      <c r="J140" s="249"/>
      <c r="K140" s="180"/>
      <c r="L140" s="198"/>
      <c r="M140" s="198"/>
      <c r="N140" s="180"/>
      <c r="O140" s="249"/>
      <c r="P140" s="180"/>
      <c r="Q140" s="249"/>
      <c r="R140" s="180"/>
      <c r="S140" s="198"/>
      <c r="T140" s="198"/>
      <c r="U140" s="180"/>
      <c r="V140" s="249"/>
      <c r="W140" s="180"/>
      <c r="X140" s="249"/>
      <c r="Y140" s="180"/>
      <c r="Z140" s="198"/>
      <c r="AA140" s="198"/>
      <c r="AB140" s="180">
        <v>0</v>
      </c>
      <c r="AC140" s="249">
        <v>0</v>
      </c>
      <c r="AD140" s="180"/>
      <c r="AE140" s="249"/>
      <c r="AF140" s="180">
        <v>8</v>
      </c>
      <c r="AG140" s="198"/>
      <c r="AH140" s="198"/>
      <c r="AI140" s="97"/>
      <c r="AJ140" s="172">
        <f>SUM(D140:AH140)</f>
        <v>8</v>
      </c>
    </row>
    <row r="141" spans="2:36" ht="15.75" hidden="1" outlineLevel="1" thickTop="1" x14ac:dyDescent="0.25">
      <c r="B141" s="150"/>
      <c r="C141" s="1" t="s">
        <v>1</v>
      </c>
      <c r="D141" s="181"/>
      <c r="E141" s="198"/>
      <c r="F141" s="198"/>
      <c r="G141" s="181"/>
      <c r="H141" s="181"/>
      <c r="I141" s="181"/>
      <c r="J141" s="181"/>
      <c r="K141" s="181"/>
      <c r="L141" s="198"/>
      <c r="M141" s="198"/>
      <c r="N141" s="181"/>
      <c r="O141" s="181"/>
      <c r="P141" s="181"/>
      <c r="Q141" s="181"/>
      <c r="R141" s="181"/>
      <c r="S141" s="198"/>
      <c r="T141" s="198"/>
      <c r="U141" s="181"/>
      <c r="V141" s="181"/>
      <c r="W141" s="181"/>
      <c r="X141" s="181"/>
      <c r="Y141" s="181"/>
      <c r="Z141" s="198"/>
      <c r="AA141" s="198"/>
      <c r="AB141" s="181">
        <v>4</v>
      </c>
      <c r="AC141" s="181"/>
      <c r="AD141" s="181"/>
      <c r="AE141" s="181"/>
      <c r="AF141" s="181"/>
      <c r="AG141" s="198"/>
      <c r="AH141" s="198"/>
      <c r="AI141" s="97"/>
      <c r="AJ141" s="174">
        <f t="shared" ref="AJ141:AJ144" si="27">SUM(D141:AH141)</f>
        <v>4</v>
      </c>
    </row>
    <row r="142" spans="2:36" ht="15.75" hidden="1" outlineLevel="1" thickTop="1" x14ac:dyDescent="0.25">
      <c r="B142" s="151"/>
      <c r="C142" s="1" t="s">
        <v>2</v>
      </c>
      <c r="D142" s="182"/>
      <c r="E142" s="198"/>
      <c r="F142" s="198"/>
      <c r="G142" s="182"/>
      <c r="H142" s="182"/>
      <c r="I142" s="182"/>
      <c r="J142" s="182"/>
      <c r="K142" s="182"/>
      <c r="L142" s="198"/>
      <c r="M142" s="198"/>
      <c r="N142" s="182"/>
      <c r="O142" s="182"/>
      <c r="P142" s="182"/>
      <c r="Q142" s="182"/>
      <c r="R142" s="182"/>
      <c r="S142" s="198"/>
      <c r="T142" s="198"/>
      <c r="U142" s="182"/>
      <c r="V142" s="182"/>
      <c r="W142" s="182"/>
      <c r="X142" s="182"/>
      <c r="Y142" s="182"/>
      <c r="Z142" s="198"/>
      <c r="AA142" s="198"/>
      <c r="AB142" s="182"/>
      <c r="AC142" s="182"/>
      <c r="AD142" s="182"/>
      <c r="AE142" s="182"/>
      <c r="AF142" s="182"/>
      <c r="AG142" s="198"/>
      <c r="AH142" s="198"/>
      <c r="AI142" s="97"/>
      <c r="AJ142" s="175">
        <f t="shared" si="27"/>
        <v>0</v>
      </c>
    </row>
    <row r="143" spans="2:36" ht="15.75" hidden="1" outlineLevel="1" thickTop="1" x14ac:dyDescent="0.25">
      <c r="B143" s="151"/>
      <c r="C143" s="54" t="s">
        <v>77</v>
      </c>
      <c r="D143" s="183"/>
      <c r="E143" s="198"/>
      <c r="F143" s="198"/>
      <c r="G143" s="183"/>
      <c r="H143" s="183"/>
      <c r="I143" s="183"/>
      <c r="J143" s="183"/>
      <c r="K143" s="183"/>
      <c r="L143" s="198"/>
      <c r="M143" s="198"/>
      <c r="N143" s="183"/>
      <c r="O143" s="183"/>
      <c r="P143" s="183"/>
      <c r="Q143" s="183"/>
      <c r="R143" s="183"/>
      <c r="S143" s="198"/>
      <c r="T143" s="198"/>
      <c r="U143" s="183"/>
      <c r="V143" s="183"/>
      <c r="W143" s="183"/>
      <c r="X143" s="183"/>
      <c r="Y143" s="183"/>
      <c r="Z143" s="198"/>
      <c r="AA143" s="198"/>
      <c r="AB143" s="183"/>
      <c r="AC143" s="183">
        <v>1</v>
      </c>
      <c r="AD143" s="183"/>
      <c r="AE143" s="183"/>
      <c r="AF143" s="183"/>
      <c r="AG143" s="198"/>
      <c r="AH143" s="198"/>
      <c r="AI143" s="97"/>
      <c r="AJ143" s="176">
        <f t="shared" si="27"/>
        <v>1</v>
      </c>
    </row>
    <row r="144" spans="2:36" ht="16.5" hidden="1" outlineLevel="1" thickTop="1" thickBot="1" x14ac:dyDescent="0.3">
      <c r="B144" s="151"/>
      <c r="C144" s="9" t="s">
        <v>3</v>
      </c>
      <c r="D144" s="184"/>
      <c r="E144" s="199"/>
      <c r="F144" s="199"/>
      <c r="G144" s="184"/>
      <c r="H144" s="184"/>
      <c r="I144" s="184"/>
      <c r="J144" s="184"/>
      <c r="K144" s="184"/>
      <c r="L144" s="199"/>
      <c r="M144" s="199"/>
      <c r="N144" s="184"/>
      <c r="O144" s="184"/>
      <c r="P144" s="184"/>
      <c r="Q144" s="184"/>
      <c r="R144" s="184"/>
      <c r="S144" s="199"/>
      <c r="T144" s="199"/>
      <c r="U144" s="184"/>
      <c r="V144" s="184"/>
      <c r="W144" s="184"/>
      <c r="X144" s="184"/>
      <c r="Y144" s="184"/>
      <c r="Z144" s="199"/>
      <c r="AA144" s="199"/>
      <c r="AB144" s="184"/>
      <c r="AC144" s="184"/>
      <c r="AD144" s="184"/>
      <c r="AE144" s="177">
        <v>0.5</v>
      </c>
      <c r="AF144" s="184"/>
      <c r="AG144" s="199"/>
      <c r="AH144" s="199"/>
      <c r="AI144" s="186"/>
      <c r="AJ144" s="177">
        <f t="shared" si="27"/>
        <v>0.5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180">
        <v>3</v>
      </c>
      <c r="E145" s="198"/>
      <c r="F145" s="198"/>
      <c r="G145" s="180"/>
      <c r="H145" s="180"/>
      <c r="I145" s="180"/>
      <c r="J145" s="180"/>
      <c r="K145" s="180">
        <v>0</v>
      </c>
      <c r="L145" s="198"/>
      <c r="M145" s="198"/>
      <c r="N145" s="180"/>
      <c r="O145" s="180"/>
      <c r="P145" s="180"/>
      <c r="Q145" s="180"/>
      <c r="R145" s="180"/>
      <c r="S145" s="198"/>
      <c r="T145" s="198"/>
      <c r="U145" s="180"/>
      <c r="V145" s="180"/>
      <c r="W145" s="180"/>
      <c r="X145" s="180">
        <v>2</v>
      </c>
      <c r="Y145" s="180"/>
      <c r="Z145" s="198"/>
      <c r="AA145" s="198"/>
      <c r="AB145" s="180"/>
      <c r="AC145" s="180"/>
      <c r="AD145" s="180">
        <v>0</v>
      </c>
      <c r="AE145" s="180"/>
      <c r="AF145" s="180">
        <v>8</v>
      </c>
      <c r="AG145" s="198"/>
      <c r="AH145" s="198"/>
      <c r="AI145" s="97"/>
      <c r="AJ145" s="172">
        <f>SUM(D145:AH145)</f>
        <v>13</v>
      </c>
    </row>
    <row r="146" spans="2:36" ht="15.75" hidden="1" outlineLevel="1" thickTop="1" x14ac:dyDescent="0.25">
      <c r="B146" s="150"/>
      <c r="C146" s="1" t="s">
        <v>1</v>
      </c>
      <c r="D146" s="181"/>
      <c r="E146" s="198"/>
      <c r="F146" s="198"/>
      <c r="G146" s="181"/>
      <c r="H146" s="181"/>
      <c r="I146" s="181"/>
      <c r="J146" s="181"/>
      <c r="K146" s="181"/>
      <c r="L146" s="198"/>
      <c r="M146" s="198"/>
      <c r="N146" s="181"/>
      <c r="O146" s="181"/>
      <c r="P146" s="181"/>
      <c r="Q146" s="181"/>
      <c r="R146" s="181"/>
      <c r="S146" s="198"/>
      <c r="T146" s="198"/>
      <c r="U146" s="181"/>
      <c r="V146" s="181"/>
      <c r="W146" s="181"/>
      <c r="X146" s="181"/>
      <c r="Y146" s="181"/>
      <c r="Z146" s="198"/>
      <c r="AA146" s="198"/>
      <c r="AB146" s="181"/>
      <c r="AC146" s="181"/>
      <c r="AD146" s="181"/>
      <c r="AE146" s="181"/>
      <c r="AF146" s="181"/>
      <c r="AG146" s="198"/>
      <c r="AH146" s="198"/>
      <c r="AI146" s="97"/>
      <c r="AJ146" s="174">
        <f t="shared" ref="AJ146:AJ149" si="28">SUM(D146:AH146)</f>
        <v>0</v>
      </c>
    </row>
    <row r="147" spans="2:36" ht="15.75" hidden="1" outlineLevel="1" thickTop="1" x14ac:dyDescent="0.25">
      <c r="B147" s="151"/>
      <c r="C147" s="1" t="s">
        <v>2</v>
      </c>
      <c r="D147" s="182"/>
      <c r="E147" s="198"/>
      <c r="F147" s="198"/>
      <c r="G147" s="182"/>
      <c r="H147" s="182"/>
      <c r="I147" s="182"/>
      <c r="J147" s="182"/>
      <c r="K147" s="182">
        <v>1</v>
      </c>
      <c r="L147" s="198"/>
      <c r="M147" s="198"/>
      <c r="N147" s="182"/>
      <c r="O147" s="182"/>
      <c r="P147" s="182"/>
      <c r="Q147" s="182"/>
      <c r="R147" s="182"/>
      <c r="S147" s="198"/>
      <c r="T147" s="198"/>
      <c r="U147" s="182"/>
      <c r="V147" s="182"/>
      <c r="W147" s="182"/>
      <c r="X147" s="182"/>
      <c r="Y147" s="182"/>
      <c r="Z147" s="198"/>
      <c r="AA147" s="198"/>
      <c r="AB147" s="182"/>
      <c r="AC147" s="182"/>
      <c r="AD147" s="182">
        <v>1</v>
      </c>
      <c r="AE147" s="182"/>
      <c r="AF147" s="182"/>
      <c r="AG147" s="198"/>
      <c r="AH147" s="198"/>
      <c r="AI147" s="97"/>
      <c r="AJ147" s="175">
        <f t="shared" si="28"/>
        <v>2</v>
      </c>
    </row>
    <row r="148" spans="2:36" ht="15.75" hidden="1" outlineLevel="1" thickTop="1" x14ac:dyDescent="0.25">
      <c r="B148" s="151"/>
      <c r="C148" s="54" t="s">
        <v>77</v>
      </c>
      <c r="D148" s="183"/>
      <c r="E148" s="198"/>
      <c r="F148" s="198"/>
      <c r="G148" s="183"/>
      <c r="H148" s="183"/>
      <c r="I148" s="183"/>
      <c r="J148" s="183"/>
      <c r="K148" s="183"/>
      <c r="L148" s="198"/>
      <c r="M148" s="198"/>
      <c r="N148" s="183"/>
      <c r="O148" s="183"/>
      <c r="P148" s="183"/>
      <c r="Q148" s="183"/>
      <c r="R148" s="183"/>
      <c r="S148" s="198"/>
      <c r="T148" s="198"/>
      <c r="U148" s="183"/>
      <c r="V148" s="183"/>
      <c r="W148" s="183"/>
      <c r="X148" s="183"/>
      <c r="Y148" s="183"/>
      <c r="Z148" s="198"/>
      <c r="AA148" s="198"/>
      <c r="AB148" s="183"/>
      <c r="AC148" s="183"/>
      <c r="AD148" s="183"/>
      <c r="AE148" s="183"/>
      <c r="AF148" s="183"/>
      <c r="AG148" s="198"/>
      <c r="AH148" s="198"/>
      <c r="AI148" s="97"/>
      <c r="AJ148" s="176">
        <f t="shared" si="28"/>
        <v>0</v>
      </c>
    </row>
    <row r="149" spans="2:36" ht="16.5" hidden="1" outlineLevel="1" thickTop="1" thickBot="1" x14ac:dyDescent="0.3">
      <c r="B149" s="151"/>
      <c r="C149" s="9" t="s">
        <v>3</v>
      </c>
      <c r="D149" s="184"/>
      <c r="E149" s="199"/>
      <c r="F149" s="199"/>
      <c r="G149" s="184"/>
      <c r="H149" s="184"/>
      <c r="I149" s="184"/>
      <c r="J149" s="184"/>
      <c r="K149" s="184"/>
      <c r="L149" s="199"/>
      <c r="M149" s="199"/>
      <c r="N149" s="184"/>
      <c r="O149" s="184"/>
      <c r="P149" s="184"/>
      <c r="Q149" s="184"/>
      <c r="R149" s="184"/>
      <c r="S149" s="199"/>
      <c r="T149" s="199"/>
      <c r="U149" s="184"/>
      <c r="V149" s="184"/>
      <c r="W149" s="184"/>
      <c r="X149" s="184"/>
      <c r="Y149" s="184"/>
      <c r="Z149" s="199"/>
      <c r="AA149" s="199"/>
      <c r="AB149" s="184"/>
      <c r="AC149" s="184"/>
      <c r="AD149" s="184"/>
      <c r="AE149" s="184"/>
      <c r="AF149" s="184"/>
      <c r="AG149" s="199"/>
      <c r="AH149" s="199"/>
      <c r="AI149" s="186"/>
      <c r="AJ149" s="177">
        <f t="shared" si="28"/>
        <v>0</v>
      </c>
    </row>
    <row r="150" spans="2:36" ht="16.5" hidden="1" collapsed="1" thickTop="1" thickBot="1" x14ac:dyDescent="0.3">
      <c r="B150" s="149" t="str">
        <f>'Hours Scheduled'!B33</f>
        <v>Erik Jaspers</v>
      </c>
      <c r="C150" t="s">
        <v>0</v>
      </c>
      <c r="D150" s="198"/>
      <c r="E150" s="198"/>
      <c r="F150" s="198"/>
      <c r="G150" s="180"/>
      <c r="H150" s="180"/>
      <c r="I150" s="180"/>
      <c r="J150" s="180"/>
      <c r="K150" s="180"/>
      <c r="L150" s="198"/>
      <c r="M150" s="198"/>
      <c r="N150" s="180"/>
      <c r="O150" s="180">
        <v>4</v>
      </c>
      <c r="P150" s="249"/>
      <c r="Q150" s="249"/>
      <c r="R150" s="249"/>
      <c r="S150" s="198"/>
      <c r="T150" s="198"/>
      <c r="U150" s="249"/>
      <c r="V150" s="249"/>
      <c r="W150" s="249"/>
      <c r="X150" s="249"/>
      <c r="Y150" s="249"/>
      <c r="Z150" s="198"/>
      <c r="AA150" s="198"/>
      <c r="AB150" s="249"/>
      <c r="AC150" s="249"/>
      <c r="AD150" s="249"/>
      <c r="AE150" s="180"/>
      <c r="AF150" s="180"/>
      <c r="AG150" s="198"/>
      <c r="AH150" s="198"/>
      <c r="AI150" s="97"/>
      <c r="AJ150" s="172">
        <f>SUM(D150:AH150)</f>
        <v>4</v>
      </c>
    </row>
    <row r="151" spans="2:36" ht="15.75" hidden="1" outlineLevel="1" thickTop="1" x14ac:dyDescent="0.25">
      <c r="B151" s="150"/>
      <c r="C151" s="1" t="s">
        <v>1</v>
      </c>
      <c r="D151" s="181"/>
      <c r="E151" s="198"/>
      <c r="F151" s="198"/>
      <c r="G151" s="181"/>
      <c r="H151" s="181"/>
      <c r="I151" s="181"/>
      <c r="J151" s="181"/>
      <c r="K151" s="181"/>
      <c r="L151" s="198"/>
      <c r="M151" s="198"/>
      <c r="N151" s="181"/>
      <c r="O151" s="181"/>
      <c r="P151" s="181"/>
      <c r="Q151" s="181"/>
      <c r="R151" s="181"/>
      <c r="S151" s="198"/>
      <c r="T151" s="198"/>
      <c r="U151" s="181"/>
      <c r="V151" s="181"/>
      <c r="W151" s="181"/>
      <c r="X151" s="181"/>
      <c r="Y151" s="181"/>
      <c r="Z151" s="198"/>
      <c r="AA151" s="198"/>
      <c r="AB151" s="181"/>
      <c r="AC151" s="181"/>
      <c r="AD151" s="181"/>
      <c r="AE151" s="181"/>
      <c r="AF151" s="181"/>
      <c r="AG151" s="198"/>
      <c r="AH151" s="198"/>
      <c r="AI151" s="97"/>
      <c r="AJ151" s="174">
        <f t="shared" ref="AJ151:AJ154" si="29">SUM(D151:AH151)</f>
        <v>0</v>
      </c>
    </row>
    <row r="152" spans="2:36" ht="15.75" hidden="1" outlineLevel="1" thickTop="1" x14ac:dyDescent="0.25">
      <c r="B152" s="151"/>
      <c r="C152" s="1" t="s">
        <v>2</v>
      </c>
      <c r="D152" s="182"/>
      <c r="E152" s="198"/>
      <c r="F152" s="198"/>
      <c r="G152" s="182"/>
      <c r="H152" s="182"/>
      <c r="I152" s="182"/>
      <c r="J152" s="182"/>
      <c r="K152" s="182"/>
      <c r="L152" s="198"/>
      <c r="M152" s="198"/>
      <c r="N152" s="182"/>
      <c r="O152" s="182"/>
      <c r="P152" s="182"/>
      <c r="Q152" s="182"/>
      <c r="R152" s="182"/>
      <c r="S152" s="198"/>
      <c r="T152" s="198"/>
      <c r="U152" s="182"/>
      <c r="V152" s="182"/>
      <c r="W152" s="182"/>
      <c r="X152" s="182"/>
      <c r="Y152" s="182"/>
      <c r="Z152" s="198"/>
      <c r="AA152" s="198"/>
      <c r="AB152" s="182"/>
      <c r="AC152" s="182"/>
      <c r="AD152" s="182"/>
      <c r="AE152" s="182"/>
      <c r="AF152" s="182"/>
      <c r="AG152" s="198"/>
      <c r="AH152" s="198"/>
      <c r="AI152" s="97"/>
      <c r="AJ152" s="175">
        <f t="shared" si="29"/>
        <v>0</v>
      </c>
    </row>
    <row r="153" spans="2:36" ht="15.75" hidden="1" outlineLevel="1" thickTop="1" x14ac:dyDescent="0.25">
      <c r="B153" s="151"/>
      <c r="C153" s="54" t="s">
        <v>77</v>
      </c>
      <c r="D153" s="183"/>
      <c r="E153" s="198"/>
      <c r="F153" s="198"/>
      <c r="G153" s="183"/>
      <c r="H153" s="183"/>
      <c r="I153" s="183"/>
      <c r="J153" s="183"/>
      <c r="K153" s="183"/>
      <c r="L153" s="198"/>
      <c r="M153" s="198"/>
      <c r="N153" s="183"/>
      <c r="O153" s="183"/>
      <c r="P153" s="183"/>
      <c r="Q153" s="183"/>
      <c r="R153" s="183"/>
      <c r="S153" s="198"/>
      <c r="T153" s="198"/>
      <c r="U153" s="183"/>
      <c r="V153" s="183"/>
      <c r="W153" s="183"/>
      <c r="X153" s="183"/>
      <c r="Y153" s="183"/>
      <c r="Z153" s="198"/>
      <c r="AA153" s="198"/>
      <c r="AB153" s="183"/>
      <c r="AC153" s="183"/>
      <c r="AD153" s="183"/>
      <c r="AE153" s="183"/>
      <c r="AF153" s="183"/>
      <c r="AG153" s="198"/>
      <c r="AH153" s="198"/>
      <c r="AI153" s="97"/>
      <c r="AJ153" s="176">
        <f t="shared" si="29"/>
        <v>0</v>
      </c>
    </row>
    <row r="154" spans="2:36" ht="16.5" hidden="1" outlineLevel="1" thickTop="1" thickBot="1" x14ac:dyDescent="0.3">
      <c r="B154" s="151"/>
      <c r="C154" s="9" t="s">
        <v>3</v>
      </c>
      <c r="D154" s="184"/>
      <c r="E154" s="199"/>
      <c r="F154" s="199"/>
      <c r="G154" s="184"/>
      <c r="H154" s="184"/>
      <c r="I154" s="184"/>
      <c r="J154" s="184"/>
      <c r="K154" s="184"/>
      <c r="L154" s="199"/>
      <c r="M154" s="199"/>
      <c r="N154" s="184"/>
      <c r="O154" s="184"/>
      <c r="P154" s="184"/>
      <c r="Q154" s="184"/>
      <c r="R154" s="184"/>
      <c r="S154" s="199"/>
      <c r="T154" s="199"/>
      <c r="U154" s="184"/>
      <c r="V154" s="184"/>
      <c r="W154" s="184"/>
      <c r="X154" s="184"/>
      <c r="Y154" s="184"/>
      <c r="Z154" s="199"/>
      <c r="AA154" s="199"/>
      <c r="AB154" s="184"/>
      <c r="AC154" s="184"/>
      <c r="AD154" s="184"/>
      <c r="AE154" s="184"/>
      <c r="AF154" s="184"/>
      <c r="AG154" s="199"/>
      <c r="AH154" s="199"/>
      <c r="AI154" s="186"/>
      <c r="AJ154" s="177">
        <f t="shared" si="29"/>
        <v>0</v>
      </c>
    </row>
    <row r="155" spans="2:36" ht="16.5" hidden="1" collapsed="1" thickTop="1" thickBot="1" x14ac:dyDescent="0.3">
      <c r="B155" s="149" t="str">
        <f>'Hours Scheduled'!B34</f>
        <v>Leo Wijnands</v>
      </c>
      <c r="C155" t="s">
        <v>0</v>
      </c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80"/>
      <c r="O155" s="180"/>
      <c r="P155" s="249"/>
      <c r="Q155" s="249"/>
      <c r="R155" s="249"/>
      <c r="S155" s="198"/>
      <c r="T155" s="198"/>
      <c r="U155" s="249"/>
      <c r="V155" s="249"/>
      <c r="W155" s="249"/>
      <c r="X155" s="249"/>
      <c r="Y155" s="249"/>
      <c r="Z155" s="198"/>
      <c r="AA155" s="198"/>
      <c r="AB155" s="249"/>
      <c r="AC155" s="249"/>
      <c r="AD155" s="249"/>
      <c r="AE155" s="180"/>
      <c r="AF155" s="180"/>
      <c r="AG155" s="198"/>
      <c r="AH155" s="198"/>
      <c r="AI155" s="97"/>
      <c r="AJ155" s="172">
        <f>SUM(D155:AH155)</f>
        <v>0</v>
      </c>
    </row>
    <row r="156" spans="2:36" ht="15.75" hidden="1" outlineLevel="1" thickTop="1" x14ac:dyDescent="0.25">
      <c r="B156" s="150"/>
      <c r="C156" s="1" t="s">
        <v>1</v>
      </c>
      <c r="D156" s="181"/>
      <c r="E156" s="198"/>
      <c r="F156" s="198"/>
      <c r="G156" s="181"/>
      <c r="H156" s="181"/>
      <c r="I156" s="181"/>
      <c r="J156" s="181"/>
      <c r="K156" s="181"/>
      <c r="L156" s="198"/>
      <c r="M156" s="198"/>
      <c r="N156" s="181"/>
      <c r="O156" s="181"/>
      <c r="P156" s="181"/>
      <c r="Q156" s="181"/>
      <c r="R156" s="181"/>
      <c r="S156" s="198"/>
      <c r="T156" s="198"/>
      <c r="U156" s="181"/>
      <c r="V156" s="181"/>
      <c r="W156" s="181"/>
      <c r="X156" s="181"/>
      <c r="Y156" s="181"/>
      <c r="Z156" s="198"/>
      <c r="AA156" s="198"/>
      <c r="AB156" s="181"/>
      <c r="AC156" s="181"/>
      <c r="AD156" s="181"/>
      <c r="AE156" s="181"/>
      <c r="AF156" s="181"/>
      <c r="AG156" s="198"/>
      <c r="AH156" s="198"/>
      <c r="AI156" s="97"/>
      <c r="AJ156" s="174">
        <f t="shared" ref="AJ156:AJ159" si="30">SUM(D156:AH156)</f>
        <v>0</v>
      </c>
    </row>
    <row r="157" spans="2:36" ht="15.75" hidden="1" outlineLevel="1" thickTop="1" x14ac:dyDescent="0.25">
      <c r="B157" s="151"/>
      <c r="C157" s="1" t="s">
        <v>2</v>
      </c>
      <c r="D157" s="182"/>
      <c r="E157" s="198"/>
      <c r="F157" s="198"/>
      <c r="G157" s="182"/>
      <c r="H157" s="182"/>
      <c r="I157" s="182"/>
      <c r="J157" s="182"/>
      <c r="K157" s="182"/>
      <c r="L157" s="198"/>
      <c r="M157" s="198"/>
      <c r="N157" s="182"/>
      <c r="O157" s="182"/>
      <c r="P157" s="182"/>
      <c r="Q157" s="182"/>
      <c r="R157" s="182"/>
      <c r="S157" s="198"/>
      <c r="T157" s="198"/>
      <c r="U157" s="182"/>
      <c r="V157" s="182"/>
      <c r="W157" s="182"/>
      <c r="X157" s="182"/>
      <c r="Y157" s="182"/>
      <c r="Z157" s="198"/>
      <c r="AA157" s="198"/>
      <c r="AB157" s="182"/>
      <c r="AC157" s="182"/>
      <c r="AD157" s="182"/>
      <c r="AE157" s="182"/>
      <c r="AF157" s="182"/>
      <c r="AG157" s="198"/>
      <c r="AH157" s="198"/>
      <c r="AI157" s="97"/>
      <c r="AJ157" s="175">
        <f t="shared" si="30"/>
        <v>0</v>
      </c>
    </row>
    <row r="158" spans="2:36" ht="15.75" hidden="1" outlineLevel="1" thickTop="1" x14ac:dyDescent="0.25">
      <c r="B158" s="151"/>
      <c r="C158" s="54" t="s">
        <v>77</v>
      </c>
      <c r="D158" s="183"/>
      <c r="E158" s="198"/>
      <c r="F158" s="198"/>
      <c r="G158" s="183"/>
      <c r="H158" s="183"/>
      <c r="I158" s="183"/>
      <c r="J158" s="183"/>
      <c r="K158" s="183"/>
      <c r="L158" s="198"/>
      <c r="M158" s="198"/>
      <c r="N158" s="183"/>
      <c r="O158" s="183"/>
      <c r="P158" s="183"/>
      <c r="Q158" s="183"/>
      <c r="R158" s="183"/>
      <c r="S158" s="198"/>
      <c r="T158" s="198"/>
      <c r="U158" s="183"/>
      <c r="V158" s="183"/>
      <c r="W158" s="183"/>
      <c r="X158" s="183"/>
      <c r="Y158" s="183"/>
      <c r="Z158" s="198"/>
      <c r="AA158" s="198"/>
      <c r="AB158" s="183"/>
      <c r="AC158" s="183"/>
      <c r="AD158" s="183"/>
      <c r="AE158" s="183"/>
      <c r="AF158" s="183"/>
      <c r="AG158" s="198"/>
      <c r="AH158" s="198"/>
      <c r="AI158" s="97"/>
      <c r="AJ158" s="176">
        <f t="shared" si="30"/>
        <v>0</v>
      </c>
    </row>
    <row r="159" spans="2:36" ht="16.5" hidden="1" outlineLevel="1" thickTop="1" thickBot="1" x14ac:dyDescent="0.3">
      <c r="B159" s="151"/>
      <c r="C159" s="9" t="s">
        <v>3</v>
      </c>
      <c r="D159" s="184"/>
      <c r="E159" s="199"/>
      <c r="F159" s="199"/>
      <c r="G159" s="184"/>
      <c r="H159" s="184"/>
      <c r="I159" s="184"/>
      <c r="J159" s="184"/>
      <c r="K159" s="184"/>
      <c r="L159" s="199"/>
      <c r="M159" s="199"/>
      <c r="N159" s="184"/>
      <c r="O159" s="184"/>
      <c r="P159" s="184"/>
      <c r="Q159" s="184"/>
      <c r="R159" s="184"/>
      <c r="S159" s="199"/>
      <c r="T159" s="199"/>
      <c r="U159" s="184"/>
      <c r="V159" s="184"/>
      <c r="W159" s="184"/>
      <c r="X159" s="184"/>
      <c r="Y159" s="184"/>
      <c r="Z159" s="199"/>
      <c r="AA159" s="199"/>
      <c r="AB159" s="184"/>
      <c r="AC159" s="184"/>
      <c r="AD159" s="184"/>
      <c r="AE159" s="184"/>
      <c r="AF159" s="184"/>
      <c r="AG159" s="199"/>
      <c r="AH159" s="199"/>
      <c r="AI159" s="186"/>
      <c r="AJ159" s="177">
        <f t="shared" si="30"/>
        <v>0</v>
      </c>
    </row>
    <row r="160" spans="2:36" ht="16.5" hidden="1" collapsed="1" thickTop="1" thickBot="1" x14ac:dyDescent="0.3">
      <c r="B160" s="149" t="str">
        <f>'Hours Scheduled'!B35</f>
        <v>Danny Ummels</v>
      </c>
      <c r="C160" t="s">
        <v>0</v>
      </c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80"/>
      <c r="O160" s="180"/>
      <c r="P160" s="249"/>
      <c r="Q160" s="249"/>
      <c r="R160" s="249"/>
      <c r="S160" s="198"/>
      <c r="T160" s="198"/>
      <c r="U160" s="249"/>
      <c r="V160" s="249"/>
      <c r="W160" s="249"/>
      <c r="X160" s="249"/>
      <c r="Y160" s="249"/>
      <c r="Z160" s="198"/>
      <c r="AA160" s="198"/>
      <c r="AB160" s="249"/>
      <c r="AC160" s="249"/>
      <c r="AD160" s="249">
        <v>4</v>
      </c>
      <c r="AE160" s="180"/>
      <c r="AF160" s="180"/>
      <c r="AG160" s="198"/>
      <c r="AH160" s="198"/>
      <c r="AI160" s="97"/>
      <c r="AJ160" s="172">
        <f>SUM(D160:AH160)</f>
        <v>4</v>
      </c>
    </row>
    <row r="161" spans="2:36" ht="15.75" hidden="1" outlineLevel="1" thickTop="1" x14ac:dyDescent="0.25">
      <c r="B161" s="150"/>
      <c r="C161" s="1" t="s">
        <v>1</v>
      </c>
      <c r="D161" s="181"/>
      <c r="E161" s="198"/>
      <c r="F161" s="198"/>
      <c r="G161" s="181"/>
      <c r="H161" s="181"/>
      <c r="I161" s="181"/>
      <c r="J161" s="181"/>
      <c r="K161" s="181"/>
      <c r="L161" s="198"/>
      <c r="M161" s="198"/>
      <c r="N161" s="181"/>
      <c r="O161" s="181"/>
      <c r="P161" s="181"/>
      <c r="Q161" s="181"/>
      <c r="R161" s="181"/>
      <c r="S161" s="198"/>
      <c r="T161" s="198"/>
      <c r="U161" s="181"/>
      <c r="V161" s="181"/>
      <c r="W161" s="181"/>
      <c r="X161" s="181"/>
      <c r="Y161" s="181"/>
      <c r="Z161" s="198"/>
      <c r="AA161" s="198"/>
      <c r="AB161" s="181"/>
      <c r="AC161" s="181">
        <v>8</v>
      </c>
      <c r="AD161" s="181">
        <v>4</v>
      </c>
      <c r="AE161" s="181"/>
      <c r="AF161" s="181"/>
      <c r="AG161" s="198"/>
      <c r="AH161" s="198"/>
      <c r="AI161" s="97"/>
      <c r="AJ161" s="174">
        <f t="shared" ref="AJ161:AJ164" si="31">SUM(D161:AH161)</f>
        <v>12</v>
      </c>
    </row>
    <row r="162" spans="2:36" ht="15.75" hidden="1" outlineLevel="1" thickTop="1" x14ac:dyDescent="0.25">
      <c r="B162" s="151"/>
      <c r="C162" s="1" t="s">
        <v>2</v>
      </c>
      <c r="D162" s="182"/>
      <c r="E162" s="198"/>
      <c r="F162" s="198"/>
      <c r="G162" s="182"/>
      <c r="H162" s="182"/>
      <c r="I162" s="182"/>
      <c r="J162" s="182"/>
      <c r="K162" s="182"/>
      <c r="L162" s="198"/>
      <c r="M162" s="198"/>
      <c r="N162" s="182"/>
      <c r="O162" s="182"/>
      <c r="P162" s="182"/>
      <c r="Q162" s="182"/>
      <c r="R162" s="182"/>
      <c r="S162" s="198"/>
      <c r="T162" s="198"/>
      <c r="U162" s="182"/>
      <c r="V162" s="182"/>
      <c r="W162" s="182"/>
      <c r="X162" s="182"/>
      <c r="Y162" s="182"/>
      <c r="Z162" s="198"/>
      <c r="AA162" s="198"/>
      <c r="AB162" s="182"/>
      <c r="AC162" s="182"/>
      <c r="AD162" s="182"/>
      <c r="AE162" s="182"/>
      <c r="AF162" s="182"/>
      <c r="AG162" s="198"/>
      <c r="AH162" s="198"/>
      <c r="AI162" s="97"/>
      <c r="AJ162" s="175">
        <f t="shared" si="31"/>
        <v>0</v>
      </c>
    </row>
    <row r="163" spans="2:36" ht="15.75" hidden="1" outlineLevel="1" thickTop="1" x14ac:dyDescent="0.25">
      <c r="B163" s="151"/>
      <c r="C163" s="54" t="s">
        <v>77</v>
      </c>
      <c r="D163" s="183"/>
      <c r="E163" s="198"/>
      <c r="F163" s="198"/>
      <c r="G163" s="183"/>
      <c r="H163" s="183"/>
      <c r="I163" s="183"/>
      <c r="J163" s="183"/>
      <c r="K163" s="183"/>
      <c r="L163" s="198"/>
      <c r="M163" s="198"/>
      <c r="N163" s="183"/>
      <c r="O163" s="183"/>
      <c r="P163" s="183"/>
      <c r="Q163" s="183"/>
      <c r="R163" s="183"/>
      <c r="S163" s="198"/>
      <c r="T163" s="198"/>
      <c r="U163" s="183"/>
      <c r="V163" s="183"/>
      <c r="W163" s="183"/>
      <c r="X163" s="183"/>
      <c r="Y163" s="183"/>
      <c r="Z163" s="198"/>
      <c r="AA163" s="198"/>
      <c r="AB163" s="183"/>
      <c r="AC163" s="183"/>
      <c r="AD163" s="183"/>
      <c r="AE163" s="183"/>
      <c r="AF163" s="183"/>
      <c r="AG163" s="198"/>
      <c r="AH163" s="198"/>
      <c r="AI163" s="97"/>
      <c r="AJ163" s="176">
        <f t="shared" si="31"/>
        <v>0</v>
      </c>
    </row>
    <row r="164" spans="2:36" ht="16.5" hidden="1" outlineLevel="1" thickTop="1" thickBot="1" x14ac:dyDescent="0.3">
      <c r="B164" s="151"/>
      <c r="C164" s="9" t="s">
        <v>3</v>
      </c>
      <c r="D164" s="184"/>
      <c r="E164" s="199"/>
      <c r="F164" s="199"/>
      <c r="G164" s="184"/>
      <c r="H164" s="184"/>
      <c r="I164" s="184"/>
      <c r="J164" s="184"/>
      <c r="K164" s="184"/>
      <c r="L164" s="199"/>
      <c r="M164" s="199"/>
      <c r="N164" s="184"/>
      <c r="O164" s="184"/>
      <c r="P164" s="184"/>
      <c r="Q164" s="184"/>
      <c r="R164" s="184"/>
      <c r="S164" s="199"/>
      <c r="T164" s="199"/>
      <c r="U164" s="184"/>
      <c r="V164" s="184"/>
      <c r="W164" s="184"/>
      <c r="X164" s="184"/>
      <c r="Y164" s="184"/>
      <c r="Z164" s="199"/>
      <c r="AA164" s="199"/>
      <c r="AB164" s="184"/>
      <c r="AC164" s="184"/>
      <c r="AD164" s="184"/>
      <c r="AE164" s="184"/>
      <c r="AF164" s="184"/>
      <c r="AG164" s="199"/>
      <c r="AH164" s="199"/>
      <c r="AI164" s="186"/>
      <c r="AJ164" s="177">
        <f t="shared" si="31"/>
        <v>0</v>
      </c>
    </row>
    <row r="165" spans="2:36" ht="15.75" collapsed="1" thickTop="1" x14ac:dyDescent="0.25">
      <c r="B165"/>
    </row>
    <row r="166" spans="2:36" x14ac:dyDescent="0.25">
      <c r="B166"/>
    </row>
    <row r="167" spans="2:36" x14ac:dyDescent="0.25">
      <c r="B167"/>
    </row>
    <row r="168" spans="2:36" x14ac:dyDescent="0.25">
      <c r="B168"/>
    </row>
    <row r="169" spans="2:36" x14ac:dyDescent="0.25">
      <c r="B169"/>
    </row>
    <row r="170" spans="2:36" x14ac:dyDescent="0.25">
      <c r="B170"/>
    </row>
  </sheetData>
  <autoFilter ref="B4:AJ164">
    <filterColumn colId="0">
      <filters>
        <filter val="Barry Berendhuysen"/>
        <filter val="Bas Boermans"/>
        <filter val="Bastiaan Franssen"/>
        <filter val="Bjorn Haagen"/>
        <filter val="Dave Creusen"/>
        <filter val="Davy Smeets"/>
        <filter val="Dominique Daemen"/>
        <filter val="Erwin Deckers"/>
        <filter val="Fred Boekwijt"/>
        <filter val="Frido Meijer"/>
        <filter val="Jean Pierre Knubben"/>
        <filter val="Joop Kiefte"/>
        <filter val="Kevin Ploum"/>
        <filter val="Loode Evers"/>
        <filter val="Marc Linssen"/>
        <filter val="Marco Smeekes"/>
        <filter val="Mark Meijer"/>
        <filter val="Marvin Machelesen"/>
        <filter val="Michael Callemeijn"/>
        <filter val="Niels Lievaart"/>
        <filter val="Patrick Janssen"/>
        <filter val="Patrick Ziesen"/>
        <filter val="Robin Nieuwenhuis"/>
        <filter val="Thom van Bodegraven"/>
        <filter val="Tiemen Schumacher"/>
      </filters>
    </filterColumn>
  </autoFilter>
  <customSheetViews>
    <customSheetView guid="{98CBC5BF-8C89-48A4-860E-9C56014CD200}" scale="90" showGridLines="0" filter="1" showAutoFilter="1" hiddenRows="1" topLeftCell="A2">
      <pane ySplit="2" topLeftCell="A15" activePane="bottomLeft" state="frozenSplit"/>
      <selection pane="bottomLeft" activeCell="AB70" activeCellId="3" sqref="G70:K70 N70:R70 U70:Y70 AB70:AF70"/>
      <pageMargins left="0.7" right="0.7" top="0.75" bottom="0.75" header="0.3" footer="0.3"/>
      <pageSetup paperSize="9" orientation="portrait" horizontalDpi="1200" r:id="rId1"/>
      <autoFilter ref="B4:AJ164">
        <filterColumn colId="0">
          <filters>
            <filter val="Barry Berendhuysen"/>
            <filter val="Bas Boermans"/>
            <filter val="Bastiaan Franssen"/>
            <filter val="Bjorn Haagen"/>
            <filter val="Dave Creusen"/>
            <filter val="Davy Smeets"/>
            <filter val="Dominique Daemen"/>
            <filter val="Erwin Deckers"/>
            <filter val="Fred Boekwijt"/>
            <filter val="Frido Meijer"/>
            <filter val="Jean Pierre Knubben"/>
            <filter val="Joop Kiefte"/>
            <filter val="Kevin Ploum"/>
            <filter val="Loode Evers"/>
            <filter val="Marc Linssen"/>
            <filter val="Marco Smeekes"/>
            <filter val="Mark Meijer"/>
            <filter val="Marvin Machelesen"/>
            <filter val="Michael Callemeijn"/>
            <filter val="Niels Lievaart"/>
            <filter val="Patrick Janssen"/>
            <filter val="Patrick Ziesen"/>
            <filter val="Robin Nieuwenhuis"/>
            <filter val="Thom van Bodegraven"/>
            <filter val="Tiemen Schumacher"/>
          </filters>
        </filterColumn>
      </autoFilter>
    </customSheetView>
    <customSheetView guid="{1BC25061-32D5-45DE-83F9-EFA3A1092E03}" scale="90" showGridLines="0" showAutoFilter="1" hiddenRows="1" topLeftCell="A2">
      <pane ySplit="3" topLeftCell="A5" activePane="bottomLeft" state="frozenSplit"/>
      <selection pane="bottomLeft" activeCell="AF75" sqref="AF75"/>
      <pageMargins left="0.7" right="0.7" top="0.75" bottom="0.75" header="0.3" footer="0.3"/>
      <pageSetup paperSize="9" orientation="portrait" horizontalDpi="1200" r:id="rId2"/>
      <autoFilter ref="B4:AJ145"/>
    </customSheetView>
    <customSheetView guid="{CF917189-7AB9-4E55-816F-ACFC7FA45C05}" scale="90" showGridLines="0" showAutoFilter="1" hiddenRows="1" topLeftCell="A2">
      <pane ySplit="2" topLeftCell="A5" activePane="bottomLeft" state="frozenSplit"/>
      <selection pane="bottomLeft" activeCell="AF75" sqref="AF75"/>
      <pageMargins left="0.7" right="0.7" top="0.75" bottom="0.75" header="0.3" footer="0.3"/>
      <pageSetup paperSize="9" orientation="portrait" horizontalDpi="1200" r:id="rId3"/>
      <autoFilter ref="B4:AJ145"/>
    </customSheetView>
    <customSheetView guid="{4155806E-C0D0-4CC9-9B31-04245B7DD4C8}" showGridLines="0" showAutoFilter="1" hiddenRows="1" topLeftCell="A2">
      <pane ySplit="3" topLeftCell="A5" activePane="bottomLeft" state="frozenSplit"/>
      <selection pane="bottomLeft" activeCell="A5" sqref="A5"/>
      <pageMargins left="0.7" right="0.7" top="0.75" bottom="0.75" header="0.3" footer="0.3"/>
      <pageSetup paperSize="9" orientation="portrait" horizontalDpi="1200" r:id="rId4"/>
      <autoFilter ref="B4:AJ145"/>
    </customSheetView>
    <customSheetView guid="{1587CBCC-2CC7-4525-8A49-E261AB2E1606}" scale="90" showGridLines="0" showAutoFilter="1" topLeftCell="A2">
      <pane ySplit="2" topLeftCell="A5" activePane="bottomLeft" state="frozenSplit"/>
      <selection pane="bottomLeft" activeCell="AF75" sqref="AF75"/>
      <pageMargins left="0.7" right="0.7" top="0.75" bottom="0.75" header="0.3" footer="0.3"/>
      <pageSetup paperSize="9" orientation="portrait" horizontalDpi="1200" r:id="rId5"/>
      <autoFilter ref="B4:AJ164"/>
    </customSheetView>
    <customSheetView guid="{C5D9000A-81ED-4920-B6AF-4B234775AEC9}" scale="90" showGridLines="0" showAutoFilter="1" hiddenRows="1" topLeftCell="A2">
      <pane ySplit="2" topLeftCell="A5" activePane="bottomLeft" state="frozenSplit"/>
      <selection pane="bottomLeft" activeCell="AE120" sqref="AE120"/>
      <pageMargins left="0.7" right="0.7" top="0.75" bottom="0.75" header="0.3" footer="0.3"/>
      <pageSetup paperSize="9" orientation="portrait" horizontalDpi="1200" r:id="rId6"/>
      <autoFilter ref="B4:AJ164"/>
    </customSheetView>
  </customSheetViews>
  <conditionalFormatting sqref="D3:AH3">
    <cfRule type="expression" dxfId="63" priority="6">
      <formula>WEEKDAY(D3:AH3)=1</formula>
    </cfRule>
    <cfRule type="expression" dxfId="62" priority="7">
      <formula>WEEKDAY(D3:AH3)=7</formula>
    </cfRule>
  </conditionalFormatting>
  <conditionalFormatting sqref="A11:A140">
    <cfRule type="cellIs" dxfId="61" priority="5" operator="equal">
      <formula>"08:00/16:30"</formula>
    </cfRule>
  </conditionalFormatting>
  <conditionalFormatting sqref="A15:A140">
    <cfRule type="cellIs" dxfId="60" priority="4" operator="equal">
      <formula>"09:30/18:00"</formula>
    </cfRule>
  </conditionalFormatting>
  <conditionalFormatting sqref="A5:A10">
    <cfRule type="cellIs" dxfId="59" priority="2" operator="equal">
      <formula>"08:00/16:30"</formula>
    </cfRule>
  </conditionalFormatting>
  <conditionalFormatting sqref="A5:A10">
    <cfRule type="cellIs" dxfId="58" priority="1" operator="equal">
      <formula>"09:30/18:00"</formula>
    </cfRule>
  </conditionalFormatting>
  <dataValidations count="2">
    <dataValidation type="list" allowBlank="1" showInputMessage="1" sqref="A5 A10 A15 A20 A25 A30 A35 A40 A125 A50 A120 A55 A60 A65 A70 A75 A80 A85 A90 A95:A110 A130 A135 A140 A115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" right="0.7" top="0.75" bottom="0.75" header="0.3" footer="0.3"/>
  <pageSetup paperSize="9" orientation="portrait" horizontalDpi="1200" r:id="rId7"/>
  <legacy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CCFFCC"/>
  </sheetPr>
  <dimension ref="A1:AJ170"/>
  <sheetViews>
    <sheetView showGridLines="0" topLeftCell="A2" zoomScale="90" zoomScaleNormal="90" workbookViewId="0">
      <pane ySplit="2" topLeftCell="A20" activePane="bottomLeft" state="frozenSplit"/>
      <selection activeCell="A2" sqref="A2"/>
      <selection pane="bottomLeft" activeCell="F125" sqref="F125"/>
    </sheetView>
  </sheetViews>
  <sheetFormatPr defaultRowHeight="15" outlineLevelRow="1" x14ac:dyDescent="0.25"/>
  <cols>
    <col min="1" max="1" width="12.42578125" bestFit="1" customWidth="1"/>
    <col min="2" max="2" width="17.42578125" style="154" bestFit="1" customWidth="1"/>
    <col min="3" max="3" width="11.5703125" bestFit="1" customWidth="1"/>
    <col min="4" max="10" width="3.42578125" customWidth="1"/>
    <col min="11" max="11" width="4.42578125" customWidth="1"/>
    <col min="12" max="14" width="3.42578125" customWidth="1"/>
    <col min="15" max="15" width="4.42578125" customWidth="1"/>
    <col min="16" max="19" width="3.42578125" customWidth="1"/>
    <col min="20" max="20" width="3.42578125" bestFit="1" customWidth="1"/>
    <col min="21" max="22" width="5.42578125" bestFit="1" customWidth="1"/>
    <col min="23" max="24" width="3.42578125" bestFit="1" customWidth="1"/>
    <col min="25" max="26" width="4.42578125" bestFit="1" customWidth="1"/>
    <col min="27" max="28" width="3.42578125" bestFit="1" customWidth="1"/>
    <col min="29" max="29" width="4.42578125" bestFit="1" customWidth="1"/>
    <col min="30" max="31" width="3.42578125" bestFit="1" customWidth="1"/>
    <col min="32" max="32" width="4.42578125" bestFit="1" customWidth="1"/>
    <col min="33" max="33" width="3.42578125" bestFit="1" customWidth="1"/>
    <col min="34" max="34" width="3.28515625" bestFit="1" customWidth="1"/>
    <col min="35" max="35" width="3.7109375" customWidth="1"/>
    <col min="36" max="36" width="4.140625" bestFit="1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x14ac:dyDescent="0.25">
      <c r="B2" s="155" t="s">
        <v>10</v>
      </c>
    </row>
    <row r="3" spans="1:36" ht="101.25" customHeight="1" x14ac:dyDescent="0.25">
      <c r="A3" t="s">
        <v>163</v>
      </c>
      <c r="B3" s="152" t="s">
        <v>4</v>
      </c>
      <c r="D3" s="240">
        <f>DATE(Title!$F$12,4,D1)</f>
        <v>41365</v>
      </c>
      <c r="E3" s="78">
        <f>DATE(Title!$F$12,4,E1)</f>
        <v>41366</v>
      </c>
      <c r="F3" s="78">
        <f>DATE(Title!$F$12,4,F1)</f>
        <v>41367</v>
      </c>
      <c r="G3" s="78">
        <f>DATE(Title!$F$12,4,G1)</f>
        <v>41368</v>
      </c>
      <c r="H3" s="78">
        <f>DATE(Title!$F$12,4,H1)</f>
        <v>41369</v>
      </c>
      <c r="I3" s="78">
        <f>DATE(Title!$F$12,4,I1)</f>
        <v>41370</v>
      </c>
      <c r="J3" s="78">
        <f>DATE(Title!$F$12,4,J1)</f>
        <v>41371</v>
      </c>
      <c r="K3" s="78">
        <f>DATE(Title!$F$12,4,K1)</f>
        <v>41372</v>
      </c>
      <c r="L3" s="78">
        <f>DATE(Title!$F$12,4,L1)</f>
        <v>41373</v>
      </c>
      <c r="M3" s="78">
        <f>DATE(Title!$F$12,4,M1)</f>
        <v>41374</v>
      </c>
      <c r="N3" s="78">
        <f>DATE(Title!$F$12,4,N1)</f>
        <v>41375</v>
      </c>
      <c r="O3" s="78">
        <f>DATE(Title!$F$12,4,O1)</f>
        <v>41376</v>
      </c>
      <c r="P3" s="78">
        <f>DATE(Title!$F$12,4,P1)</f>
        <v>41377</v>
      </c>
      <c r="Q3" s="78">
        <f>DATE(Title!$F$12,4,Q1)</f>
        <v>41378</v>
      </c>
      <c r="R3" s="78">
        <f>DATE(Title!$F$12,4,R1)</f>
        <v>41379</v>
      </c>
      <c r="S3" s="78">
        <f>DATE(Title!$F$12,4,S1)</f>
        <v>41380</v>
      </c>
      <c r="T3" s="78">
        <f>DATE(Title!$F$12,4,T1)</f>
        <v>41381</v>
      </c>
      <c r="U3" s="78">
        <f>DATE(Title!$F$12,4,U1)</f>
        <v>41382</v>
      </c>
      <c r="V3" s="78">
        <f>DATE(Title!$F$12,4,V1)</f>
        <v>41383</v>
      </c>
      <c r="W3" s="78">
        <f>DATE(Title!$F$12,4,W1)</f>
        <v>41384</v>
      </c>
      <c r="X3" s="78">
        <f>DATE(Title!$F$12,4,X1)</f>
        <v>41385</v>
      </c>
      <c r="Y3" s="78">
        <f>DATE(Title!$F$12,4,Y1)</f>
        <v>41386</v>
      </c>
      <c r="Z3" s="78">
        <f>DATE(Title!$F$12,4,Z1)</f>
        <v>41387</v>
      </c>
      <c r="AA3" s="78">
        <f>DATE(Title!$F$12,4,AA1)</f>
        <v>41388</v>
      </c>
      <c r="AB3" s="78">
        <f>DATE(Title!$F$12,4,AB1)</f>
        <v>41389</v>
      </c>
      <c r="AC3" s="78">
        <f>DATE(Title!$F$12,4,AC1)</f>
        <v>41390</v>
      </c>
      <c r="AD3" s="78">
        <f>DATE(Title!$F$12,4,AD1)</f>
        <v>41391</v>
      </c>
      <c r="AE3" s="78">
        <f>DATE(Title!$F$12,4,AE1)</f>
        <v>41392</v>
      </c>
      <c r="AF3" s="78">
        <f>DATE(Title!$F$12,4,AF1)</f>
        <v>41393</v>
      </c>
      <c r="AG3" s="240">
        <f>DATE(Title!$F$12,4,AG1)</f>
        <v>41394</v>
      </c>
      <c r="AH3" s="78"/>
      <c r="AJ3" s="6" t="s">
        <v>5</v>
      </c>
    </row>
    <row r="4" spans="1:36" x14ac:dyDescent="0.25">
      <c r="B4" s="152"/>
      <c r="L4" s="206"/>
      <c r="R4">
        <v>24</v>
      </c>
      <c r="S4">
        <v>24</v>
      </c>
      <c r="W4">
        <v>40</v>
      </c>
      <c r="X4">
        <v>40</v>
      </c>
      <c r="Y4">
        <v>56</v>
      </c>
      <c r="Z4">
        <v>56</v>
      </c>
      <c r="AC4">
        <v>56</v>
      </c>
      <c r="AD4">
        <v>24</v>
      </c>
      <c r="AE4">
        <v>24</v>
      </c>
      <c r="AF4">
        <v>24</v>
      </c>
      <c r="AG4" s="206"/>
    </row>
    <row r="5" spans="1:36" ht="15.75" thickBot="1" x14ac:dyDescent="0.3">
      <c r="A5" t="s">
        <v>162</v>
      </c>
      <c r="B5" s="149" t="str">
        <f>'Hours Scheduled'!B4</f>
        <v>Barry Berendhuysen</v>
      </c>
      <c r="C5" t="s">
        <v>0</v>
      </c>
      <c r="D5" s="183"/>
      <c r="E5" s="2"/>
      <c r="F5" s="2"/>
      <c r="G5" s="2"/>
      <c r="H5" s="2"/>
      <c r="I5" s="200"/>
      <c r="J5" s="200"/>
      <c r="K5" s="2"/>
      <c r="L5" s="2"/>
      <c r="M5" s="2"/>
      <c r="N5" s="2"/>
      <c r="O5" s="2">
        <v>0</v>
      </c>
      <c r="P5" s="200"/>
      <c r="Q5" s="200"/>
      <c r="R5" s="2"/>
      <c r="S5" s="2"/>
      <c r="T5" s="2"/>
      <c r="U5" s="2"/>
      <c r="V5" s="2"/>
      <c r="W5" s="200"/>
      <c r="X5" s="200"/>
      <c r="Y5" s="2"/>
      <c r="Z5" s="2"/>
      <c r="AA5" s="2"/>
      <c r="AB5" s="2"/>
      <c r="AC5" s="2"/>
      <c r="AD5" s="200"/>
      <c r="AE5" s="200"/>
      <c r="AF5" s="2">
        <v>8</v>
      </c>
      <c r="AG5" s="183"/>
      <c r="AH5" s="2"/>
      <c r="AJ5" s="64">
        <f t="shared" ref="AJ5:AJ36" si="0">SUM(D5:AH5)</f>
        <v>8</v>
      </c>
    </row>
    <row r="6" spans="1:36" ht="15.75" hidden="1" outlineLevel="1" thickTop="1" x14ac:dyDescent="0.25">
      <c r="B6" s="150"/>
      <c r="C6" s="1" t="s">
        <v>1</v>
      </c>
      <c r="D6" s="183"/>
      <c r="E6" s="3"/>
      <c r="F6" s="3"/>
      <c r="G6" s="3"/>
      <c r="H6" s="3"/>
      <c r="I6" s="200"/>
      <c r="J6" s="200"/>
      <c r="K6" s="3"/>
      <c r="L6" s="3"/>
      <c r="M6" s="3"/>
      <c r="N6" s="3"/>
      <c r="O6" s="3"/>
      <c r="P6" s="200"/>
      <c r="Q6" s="200"/>
      <c r="R6" s="3"/>
      <c r="S6" s="3"/>
      <c r="T6" s="3"/>
      <c r="U6" s="3"/>
      <c r="V6" s="3"/>
      <c r="W6" s="200"/>
      <c r="X6" s="200"/>
      <c r="Y6" s="3"/>
      <c r="Z6" s="3"/>
      <c r="AA6" s="3"/>
      <c r="AB6" s="3"/>
      <c r="AC6" s="3"/>
      <c r="AD6" s="200"/>
      <c r="AE6" s="200"/>
      <c r="AF6" s="3"/>
      <c r="AG6" s="183"/>
      <c r="AH6" s="3"/>
      <c r="AJ6" s="70">
        <f t="shared" si="0"/>
        <v>0</v>
      </c>
    </row>
    <row r="7" spans="1:36" hidden="1" outlineLevel="1" x14ac:dyDescent="0.25">
      <c r="B7" s="151"/>
      <c r="C7" s="1" t="s">
        <v>2</v>
      </c>
      <c r="D7" s="183"/>
      <c r="E7" s="4"/>
      <c r="F7" s="4"/>
      <c r="G7" s="4"/>
      <c r="H7" s="4"/>
      <c r="I7" s="200"/>
      <c r="J7" s="200"/>
      <c r="K7" s="4"/>
      <c r="L7" s="4"/>
      <c r="M7" s="4"/>
      <c r="N7" s="4"/>
      <c r="O7" s="4"/>
      <c r="P7" s="200"/>
      <c r="Q7" s="200"/>
      <c r="R7" s="4"/>
      <c r="S7" s="4"/>
      <c r="T7" s="4"/>
      <c r="U7" s="4"/>
      <c r="V7" s="4"/>
      <c r="W7" s="200"/>
      <c r="X7" s="200"/>
      <c r="Y7" s="4"/>
      <c r="Z7" s="4"/>
      <c r="AA7" s="4"/>
      <c r="AB7" s="4"/>
      <c r="AC7" s="4"/>
      <c r="AD7" s="200"/>
      <c r="AE7" s="200"/>
      <c r="AF7" s="4"/>
      <c r="AG7" s="183"/>
      <c r="AH7" s="4"/>
      <c r="AJ7" s="71">
        <f t="shared" si="0"/>
        <v>0</v>
      </c>
    </row>
    <row r="8" spans="1:36" hidden="1" outlineLevel="1" x14ac:dyDescent="0.25">
      <c r="B8" s="151"/>
      <c r="C8" s="54" t="s">
        <v>77</v>
      </c>
      <c r="D8" s="183"/>
      <c r="E8" s="5"/>
      <c r="F8" s="5">
        <v>4</v>
      </c>
      <c r="G8" s="5"/>
      <c r="H8" s="5"/>
      <c r="I8" s="200"/>
      <c r="J8" s="200"/>
      <c r="K8" s="5"/>
      <c r="L8" s="5"/>
      <c r="M8" s="5"/>
      <c r="N8" s="5"/>
      <c r="O8" s="5"/>
      <c r="P8" s="200"/>
      <c r="Q8" s="200"/>
      <c r="R8" s="5"/>
      <c r="S8" s="5"/>
      <c r="T8" s="5"/>
      <c r="U8" s="5"/>
      <c r="V8" s="5"/>
      <c r="W8" s="200"/>
      <c r="X8" s="200"/>
      <c r="Y8" s="5"/>
      <c r="Z8" s="5"/>
      <c r="AA8" s="5"/>
      <c r="AB8" s="5"/>
      <c r="AC8" s="5"/>
      <c r="AD8" s="200"/>
      <c r="AE8" s="200"/>
      <c r="AF8" s="5"/>
      <c r="AG8" s="183"/>
      <c r="AH8" s="5"/>
      <c r="AJ8" s="72">
        <f t="shared" si="0"/>
        <v>4</v>
      </c>
    </row>
    <row r="9" spans="1:36" ht="15.75" hidden="1" outlineLevel="1" collapsed="1" thickBot="1" x14ac:dyDescent="0.3">
      <c r="B9" s="151"/>
      <c r="C9" s="9" t="s">
        <v>3</v>
      </c>
      <c r="D9" s="183"/>
      <c r="E9" s="8"/>
      <c r="F9" s="8"/>
      <c r="G9" s="8"/>
      <c r="H9" s="8"/>
      <c r="I9" s="201"/>
      <c r="J9" s="201"/>
      <c r="K9" s="8"/>
      <c r="L9" s="8"/>
      <c r="M9" s="8"/>
      <c r="N9" s="8"/>
      <c r="O9" s="8"/>
      <c r="P9" s="201"/>
      <c r="Q9" s="201"/>
      <c r="R9" s="8"/>
      <c r="S9" s="8"/>
      <c r="T9" s="8"/>
      <c r="U9" s="8"/>
      <c r="V9" s="8"/>
      <c r="W9" s="201"/>
      <c r="X9" s="201"/>
      <c r="Y9" s="8"/>
      <c r="Z9" s="8"/>
      <c r="AA9" s="8"/>
      <c r="AB9" s="8"/>
      <c r="AC9" s="8"/>
      <c r="AD9" s="201"/>
      <c r="AE9" s="201"/>
      <c r="AF9" s="8"/>
      <c r="AG9" s="183"/>
      <c r="AH9" s="8"/>
      <c r="AI9" s="7"/>
      <c r="AJ9" s="69">
        <f t="shared" si="0"/>
        <v>0</v>
      </c>
    </row>
    <row r="10" spans="1:36" ht="16.5" collapsed="1" thickTop="1" thickBot="1" x14ac:dyDescent="0.3">
      <c r="B10" s="149" t="str">
        <f>'Hours Scheduled'!B5</f>
        <v>Bas Boermans</v>
      </c>
      <c r="C10" t="s">
        <v>0</v>
      </c>
      <c r="D10" s="183"/>
      <c r="E10" s="180">
        <v>0</v>
      </c>
      <c r="F10" s="180">
        <v>0</v>
      </c>
      <c r="G10" s="180">
        <v>0</v>
      </c>
      <c r="H10" s="180">
        <v>0</v>
      </c>
      <c r="I10" s="200"/>
      <c r="J10" s="200"/>
      <c r="K10" s="180">
        <v>0</v>
      </c>
      <c r="L10" s="180">
        <v>0</v>
      </c>
      <c r="M10" s="180">
        <v>0</v>
      </c>
      <c r="N10" s="180">
        <v>0</v>
      </c>
      <c r="O10" s="180">
        <v>0</v>
      </c>
      <c r="P10" s="200"/>
      <c r="Q10" s="200"/>
      <c r="R10" s="2">
        <v>0</v>
      </c>
      <c r="S10" s="2">
        <v>0</v>
      </c>
      <c r="T10" s="2">
        <v>0</v>
      </c>
      <c r="U10" s="2">
        <v>8</v>
      </c>
      <c r="V10" s="2">
        <v>8</v>
      </c>
      <c r="W10" s="200"/>
      <c r="X10" s="200"/>
      <c r="Y10" s="2">
        <v>8</v>
      </c>
      <c r="Z10" s="2">
        <v>8</v>
      </c>
      <c r="AA10" s="2">
        <v>8</v>
      </c>
      <c r="AB10" s="2">
        <v>8</v>
      </c>
      <c r="AC10" s="2">
        <v>8</v>
      </c>
      <c r="AD10" s="200"/>
      <c r="AE10" s="200"/>
      <c r="AF10" s="2">
        <v>8</v>
      </c>
      <c r="AG10" s="183"/>
      <c r="AH10" s="2"/>
      <c r="AJ10" s="64">
        <f t="shared" si="0"/>
        <v>64</v>
      </c>
    </row>
    <row r="11" spans="1:36" ht="15.75" hidden="1" outlineLevel="1" thickTop="1" x14ac:dyDescent="0.25">
      <c r="B11" s="150"/>
      <c r="C11" s="1" t="s">
        <v>1</v>
      </c>
      <c r="D11" s="183"/>
      <c r="E11" s="3">
        <v>3</v>
      </c>
      <c r="F11" s="181">
        <v>8</v>
      </c>
      <c r="G11" s="3">
        <v>3</v>
      </c>
      <c r="H11" s="3">
        <v>3</v>
      </c>
      <c r="I11" s="200"/>
      <c r="J11" s="200"/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200"/>
      <c r="Q11" s="200"/>
      <c r="R11" s="3">
        <v>3</v>
      </c>
      <c r="S11" s="3">
        <v>3</v>
      </c>
      <c r="T11" s="3">
        <v>3</v>
      </c>
      <c r="U11" s="3"/>
      <c r="V11" s="3"/>
      <c r="W11" s="200"/>
      <c r="X11" s="200"/>
      <c r="Y11" s="3"/>
      <c r="Z11" s="3"/>
      <c r="AA11" s="3"/>
      <c r="AB11" s="3"/>
      <c r="AC11" s="3"/>
      <c r="AD11" s="200"/>
      <c r="AE11" s="200"/>
      <c r="AF11" s="3"/>
      <c r="AG11" s="183"/>
      <c r="AH11" s="3"/>
      <c r="AJ11" s="70">
        <f t="shared" si="0"/>
        <v>46</v>
      </c>
    </row>
    <row r="12" spans="1:36" hidden="1" outlineLevel="1" x14ac:dyDescent="0.25">
      <c r="B12" s="151"/>
      <c r="C12" s="1" t="s">
        <v>2</v>
      </c>
      <c r="D12" s="183"/>
      <c r="E12" s="4"/>
      <c r="F12" s="4"/>
      <c r="G12" s="4"/>
      <c r="H12" s="4"/>
      <c r="I12" s="200"/>
      <c r="J12" s="200"/>
      <c r="K12" s="4"/>
      <c r="L12" s="4"/>
      <c r="M12" s="4"/>
      <c r="N12" s="4"/>
      <c r="O12" s="4"/>
      <c r="P12" s="200"/>
      <c r="Q12" s="200"/>
      <c r="R12" s="4"/>
      <c r="S12" s="4"/>
      <c r="T12" s="4"/>
      <c r="U12" s="4"/>
      <c r="V12" s="4"/>
      <c r="W12" s="200"/>
      <c r="X12" s="200"/>
      <c r="Y12" s="4"/>
      <c r="Z12" s="4"/>
      <c r="AA12" s="4"/>
      <c r="AB12" s="4"/>
      <c r="AC12" s="4"/>
      <c r="AD12" s="200"/>
      <c r="AE12" s="200"/>
      <c r="AF12" s="4"/>
      <c r="AG12" s="183"/>
      <c r="AH12" s="4"/>
      <c r="AJ12" s="71">
        <f t="shared" si="0"/>
        <v>0</v>
      </c>
    </row>
    <row r="13" spans="1:36" hidden="1" outlineLevel="1" x14ac:dyDescent="0.25">
      <c r="B13" s="151"/>
      <c r="C13" s="54" t="s">
        <v>77</v>
      </c>
      <c r="D13" s="183"/>
      <c r="E13" s="5"/>
      <c r="F13" s="5"/>
      <c r="G13" s="5"/>
      <c r="H13" s="5"/>
      <c r="I13" s="200"/>
      <c r="J13" s="200"/>
      <c r="K13" s="5"/>
      <c r="L13" s="5"/>
      <c r="M13" s="5"/>
      <c r="N13" s="5"/>
      <c r="O13" s="5"/>
      <c r="P13" s="200"/>
      <c r="Q13" s="200"/>
      <c r="R13" s="5"/>
      <c r="S13" s="5"/>
      <c r="T13" s="5"/>
      <c r="U13" s="5"/>
      <c r="V13" s="5"/>
      <c r="W13" s="200"/>
      <c r="X13" s="200"/>
      <c r="Y13" s="5"/>
      <c r="Z13" s="5"/>
      <c r="AA13" s="5"/>
      <c r="AB13" s="5"/>
      <c r="AC13" s="5"/>
      <c r="AD13" s="200"/>
      <c r="AE13" s="200"/>
      <c r="AF13" s="5"/>
      <c r="AG13" s="183"/>
      <c r="AH13" s="5"/>
      <c r="AJ13" s="72">
        <f t="shared" si="0"/>
        <v>0</v>
      </c>
    </row>
    <row r="14" spans="1:36" ht="15.75" hidden="1" outlineLevel="1" collapsed="1" thickBot="1" x14ac:dyDescent="0.3">
      <c r="B14" s="151"/>
      <c r="C14" s="9" t="s">
        <v>3</v>
      </c>
      <c r="D14" s="183"/>
      <c r="E14" s="8"/>
      <c r="F14" s="8"/>
      <c r="G14" s="8"/>
      <c r="H14" s="8"/>
      <c r="I14" s="201"/>
      <c r="J14" s="201"/>
      <c r="K14" s="8"/>
      <c r="L14" s="8"/>
      <c r="M14" s="8"/>
      <c r="N14" s="8"/>
      <c r="O14" s="8"/>
      <c r="P14" s="201"/>
      <c r="Q14" s="201"/>
      <c r="R14" s="8"/>
      <c r="S14" s="8"/>
      <c r="T14" s="8"/>
      <c r="U14" s="8"/>
      <c r="V14" s="8"/>
      <c r="W14" s="201"/>
      <c r="X14" s="201"/>
      <c r="Y14" s="8"/>
      <c r="Z14" s="8"/>
      <c r="AA14" s="8"/>
      <c r="AB14" s="8"/>
      <c r="AC14" s="8"/>
      <c r="AD14" s="201"/>
      <c r="AE14" s="201"/>
      <c r="AF14" s="8"/>
      <c r="AG14" s="183"/>
      <c r="AH14" s="8"/>
      <c r="AI14" s="7"/>
      <c r="AJ14" s="69">
        <f t="shared" si="0"/>
        <v>0</v>
      </c>
    </row>
    <row r="15" spans="1:36" ht="16.5" collapsed="1" thickTop="1" thickBot="1" x14ac:dyDescent="0.3">
      <c r="B15" s="149" t="str">
        <f>'Hours Scheduled'!B6</f>
        <v>Bastiaan Franssen</v>
      </c>
      <c r="C15" t="s">
        <v>0</v>
      </c>
      <c r="D15" s="198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198"/>
      <c r="AH15" s="200"/>
      <c r="AJ15" s="64">
        <f t="shared" si="0"/>
        <v>0</v>
      </c>
    </row>
    <row r="16" spans="1:36" ht="15.75" hidden="1" outlineLevel="1" thickTop="1" x14ac:dyDescent="0.25">
      <c r="B16" s="150"/>
      <c r="C16" s="1" t="s">
        <v>1</v>
      </c>
      <c r="D16" s="183"/>
      <c r="E16" s="3"/>
      <c r="F16" s="3"/>
      <c r="G16" s="3"/>
      <c r="H16" s="3"/>
      <c r="I16" s="200"/>
      <c r="J16" s="200"/>
      <c r="K16" s="3"/>
      <c r="L16" s="3"/>
      <c r="M16" s="3"/>
      <c r="N16" s="3"/>
      <c r="O16" s="3"/>
      <c r="P16" s="200"/>
      <c r="Q16" s="200"/>
      <c r="R16" s="3"/>
      <c r="S16" s="3"/>
      <c r="T16" s="3"/>
      <c r="U16" s="3"/>
      <c r="V16" s="3"/>
      <c r="W16" s="200"/>
      <c r="X16" s="200"/>
      <c r="Y16" s="3"/>
      <c r="Z16" s="3"/>
      <c r="AA16" s="3"/>
      <c r="AB16" s="3"/>
      <c r="AC16" s="3"/>
      <c r="AD16" s="200"/>
      <c r="AE16" s="200"/>
      <c r="AF16" s="3"/>
      <c r="AG16" s="183"/>
      <c r="AH16" s="3"/>
      <c r="AJ16" s="70">
        <f t="shared" si="0"/>
        <v>0</v>
      </c>
    </row>
    <row r="17" spans="2:36" hidden="1" outlineLevel="1" x14ac:dyDescent="0.25">
      <c r="B17" s="151"/>
      <c r="C17" s="1" t="s">
        <v>2</v>
      </c>
      <c r="D17" s="183"/>
      <c r="E17" s="4"/>
      <c r="F17" s="4"/>
      <c r="G17" s="4"/>
      <c r="H17" s="4"/>
      <c r="I17" s="200"/>
      <c r="J17" s="200"/>
      <c r="K17" s="4"/>
      <c r="L17" s="4"/>
      <c r="M17" s="4"/>
      <c r="N17" s="4"/>
      <c r="O17" s="4"/>
      <c r="P17" s="200"/>
      <c r="Q17" s="200"/>
      <c r="R17" s="4"/>
      <c r="S17" s="4"/>
      <c r="T17" s="4"/>
      <c r="U17" s="4"/>
      <c r="V17" s="4"/>
      <c r="W17" s="200"/>
      <c r="X17" s="200"/>
      <c r="Y17" s="4"/>
      <c r="Z17" s="4"/>
      <c r="AA17" s="4"/>
      <c r="AB17" s="4"/>
      <c r="AC17" s="4"/>
      <c r="AD17" s="200"/>
      <c r="AE17" s="200"/>
      <c r="AF17" s="4"/>
      <c r="AG17" s="183"/>
      <c r="AH17" s="4"/>
      <c r="AJ17" s="71">
        <f t="shared" si="0"/>
        <v>0</v>
      </c>
    </row>
    <row r="18" spans="2:36" hidden="1" outlineLevel="1" x14ac:dyDescent="0.25">
      <c r="B18" s="151"/>
      <c r="C18" s="54" t="s">
        <v>77</v>
      </c>
      <c r="D18" s="183"/>
      <c r="E18" s="5"/>
      <c r="F18" s="5"/>
      <c r="G18" s="5"/>
      <c r="H18" s="5"/>
      <c r="I18" s="200"/>
      <c r="J18" s="200"/>
      <c r="K18" s="5"/>
      <c r="L18" s="5"/>
      <c r="M18" s="5"/>
      <c r="N18" s="5"/>
      <c r="O18" s="5"/>
      <c r="P18" s="200"/>
      <c r="Q18" s="200"/>
      <c r="R18" s="5"/>
      <c r="S18" s="5"/>
      <c r="T18" s="5"/>
      <c r="U18" s="5"/>
      <c r="V18" s="5"/>
      <c r="W18" s="200"/>
      <c r="X18" s="200"/>
      <c r="Y18" s="5"/>
      <c r="Z18" s="5"/>
      <c r="AA18" s="5"/>
      <c r="AB18" s="5"/>
      <c r="AC18" s="5"/>
      <c r="AD18" s="200"/>
      <c r="AE18" s="200"/>
      <c r="AF18" s="5"/>
      <c r="AG18" s="183"/>
      <c r="AH18" s="5"/>
      <c r="AJ18" s="72">
        <f t="shared" si="0"/>
        <v>0</v>
      </c>
    </row>
    <row r="19" spans="2:36" ht="15.75" hidden="1" outlineLevel="1" collapsed="1" thickBot="1" x14ac:dyDescent="0.3">
      <c r="B19" s="151"/>
      <c r="C19" s="9" t="s">
        <v>3</v>
      </c>
      <c r="D19" s="183"/>
      <c r="E19" s="8"/>
      <c r="F19" s="8"/>
      <c r="G19" s="8"/>
      <c r="H19" s="8"/>
      <c r="I19" s="201"/>
      <c r="J19" s="201"/>
      <c r="K19" s="8"/>
      <c r="L19" s="8"/>
      <c r="M19" s="8"/>
      <c r="N19" s="8"/>
      <c r="O19" s="8"/>
      <c r="P19" s="201"/>
      <c r="Q19" s="201"/>
      <c r="R19" s="8"/>
      <c r="S19" s="8"/>
      <c r="T19" s="8"/>
      <c r="U19" s="8"/>
      <c r="V19" s="8"/>
      <c r="W19" s="201"/>
      <c r="X19" s="201"/>
      <c r="Y19" s="8"/>
      <c r="Z19" s="8"/>
      <c r="AA19" s="8"/>
      <c r="AB19" s="8"/>
      <c r="AC19" s="8"/>
      <c r="AD19" s="201"/>
      <c r="AE19" s="201"/>
      <c r="AF19" s="8"/>
      <c r="AG19" s="183"/>
      <c r="AH19" s="8"/>
      <c r="AI19" s="7"/>
      <c r="AJ19" s="69">
        <f t="shared" si="0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183"/>
      <c r="E20" s="67"/>
      <c r="F20" s="67"/>
      <c r="G20" s="67"/>
      <c r="H20" s="67"/>
      <c r="I20" s="202"/>
      <c r="J20" s="202"/>
      <c r="K20" s="67"/>
      <c r="L20" s="67"/>
      <c r="M20" s="67"/>
      <c r="N20" s="67"/>
      <c r="O20" s="67"/>
      <c r="P20" s="202"/>
      <c r="Q20" s="202"/>
      <c r="R20" s="67"/>
      <c r="S20" s="67"/>
      <c r="T20" s="67"/>
      <c r="U20" s="67"/>
      <c r="V20" s="67"/>
      <c r="W20" s="202"/>
      <c r="X20" s="202"/>
      <c r="Y20" s="67">
        <v>8</v>
      </c>
      <c r="Z20" s="67">
        <v>8</v>
      </c>
      <c r="AA20" s="67"/>
      <c r="AB20" s="67"/>
      <c r="AC20" s="67"/>
      <c r="AD20" s="202"/>
      <c r="AE20" s="202"/>
      <c r="AF20" s="67"/>
      <c r="AG20" s="183"/>
      <c r="AH20" s="67"/>
      <c r="AJ20" s="64">
        <f t="shared" si="0"/>
        <v>16</v>
      </c>
    </row>
    <row r="21" spans="2:36" ht="15.75" hidden="1" outlineLevel="1" thickTop="1" x14ac:dyDescent="0.25">
      <c r="B21" s="150"/>
      <c r="C21" s="1" t="s">
        <v>1</v>
      </c>
      <c r="D21" s="183"/>
      <c r="E21" s="68"/>
      <c r="F21" s="68"/>
      <c r="G21" s="68"/>
      <c r="H21" s="68"/>
      <c r="I21" s="202"/>
      <c r="J21" s="202"/>
      <c r="K21" s="68"/>
      <c r="L21" s="68"/>
      <c r="M21" s="68"/>
      <c r="N21" s="68"/>
      <c r="O21" s="68"/>
      <c r="P21" s="202"/>
      <c r="Q21" s="202"/>
      <c r="R21" s="68"/>
      <c r="S21" s="68"/>
      <c r="T21" s="68"/>
      <c r="U21" s="68"/>
      <c r="V21" s="68"/>
      <c r="W21" s="202"/>
      <c r="X21" s="202"/>
      <c r="Y21" s="68"/>
      <c r="Z21" s="68"/>
      <c r="AA21" s="68"/>
      <c r="AB21" s="68"/>
      <c r="AC21" s="68"/>
      <c r="AD21" s="202"/>
      <c r="AE21" s="202"/>
      <c r="AF21" s="68"/>
      <c r="AG21" s="183"/>
      <c r="AH21" s="68"/>
      <c r="AJ21" s="70">
        <f t="shared" si="0"/>
        <v>0</v>
      </c>
    </row>
    <row r="22" spans="2:36" hidden="1" outlineLevel="1" x14ac:dyDescent="0.25">
      <c r="B22" s="151"/>
      <c r="C22" s="1" t="s">
        <v>2</v>
      </c>
      <c r="D22" s="183"/>
      <c r="E22" s="4"/>
      <c r="F22" s="4"/>
      <c r="G22" s="4"/>
      <c r="H22" s="4"/>
      <c r="I22" s="200"/>
      <c r="J22" s="200"/>
      <c r="K22" s="4"/>
      <c r="L22" s="4"/>
      <c r="M22" s="4"/>
      <c r="N22" s="4"/>
      <c r="O22" s="4"/>
      <c r="P22" s="200"/>
      <c r="Q22" s="200"/>
      <c r="R22" s="4"/>
      <c r="S22" s="4"/>
      <c r="T22" s="4"/>
      <c r="U22" s="4"/>
      <c r="V22" s="4"/>
      <c r="W22" s="200"/>
      <c r="X22" s="200"/>
      <c r="Y22" s="4"/>
      <c r="Z22" s="4"/>
      <c r="AA22" s="4"/>
      <c r="AB22" s="4"/>
      <c r="AC22" s="4"/>
      <c r="AD22" s="200"/>
      <c r="AE22" s="200"/>
      <c r="AF22" s="4"/>
      <c r="AG22" s="183"/>
      <c r="AH22" s="4"/>
      <c r="AJ22" s="71">
        <f t="shared" si="0"/>
        <v>0</v>
      </c>
    </row>
    <row r="23" spans="2:36" hidden="1" outlineLevel="1" x14ac:dyDescent="0.25">
      <c r="B23" s="151"/>
      <c r="C23" s="54" t="s">
        <v>77</v>
      </c>
      <c r="D23" s="183"/>
      <c r="E23" s="5"/>
      <c r="F23" s="5"/>
      <c r="G23" s="5"/>
      <c r="H23" s="5"/>
      <c r="I23" s="200"/>
      <c r="J23" s="200"/>
      <c r="K23" s="5"/>
      <c r="L23" s="5"/>
      <c r="M23" s="5"/>
      <c r="N23" s="5"/>
      <c r="O23" s="5"/>
      <c r="P23" s="200"/>
      <c r="Q23" s="200"/>
      <c r="R23" s="5"/>
      <c r="S23" s="5"/>
      <c r="T23" s="5"/>
      <c r="U23" s="5"/>
      <c r="V23" s="5"/>
      <c r="W23" s="200"/>
      <c r="X23" s="200"/>
      <c r="Y23" s="5"/>
      <c r="Z23" s="5"/>
      <c r="AA23" s="5"/>
      <c r="AB23" s="5"/>
      <c r="AC23" s="5"/>
      <c r="AD23" s="200"/>
      <c r="AE23" s="200"/>
      <c r="AF23" s="5"/>
      <c r="AG23" s="183"/>
      <c r="AH23" s="5"/>
      <c r="AJ23" s="72">
        <f t="shared" si="0"/>
        <v>0</v>
      </c>
    </row>
    <row r="24" spans="2:36" ht="15.75" hidden="1" outlineLevel="1" collapsed="1" thickBot="1" x14ac:dyDescent="0.3">
      <c r="B24" s="151"/>
      <c r="C24" s="9" t="s">
        <v>3</v>
      </c>
      <c r="D24" s="183"/>
      <c r="E24" s="8"/>
      <c r="F24" s="8"/>
      <c r="G24" s="8"/>
      <c r="H24" s="8"/>
      <c r="I24" s="201"/>
      <c r="J24" s="201"/>
      <c r="K24" s="8"/>
      <c r="L24" s="8"/>
      <c r="M24" s="8"/>
      <c r="N24" s="8"/>
      <c r="O24" s="8"/>
      <c r="P24" s="201"/>
      <c r="Q24" s="201"/>
      <c r="R24" s="8"/>
      <c r="S24" s="8"/>
      <c r="T24" s="8"/>
      <c r="U24" s="8"/>
      <c r="V24" s="8"/>
      <c r="W24" s="201"/>
      <c r="X24" s="201"/>
      <c r="Y24" s="8"/>
      <c r="Z24" s="8"/>
      <c r="AA24" s="8"/>
      <c r="AB24" s="8"/>
      <c r="AC24" s="8"/>
      <c r="AD24" s="201"/>
      <c r="AE24" s="201"/>
      <c r="AF24" s="8"/>
      <c r="AG24" s="183"/>
      <c r="AH24" s="8"/>
      <c r="AI24" s="7"/>
      <c r="AJ24" s="69">
        <f t="shared" si="0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183"/>
      <c r="E25" s="2"/>
      <c r="F25" s="2"/>
      <c r="G25" s="2">
        <v>0</v>
      </c>
      <c r="H25" s="2"/>
      <c r="I25" s="200"/>
      <c r="J25" s="200"/>
      <c r="K25" s="2"/>
      <c r="L25" s="2"/>
      <c r="M25" s="2"/>
      <c r="N25" s="2"/>
      <c r="O25" s="2"/>
      <c r="P25" s="200"/>
      <c r="Q25" s="200"/>
      <c r="R25" s="2"/>
      <c r="S25" s="2"/>
      <c r="T25" s="2"/>
      <c r="U25" s="2"/>
      <c r="V25" s="2"/>
      <c r="W25" s="200"/>
      <c r="X25" s="200"/>
      <c r="Y25" s="2"/>
      <c r="Z25" s="2"/>
      <c r="AA25" s="2">
        <v>4</v>
      </c>
      <c r="AB25" s="2"/>
      <c r="AC25" s="2"/>
      <c r="AD25" s="200"/>
      <c r="AE25" s="200"/>
      <c r="AF25" s="2">
        <v>4</v>
      </c>
      <c r="AG25" s="183"/>
      <c r="AH25" s="2"/>
      <c r="AJ25" s="64">
        <f t="shared" si="0"/>
        <v>8</v>
      </c>
    </row>
    <row r="26" spans="2:36" ht="15.75" hidden="1" outlineLevel="1" thickTop="1" x14ac:dyDescent="0.25">
      <c r="B26" s="150"/>
      <c r="C26" s="1" t="s">
        <v>1</v>
      </c>
      <c r="D26" s="183"/>
      <c r="E26" s="3"/>
      <c r="F26" s="3"/>
      <c r="G26" s="3"/>
      <c r="H26" s="3"/>
      <c r="I26" s="200"/>
      <c r="J26" s="200"/>
      <c r="K26" s="3"/>
      <c r="L26" s="3"/>
      <c r="M26" s="3"/>
      <c r="N26" s="3"/>
      <c r="O26" s="3"/>
      <c r="P26" s="200"/>
      <c r="Q26" s="200"/>
      <c r="R26" s="3"/>
      <c r="S26" s="3"/>
      <c r="T26" s="3"/>
      <c r="U26" s="3"/>
      <c r="V26" s="3"/>
      <c r="W26" s="200"/>
      <c r="X26" s="200"/>
      <c r="Y26" s="3"/>
      <c r="Z26" s="3"/>
      <c r="AA26" s="3"/>
      <c r="AB26" s="3"/>
      <c r="AC26" s="3"/>
      <c r="AD26" s="200"/>
      <c r="AE26" s="200"/>
      <c r="AF26" s="3"/>
      <c r="AG26" s="183"/>
      <c r="AH26" s="3"/>
      <c r="AJ26" s="70">
        <f t="shared" si="0"/>
        <v>0</v>
      </c>
    </row>
    <row r="27" spans="2:36" hidden="1" outlineLevel="1" x14ac:dyDescent="0.25">
      <c r="B27" s="151"/>
      <c r="C27" s="1" t="s">
        <v>2</v>
      </c>
      <c r="D27" s="183"/>
      <c r="E27" s="4"/>
      <c r="F27" s="4"/>
      <c r="G27" s="4">
        <v>4</v>
      </c>
      <c r="H27" s="4"/>
      <c r="I27" s="200"/>
      <c r="J27" s="200"/>
      <c r="K27" s="4"/>
      <c r="L27" s="4"/>
      <c r="M27" s="4"/>
      <c r="N27" s="4"/>
      <c r="O27" s="4"/>
      <c r="P27" s="200"/>
      <c r="Q27" s="200"/>
      <c r="R27" s="4"/>
      <c r="S27" s="4"/>
      <c r="T27" s="4"/>
      <c r="U27" s="4"/>
      <c r="V27" s="4">
        <v>4</v>
      </c>
      <c r="W27" s="200"/>
      <c r="X27" s="200"/>
      <c r="Y27" s="4"/>
      <c r="Z27" s="4"/>
      <c r="AA27" s="4"/>
      <c r="AB27" s="4"/>
      <c r="AC27" s="4"/>
      <c r="AD27" s="200"/>
      <c r="AE27" s="200"/>
      <c r="AF27" s="4"/>
      <c r="AG27" s="183"/>
      <c r="AH27" s="4"/>
      <c r="AJ27" s="71">
        <f t="shared" si="0"/>
        <v>8</v>
      </c>
    </row>
    <row r="28" spans="2:36" hidden="1" outlineLevel="1" x14ac:dyDescent="0.25">
      <c r="B28" s="151"/>
      <c r="C28" s="54" t="s">
        <v>77</v>
      </c>
      <c r="D28" s="183"/>
      <c r="E28" s="5"/>
      <c r="F28" s="5"/>
      <c r="G28" s="5"/>
      <c r="H28" s="5"/>
      <c r="I28" s="200"/>
      <c r="J28" s="200"/>
      <c r="K28" s="5"/>
      <c r="L28" s="5"/>
      <c r="M28" s="5"/>
      <c r="N28" s="5"/>
      <c r="O28" s="5"/>
      <c r="P28" s="200"/>
      <c r="Q28" s="200"/>
      <c r="R28" s="5"/>
      <c r="S28" s="5"/>
      <c r="T28" s="5"/>
      <c r="U28" s="5"/>
      <c r="V28" s="5"/>
      <c r="W28" s="200"/>
      <c r="X28" s="200"/>
      <c r="Y28" s="5"/>
      <c r="Z28" s="5"/>
      <c r="AA28" s="5"/>
      <c r="AB28" s="5"/>
      <c r="AC28" s="5"/>
      <c r="AD28" s="200"/>
      <c r="AE28" s="200"/>
      <c r="AF28" s="5"/>
      <c r="AG28" s="183"/>
      <c r="AH28" s="5"/>
      <c r="AJ28" s="72">
        <f t="shared" si="0"/>
        <v>0</v>
      </c>
    </row>
    <row r="29" spans="2:36" ht="15.75" hidden="1" outlineLevel="1" collapsed="1" thickBot="1" x14ac:dyDescent="0.3">
      <c r="B29" s="151"/>
      <c r="C29" s="9" t="s">
        <v>3</v>
      </c>
      <c r="D29" s="183"/>
      <c r="E29" s="8"/>
      <c r="F29" s="8"/>
      <c r="G29" s="8"/>
      <c r="H29" s="8"/>
      <c r="I29" s="201"/>
      <c r="J29" s="201"/>
      <c r="K29" s="8"/>
      <c r="L29" s="8"/>
      <c r="M29" s="8"/>
      <c r="N29" s="8"/>
      <c r="O29" s="8"/>
      <c r="P29" s="201"/>
      <c r="Q29" s="201"/>
      <c r="R29" s="8"/>
      <c r="S29" s="8"/>
      <c r="T29" s="8"/>
      <c r="U29" s="8"/>
      <c r="V29" s="8"/>
      <c r="W29" s="201"/>
      <c r="X29" s="201"/>
      <c r="Y29" s="8"/>
      <c r="Z29" s="8"/>
      <c r="AA29" s="8"/>
      <c r="AB29" s="8"/>
      <c r="AC29" s="8"/>
      <c r="AD29" s="201"/>
      <c r="AE29" s="201"/>
      <c r="AF29" s="8"/>
      <c r="AG29" s="183"/>
      <c r="AH29" s="8"/>
      <c r="AI29" s="7"/>
      <c r="AJ29" s="69">
        <f t="shared" si="0"/>
        <v>0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183"/>
      <c r="E30" s="2"/>
      <c r="F30" s="2"/>
      <c r="G30" s="2"/>
      <c r="H30" s="2"/>
      <c r="I30" s="200"/>
      <c r="J30" s="200"/>
      <c r="K30" s="2"/>
      <c r="L30" s="2"/>
      <c r="M30" s="2">
        <v>8</v>
      </c>
      <c r="N30" s="2"/>
      <c r="O30" s="2">
        <v>4</v>
      </c>
      <c r="P30" s="200"/>
      <c r="Q30" s="200"/>
      <c r="R30" s="2">
        <v>8</v>
      </c>
      <c r="S30" s="2"/>
      <c r="T30" s="2"/>
      <c r="U30" s="2"/>
      <c r="V30" s="64">
        <v>6.5</v>
      </c>
      <c r="W30" s="200"/>
      <c r="X30" s="200"/>
      <c r="Y30" s="2"/>
      <c r="Z30" s="2"/>
      <c r="AA30" s="2"/>
      <c r="AB30" s="2">
        <v>8</v>
      </c>
      <c r="AC30" s="2">
        <v>8</v>
      </c>
      <c r="AD30" s="200"/>
      <c r="AE30" s="200"/>
      <c r="AF30" s="2">
        <v>8</v>
      </c>
      <c r="AG30" s="183"/>
      <c r="AH30" s="2"/>
      <c r="AJ30" s="64">
        <f t="shared" si="0"/>
        <v>50.5</v>
      </c>
    </row>
    <row r="31" spans="2:36" ht="15.75" hidden="1" outlineLevel="1" thickTop="1" x14ac:dyDescent="0.25">
      <c r="B31" s="150"/>
      <c r="C31" s="1" t="s">
        <v>1</v>
      </c>
      <c r="D31" s="183"/>
      <c r="E31" s="3"/>
      <c r="F31" s="3"/>
      <c r="G31" s="3"/>
      <c r="H31" s="3"/>
      <c r="I31" s="200"/>
      <c r="J31" s="200"/>
      <c r="K31" s="3"/>
      <c r="L31" s="3"/>
      <c r="M31" s="3"/>
      <c r="N31" s="3"/>
      <c r="O31" s="3"/>
      <c r="P31" s="200"/>
      <c r="Q31" s="200"/>
      <c r="R31" s="3"/>
      <c r="S31" s="3"/>
      <c r="T31" s="3"/>
      <c r="U31" s="3"/>
      <c r="V31" s="3"/>
      <c r="W31" s="200"/>
      <c r="X31" s="200"/>
      <c r="Y31" s="3"/>
      <c r="Z31" s="3"/>
      <c r="AA31" s="3"/>
      <c r="AB31" s="3"/>
      <c r="AC31" s="3"/>
      <c r="AD31" s="200"/>
      <c r="AE31" s="200"/>
      <c r="AF31" s="3"/>
      <c r="AG31" s="183"/>
      <c r="AH31" s="3"/>
      <c r="AJ31" s="70">
        <f t="shared" si="0"/>
        <v>0</v>
      </c>
    </row>
    <row r="32" spans="2:36" hidden="1" outlineLevel="1" x14ac:dyDescent="0.25">
      <c r="B32" s="151"/>
      <c r="C32" s="1" t="s">
        <v>2</v>
      </c>
      <c r="D32" s="183"/>
      <c r="E32" s="4"/>
      <c r="F32" s="4"/>
      <c r="G32" s="4"/>
      <c r="H32" s="4"/>
      <c r="I32" s="200"/>
      <c r="J32" s="200"/>
      <c r="K32" s="4"/>
      <c r="L32" s="4"/>
      <c r="M32" s="4"/>
      <c r="N32" s="4"/>
      <c r="O32" s="4"/>
      <c r="P32" s="200"/>
      <c r="Q32" s="200"/>
      <c r="R32" s="4"/>
      <c r="S32" s="4"/>
      <c r="T32" s="4"/>
      <c r="U32" s="4"/>
      <c r="V32" s="4"/>
      <c r="W32" s="200"/>
      <c r="X32" s="200"/>
      <c r="Y32" s="4"/>
      <c r="Z32" s="4"/>
      <c r="AA32" s="4"/>
      <c r="AB32" s="4"/>
      <c r="AC32" s="4"/>
      <c r="AD32" s="200"/>
      <c r="AE32" s="200"/>
      <c r="AF32" s="4"/>
      <c r="AG32" s="183"/>
      <c r="AH32" s="4"/>
      <c r="AJ32" s="71">
        <f t="shared" si="0"/>
        <v>0</v>
      </c>
    </row>
    <row r="33" spans="2:36" hidden="1" outlineLevel="1" x14ac:dyDescent="0.25">
      <c r="B33" s="151"/>
      <c r="C33" s="54" t="s">
        <v>77</v>
      </c>
      <c r="D33" s="183"/>
      <c r="E33" s="5"/>
      <c r="F33" s="5"/>
      <c r="G33" s="5"/>
      <c r="H33" s="5"/>
      <c r="I33" s="200"/>
      <c r="J33" s="200"/>
      <c r="K33" s="5"/>
      <c r="L33" s="5"/>
      <c r="M33" s="5"/>
      <c r="N33" s="5"/>
      <c r="O33" s="5"/>
      <c r="P33" s="200"/>
      <c r="Q33" s="200"/>
      <c r="R33" s="5"/>
      <c r="S33" s="5"/>
      <c r="T33" s="5"/>
      <c r="U33" s="5"/>
      <c r="V33" s="5"/>
      <c r="W33" s="200"/>
      <c r="X33" s="200"/>
      <c r="Y33" s="5"/>
      <c r="Z33" s="5"/>
      <c r="AA33" s="5"/>
      <c r="AB33" s="5"/>
      <c r="AC33" s="5"/>
      <c r="AD33" s="200"/>
      <c r="AE33" s="200"/>
      <c r="AF33" s="5"/>
      <c r="AG33" s="183"/>
      <c r="AH33" s="5"/>
      <c r="AJ33" s="72">
        <f t="shared" si="0"/>
        <v>0</v>
      </c>
    </row>
    <row r="34" spans="2:36" ht="15.75" hidden="1" outlineLevel="1" collapsed="1" thickBot="1" x14ac:dyDescent="0.3">
      <c r="B34" s="151"/>
      <c r="C34" s="9" t="s">
        <v>3</v>
      </c>
      <c r="D34" s="183"/>
      <c r="E34" s="8"/>
      <c r="F34" s="8"/>
      <c r="G34" s="8"/>
      <c r="H34" s="8"/>
      <c r="I34" s="201"/>
      <c r="J34" s="201"/>
      <c r="K34" s="8"/>
      <c r="L34" s="8"/>
      <c r="M34" s="8"/>
      <c r="N34" s="8"/>
      <c r="O34" s="8"/>
      <c r="P34" s="201"/>
      <c r="Q34" s="201"/>
      <c r="R34" s="8"/>
      <c r="S34" s="8"/>
      <c r="T34" s="8"/>
      <c r="U34" s="8"/>
      <c r="V34" s="8"/>
      <c r="W34" s="201"/>
      <c r="X34" s="201"/>
      <c r="Y34" s="8"/>
      <c r="Z34" s="8"/>
      <c r="AA34" s="8"/>
      <c r="AB34" s="8"/>
      <c r="AC34" s="8"/>
      <c r="AD34" s="201"/>
      <c r="AE34" s="201"/>
      <c r="AF34" s="8"/>
      <c r="AG34" s="183"/>
      <c r="AH34" s="8"/>
      <c r="AI34" s="7"/>
      <c r="AJ34" s="69">
        <f t="shared" si="0"/>
        <v>0</v>
      </c>
    </row>
    <row r="35" spans="2:36" ht="16.5" collapsed="1" thickTop="1" thickBot="1" x14ac:dyDescent="0.3">
      <c r="B35" s="253" t="str">
        <f>'Hours Scheduled'!B10</f>
        <v>Dennis van 't Hul</v>
      </c>
      <c r="C35" t="s">
        <v>0</v>
      </c>
      <c r="D35" s="198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198"/>
      <c r="AH35" s="200"/>
      <c r="AJ35" s="64">
        <f t="shared" si="0"/>
        <v>0</v>
      </c>
    </row>
    <row r="36" spans="2:36" ht="15.75" hidden="1" outlineLevel="1" thickTop="1" x14ac:dyDescent="0.25">
      <c r="B36" s="150"/>
      <c r="C36" s="1" t="s">
        <v>1</v>
      </c>
      <c r="D36" s="183"/>
      <c r="E36" s="3"/>
      <c r="F36" s="3"/>
      <c r="G36" s="3"/>
      <c r="H36" s="3"/>
      <c r="I36" s="200"/>
      <c r="J36" s="200"/>
      <c r="K36" s="3"/>
      <c r="L36" s="3"/>
      <c r="M36" s="3"/>
      <c r="N36" s="3"/>
      <c r="O36" s="3"/>
      <c r="P36" s="200"/>
      <c r="Q36" s="200"/>
      <c r="R36" s="3"/>
      <c r="S36" s="3"/>
      <c r="T36" s="3"/>
      <c r="U36" s="3"/>
      <c r="V36" s="3"/>
      <c r="W36" s="200"/>
      <c r="X36" s="200"/>
      <c r="Y36" s="3"/>
      <c r="Z36" s="3"/>
      <c r="AA36" s="3"/>
      <c r="AB36" s="3"/>
      <c r="AC36" s="3"/>
      <c r="AD36" s="200"/>
      <c r="AE36" s="200"/>
      <c r="AF36" s="3"/>
      <c r="AG36" s="183"/>
      <c r="AH36" s="3"/>
      <c r="AJ36" s="70">
        <f t="shared" si="0"/>
        <v>0</v>
      </c>
    </row>
    <row r="37" spans="2:36" hidden="1" outlineLevel="1" x14ac:dyDescent="0.25">
      <c r="B37" s="151"/>
      <c r="C37" s="1" t="s">
        <v>2</v>
      </c>
      <c r="D37" s="183"/>
      <c r="E37" s="4"/>
      <c r="F37" s="4"/>
      <c r="G37" s="4"/>
      <c r="H37" s="4"/>
      <c r="I37" s="200"/>
      <c r="J37" s="200"/>
      <c r="K37" s="4"/>
      <c r="L37" s="4"/>
      <c r="M37" s="4"/>
      <c r="N37" s="4"/>
      <c r="O37" s="4"/>
      <c r="P37" s="200"/>
      <c r="Q37" s="200"/>
      <c r="R37" s="4"/>
      <c r="S37" s="4"/>
      <c r="T37" s="4"/>
      <c r="U37" s="4"/>
      <c r="V37" s="4"/>
      <c r="W37" s="200"/>
      <c r="X37" s="200"/>
      <c r="Y37" s="4"/>
      <c r="Z37" s="4"/>
      <c r="AA37" s="4"/>
      <c r="AB37" s="4"/>
      <c r="AC37" s="4"/>
      <c r="AD37" s="200"/>
      <c r="AE37" s="200"/>
      <c r="AF37" s="4"/>
      <c r="AG37" s="183"/>
      <c r="AH37" s="4"/>
      <c r="AJ37" s="71">
        <f t="shared" ref="AJ37:AJ58" si="1">SUM(D37:AH37)</f>
        <v>0</v>
      </c>
    </row>
    <row r="38" spans="2:36" hidden="1" outlineLevel="1" x14ac:dyDescent="0.25">
      <c r="B38" s="151"/>
      <c r="C38" s="54" t="s">
        <v>77</v>
      </c>
      <c r="D38" s="183"/>
      <c r="E38" s="5"/>
      <c r="F38" s="5"/>
      <c r="G38" s="5"/>
      <c r="H38" s="5"/>
      <c r="I38" s="200"/>
      <c r="J38" s="200"/>
      <c r="K38" s="5"/>
      <c r="L38" s="5"/>
      <c r="M38" s="5"/>
      <c r="N38" s="5"/>
      <c r="O38" s="5"/>
      <c r="P38" s="200"/>
      <c r="Q38" s="200"/>
      <c r="R38" s="5"/>
      <c r="S38" s="5"/>
      <c r="T38" s="5"/>
      <c r="U38" s="5"/>
      <c r="V38" s="5"/>
      <c r="W38" s="200"/>
      <c r="X38" s="200"/>
      <c r="Y38" s="5"/>
      <c r="Z38" s="5"/>
      <c r="AA38" s="5"/>
      <c r="AB38" s="5"/>
      <c r="AC38" s="5"/>
      <c r="AD38" s="200"/>
      <c r="AE38" s="200"/>
      <c r="AF38" s="5"/>
      <c r="AG38" s="183"/>
      <c r="AH38" s="5"/>
      <c r="AJ38" s="72">
        <f t="shared" si="1"/>
        <v>0</v>
      </c>
    </row>
    <row r="39" spans="2:36" ht="15.75" hidden="1" outlineLevel="1" thickBot="1" x14ac:dyDescent="0.3">
      <c r="B39" s="151"/>
      <c r="C39" s="9" t="s">
        <v>3</v>
      </c>
      <c r="D39" s="183"/>
      <c r="E39" s="8"/>
      <c r="F39" s="8"/>
      <c r="G39" s="8"/>
      <c r="H39" s="8"/>
      <c r="I39" s="201"/>
      <c r="J39" s="201"/>
      <c r="K39" s="8"/>
      <c r="L39" s="8"/>
      <c r="M39" s="8"/>
      <c r="N39" s="8"/>
      <c r="O39" s="8"/>
      <c r="P39" s="201"/>
      <c r="Q39" s="201"/>
      <c r="R39" s="8"/>
      <c r="S39" s="8"/>
      <c r="T39" s="8"/>
      <c r="U39" s="8"/>
      <c r="V39" s="8"/>
      <c r="W39" s="201"/>
      <c r="X39" s="201"/>
      <c r="Y39" s="8"/>
      <c r="Z39" s="8"/>
      <c r="AA39" s="8"/>
      <c r="AB39" s="8"/>
      <c r="AC39" s="8"/>
      <c r="AD39" s="201"/>
      <c r="AE39" s="201"/>
      <c r="AF39" s="8"/>
      <c r="AG39" s="183"/>
      <c r="AH39" s="8"/>
      <c r="AI39" s="7"/>
      <c r="AJ39" s="69">
        <f t="shared" si="1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183"/>
      <c r="E40" s="2"/>
      <c r="F40" s="2"/>
      <c r="G40" s="2"/>
      <c r="H40" s="2"/>
      <c r="I40" s="200"/>
      <c r="J40" s="200"/>
      <c r="K40" s="2"/>
      <c r="L40" s="2"/>
      <c r="M40" s="2"/>
      <c r="N40" s="2"/>
      <c r="O40" s="2"/>
      <c r="P40" s="200"/>
      <c r="Q40" s="200"/>
      <c r="R40" s="2"/>
      <c r="S40" s="2"/>
      <c r="T40" s="2"/>
      <c r="U40" s="2"/>
      <c r="V40" s="2"/>
      <c r="W40" s="200"/>
      <c r="X40" s="200"/>
      <c r="Y40" s="2"/>
      <c r="Z40" s="2"/>
      <c r="AA40" s="2"/>
      <c r="AB40" s="2"/>
      <c r="AC40" s="2">
        <v>8</v>
      </c>
      <c r="AD40" s="200"/>
      <c r="AE40" s="200"/>
      <c r="AF40" s="2">
        <v>8</v>
      </c>
      <c r="AG40" s="183"/>
      <c r="AH40" s="2"/>
      <c r="AJ40" s="64">
        <f t="shared" si="1"/>
        <v>16</v>
      </c>
    </row>
    <row r="41" spans="2:36" ht="15.75" hidden="1" outlineLevel="1" thickTop="1" x14ac:dyDescent="0.25">
      <c r="B41" s="150"/>
      <c r="C41" s="1" t="s">
        <v>1</v>
      </c>
      <c r="D41" s="183"/>
      <c r="E41" s="3"/>
      <c r="F41" s="3"/>
      <c r="G41" s="3"/>
      <c r="H41" s="3"/>
      <c r="I41" s="200"/>
      <c r="J41" s="200"/>
      <c r="K41" s="3"/>
      <c r="L41" s="3"/>
      <c r="M41" s="3"/>
      <c r="N41" s="3"/>
      <c r="O41" s="3"/>
      <c r="P41" s="200"/>
      <c r="Q41" s="200"/>
      <c r="R41" s="3"/>
      <c r="S41" s="3"/>
      <c r="T41" s="3"/>
      <c r="U41" s="3"/>
      <c r="V41" s="3"/>
      <c r="W41" s="200"/>
      <c r="X41" s="200"/>
      <c r="Y41" s="3"/>
      <c r="Z41" s="3"/>
      <c r="AA41" s="3"/>
      <c r="AB41" s="3"/>
      <c r="AC41" s="3"/>
      <c r="AD41" s="200"/>
      <c r="AE41" s="200"/>
      <c r="AF41" s="3"/>
      <c r="AG41" s="183"/>
      <c r="AH41" s="3"/>
      <c r="AJ41" s="70">
        <f t="shared" si="1"/>
        <v>0</v>
      </c>
    </row>
    <row r="42" spans="2:36" hidden="1" outlineLevel="1" x14ac:dyDescent="0.25">
      <c r="B42" s="151"/>
      <c r="C42" s="1" t="s">
        <v>2</v>
      </c>
      <c r="D42" s="183"/>
      <c r="E42" s="4"/>
      <c r="F42" s="4"/>
      <c r="G42" s="4"/>
      <c r="H42" s="4"/>
      <c r="I42" s="200"/>
      <c r="J42" s="200"/>
      <c r="K42" s="4"/>
      <c r="L42" s="4"/>
      <c r="M42" s="4"/>
      <c r="N42" s="4"/>
      <c r="O42" s="4"/>
      <c r="P42" s="200"/>
      <c r="Q42" s="200"/>
      <c r="R42" s="4"/>
      <c r="S42" s="4"/>
      <c r="T42" s="4"/>
      <c r="U42" s="4"/>
      <c r="V42" s="4"/>
      <c r="W42" s="200"/>
      <c r="X42" s="200"/>
      <c r="Y42" s="4"/>
      <c r="Z42" s="4"/>
      <c r="AA42" s="4"/>
      <c r="AB42" s="4"/>
      <c r="AC42" s="4"/>
      <c r="AD42" s="200"/>
      <c r="AE42" s="200"/>
      <c r="AF42" s="4"/>
      <c r="AG42" s="183"/>
      <c r="AH42" s="4"/>
      <c r="AJ42" s="71">
        <f t="shared" si="1"/>
        <v>0</v>
      </c>
    </row>
    <row r="43" spans="2:36" hidden="1" outlineLevel="1" x14ac:dyDescent="0.25">
      <c r="B43" s="151"/>
      <c r="C43" s="54" t="s">
        <v>77</v>
      </c>
      <c r="D43" s="183"/>
      <c r="E43" s="5"/>
      <c r="F43" s="5"/>
      <c r="G43" s="5"/>
      <c r="H43" s="5"/>
      <c r="I43" s="200"/>
      <c r="J43" s="200"/>
      <c r="K43" s="5"/>
      <c r="L43" s="5"/>
      <c r="M43" s="5"/>
      <c r="N43" s="5"/>
      <c r="O43" s="5"/>
      <c r="P43" s="200"/>
      <c r="Q43" s="200"/>
      <c r="R43" s="5"/>
      <c r="S43" s="5"/>
      <c r="T43" s="5"/>
      <c r="U43" s="5"/>
      <c r="V43" s="5"/>
      <c r="W43" s="200"/>
      <c r="X43" s="200"/>
      <c r="Y43" s="5"/>
      <c r="Z43" s="5"/>
      <c r="AA43" s="5"/>
      <c r="AB43" s="5"/>
      <c r="AC43" s="5"/>
      <c r="AD43" s="200"/>
      <c r="AE43" s="200"/>
      <c r="AF43" s="5"/>
      <c r="AG43" s="183"/>
      <c r="AH43" s="5"/>
      <c r="AJ43" s="72">
        <f t="shared" si="1"/>
        <v>0</v>
      </c>
    </row>
    <row r="44" spans="2:36" ht="15.75" hidden="1" outlineLevel="1" thickBot="1" x14ac:dyDescent="0.3">
      <c r="B44" s="151"/>
      <c r="C44" s="9" t="s">
        <v>3</v>
      </c>
      <c r="D44" s="183"/>
      <c r="E44" s="8"/>
      <c r="F44" s="8"/>
      <c r="G44" s="8"/>
      <c r="H44" s="8"/>
      <c r="I44" s="201"/>
      <c r="J44" s="201"/>
      <c r="K44" s="8"/>
      <c r="L44" s="8"/>
      <c r="M44" s="8"/>
      <c r="N44" s="8"/>
      <c r="O44" s="8"/>
      <c r="P44" s="201"/>
      <c r="Q44" s="201"/>
      <c r="R44" s="8"/>
      <c r="S44" s="8"/>
      <c r="T44" s="8"/>
      <c r="U44" s="8"/>
      <c r="V44" s="8"/>
      <c r="W44" s="201"/>
      <c r="X44" s="201"/>
      <c r="Y44" s="8"/>
      <c r="Z44" s="8"/>
      <c r="AA44" s="8"/>
      <c r="AB44" s="8"/>
      <c r="AC44" s="8"/>
      <c r="AD44" s="201"/>
      <c r="AE44" s="201"/>
      <c r="AF44" s="8"/>
      <c r="AG44" s="183"/>
      <c r="AH44" s="8"/>
      <c r="AI44" s="7"/>
      <c r="AJ44" s="69">
        <f t="shared" si="1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183"/>
      <c r="E45" s="2"/>
      <c r="F45" s="2"/>
      <c r="G45" s="2"/>
      <c r="H45" s="2"/>
      <c r="I45" s="200"/>
      <c r="J45" s="200"/>
      <c r="K45" s="2"/>
      <c r="L45" s="2"/>
      <c r="M45" s="2"/>
      <c r="N45" s="2"/>
      <c r="O45" s="2">
        <v>4</v>
      </c>
      <c r="P45" s="200"/>
      <c r="Q45" s="200"/>
      <c r="R45" s="2"/>
      <c r="S45" s="2"/>
      <c r="T45" s="2"/>
      <c r="U45" s="2"/>
      <c r="V45" s="2"/>
      <c r="W45" s="200"/>
      <c r="X45" s="200"/>
      <c r="Y45" s="2"/>
      <c r="Z45" s="2"/>
      <c r="AA45" s="2">
        <v>4</v>
      </c>
      <c r="AB45" s="2"/>
      <c r="AC45" s="2"/>
      <c r="AD45" s="200"/>
      <c r="AE45" s="200"/>
      <c r="AF45" s="2"/>
      <c r="AG45" s="183"/>
      <c r="AH45" s="2"/>
      <c r="AJ45" s="64">
        <f t="shared" si="1"/>
        <v>8</v>
      </c>
    </row>
    <row r="46" spans="2:36" ht="15.75" hidden="1" outlineLevel="1" thickTop="1" x14ac:dyDescent="0.25">
      <c r="B46" s="150"/>
      <c r="C46" s="1" t="s">
        <v>1</v>
      </c>
      <c r="D46" s="183"/>
      <c r="E46" s="3"/>
      <c r="F46" s="3"/>
      <c r="G46" s="3"/>
      <c r="H46" s="3"/>
      <c r="I46" s="200"/>
      <c r="J46" s="200"/>
      <c r="K46" s="3"/>
      <c r="L46" s="3"/>
      <c r="M46" s="3"/>
      <c r="N46" s="3"/>
      <c r="O46" s="3"/>
      <c r="P46" s="200"/>
      <c r="Q46" s="200"/>
      <c r="R46" s="3"/>
      <c r="S46" s="3"/>
      <c r="T46" s="3"/>
      <c r="U46" s="3"/>
      <c r="V46" s="3"/>
      <c r="W46" s="200"/>
      <c r="X46" s="200"/>
      <c r="Y46" s="3"/>
      <c r="Z46" s="3"/>
      <c r="AA46" s="3"/>
      <c r="AB46" s="3"/>
      <c r="AC46" s="3"/>
      <c r="AD46" s="200"/>
      <c r="AE46" s="200"/>
      <c r="AF46" s="3"/>
      <c r="AG46" s="183"/>
      <c r="AH46" s="3"/>
      <c r="AJ46" s="70">
        <f t="shared" si="1"/>
        <v>0</v>
      </c>
    </row>
    <row r="47" spans="2:36" hidden="1" outlineLevel="1" x14ac:dyDescent="0.25">
      <c r="B47" s="151"/>
      <c r="C47" s="1" t="s">
        <v>2</v>
      </c>
      <c r="D47" s="183"/>
      <c r="E47" s="4"/>
      <c r="F47" s="4"/>
      <c r="G47" s="4"/>
      <c r="H47" s="4"/>
      <c r="I47" s="200"/>
      <c r="J47" s="200"/>
      <c r="K47" s="4"/>
      <c r="L47" s="4"/>
      <c r="M47" s="4"/>
      <c r="N47" s="4"/>
      <c r="O47" s="4"/>
      <c r="P47" s="200"/>
      <c r="Q47" s="200"/>
      <c r="R47" s="4"/>
      <c r="S47" s="4"/>
      <c r="T47" s="4"/>
      <c r="U47" s="4"/>
      <c r="V47" s="4"/>
      <c r="W47" s="200"/>
      <c r="X47" s="200"/>
      <c r="Y47" s="4"/>
      <c r="Z47" s="4"/>
      <c r="AA47" s="4"/>
      <c r="AB47" s="4"/>
      <c r="AC47" s="4"/>
      <c r="AD47" s="200"/>
      <c r="AE47" s="200"/>
      <c r="AF47" s="4"/>
      <c r="AG47" s="183"/>
      <c r="AH47" s="4"/>
      <c r="AJ47" s="71">
        <f t="shared" si="1"/>
        <v>0</v>
      </c>
    </row>
    <row r="48" spans="2:36" hidden="1" outlineLevel="1" x14ac:dyDescent="0.25">
      <c r="B48" s="151"/>
      <c r="C48" s="54" t="s">
        <v>77</v>
      </c>
      <c r="D48" s="183"/>
      <c r="E48" s="5"/>
      <c r="F48" s="5"/>
      <c r="G48" s="5"/>
      <c r="H48" s="5"/>
      <c r="I48" s="200"/>
      <c r="J48" s="200"/>
      <c r="K48" s="5"/>
      <c r="L48" s="5"/>
      <c r="M48" s="5"/>
      <c r="N48" s="5"/>
      <c r="O48" s="5"/>
      <c r="P48" s="200"/>
      <c r="Q48" s="200"/>
      <c r="R48" s="5"/>
      <c r="S48" s="5"/>
      <c r="T48" s="5"/>
      <c r="U48" s="5"/>
      <c r="V48" s="5"/>
      <c r="W48" s="200"/>
      <c r="X48" s="200"/>
      <c r="Y48" s="5"/>
      <c r="Z48" s="5"/>
      <c r="AA48" s="5"/>
      <c r="AB48" s="5"/>
      <c r="AC48" s="5"/>
      <c r="AD48" s="200"/>
      <c r="AE48" s="200"/>
      <c r="AF48" s="5"/>
      <c r="AG48" s="183"/>
      <c r="AH48" s="5"/>
      <c r="AJ48" s="72">
        <f t="shared" si="1"/>
        <v>0</v>
      </c>
    </row>
    <row r="49" spans="2:36" ht="15.75" hidden="1" outlineLevel="1" thickBot="1" x14ac:dyDescent="0.3">
      <c r="B49" s="151"/>
      <c r="C49" s="9" t="s">
        <v>3</v>
      </c>
      <c r="D49" s="183"/>
      <c r="E49" s="8"/>
      <c r="F49" s="8"/>
      <c r="G49" s="8"/>
      <c r="H49" s="8"/>
      <c r="I49" s="201"/>
      <c r="J49" s="201"/>
      <c r="K49" s="8"/>
      <c r="L49" s="8"/>
      <c r="M49" s="8"/>
      <c r="N49" s="8"/>
      <c r="O49" s="8"/>
      <c r="P49" s="201"/>
      <c r="Q49" s="201"/>
      <c r="R49" s="8"/>
      <c r="S49" s="8"/>
      <c r="T49" s="8"/>
      <c r="U49" s="8"/>
      <c r="V49" s="8"/>
      <c r="W49" s="201"/>
      <c r="X49" s="201"/>
      <c r="Y49" s="8"/>
      <c r="Z49" s="73">
        <v>0.25</v>
      </c>
      <c r="AA49" s="8"/>
      <c r="AB49" s="8"/>
      <c r="AC49" s="8"/>
      <c r="AD49" s="201"/>
      <c r="AE49" s="201"/>
      <c r="AF49" s="8"/>
      <c r="AG49" s="183"/>
      <c r="AH49" s="8"/>
      <c r="AI49" s="7"/>
      <c r="AJ49" s="69">
        <f t="shared" si="1"/>
        <v>0.25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183"/>
      <c r="E50" s="2"/>
      <c r="F50" s="2"/>
      <c r="G50" s="2"/>
      <c r="H50" s="2"/>
      <c r="I50" s="200"/>
      <c r="J50" s="200"/>
      <c r="K50" s="2"/>
      <c r="L50" s="2">
        <v>4</v>
      </c>
      <c r="M50" s="2"/>
      <c r="N50" s="2"/>
      <c r="O50" s="2"/>
      <c r="P50" s="200"/>
      <c r="Q50" s="200"/>
      <c r="R50" s="2"/>
      <c r="S50" s="2"/>
      <c r="T50" s="2"/>
      <c r="U50" s="2"/>
      <c r="V50" s="2"/>
      <c r="W50" s="200"/>
      <c r="X50" s="200"/>
      <c r="Y50" s="2"/>
      <c r="Z50" s="2"/>
      <c r="AA50" s="2">
        <v>4</v>
      </c>
      <c r="AB50" s="2"/>
      <c r="AC50" s="2"/>
      <c r="AD50" s="200"/>
      <c r="AE50" s="200"/>
      <c r="AF50" s="2"/>
      <c r="AG50" s="183"/>
      <c r="AH50" s="2"/>
      <c r="AJ50" s="64">
        <f t="shared" si="1"/>
        <v>8</v>
      </c>
    </row>
    <row r="51" spans="2:36" ht="15.75" hidden="1" outlineLevel="1" thickTop="1" x14ac:dyDescent="0.25">
      <c r="B51" s="150"/>
      <c r="C51" s="1" t="s">
        <v>1</v>
      </c>
      <c r="D51" s="183"/>
      <c r="E51" s="3"/>
      <c r="F51" s="3"/>
      <c r="G51" s="3"/>
      <c r="H51" s="3"/>
      <c r="I51" s="200"/>
      <c r="J51" s="200"/>
      <c r="K51" s="3"/>
      <c r="L51" s="3"/>
      <c r="M51" s="3"/>
      <c r="N51" s="3"/>
      <c r="O51" s="3"/>
      <c r="P51" s="200"/>
      <c r="Q51" s="200"/>
      <c r="R51" s="3"/>
      <c r="S51" s="3"/>
      <c r="T51" s="3"/>
      <c r="U51" s="3"/>
      <c r="V51" s="3"/>
      <c r="W51" s="200"/>
      <c r="X51" s="200"/>
      <c r="Y51" s="3"/>
      <c r="Z51" s="3"/>
      <c r="AA51" s="3"/>
      <c r="AB51" s="3"/>
      <c r="AC51" s="3"/>
      <c r="AD51" s="200"/>
      <c r="AE51" s="200"/>
      <c r="AF51" s="3"/>
      <c r="AG51" s="183"/>
      <c r="AH51" s="3"/>
      <c r="AJ51" s="70">
        <f t="shared" si="1"/>
        <v>0</v>
      </c>
    </row>
    <row r="52" spans="2:36" hidden="1" outlineLevel="1" x14ac:dyDescent="0.25">
      <c r="B52" s="151"/>
      <c r="C52" s="1" t="s">
        <v>2</v>
      </c>
      <c r="D52" s="183"/>
      <c r="E52" s="4"/>
      <c r="F52" s="4"/>
      <c r="G52" s="4"/>
      <c r="H52" s="4"/>
      <c r="I52" s="200"/>
      <c r="J52" s="200"/>
      <c r="K52" s="4"/>
      <c r="L52" s="4"/>
      <c r="M52" s="4"/>
      <c r="N52" s="4"/>
      <c r="O52" s="4"/>
      <c r="P52" s="200"/>
      <c r="Q52" s="200"/>
      <c r="R52" s="4"/>
      <c r="S52" s="4"/>
      <c r="T52" s="4"/>
      <c r="U52" s="4"/>
      <c r="V52" s="4"/>
      <c r="W52" s="200"/>
      <c r="X52" s="200"/>
      <c r="Y52" s="4"/>
      <c r="Z52" s="4"/>
      <c r="AA52" s="4"/>
      <c r="AB52" s="4"/>
      <c r="AC52" s="4"/>
      <c r="AD52" s="200"/>
      <c r="AE52" s="200"/>
      <c r="AF52" s="4"/>
      <c r="AG52" s="183"/>
      <c r="AH52" s="4"/>
      <c r="AJ52" s="71">
        <f t="shared" si="1"/>
        <v>0</v>
      </c>
    </row>
    <row r="53" spans="2:36" hidden="1" outlineLevel="1" x14ac:dyDescent="0.25">
      <c r="B53" s="151"/>
      <c r="C53" s="54" t="s">
        <v>77</v>
      </c>
      <c r="D53" s="183"/>
      <c r="E53" s="5"/>
      <c r="F53" s="5"/>
      <c r="G53" s="5"/>
      <c r="H53" s="5"/>
      <c r="I53" s="200"/>
      <c r="J53" s="200"/>
      <c r="K53" s="5"/>
      <c r="L53" s="5"/>
      <c r="M53" s="5"/>
      <c r="N53" s="5"/>
      <c r="O53" s="5"/>
      <c r="P53" s="200"/>
      <c r="Q53" s="200"/>
      <c r="R53" s="5"/>
      <c r="S53" s="5"/>
      <c r="T53" s="5"/>
      <c r="U53" s="5"/>
      <c r="V53" s="5"/>
      <c r="W53" s="200"/>
      <c r="X53" s="200"/>
      <c r="Y53" s="5"/>
      <c r="Z53" s="5"/>
      <c r="AA53" s="5"/>
      <c r="AB53" s="5"/>
      <c r="AC53" s="5"/>
      <c r="AD53" s="200"/>
      <c r="AE53" s="200"/>
      <c r="AF53" s="5"/>
      <c r="AG53" s="183"/>
      <c r="AH53" s="5"/>
      <c r="AJ53" s="72">
        <f t="shared" si="1"/>
        <v>0</v>
      </c>
    </row>
    <row r="54" spans="2:36" ht="15.75" hidden="1" outlineLevel="1" thickBot="1" x14ac:dyDescent="0.3">
      <c r="B54" s="151"/>
      <c r="C54" s="9" t="s">
        <v>3</v>
      </c>
      <c r="D54" s="183"/>
      <c r="E54" s="8"/>
      <c r="F54" s="8"/>
      <c r="G54" s="8"/>
      <c r="H54" s="8"/>
      <c r="I54" s="201"/>
      <c r="J54" s="201"/>
      <c r="K54" s="8"/>
      <c r="L54" s="8"/>
      <c r="M54" s="8"/>
      <c r="N54" s="8"/>
      <c r="O54" s="8"/>
      <c r="P54" s="201"/>
      <c r="Q54" s="201"/>
      <c r="R54" s="8"/>
      <c r="S54" s="8"/>
      <c r="T54" s="8"/>
      <c r="U54" s="8"/>
      <c r="V54" s="8"/>
      <c r="W54" s="201"/>
      <c r="X54" s="201"/>
      <c r="Y54" s="8"/>
      <c r="Z54" s="8"/>
      <c r="AA54" s="8"/>
      <c r="AB54" s="8"/>
      <c r="AC54" s="8"/>
      <c r="AD54" s="201"/>
      <c r="AE54" s="201"/>
      <c r="AF54" s="8"/>
      <c r="AG54" s="183"/>
      <c r="AH54" s="8"/>
      <c r="AI54" s="7"/>
      <c r="AJ54" s="69">
        <f t="shared" si="1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183"/>
      <c r="E55" s="64"/>
      <c r="F55" s="64"/>
      <c r="G55" s="213">
        <v>0</v>
      </c>
      <c r="H55" s="64"/>
      <c r="I55" s="204"/>
      <c r="J55" s="204"/>
      <c r="K55" s="64"/>
      <c r="L55" s="213">
        <v>0</v>
      </c>
      <c r="M55" s="64"/>
      <c r="N55" s="64"/>
      <c r="O55" s="213">
        <v>0</v>
      </c>
      <c r="P55" s="204"/>
      <c r="Q55" s="204"/>
      <c r="R55" s="64"/>
      <c r="S55" s="64"/>
      <c r="T55" s="64"/>
      <c r="U55" s="64"/>
      <c r="V55" s="64"/>
      <c r="W55" s="204"/>
      <c r="X55" s="204"/>
      <c r="Y55" s="64"/>
      <c r="Z55" s="64"/>
      <c r="AA55" s="64"/>
      <c r="AB55" s="213">
        <v>0</v>
      </c>
      <c r="AC55" s="213">
        <v>8</v>
      </c>
      <c r="AD55" s="204"/>
      <c r="AE55" s="204"/>
      <c r="AF55" s="213">
        <v>8</v>
      </c>
      <c r="AG55" s="183"/>
      <c r="AH55" s="64"/>
      <c r="AJ55" s="64">
        <f t="shared" si="1"/>
        <v>16</v>
      </c>
    </row>
    <row r="56" spans="2:36" ht="15.75" hidden="1" outlineLevel="1" thickTop="1" x14ac:dyDescent="0.25">
      <c r="B56" s="150"/>
      <c r="C56" s="1" t="s">
        <v>1</v>
      </c>
      <c r="D56" s="183"/>
      <c r="E56" s="3"/>
      <c r="F56" s="3"/>
      <c r="G56" s="3"/>
      <c r="H56" s="3"/>
      <c r="I56" s="200"/>
      <c r="J56" s="200"/>
      <c r="K56" s="3"/>
      <c r="L56" s="3"/>
      <c r="M56" s="3"/>
      <c r="N56" s="3"/>
      <c r="O56" s="3"/>
      <c r="P56" s="200"/>
      <c r="Q56" s="200"/>
      <c r="R56" s="3"/>
      <c r="S56" s="3"/>
      <c r="T56" s="3"/>
      <c r="U56" s="3"/>
      <c r="V56" s="3"/>
      <c r="W56" s="200"/>
      <c r="X56" s="200"/>
      <c r="Y56" s="3"/>
      <c r="Z56" s="3"/>
      <c r="AA56" s="3"/>
      <c r="AB56" s="3"/>
      <c r="AC56" s="3"/>
      <c r="AD56" s="200"/>
      <c r="AE56" s="200"/>
      <c r="AF56" s="3"/>
      <c r="AG56" s="183"/>
      <c r="AH56" s="3"/>
      <c r="AJ56" s="70">
        <f t="shared" si="1"/>
        <v>0</v>
      </c>
    </row>
    <row r="57" spans="2:36" hidden="1" outlineLevel="1" x14ac:dyDescent="0.25">
      <c r="B57" s="151"/>
      <c r="C57" s="1" t="s">
        <v>2</v>
      </c>
      <c r="D57" s="183"/>
      <c r="E57" s="4"/>
      <c r="F57" s="4"/>
      <c r="G57" s="4"/>
      <c r="H57" s="4"/>
      <c r="I57" s="200"/>
      <c r="J57" s="200"/>
      <c r="K57" s="4"/>
      <c r="L57" s="4"/>
      <c r="M57" s="4"/>
      <c r="N57" s="4"/>
      <c r="O57" s="4"/>
      <c r="P57" s="200"/>
      <c r="Q57" s="200"/>
      <c r="R57" s="4"/>
      <c r="S57" s="4"/>
      <c r="T57" s="4"/>
      <c r="U57" s="4"/>
      <c r="V57" s="4"/>
      <c r="W57" s="200"/>
      <c r="X57" s="200"/>
      <c r="Y57" s="4"/>
      <c r="Z57" s="4"/>
      <c r="AA57" s="4"/>
      <c r="AB57" s="4"/>
      <c r="AC57" s="4"/>
      <c r="AD57" s="200"/>
      <c r="AE57" s="200"/>
      <c r="AF57" s="4"/>
      <c r="AG57" s="183"/>
      <c r="AH57" s="4"/>
      <c r="AJ57" s="71">
        <f t="shared" si="1"/>
        <v>0</v>
      </c>
    </row>
    <row r="58" spans="2:36" hidden="1" outlineLevel="1" x14ac:dyDescent="0.25">
      <c r="B58" s="151"/>
      <c r="C58" s="54" t="s">
        <v>77</v>
      </c>
      <c r="D58" s="183"/>
      <c r="E58" s="5"/>
      <c r="F58" s="5"/>
      <c r="G58" s="5"/>
      <c r="H58" s="5"/>
      <c r="I58" s="200"/>
      <c r="J58" s="200"/>
      <c r="K58" s="5"/>
      <c r="L58" s="5"/>
      <c r="M58" s="5"/>
      <c r="N58" s="5"/>
      <c r="O58" s="5"/>
      <c r="P58" s="200"/>
      <c r="Q58" s="200"/>
      <c r="R58" s="5"/>
      <c r="S58" s="5"/>
      <c r="T58" s="5"/>
      <c r="U58" s="5"/>
      <c r="V58" s="5"/>
      <c r="W58" s="200"/>
      <c r="X58" s="200"/>
      <c r="Y58" s="5"/>
      <c r="Z58" s="5"/>
      <c r="AA58" s="5"/>
      <c r="AB58" s="5"/>
      <c r="AC58" s="5"/>
      <c r="AD58" s="200"/>
      <c r="AE58" s="200"/>
      <c r="AF58" s="5"/>
      <c r="AG58" s="183"/>
      <c r="AH58" s="5"/>
      <c r="AJ58" s="72">
        <f t="shared" si="1"/>
        <v>0</v>
      </c>
    </row>
    <row r="59" spans="2:36" ht="15.75" hidden="1" outlineLevel="1" thickBot="1" x14ac:dyDescent="0.3">
      <c r="B59" s="151"/>
      <c r="C59" s="9" t="s">
        <v>3</v>
      </c>
      <c r="D59" s="183"/>
      <c r="E59" s="8"/>
      <c r="F59" s="8"/>
      <c r="G59" s="8"/>
      <c r="H59" s="8"/>
      <c r="I59" s="201"/>
      <c r="J59" s="201"/>
      <c r="K59" s="8"/>
      <c r="L59" s="8"/>
      <c r="M59" s="8"/>
      <c r="N59" s="8"/>
      <c r="O59" s="8"/>
      <c r="P59" s="201"/>
      <c r="Q59" s="201"/>
      <c r="R59" s="8"/>
      <c r="S59" s="8"/>
      <c r="T59" s="8"/>
      <c r="U59" s="8"/>
      <c r="V59" s="8"/>
      <c r="W59" s="201"/>
      <c r="X59" s="201"/>
      <c r="Y59" s="8"/>
      <c r="Z59" s="8"/>
      <c r="AA59" s="8"/>
      <c r="AB59" s="8"/>
      <c r="AC59" s="8"/>
      <c r="AD59" s="201"/>
      <c r="AE59" s="201"/>
      <c r="AF59" s="8"/>
      <c r="AG59" s="183"/>
      <c r="AH59" s="8"/>
      <c r="AI59" s="7"/>
      <c r="AJ59" s="69">
        <f t="shared" ref="AJ59:AJ85" si="2">SUM(D59:AH59)</f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183"/>
      <c r="E60" s="180">
        <v>8</v>
      </c>
      <c r="F60" s="200"/>
      <c r="G60" s="180">
        <v>8</v>
      </c>
      <c r="H60" s="180">
        <v>8</v>
      </c>
      <c r="I60" s="200"/>
      <c r="J60" s="200"/>
      <c r="K60" s="2"/>
      <c r="L60" s="2"/>
      <c r="M60" s="200"/>
      <c r="N60" s="2"/>
      <c r="O60" s="2"/>
      <c r="P60" s="200"/>
      <c r="Q60" s="200"/>
      <c r="R60" s="2"/>
      <c r="S60" s="2"/>
      <c r="T60" s="200"/>
      <c r="U60" s="2"/>
      <c r="V60" s="2"/>
      <c r="W60" s="200"/>
      <c r="X60" s="200"/>
      <c r="Y60" s="2"/>
      <c r="Z60" s="2"/>
      <c r="AA60" s="200"/>
      <c r="AB60" s="2">
        <v>8</v>
      </c>
      <c r="AC60" s="2"/>
      <c r="AD60" s="200"/>
      <c r="AE60" s="200"/>
      <c r="AF60" s="2"/>
      <c r="AG60" s="183"/>
      <c r="AH60" s="2"/>
      <c r="AJ60" s="64">
        <f t="shared" si="2"/>
        <v>32</v>
      </c>
    </row>
    <row r="61" spans="2:36" ht="15.75" hidden="1" outlineLevel="1" thickTop="1" x14ac:dyDescent="0.25">
      <c r="B61" s="150"/>
      <c r="C61" s="1" t="s">
        <v>1</v>
      </c>
      <c r="D61" s="183"/>
      <c r="E61" s="3"/>
      <c r="F61" s="3"/>
      <c r="G61" s="3"/>
      <c r="H61" s="3"/>
      <c r="I61" s="200"/>
      <c r="J61" s="200"/>
      <c r="K61" s="3"/>
      <c r="L61" s="3"/>
      <c r="M61" s="3"/>
      <c r="N61" s="3"/>
      <c r="O61" s="3"/>
      <c r="P61" s="200"/>
      <c r="Q61" s="200"/>
      <c r="R61" s="3"/>
      <c r="S61" s="3"/>
      <c r="T61" s="3"/>
      <c r="U61" s="3"/>
      <c r="V61" s="3"/>
      <c r="W61" s="200"/>
      <c r="X61" s="200"/>
      <c r="Y61" s="3"/>
      <c r="Z61" s="3"/>
      <c r="AA61" s="3"/>
      <c r="AB61" s="3"/>
      <c r="AC61" s="3"/>
      <c r="AD61" s="200"/>
      <c r="AE61" s="200"/>
      <c r="AF61" s="3"/>
      <c r="AG61" s="183"/>
      <c r="AH61" s="3"/>
      <c r="AJ61" s="70">
        <f t="shared" si="2"/>
        <v>0</v>
      </c>
    </row>
    <row r="62" spans="2:36" hidden="1" outlineLevel="1" x14ac:dyDescent="0.25">
      <c r="B62" s="151"/>
      <c r="C62" s="1" t="s">
        <v>2</v>
      </c>
      <c r="D62" s="183"/>
      <c r="E62" s="4"/>
      <c r="F62" s="4"/>
      <c r="G62" s="4"/>
      <c r="H62" s="4"/>
      <c r="I62" s="200"/>
      <c r="J62" s="200"/>
      <c r="K62" s="4"/>
      <c r="L62" s="4"/>
      <c r="M62" s="4"/>
      <c r="N62" s="4"/>
      <c r="O62" s="4"/>
      <c r="P62" s="200"/>
      <c r="Q62" s="200"/>
      <c r="R62" s="4"/>
      <c r="S62" s="4"/>
      <c r="T62" s="4"/>
      <c r="U62" s="4"/>
      <c r="V62" s="4"/>
      <c r="W62" s="200"/>
      <c r="X62" s="200"/>
      <c r="Y62" s="4"/>
      <c r="Z62" s="4"/>
      <c r="AA62" s="4"/>
      <c r="AB62" s="4"/>
      <c r="AC62" s="4"/>
      <c r="AD62" s="200"/>
      <c r="AE62" s="200"/>
      <c r="AF62" s="4"/>
      <c r="AG62" s="183"/>
      <c r="AH62" s="4"/>
      <c r="AJ62" s="71">
        <f t="shared" si="2"/>
        <v>0</v>
      </c>
    </row>
    <row r="63" spans="2:36" hidden="1" outlineLevel="1" x14ac:dyDescent="0.25">
      <c r="B63" s="151"/>
      <c r="C63" s="54" t="s">
        <v>77</v>
      </c>
      <c r="D63" s="183"/>
      <c r="E63" s="5"/>
      <c r="F63" s="5"/>
      <c r="G63" s="5"/>
      <c r="H63" s="5"/>
      <c r="I63" s="200"/>
      <c r="J63" s="200"/>
      <c r="K63" s="5"/>
      <c r="L63" s="5"/>
      <c r="M63" s="5"/>
      <c r="N63" s="5"/>
      <c r="O63" s="5"/>
      <c r="P63" s="200"/>
      <c r="Q63" s="200"/>
      <c r="R63" s="5"/>
      <c r="S63" s="5"/>
      <c r="T63" s="5"/>
      <c r="U63" s="5"/>
      <c r="V63" s="5"/>
      <c r="W63" s="200"/>
      <c r="X63" s="200"/>
      <c r="Y63" s="5"/>
      <c r="Z63" s="5"/>
      <c r="AA63" s="5"/>
      <c r="AB63" s="5"/>
      <c r="AC63" s="5"/>
      <c r="AD63" s="200"/>
      <c r="AE63" s="200"/>
      <c r="AF63" s="5"/>
      <c r="AG63" s="183"/>
      <c r="AH63" s="5"/>
      <c r="AJ63" s="72">
        <f t="shared" si="2"/>
        <v>0</v>
      </c>
    </row>
    <row r="64" spans="2:36" ht="15.75" hidden="1" outlineLevel="1" thickBot="1" x14ac:dyDescent="0.3">
      <c r="B64" s="151"/>
      <c r="C64" s="9" t="s">
        <v>3</v>
      </c>
      <c r="D64" s="183"/>
      <c r="E64" s="8"/>
      <c r="F64" s="8"/>
      <c r="G64" s="8"/>
      <c r="H64" s="8"/>
      <c r="I64" s="201"/>
      <c r="J64" s="201"/>
      <c r="K64" s="8"/>
      <c r="L64" s="8"/>
      <c r="M64" s="8"/>
      <c r="N64" s="8"/>
      <c r="O64" s="8"/>
      <c r="P64" s="201"/>
      <c r="Q64" s="201"/>
      <c r="R64" s="8"/>
      <c r="S64" s="8"/>
      <c r="T64" s="8"/>
      <c r="U64" s="8"/>
      <c r="V64" s="8"/>
      <c r="W64" s="201"/>
      <c r="X64" s="201"/>
      <c r="Y64" s="8"/>
      <c r="Z64" s="8"/>
      <c r="AA64" s="8"/>
      <c r="AB64" s="8"/>
      <c r="AC64" s="8"/>
      <c r="AD64" s="201"/>
      <c r="AE64" s="201"/>
      <c r="AF64" s="73">
        <f>8/60</f>
        <v>0.13333333333333333</v>
      </c>
      <c r="AG64" s="183"/>
      <c r="AH64" s="8"/>
      <c r="AI64" s="7"/>
      <c r="AJ64" s="69">
        <f t="shared" si="2"/>
        <v>0.13333333333333333</v>
      </c>
    </row>
    <row r="65" spans="2:36" ht="16.5" collapsed="1" thickTop="1" thickBot="1" x14ac:dyDescent="0.3">
      <c r="B65" s="253" t="str">
        <f>'Hours Scheduled'!B16</f>
        <v>Jim van der Weijden</v>
      </c>
      <c r="C65" t="s">
        <v>0</v>
      </c>
      <c r="D65" s="198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198"/>
      <c r="AH65" s="200"/>
      <c r="AJ65" s="64">
        <f t="shared" si="2"/>
        <v>0</v>
      </c>
    </row>
    <row r="66" spans="2:36" ht="15.75" hidden="1" outlineLevel="1" thickTop="1" x14ac:dyDescent="0.25">
      <c r="B66" s="150"/>
      <c r="C66" s="1" t="s">
        <v>1</v>
      </c>
      <c r="D66" s="183"/>
      <c r="E66" s="3"/>
      <c r="F66" s="3"/>
      <c r="G66" s="3"/>
      <c r="H66" s="3"/>
      <c r="I66" s="200"/>
      <c r="J66" s="200"/>
      <c r="K66" s="3"/>
      <c r="L66" s="3"/>
      <c r="M66" s="3"/>
      <c r="N66" s="3"/>
      <c r="O66" s="3"/>
      <c r="P66" s="200"/>
      <c r="Q66" s="200"/>
      <c r="R66" s="3"/>
      <c r="S66" s="3"/>
      <c r="T66" s="3"/>
      <c r="U66" s="3"/>
      <c r="V66" s="3"/>
      <c r="W66" s="200"/>
      <c r="X66" s="200"/>
      <c r="Y66" s="3"/>
      <c r="Z66" s="3"/>
      <c r="AA66" s="3"/>
      <c r="AB66" s="3"/>
      <c r="AC66" s="3"/>
      <c r="AD66" s="200"/>
      <c r="AE66" s="200"/>
      <c r="AF66" s="3"/>
      <c r="AG66" s="183"/>
      <c r="AH66" s="3"/>
      <c r="AJ66" s="70">
        <f t="shared" si="2"/>
        <v>0</v>
      </c>
    </row>
    <row r="67" spans="2:36" hidden="1" outlineLevel="1" x14ac:dyDescent="0.25">
      <c r="B67" s="151"/>
      <c r="C67" s="1" t="s">
        <v>2</v>
      </c>
      <c r="D67" s="183"/>
      <c r="E67" s="4"/>
      <c r="F67" s="4"/>
      <c r="G67" s="4"/>
      <c r="H67" s="4"/>
      <c r="I67" s="200"/>
      <c r="J67" s="200"/>
      <c r="K67" s="4"/>
      <c r="L67" s="4"/>
      <c r="M67" s="4"/>
      <c r="N67" s="4"/>
      <c r="O67" s="4"/>
      <c r="P67" s="200"/>
      <c r="Q67" s="200"/>
      <c r="R67" s="4"/>
      <c r="S67" s="4"/>
      <c r="T67" s="4"/>
      <c r="U67" s="4"/>
      <c r="V67" s="4"/>
      <c r="W67" s="200"/>
      <c r="X67" s="200"/>
      <c r="Y67" s="4"/>
      <c r="Z67" s="4"/>
      <c r="AA67" s="4"/>
      <c r="AB67" s="4"/>
      <c r="AC67" s="4"/>
      <c r="AD67" s="200"/>
      <c r="AE67" s="200"/>
      <c r="AF67" s="4"/>
      <c r="AG67" s="183"/>
      <c r="AH67" s="4"/>
      <c r="AJ67" s="71">
        <f t="shared" si="2"/>
        <v>0</v>
      </c>
    </row>
    <row r="68" spans="2:36" hidden="1" outlineLevel="1" x14ac:dyDescent="0.25">
      <c r="B68" s="151"/>
      <c r="C68" s="54" t="s">
        <v>77</v>
      </c>
      <c r="D68" s="183"/>
      <c r="E68" s="5"/>
      <c r="F68" s="5"/>
      <c r="G68" s="5"/>
      <c r="H68" s="5"/>
      <c r="I68" s="200"/>
      <c r="J68" s="200"/>
      <c r="K68" s="5"/>
      <c r="L68" s="5"/>
      <c r="M68" s="5"/>
      <c r="N68" s="5"/>
      <c r="O68" s="5"/>
      <c r="P68" s="200"/>
      <c r="Q68" s="200"/>
      <c r="R68" s="5"/>
      <c r="S68" s="5"/>
      <c r="T68" s="5"/>
      <c r="U68" s="5"/>
      <c r="V68" s="5"/>
      <c r="W68" s="200"/>
      <c r="X68" s="200"/>
      <c r="Y68" s="5"/>
      <c r="Z68" s="5"/>
      <c r="AA68" s="5"/>
      <c r="AB68" s="5"/>
      <c r="AC68" s="5"/>
      <c r="AD68" s="200"/>
      <c r="AE68" s="200"/>
      <c r="AF68" s="5"/>
      <c r="AG68" s="183"/>
      <c r="AH68" s="5"/>
      <c r="AJ68" s="72">
        <f t="shared" si="2"/>
        <v>0</v>
      </c>
    </row>
    <row r="69" spans="2:36" ht="15.75" hidden="1" outlineLevel="1" thickBot="1" x14ac:dyDescent="0.3">
      <c r="B69" s="151"/>
      <c r="C69" s="9" t="s">
        <v>3</v>
      </c>
      <c r="D69" s="183"/>
      <c r="E69" s="8"/>
      <c r="F69" s="8"/>
      <c r="G69" s="8"/>
      <c r="H69" s="8"/>
      <c r="I69" s="201"/>
      <c r="J69" s="201"/>
      <c r="K69" s="8"/>
      <c r="L69" s="8"/>
      <c r="M69" s="8"/>
      <c r="N69" s="8"/>
      <c r="O69" s="8"/>
      <c r="P69" s="201"/>
      <c r="Q69" s="201"/>
      <c r="R69" s="8"/>
      <c r="S69" s="8"/>
      <c r="T69" s="8"/>
      <c r="U69" s="8"/>
      <c r="V69" s="8"/>
      <c r="W69" s="201"/>
      <c r="X69" s="201"/>
      <c r="Y69" s="8"/>
      <c r="Z69" s="8"/>
      <c r="AA69" s="8"/>
      <c r="AB69" s="8"/>
      <c r="AC69" s="8"/>
      <c r="AD69" s="201"/>
      <c r="AE69" s="201"/>
      <c r="AF69" s="8"/>
      <c r="AG69" s="183"/>
      <c r="AH69" s="8"/>
      <c r="AI69" s="7"/>
      <c r="AJ69" s="69">
        <f t="shared" si="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183"/>
      <c r="E70" s="2"/>
      <c r="F70" s="2"/>
      <c r="G70" s="2"/>
      <c r="H70" s="2"/>
      <c r="I70" s="200"/>
      <c r="J70" s="200"/>
      <c r="K70" s="2"/>
      <c r="L70" s="2"/>
      <c r="M70" s="2"/>
      <c r="N70" s="2"/>
      <c r="O70" s="2"/>
      <c r="P70" s="200"/>
      <c r="Q70" s="200"/>
      <c r="R70" s="2">
        <v>0</v>
      </c>
      <c r="S70" s="2"/>
      <c r="T70" s="2"/>
      <c r="U70" s="2"/>
      <c r="V70" s="2"/>
      <c r="W70" s="200"/>
      <c r="X70" s="200"/>
      <c r="Y70" s="2"/>
      <c r="Z70" s="2"/>
      <c r="AA70" s="2"/>
      <c r="AB70" s="2"/>
      <c r="AC70" s="2"/>
      <c r="AD70" s="200"/>
      <c r="AE70" s="200"/>
      <c r="AF70" s="2"/>
      <c r="AG70" s="183"/>
      <c r="AH70" s="2"/>
      <c r="AJ70" s="64">
        <f t="shared" si="2"/>
        <v>0</v>
      </c>
    </row>
    <row r="71" spans="2:36" ht="15.75" hidden="1" outlineLevel="1" thickTop="1" x14ac:dyDescent="0.25">
      <c r="B71" s="150"/>
      <c r="C71" s="1" t="s">
        <v>1</v>
      </c>
      <c r="D71" s="183"/>
      <c r="E71" s="3"/>
      <c r="F71" s="3"/>
      <c r="G71" s="3"/>
      <c r="H71" s="3"/>
      <c r="I71" s="200"/>
      <c r="J71" s="200"/>
      <c r="K71" s="3"/>
      <c r="L71" s="3"/>
      <c r="M71" s="3"/>
      <c r="N71" s="3"/>
      <c r="O71" s="3"/>
      <c r="P71" s="200"/>
      <c r="Q71" s="200"/>
      <c r="R71" s="3"/>
      <c r="S71" s="3"/>
      <c r="T71" s="3"/>
      <c r="U71" s="3"/>
      <c r="V71" s="3"/>
      <c r="W71" s="200"/>
      <c r="X71" s="200"/>
      <c r="Y71" s="3"/>
      <c r="Z71" s="3"/>
      <c r="AA71" s="3"/>
      <c r="AB71" s="3"/>
      <c r="AC71" s="3"/>
      <c r="AD71" s="200"/>
      <c r="AE71" s="200"/>
      <c r="AF71" s="3"/>
      <c r="AG71" s="183"/>
      <c r="AH71" s="3"/>
      <c r="AJ71" s="70">
        <f t="shared" si="2"/>
        <v>0</v>
      </c>
    </row>
    <row r="72" spans="2:36" hidden="1" outlineLevel="1" x14ac:dyDescent="0.25">
      <c r="B72" s="151"/>
      <c r="C72" s="1" t="s">
        <v>2</v>
      </c>
      <c r="D72" s="183"/>
      <c r="E72" s="4"/>
      <c r="F72" s="4"/>
      <c r="G72" s="4"/>
      <c r="H72" s="4"/>
      <c r="I72" s="200"/>
      <c r="J72" s="200"/>
      <c r="K72" s="4"/>
      <c r="L72" s="4"/>
      <c r="M72" s="4"/>
      <c r="N72" s="4"/>
      <c r="O72" s="4"/>
      <c r="P72" s="200"/>
      <c r="Q72" s="200"/>
      <c r="R72" s="4"/>
      <c r="S72" s="4"/>
      <c r="T72" s="4"/>
      <c r="U72" s="4"/>
      <c r="V72" s="4"/>
      <c r="W72" s="200"/>
      <c r="X72" s="200"/>
      <c r="Y72" s="4"/>
      <c r="Z72" s="4"/>
      <c r="AA72" s="4"/>
      <c r="AB72" s="4"/>
      <c r="AC72" s="4"/>
      <c r="AD72" s="200"/>
      <c r="AE72" s="200"/>
      <c r="AF72" s="4"/>
      <c r="AG72" s="183"/>
      <c r="AH72" s="4"/>
      <c r="AJ72" s="71">
        <f t="shared" si="2"/>
        <v>0</v>
      </c>
    </row>
    <row r="73" spans="2:36" hidden="1" outlineLevel="1" x14ac:dyDescent="0.25">
      <c r="B73" s="151"/>
      <c r="C73" s="54" t="s">
        <v>77</v>
      </c>
      <c r="D73" s="183"/>
      <c r="E73" s="5"/>
      <c r="F73" s="5"/>
      <c r="G73" s="5"/>
      <c r="H73" s="5"/>
      <c r="I73" s="200"/>
      <c r="J73" s="200"/>
      <c r="K73" s="5"/>
      <c r="L73" s="5"/>
      <c r="M73" s="5"/>
      <c r="N73" s="5"/>
      <c r="O73" s="5"/>
      <c r="P73" s="200"/>
      <c r="Q73" s="200"/>
      <c r="R73" s="5">
        <v>8</v>
      </c>
      <c r="S73" s="5"/>
      <c r="T73" s="5"/>
      <c r="U73" s="5"/>
      <c r="V73" s="5"/>
      <c r="W73" s="200"/>
      <c r="X73" s="200"/>
      <c r="Y73" s="5"/>
      <c r="Z73" s="5"/>
      <c r="AA73" s="5"/>
      <c r="AB73" s="5"/>
      <c r="AC73" s="5"/>
      <c r="AD73" s="200"/>
      <c r="AE73" s="200"/>
      <c r="AF73" s="5"/>
      <c r="AG73" s="183"/>
      <c r="AH73" s="5"/>
      <c r="AJ73" s="72">
        <f t="shared" si="2"/>
        <v>8</v>
      </c>
    </row>
    <row r="74" spans="2:36" ht="15.75" hidden="1" outlineLevel="1" thickBot="1" x14ac:dyDescent="0.3">
      <c r="B74" s="151"/>
      <c r="C74" s="9" t="s">
        <v>3</v>
      </c>
      <c r="D74" s="183"/>
      <c r="E74" s="8"/>
      <c r="F74" s="8"/>
      <c r="G74" s="8"/>
      <c r="H74" s="8"/>
      <c r="I74" s="201"/>
      <c r="J74" s="201"/>
      <c r="K74" s="8"/>
      <c r="L74" s="8"/>
      <c r="M74" s="8"/>
      <c r="N74" s="8"/>
      <c r="O74" s="8"/>
      <c r="P74" s="201"/>
      <c r="Q74" s="201"/>
      <c r="R74" s="8"/>
      <c r="S74" s="8"/>
      <c r="T74" s="8"/>
      <c r="U74" s="8"/>
      <c r="V74" s="8"/>
      <c r="W74" s="201"/>
      <c r="X74" s="201"/>
      <c r="Y74" s="8"/>
      <c r="Z74" s="8"/>
      <c r="AA74" s="8"/>
      <c r="AB74" s="8"/>
      <c r="AC74" s="8"/>
      <c r="AD74" s="201"/>
      <c r="AE74" s="201"/>
      <c r="AF74" s="8"/>
      <c r="AG74" s="183"/>
      <c r="AH74" s="8"/>
      <c r="AI74" s="7"/>
      <c r="AJ74" s="69">
        <f t="shared" si="2"/>
        <v>0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183"/>
      <c r="E75" s="64"/>
      <c r="F75" s="64"/>
      <c r="G75" s="64"/>
      <c r="H75" s="64"/>
      <c r="I75" s="204"/>
      <c r="J75" s="204"/>
      <c r="K75" s="64"/>
      <c r="L75" s="64"/>
      <c r="M75" s="64"/>
      <c r="N75" s="64"/>
      <c r="O75" s="213">
        <v>0</v>
      </c>
      <c r="P75" s="204"/>
      <c r="Q75" s="204"/>
      <c r="R75" s="64"/>
      <c r="S75" s="64"/>
      <c r="T75" s="64"/>
      <c r="U75" s="64"/>
      <c r="V75" s="64"/>
      <c r="W75" s="204"/>
      <c r="X75" s="204"/>
      <c r="Y75" s="64"/>
      <c r="Z75" s="64"/>
      <c r="AA75" s="64"/>
      <c r="AB75" s="64"/>
      <c r="AC75" s="64">
        <v>2.5</v>
      </c>
      <c r="AD75" s="204"/>
      <c r="AE75" s="204"/>
      <c r="AF75" s="64"/>
      <c r="AG75" s="183"/>
      <c r="AH75" s="64"/>
      <c r="AJ75" s="64">
        <f t="shared" si="2"/>
        <v>2.5</v>
      </c>
    </row>
    <row r="76" spans="2:36" ht="15.75" hidden="1" outlineLevel="1" thickTop="1" x14ac:dyDescent="0.25">
      <c r="B76" s="150"/>
      <c r="C76" s="1" t="s">
        <v>1</v>
      </c>
      <c r="D76" s="183"/>
      <c r="E76" s="3"/>
      <c r="F76" s="3"/>
      <c r="G76" s="3"/>
      <c r="H76" s="3"/>
      <c r="I76" s="200"/>
      <c r="J76" s="200"/>
      <c r="K76" s="3"/>
      <c r="L76" s="3"/>
      <c r="M76" s="3"/>
      <c r="N76" s="3"/>
      <c r="O76" s="3"/>
      <c r="P76" s="200"/>
      <c r="Q76" s="200"/>
      <c r="R76" s="3"/>
      <c r="S76" s="3"/>
      <c r="T76" s="3"/>
      <c r="U76" s="3"/>
      <c r="V76" s="3"/>
      <c r="W76" s="200"/>
      <c r="X76" s="200"/>
      <c r="Y76" s="3"/>
      <c r="Z76" s="3"/>
      <c r="AA76" s="3"/>
      <c r="AB76" s="3"/>
      <c r="AC76" s="3"/>
      <c r="AD76" s="200"/>
      <c r="AE76" s="200"/>
      <c r="AF76" s="3"/>
      <c r="AG76" s="183"/>
      <c r="AH76" s="3"/>
      <c r="AJ76" s="70">
        <f t="shared" si="2"/>
        <v>0</v>
      </c>
    </row>
    <row r="77" spans="2:36" hidden="1" outlineLevel="1" x14ac:dyDescent="0.25">
      <c r="B77" s="151"/>
      <c r="C77" s="1" t="s">
        <v>2</v>
      </c>
      <c r="D77" s="183"/>
      <c r="E77" s="4"/>
      <c r="F77" s="4"/>
      <c r="G77" s="4"/>
      <c r="H77" s="4"/>
      <c r="I77" s="200"/>
      <c r="J77" s="200"/>
      <c r="K77" s="4"/>
      <c r="L77" s="4"/>
      <c r="M77" s="4"/>
      <c r="N77" s="4"/>
      <c r="O77" s="4"/>
      <c r="P77" s="200"/>
      <c r="Q77" s="200"/>
      <c r="R77" s="4"/>
      <c r="S77" s="4"/>
      <c r="T77" s="4"/>
      <c r="U77" s="4"/>
      <c r="V77" s="4"/>
      <c r="W77" s="200"/>
      <c r="X77" s="200"/>
      <c r="Y77" s="4"/>
      <c r="Z77" s="4"/>
      <c r="AA77" s="4"/>
      <c r="AB77" s="4"/>
      <c r="AC77" s="4"/>
      <c r="AD77" s="200"/>
      <c r="AE77" s="200"/>
      <c r="AF77" s="4"/>
      <c r="AG77" s="183"/>
      <c r="AH77" s="4"/>
      <c r="AJ77" s="71">
        <f t="shared" si="2"/>
        <v>0</v>
      </c>
    </row>
    <row r="78" spans="2:36" hidden="1" outlineLevel="1" x14ac:dyDescent="0.25">
      <c r="B78" s="151"/>
      <c r="C78" s="54" t="s">
        <v>77</v>
      </c>
      <c r="D78" s="183"/>
      <c r="E78" s="5"/>
      <c r="F78" s="5"/>
      <c r="G78" s="5"/>
      <c r="H78" s="5"/>
      <c r="I78" s="200"/>
      <c r="J78" s="200"/>
      <c r="K78" s="5"/>
      <c r="L78" s="5"/>
      <c r="M78" s="5"/>
      <c r="N78" s="5"/>
      <c r="O78" s="5"/>
      <c r="P78" s="200"/>
      <c r="Q78" s="200"/>
      <c r="R78" s="5"/>
      <c r="S78" s="5"/>
      <c r="T78" s="5"/>
      <c r="U78" s="5"/>
      <c r="V78" s="5"/>
      <c r="W78" s="200"/>
      <c r="X78" s="200"/>
      <c r="Y78" s="5"/>
      <c r="Z78" s="5"/>
      <c r="AA78" s="5"/>
      <c r="AB78" s="5"/>
      <c r="AC78" s="5"/>
      <c r="AD78" s="200"/>
      <c r="AE78" s="200"/>
      <c r="AF78" s="5"/>
      <c r="AG78" s="183"/>
      <c r="AH78" s="5"/>
      <c r="AJ78" s="72">
        <f t="shared" si="2"/>
        <v>0</v>
      </c>
    </row>
    <row r="79" spans="2:36" ht="15.75" hidden="1" outlineLevel="1" thickBot="1" x14ac:dyDescent="0.3">
      <c r="B79" s="151"/>
      <c r="C79" s="9" t="s">
        <v>3</v>
      </c>
      <c r="D79" s="183"/>
      <c r="E79" s="8"/>
      <c r="F79" s="8"/>
      <c r="G79" s="8"/>
      <c r="H79" s="8"/>
      <c r="I79" s="201"/>
      <c r="J79" s="201"/>
      <c r="K79" s="8"/>
      <c r="L79" s="8"/>
      <c r="M79" s="8"/>
      <c r="N79" s="8"/>
      <c r="O79" s="8"/>
      <c r="P79" s="201"/>
      <c r="Q79" s="201"/>
      <c r="R79" s="8"/>
      <c r="S79" s="8"/>
      <c r="T79" s="8"/>
      <c r="U79" s="8"/>
      <c r="V79" s="8"/>
      <c r="W79" s="201"/>
      <c r="X79" s="201"/>
      <c r="Y79" s="8"/>
      <c r="Z79" s="8"/>
      <c r="AA79" s="8"/>
      <c r="AB79" s="8"/>
      <c r="AC79" s="8"/>
      <c r="AD79" s="201"/>
      <c r="AE79" s="201"/>
      <c r="AF79" s="8"/>
      <c r="AG79" s="183"/>
      <c r="AH79" s="8"/>
      <c r="AI79" s="7"/>
      <c r="AJ79" s="69">
        <f t="shared" si="2"/>
        <v>0</v>
      </c>
    </row>
    <row r="80" spans="2:36" ht="16.5" collapsed="1" thickTop="1" thickBot="1" x14ac:dyDescent="0.3">
      <c r="B80" s="253" t="str">
        <f>'Hours Scheduled'!B19</f>
        <v>Loek Moling</v>
      </c>
      <c r="C80" t="s">
        <v>0</v>
      </c>
      <c r="D80" s="198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198"/>
      <c r="AH80" s="200"/>
      <c r="AJ80" s="64">
        <f t="shared" si="2"/>
        <v>0</v>
      </c>
    </row>
    <row r="81" spans="2:36" ht="15.75" hidden="1" outlineLevel="1" thickTop="1" x14ac:dyDescent="0.25">
      <c r="B81" s="150"/>
      <c r="C81" s="1" t="s">
        <v>1</v>
      </c>
      <c r="D81" s="183"/>
      <c r="E81" s="3"/>
      <c r="F81" s="3"/>
      <c r="G81" s="3"/>
      <c r="H81" s="3"/>
      <c r="I81" s="200"/>
      <c r="J81" s="200"/>
      <c r="K81" s="3"/>
      <c r="L81" s="3"/>
      <c r="M81" s="3"/>
      <c r="N81" s="3"/>
      <c r="O81" s="3"/>
      <c r="P81" s="200"/>
      <c r="Q81" s="200"/>
      <c r="R81" s="3"/>
      <c r="S81" s="3"/>
      <c r="T81" s="3"/>
      <c r="U81" s="3"/>
      <c r="V81" s="3"/>
      <c r="W81" s="200"/>
      <c r="X81" s="200"/>
      <c r="Y81" s="3"/>
      <c r="Z81" s="3"/>
      <c r="AA81" s="3"/>
      <c r="AB81" s="3"/>
      <c r="AC81" s="3"/>
      <c r="AD81" s="200"/>
      <c r="AE81" s="200"/>
      <c r="AF81" s="3"/>
      <c r="AG81" s="183"/>
      <c r="AH81" s="3"/>
      <c r="AJ81" s="70">
        <f t="shared" si="2"/>
        <v>0</v>
      </c>
    </row>
    <row r="82" spans="2:36" hidden="1" outlineLevel="1" x14ac:dyDescent="0.25">
      <c r="B82" s="151"/>
      <c r="C82" s="1" t="s">
        <v>2</v>
      </c>
      <c r="D82" s="183"/>
      <c r="E82" s="4"/>
      <c r="F82" s="4"/>
      <c r="G82" s="4"/>
      <c r="H82" s="4"/>
      <c r="I82" s="200"/>
      <c r="J82" s="200"/>
      <c r="K82" s="4"/>
      <c r="L82" s="4"/>
      <c r="M82" s="4"/>
      <c r="N82" s="4"/>
      <c r="O82" s="4"/>
      <c r="P82" s="200"/>
      <c r="Q82" s="200"/>
      <c r="R82" s="4"/>
      <c r="S82" s="4"/>
      <c r="T82" s="4"/>
      <c r="U82" s="4"/>
      <c r="V82" s="4"/>
      <c r="W82" s="200"/>
      <c r="X82" s="200"/>
      <c r="Y82" s="4"/>
      <c r="Z82" s="4"/>
      <c r="AA82" s="4"/>
      <c r="AB82" s="4"/>
      <c r="AC82" s="4"/>
      <c r="AD82" s="200"/>
      <c r="AE82" s="200"/>
      <c r="AF82" s="4"/>
      <c r="AG82" s="183"/>
      <c r="AH82" s="4"/>
      <c r="AJ82" s="71">
        <f t="shared" si="2"/>
        <v>0</v>
      </c>
    </row>
    <row r="83" spans="2:36" hidden="1" outlineLevel="1" x14ac:dyDescent="0.25">
      <c r="B83" s="151"/>
      <c r="C83" s="54" t="s">
        <v>77</v>
      </c>
      <c r="D83" s="183"/>
      <c r="E83" s="5"/>
      <c r="F83" s="5"/>
      <c r="G83" s="5"/>
      <c r="H83" s="5"/>
      <c r="I83" s="200"/>
      <c r="J83" s="200"/>
      <c r="K83" s="5"/>
      <c r="L83" s="5"/>
      <c r="M83" s="5"/>
      <c r="N83" s="5"/>
      <c r="O83" s="5"/>
      <c r="P83" s="200"/>
      <c r="Q83" s="200"/>
      <c r="R83" s="5"/>
      <c r="S83" s="5"/>
      <c r="T83" s="5"/>
      <c r="U83" s="5"/>
      <c r="V83" s="5"/>
      <c r="W83" s="200"/>
      <c r="X83" s="200"/>
      <c r="Y83" s="5"/>
      <c r="Z83" s="5"/>
      <c r="AA83" s="5"/>
      <c r="AB83" s="5"/>
      <c r="AC83" s="5"/>
      <c r="AD83" s="200"/>
      <c r="AE83" s="200"/>
      <c r="AF83" s="5"/>
      <c r="AG83" s="183"/>
      <c r="AH83" s="5"/>
      <c r="AJ83" s="72">
        <f t="shared" si="2"/>
        <v>0</v>
      </c>
    </row>
    <row r="84" spans="2:36" ht="15.75" hidden="1" outlineLevel="1" thickBot="1" x14ac:dyDescent="0.3">
      <c r="B84" s="151"/>
      <c r="C84" s="9" t="s">
        <v>3</v>
      </c>
      <c r="D84" s="183"/>
      <c r="E84" s="8"/>
      <c r="F84" s="8"/>
      <c r="G84" s="8"/>
      <c r="H84" s="8"/>
      <c r="I84" s="201"/>
      <c r="J84" s="201"/>
      <c r="K84" s="8"/>
      <c r="L84" s="8"/>
      <c r="M84" s="8"/>
      <c r="N84" s="8"/>
      <c r="O84" s="8"/>
      <c r="P84" s="201"/>
      <c r="Q84" s="201"/>
      <c r="R84" s="8"/>
      <c r="S84" s="8"/>
      <c r="T84" s="8"/>
      <c r="U84" s="8"/>
      <c r="V84" s="8"/>
      <c r="W84" s="201"/>
      <c r="X84" s="201"/>
      <c r="Y84" s="8"/>
      <c r="Z84" s="8"/>
      <c r="AA84" s="8"/>
      <c r="AB84" s="8"/>
      <c r="AC84" s="8"/>
      <c r="AD84" s="201"/>
      <c r="AE84" s="201"/>
      <c r="AF84" s="8"/>
      <c r="AG84" s="183"/>
      <c r="AH84" s="8"/>
      <c r="AI84" s="7"/>
      <c r="AJ84" s="69">
        <f t="shared" si="2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183"/>
      <c r="E85" s="2"/>
      <c r="F85" s="2"/>
      <c r="G85" s="2"/>
      <c r="H85" s="2"/>
      <c r="I85" s="200"/>
      <c r="J85" s="200"/>
      <c r="K85" s="2"/>
      <c r="L85" s="2"/>
      <c r="M85" s="2">
        <v>8</v>
      </c>
      <c r="N85" s="2"/>
      <c r="O85" s="2"/>
      <c r="P85" s="200"/>
      <c r="Q85" s="200"/>
      <c r="R85" s="2"/>
      <c r="S85" s="2"/>
      <c r="T85" s="2"/>
      <c r="U85" s="2"/>
      <c r="V85" s="2"/>
      <c r="W85" s="200"/>
      <c r="X85" s="200"/>
      <c r="Y85" s="2">
        <v>8</v>
      </c>
      <c r="Z85" s="2">
        <v>8</v>
      </c>
      <c r="AA85" s="2">
        <v>8</v>
      </c>
      <c r="AB85" s="2">
        <v>8</v>
      </c>
      <c r="AC85" s="2">
        <v>8</v>
      </c>
      <c r="AD85" s="200"/>
      <c r="AE85" s="200"/>
      <c r="AF85" s="2">
        <v>8</v>
      </c>
      <c r="AG85" s="183"/>
      <c r="AH85" s="2"/>
      <c r="AJ85" s="64">
        <f t="shared" si="2"/>
        <v>56</v>
      </c>
    </row>
    <row r="86" spans="2:36" ht="15.75" hidden="1" outlineLevel="1" thickTop="1" x14ac:dyDescent="0.25">
      <c r="B86" s="150"/>
      <c r="C86" s="1" t="s">
        <v>1</v>
      </c>
      <c r="D86" s="183"/>
      <c r="E86" s="3"/>
      <c r="F86" s="3"/>
      <c r="G86" s="3"/>
      <c r="H86" s="3"/>
      <c r="I86" s="200"/>
      <c r="J86" s="200"/>
      <c r="K86" s="3"/>
      <c r="L86" s="3"/>
      <c r="M86" s="3"/>
      <c r="N86" s="3"/>
      <c r="O86" s="3"/>
      <c r="P86" s="200"/>
      <c r="Q86" s="200"/>
      <c r="R86" s="3"/>
      <c r="S86" s="3"/>
      <c r="T86" s="3"/>
      <c r="U86" s="3"/>
      <c r="V86" s="3"/>
      <c r="W86" s="200"/>
      <c r="X86" s="200"/>
      <c r="Y86" s="3"/>
      <c r="Z86" s="3"/>
      <c r="AA86" s="3"/>
      <c r="AB86" s="3"/>
      <c r="AC86" s="3"/>
      <c r="AD86" s="200"/>
      <c r="AE86" s="200"/>
      <c r="AF86" s="3"/>
      <c r="AG86" s="183"/>
      <c r="AH86" s="3"/>
      <c r="AJ86" s="70">
        <f t="shared" ref="AJ86:AJ117" si="3">SUM(D86:AH86)</f>
        <v>0</v>
      </c>
    </row>
    <row r="87" spans="2:36" hidden="1" outlineLevel="1" x14ac:dyDescent="0.25">
      <c r="B87" s="151"/>
      <c r="C87" s="1" t="s">
        <v>2</v>
      </c>
      <c r="D87" s="183"/>
      <c r="E87" s="4"/>
      <c r="F87" s="4"/>
      <c r="G87" s="4"/>
      <c r="H87" s="4"/>
      <c r="I87" s="200"/>
      <c r="J87" s="200"/>
      <c r="K87" s="4"/>
      <c r="L87" s="4"/>
      <c r="M87" s="4"/>
      <c r="N87" s="4"/>
      <c r="O87" s="4"/>
      <c r="P87" s="200"/>
      <c r="Q87" s="200"/>
      <c r="R87" s="4"/>
      <c r="S87" s="4"/>
      <c r="T87" s="4"/>
      <c r="U87" s="4"/>
      <c r="V87" s="4"/>
      <c r="W87" s="200"/>
      <c r="X87" s="200"/>
      <c r="Y87" s="4"/>
      <c r="Z87" s="4"/>
      <c r="AA87" s="4"/>
      <c r="AB87" s="4"/>
      <c r="AC87" s="4"/>
      <c r="AD87" s="200"/>
      <c r="AE87" s="200"/>
      <c r="AF87" s="4"/>
      <c r="AG87" s="183"/>
      <c r="AH87" s="4"/>
      <c r="AJ87" s="71">
        <f t="shared" si="3"/>
        <v>0</v>
      </c>
    </row>
    <row r="88" spans="2:36" hidden="1" outlineLevel="1" x14ac:dyDescent="0.25">
      <c r="B88" s="151"/>
      <c r="C88" s="54" t="s">
        <v>77</v>
      </c>
      <c r="D88" s="183"/>
      <c r="E88" s="5"/>
      <c r="F88" s="5"/>
      <c r="G88" s="5"/>
      <c r="H88" s="5"/>
      <c r="I88" s="200"/>
      <c r="J88" s="200"/>
      <c r="K88" s="5"/>
      <c r="L88" s="5"/>
      <c r="M88" s="5"/>
      <c r="N88" s="5"/>
      <c r="O88" s="5"/>
      <c r="P88" s="200"/>
      <c r="Q88" s="200"/>
      <c r="R88" s="5"/>
      <c r="S88" s="5"/>
      <c r="T88" s="5"/>
      <c r="U88" s="5"/>
      <c r="V88" s="5"/>
      <c r="W88" s="200"/>
      <c r="X88" s="200"/>
      <c r="Y88" s="5"/>
      <c r="Z88" s="5"/>
      <c r="AA88" s="5"/>
      <c r="AB88" s="5"/>
      <c r="AC88" s="5"/>
      <c r="AD88" s="200"/>
      <c r="AE88" s="200"/>
      <c r="AF88" s="5"/>
      <c r="AG88" s="183"/>
      <c r="AH88" s="5"/>
      <c r="AJ88" s="72">
        <f t="shared" si="3"/>
        <v>0</v>
      </c>
    </row>
    <row r="89" spans="2:36" ht="15.75" hidden="1" outlineLevel="1" thickBot="1" x14ac:dyDescent="0.3">
      <c r="B89" s="151"/>
      <c r="C89" s="9" t="s">
        <v>3</v>
      </c>
      <c r="D89" s="183"/>
      <c r="E89" s="8"/>
      <c r="F89" s="8"/>
      <c r="G89" s="8"/>
      <c r="H89" s="8"/>
      <c r="I89" s="201"/>
      <c r="J89" s="201"/>
      <c r="K89" s="8"/>
      <c r="L89" s="8"/>
      <c r="M89" s="8"/>
      <c r="N89" s="8"/>
      <c r="O89" s="8"/>
      <c r="P89" s="201"/>
      <c r="Q89" s="201"/>
      <c r="R89" s="8"/>
      <c r="S89" s="8"/>
      <c r="T89" s="8"/>
      <c r="U89" s="8"/>
      <c r="V89" s="8"/>
      <c r="W89" s="201"/>
      <c r="X89" s="201"/>
      <c r="Y89" s="8"/>
      <c r="Z89" s="8"/>
      <c r="AA89" s="8"/>
      <c r="AB89" s="8"/>
      <c r="AC89" s="8"/>
      <c r="AD89" s="201"/>
      <c r="AE89" s="201"/>
      <c r="AF89" s="8"/>
      <c r="AG89" s="183"/>
      <c r="AH89" s="8"/>
      <c r="AI89" s="7"/>
      <c r="AJ89" s="69">
        <f t="shared" si="3"/>
        <v>0</v>
      </c>
    </row>
    <row r="90" spans="2:36" ht="16.5" collapsed="1" thickTop="1" thickBot="1" x14ac:dyDescent="0.3">
      <c r="B90" s="253" t="str">
        <f>'Hours Scheduled'!B21</f>
        <v>Manuel Sperti</v>
      </c>
      <c r="C90" t="s">
        <v>0</v>
      </c>
      <c r="D90" s="198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AB90" s="200"/>
      <c r="AC90" s="200"/>
      <c r="AD90" s="200"/>
      <c r="AE90" s="200"/>
      <c r="AF90" s="200"/>
      <c r="AG90" s="198"/>
      <c r="AH90" s="200"/>
      <c r="AJ90" s="64">
        <f t="shared" si="3"/>
        <v>0</v>
      </c>
    </row>
    <row r="91" spans="2:36" ht="15.75" hidden="1" outlineLevel="1" thickTop="1" x14ac:dyDescent="0.25">
      <c r="B91" s="150"/>
      <c r="C91" s="1" t="s">
        <v>1</v>
      </c>
      <c r="D91" s="183"/>
      <c r="E91" s="3"/>
      <c r="F91" s="3"/>
      <c r="G91" s="3"/>
      <c r="H91" s="3"/>
      <c r="I91" s="200"/>
      <c r="J91" s="200"/>
      <c r="K91" s="3"/>
      <c r="L91" s="3"/>
      <c r="M91" s="3"/>
      <c r="N91" s="3"/>
      <c r="O91" s="3"/>
      <c r="P91" s="200"/>
      <c r="Q91" s="200"/>
      <c r="R91" s="3"/>
      <c r="S91" s="3"/>
      <c r="T91" s="3"/>
      <c r="U91" s="3"/>
      <c r="V91" s="3"/>
      <c r="W91" s="200"/>
      <c r="X91" s="200"/>
      <c r="Y91" s="3"/>
      <c r="Z91" s="3"/>
      <c r="AA91" s="3"/>
      <c r="AB91" s="3"/>
      <c r="AC91" s="3"/>
      <c r="AD91" s="200"/>
      <c r="AE91" s="200"/>
      <c r="AF91" s="3"/>
      <c r="AG91" s="183"/>
      <c r="AH91" s="3"/>
      <c r="AJ91" s="70">
        <f t="shared" si="3"/>
        <v>0</v>
      </c>
    </row>
    <row r="92" spans="2:36" hidden="1" outlineLevel="1" x14ac:dyDescent="0.25">
      <c r="B92" s="151"/>
      <c r="C92" s="1" t="s">
        <v>2</v>
      </c>
      <c r="D92" s="183"/>
      <c r="E92" s="4"/>
      <c r="F92" s="4"/>
      <c r="G92" s="4"/>
      <c r="H92" s="4"/>
      <c r="I92" s="200"/>
      <c r="J92" s="200"/>
      <c r="K92" s="4"/>
      <c r="L92" s="4"/>
      <c r="M92" s="4"/>
      <c r="N92" s="4"/>
      <c r="O92" s="4"/>
      <c r="P92" s="200"/>
      <c r="Q92" s="200"/>
      <c r="R92" s="4"/>
      <c r="S92" s="4"/>
      <c r="T92" s="4"/>
      <c r="U92" s="4"/>
      <c r="V92" s="4"/>
      <c r="W92" s="200"/>
      <c r="X92" s="200"/>
      <c r="Y92" s="4"/>
      <c r="Z92" s="4"/>
      <c r="AA92" s="4"/>
      <c r="AB92" s="4"/>
      <c r="AC92" s="4"/>
      <c r="AD92" s="200"/>
      <c r="AE92" s="200"/>
      <c r="AF92" s="4"/>
      <c r="AG92" s="183"/>
      <c r="AH92" s="4"/>
      <c r="AJ92" s="71">
        <f t="shared" si="3"/>
        <v>0</v>
      </c>
    </row>
    <row r="93" spans="2:36" hidden="1" outlineLevel="1" x14ac:dyDescent="0.25">
      <c r="B93" s="151"/>
      <c r="C93" s="54" t="s">
        <v>77</v>
      </c>
      <c r="D93" s="183"/>
      <c r="E93" s="5"/>
      <c r="F93" s="5"/>
      <c r="G93" s="5"/>
      <c r="H93" s="5"/>
      <c r="I93" s="200"/>
      <c r="J93" s="200"/>
      <c r="K93" s="5"/>
      <c r="L93" s="5"/>
      <c r="M93" s="5"/>
      <c r="N93" s="5"/>
      <c r="O93" s="5"/>
      <c r="P93" s="200"/>
      <c r="Q93" s="200"/>
      <c r="R93" s="5"/>
      <c r="S93" s="5"/>
      <c r="T93" s="5"/>
      <c r="U93" s="5"/>
      <c r="V93" s="5"/>
      <c r="W93" s="200"/>
      <c r="X93" s="200"/>
      <c r="Y93" s="5"/>
      <c r="Z93" s="5"/>
      <c r="AA93" s="5"/>
      <c r="AB93" s="5"/>
      <c r="AC93" s="5"/>
      <c r="AD93" s="200"/>
      <c r="AE93" s="200"/>
      <c r="AF93" s="5"/>
      <c r="AG93" s="183"/>
      <c r="AH93" s="5"/>
      <c r="AJ93" s="72">
        <f t="shared" si="3"/>
        <v>0</v>
      </c>
    </row>
    <row r="94" spans="2:36" ht="15.75" hidden="1" outlineLevel="1" thickBot="1" x14ac:dyDescent="0.3">
      <c r="B94" s="151"/>
      <c r="C94" s="9" t="s">
        <v>3</v>
      </c>
      <c r="D94" s="183"/>
      <c r="E94" s="8"/>
      <c r="F94" s="8"/>
      <c r="G94" s="8"/>
      <c r="H94" s="8"/>
      <c r="I94" s="201"/>
      <c r="J94" s="201"/>
      <c r="K94" s="8"/>
      <c r="L94" s="8"/>
      <c r="M94" s="8"/>
      <c r="N94" s="8"/>
      <c r="O94" s="8"/>
      <c r="P94" s="201"/>
      <c r="Q94" s="201"/>
      <c r="R94" s="8"/>
      <c r="S94" s="8"/>
      <c r="T94" s="8"/>
      <c r="U94" s="8"/>
      <c r="V94" s="8"/>
      <c r="W94" s="201"/>
      <c r="X94" s="201"/>
      <c r="Y94" s="8"/>
      <c r="Z94" s="8"/>
      <c r="AA94" s="8"/>
      <c r="AB94" s="8"/>
      <c r="AC94" s="8"/>
      <c r="AD94" s="201"/>
      <c r="AE94" s="201"/>
      <c r="AF94" s="8"/>
      <c r="AG94" s="183"/>
      <c r="AH94" s="8"/>
      <c r="AI94" s="7"/>
      <c r="AJ94" s="69">
        <f t="shared" si="3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183"/>
      <c r="E95" s="2"/>
      <c r="F95" s="2">
        <v>8</v>
      </c>
      <c r="G95" s="2"/>
      <c r="H95" s="2"/>
      <c r="I95" s="200"/>
      <c r="J95" s="200"/>
      <c r="K95" s="2"/>
      <c r="L95" s="2"/>
      <c r="M95" s="2"/>
      <c r="N95" s="2"/>
      <c r="O95" s="2"/>
      <c r="P95" s="200"/>
      <c r="Q95" s="200"/>
      <c r="R95" s="2"/>
      <c r="S95" s="2"/>
      <c r="T95" s="2"/>
      <c r="U95" s="74">
        <v>2.75</v>
      </c>
      <c r="V95" s="2"/>
      <c r="W95" s="200"/>
      <c r="X95" s="200"/>
      <c r="Y95" s="2"/>
      <c r="Z95" s="2"/>
      <c r="AA95" s="2"/>
      <c r="AB95" s="2"/>
      <c r="AC95" s="2"/>
      <c r="AD95" s="200"/>
      <c r="AE95" s="200"/>
      <c r="AF95" s="2"/>
      <c r="AG95" s="183"/>
      <c r="AH95" s="2"/>
      <c r="AJ95" s="64">
        <f t="shared" si="3"/>
        <v>10.75</v>
      </c>
    </row>
    <row r="96" spans="2:36" ht="15.75" hidden="1" outlineLevel="1" thickTop="1" x14ac:dyDescent="0.25">
      <c r="B96" s="150"/>
      <c r="C96" s="1" t="s">
        <v>1</v>
      </c>
      <c r="D96" s="183"/>
      <c r="E96" s="3"/>
      <c r="F96" s="3"/>
      <c r="G96" s="3"/>
      <c r="H96" s="3"/>
      <c r="I96" s="200"/>
      <c r="J96" s="200"/>
      <c r="K96" s="3"/>
      <c r="L96" s="3"/>
      <c r="M96" s="3"/>
      <c r="N96" s="3"/>
      <c r="O96" s="3"/>
      <c r="P96" s="200"/>
      <c r="Q96" s="200"/>
      <c r="R96" s="3"/>
      <c r="S96" s="3"/>
      <c r="T96" s="3"/>
      <c r="U96" s="3"/>
      <c r="V96" s="3"/>
      <c r="W96" s="200"/>
      <c r="X96" s="200"/>
      <c r="Y96" s="3"/>
      <c r="Z96" s="3"/>
      <c r="AA96" s="3"/>
      <c r="AB96" s="3"/>
      <c r="AC96" s="3"/>
      <c r="AD96" s="200"/>
      <c r="AE96" s="200"/>
      <c r="AF96" s="3"/>
      <c r="AG96" s="183"/>
      <c r="AH96" s="3"/>
      <c r="AJ96" s="70">
        <f t="shared" si="3"/>
        <v>0</v>
      </c>
    </row>
    <row r="97" spans="2:36" hidden="1" outlineLevel="1" x14ac:dyDescent="0.25">
      <c r="B97" s="151"/>
      <c r="C97" s="1" t="s">
        <v>2</v>
      </c>
      <c r="D97" s="183"/>
      <c r="E97" s="4"/>
      <c r="F97" s="4"/>
      <c r="G97" s="4"/>
      <c r="H97" s="4"/>
      <c r="I97" s="200"/>
      <c r="J97" s="200"/>
      <c r="K97" s="4"/>
      <c r="L97" s="4"/>
      <c r="M97" s="4"/>
      <c r="N97" s="4"/>
      <c r="O97" s="4"/>
      <c r="P97" s="200"/>
      <c r="Q97" s="200"/>
      <c r="R97" s="4"/>
      <c r="S97" s="4"/>
      <c r="T97" s="4"/>
      <c r="U97" s="4"/>
      <c r="V97" s="4"/>
      <c r="W97" s="200"/>
      <c r="X97" s="200"/>
      <c r="Y97" s="4"/>
      <c r="Z97" s="4"/>
      <c r="AA97" s="4"/>
      <c r="AB97" s="4"/>
      <c r="AC97" s="4"/>
      <c r="AD97" s="200"/>
      <c r="AE97" s="200"/>
      <c r="AF97" s="4"/>
      <c r="AG97" s="183"/>
      <c r="AH97" s="4"/>
      <c r="AJ97" s="71">
        <f t="shared" si="3"/>
        <v>0</v>
      </c>
    </row>
    <row r="98" spans="2:36" hidden="1" outlineLevel="1" x14ac:dyDescent="0.25">
      <c r="B98" s="151"/>
      <c r="C98" s="54" t="s">
        <v>77</v>
      </c>
      <c r="D98" s="183"/>
      <c r="E98" s="5"/>
      <c r="F98" s="5"/>
      <c r="G98" s="5"/>
      <c r="H98" s="5"/>
      <c r="I98" s="200"/>
      <c r="J98" s="200"/>
      <c r="K98" s="5"/>
      <c r="L98" s="5"/>
      <c r="M98" s="5"/>
      <c r="N98" s="5"/>
      <c r="O98" s="5"/>
      <c r="P98" s="200"/>
      <c r="Q98" s="200"/>
      <c r="R98" s="5"/>
      <c r="S98" s="5"/>
      <c r="T98" s="5"/>
      <c r="U98" s="5"/>
      <c r="V98" s="5"/>
      <c r="W98" s="200"/>
      <c r="X98" s="200"/>
      <c r="Y98" s="5"/>
      <c r="Z98" s="5"/>
      <c r="AA98" s="5"/>
      <c r="AB98" s="5"/>
      <c r="AC98" s="5"/>
      <c r="AD98" s="200"/>
      <c r="AE98" s="200"/>
      <c r="AF98" s="5"/>
      <c r="AG98" s="183"/>
      <c r="AH98" s="5"/>
      <c r="AJ98" s="72">
        <f t="shared" si="3"/>
        <v>0</v>
      </c>
    </row>
    <row r="99" spans="2:36" ht="15.75" hidden="1" outlineLevel="1" thickBot="1" x14ac:dyDescent="0.3">
      <c r="B99" s="151"/>
      <c r="C99" s="9" t="s">
        <v>3</v>
      </c>
      <c r="D99" s="183"/>
      <c r="E99" s="69"/>
      <c r="F99" s="69"/>
      <c r="G99" s="69"/>
      <c r="H99" s="69"/>
      <c r="I99" s="203"/>
      <c r="J99" s="203"/>
      <c r="K99" s="69"/>
      <c r="L99" s="69"/>
      <c r="M99" s="69"/>
      <c r="N99" s="69"/>
      <c r="O99" s="69"/>
      <c r="P99" s="203"/>
      <c r="Q99" s="203"/>
      <c r="R99" s="69"/>
      <c r="S99" s="69"/>
      <c r="T99" s="69"/>
      <c r="U99" s="69"/>
      <c r="V99" s="69"/>
      <c r="W99" s="203"/>
      <c r="X99" s="203"/>
      <c r="Y99" s="69"/>
      <c r="Z99" s="69"/>
      <c r="AA99" s="69"/>
      <c r="AB99" s="69"/>
      <c r="AC99" s="69"/>
      <c r="AD99" s="203"/>
      <c r="AE99" s="203"/>
      <c r="AF99" s="69"/>
      <c r="AG99" s="183"/>
      <c r="AH99" s="69"/>
      <c r="AI99" s="7"/>
      <c r="AJ99" s="69">
        <f t="shared" si="3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183"/>
      <c r="E100" s="2"/>
      <c r="F100" s="2"/>
      <c r="G100" s="2"/>
      <c r="H100" s="2">
        <v>0</v>
      </c>
      <c r="I100" s="200"/>
      <c r="J100" s="200"/>
      <c r="K100" s="2"/>
      <c r="L100" s="2"/>
      <c r="M100" s="2"/>
      <c r="N100" s="2"/>
      <c r="O100" s="2"/>
      <c r="P100" s="200"/>
      <c r="Q100" s="200"/>
      <c r="R100" s="2">
        <v>8</v>
      </c>
      <c r="S100" s="2">
        <v>8</v>
      </c>
      <c r="T100" s="2">
        <v>8</v>
      </c>
      <c r="U100" s="2">
        <v>8</v>
      </c>
      <c r="V100" s="2">
        <v>8</v>
      </c>
      <c r="W100" s="200"/>
      <c r="X100" s="200"/>
      <c r="Y100" s="2"/>
      <c r="Z100" s="2"/>
      <c r="AA100" s="2"/>
      <c r="AB100" s="2"/>
      <c r="AC100" s="2"/>
      <c r="AD100" s="200"/>
      <c r="AE100" s="200"/>
      <c r="AF100" s="2"/>
      <c r="AG100" s="183"/>
      <c r="AH100" s="2"/>
      <c r="AJ100" s="64">
        <f t="shared" si="3"/>
        <v>40</v>
      </c>
    </row>
    <row r="101" spans="2:36" ht="15.75" hidden="1" outlineLevel="1" thickTop="1" x14ac:dyDescent="0.25">
      <c r="B101" s="150"/>
      <c r="C101" s="1" t="s">
        <v>1</v>
      </c>
      <c r="D101" s="183"/>
      <c r="E101" s="3"/>
      <c r="F101" s="3"/>
      <c r="G101" s="3"/>
      <c r="H101" s="3"/>
      <c r="I101" s="200"/>
      <c r="J101" s="200"/>
      <c r="K101" s="3"/>
      <c r="L101" s="3"/>
      <c r="M101" s="3"/>
      <c r="N101" s="3"/>
      <c r="O101" s="3"/>
      <c r="P101" s="200"/>
      <c r="Q101" s="200"/>
      <c r="R101" s="3"/>
      <c r="S101" s="3"/>
      <c r="T101" s="3"/>
      <c r="U101" s="3"/>
      <c r="V101" s="3"/>
      <c r="W101" s="200"/>
      <c r="X101" s="200"/>
      <c r="Y101" s="3"/>
      <c r="Z101" s="3"/>
      <c r="AA101" s="3"/>
      <c r="AB101" s="3"/>
      <c r="AC101" s="3"/>
      <c r="AD101" s="200"/>
      <c r="AE101" s="200"/>
      <c r="AF101" s="3"/>
      <c r="AG101" s="183"/>
      <c r="AH101" s="3"/>
      <c r="AJ101" s="70">
        <f t="shared" si="3"/>
        <v>0</v>
      </c>
    </row>
    <row r="102" spans="2:36" hidden="1" outlineLevel="1" x14ac:dyDescent="0.25">
      <c r="B102" s="151"/>
      <c r="C102" s="1" t="s">
        <v>2</v>
      </c>
      <c r="D102" s="183"/>
      <c r="E102" s="4"/>
      <c r="F102" s="4"/>
      <c r="G102" s="4"/>
      <c r="H102" s="4"/>
      <c r="I102" s="200"/>
      <c r="J102" s="200"/>
      <c r="K102" s="4"/>
      <c r="L102" s="4"/>
      <c r="M102" s="4"/>
      <c r="N102" s="4"/>
      <c r="O102" s="4"/>
      <c r="P102" s="200"/>
      <c r="Q102" s="200"/>
      <c r="R102" s="4"/>
      <c r="S102" s="4"/>
      <c r="T102" s="4"/>
      <c r="U102" s="4"/>
      <c r="V102" s="4"/>
      <c r="W102" s="200"/>
      <c r="X102" s="200"/>
      <c r="Y102" s="4"/>
      <c r="Z102" s="4"/>
      <c r="AA102" s="4"/>
      <c r="AB102" s="4"/>
      <c r="AC102" s="4"/>
      <c r="AD102" s="200"/>
      <c r="AE102" s="200"/>
      <c r="AF102" s="4"/>
      <c r="AG102" s="183"/>
      <c r="AH102" s="4"/>
      <c r="AJ102" s="71">
        <f t="shared" si="3"/>
        <v>0</v>
      </c>
    </row>
    <row r="103" spans="2:36" hidden="1" outlineLevel="1" x14ac:dyDescent="0.25">
      <c r="B103" s="151"/>
      <c r="C103" s="54" t="s">
        <v>77</v>
      </c>
      <c r="D103" s="183"/>
      <c r="E103" s="5"/>
      <c r="F103" s="5"/>
      <c r="G103" s="5"/>
      <c r="H103" s="5"/>
      <c r="I103" s="200"/>
      <c r="J103" s="200"/>
      <c r="K103" s="5"/>
      <c r="L103" s="5"/>
      <c r="M103" s="5"/>
      <c r="N103" s="5"/>
      <c r="O103" s="5"/>
      <c r="P103" s="200"/>
      <c r="Q103" s="200"/>
      <c r="R103" s="5"/>
      <c r="S103" s="5"/>
      <c r="T103" s="5"/>
      <c r="U103" s="5"/>
      <c r="V103" s="5"/>
      <c r="W103" s="200"/>
      <c r="X103" s="200"/>
      <c r="Y103" s="5"/>
      <c r="Z103" s="5"/>
      <c r="AA103" s="5"/>
      <c r="AB103" s="5"/>
      <c r="AC103" s="5"/>
      <c r="AD103" s="200"/>
      <c r="AE103" s="200"/>
      <c r="AF103" s="5"/>
      <c r="AG103" s="183"/>
      <c r="AH103" s="5"/>
      <c r="AJ103" s="72">
        <f t="shared" si="3"/>
        <v>0</v>
      </c>
    </row>
    <row r="104" spans="2:36" ht="15.75" hidden="1" outlineLevel="1" thickBot="1" x14ac:dyDescent="0.3">
      <c r="B104" s="151"/>
      <c r="C104" s="9" t="s">
        <v>3</v>
      </c>
      <c r="D104" s="183"/>
      <c r="E104" s="8"/>
      <c r="F104" s="8"/>
      <c r="G104" s="8"/>
      <c r="H104" s="8"/>
      <c r="I104" s="201"/>
      <c r="J104" s="201"/>
      <c r="K104" s="8"/>
      <c r="L104" s="8"/>
      <c r="M104" s="8"/>
      <c r="N104" s="8"/>
      <c r="O104" s="8"/>
      <c r="P104" s="201"/>
      <c r="Q104" s="201"/>
      <c r="R104" s="8"/>
      <c r="S104" s="8"/>
      <c r="T104" s="8"/>
      <c r="U104" s="8"/>
      <c r="V104" s="8"/>
      <c r="W104" s="201"/>
      <c r="X104" s="201"/>
      <c r="Y104" s="8"/>
      <c r="Z104" s="8"/>
      <c r="AA104" s="8"/>
      <c r="AB104" s="8"/>
      <c r="AC104" s="8"/>
      <c r="AD104" s="201"/>
      <c r="AE104" s="201"/>
      <c r="AF104" s="8"/>
      <c r="AG104" s="183"/>
      <c r="AH104" s="8"/>
      <c r="AI104" s="7"/>
      <c r="AJ104" s="69">
        <f t="shared" si="3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183"/>
      <c r="E105" s="2"/>
      <c r="F105" s="2"/>
      <c r="G105" s="2">
        <v>2</v>
      </c>
      <c r="H105" s="2"/>
      <c r="I105" s="200"/>
      <c r="J105" s="200"/>
      <c r="K105" s="2"/>
      <c r="L105" s="2"/>
      <c r="M105" s="2"/>
      <c r="N105" s="2"/>
      <c r="O105" s="2"/>
      <c r="P105" s="200"/>
      <c r="Q105" s="200"/>
      <c r="R105" s="2"/>
      <c r="S105" s="2"/>
      <c r="T105" s="2"/>
      <c r="U105" s="2"/>
      <c r="V105" s="2"/>
      <c r="W105" s="200"/>
      <c r="X105" s="200"/>
      <c r="Y105" s="2"/>
      <c r="Z105" s="2"/>
      <c r="AA105" s="2"/>
      <c r="AB105" s="2"/>
      <c r="AC105" s="2"/>
      <c r="AD105" s="200"/>
      <c r="AE105" s="200"/>
      <c r="AF105" s="2">
        <v>8</v>
      </c>
      <c r="AG105" s="183"/>
      <c r="AH105" s="2"/>
      <c r="AJ105" s="64">
        <f t="shared" si="3"/>
        <v>10</v>
      </c>
    </row>
    <row r="106" spans="2:36" ht="15.75" hidden="1" outlineLevel="1" thickTop="1" x14ac:dyDescent="0.25">
      <c r="B106" s="150"/>
      <c r="C106" s="1" t="s">
        <v>1</v>
      </c>
      <c r="D106" s="183"/>
      <c r="E106" s="3"/>
      <c r="F106" s="3"/>
      <c r="G106" s="3"/>
      <c r="H106" s="3"/>
      <c r="I106" s="200"/>
      <c r="J106" s="200"/>
      <c r="K106" s="3"/>
      <c r="L106" s="3"/>
      <c r="M106" s="3"/>
      <c r="N106" s="3"/>
      <c r="O106" s="3"/>
      <c r="P106" s="200"/>
      <c r="Q106" s="200"/>
      <c r="R106" s="3"/>
      <c r="S106" s="3"/>
      <c r="T106" s="3"/>
      <c r="U106" s="3"/>
      <c r="V106" s="3"/>
      <c r="W106" s="200"/>
      <c r="X106" s="200"/>
      <c r="Y106" s="3"/>
      <c r="Z106" s="3"/>
      <c r="AA106" s="3"/>
      <c r="AB106" s="3"/>
      <c r="AC106" s="3"/>
      <c r="AD106" s="200"/>
      <c r="AE106" s="200"/>
      <c r="AF106" s="3"/>
      <c r="AG106" s="183"/>
      <c r="AH106" s="3"/>
      <c r="AJ106" s="70">
        <f t="shared" si="3"/>
        <v>0</v>
      </c>
    </row>
    <row r="107" spans="2:36" hidden="1" outlineLevel="1" x14ac:dyDescent="0.25">
      <c r="B107" s="151"/>
      <c r="C107" s="1" t="s">
        <v>2</v>
      </c>
      <c r="D107" s="183"/>
      <c r="E107" s="4"/>
      <c r="F107" s="4"/>
      <c r="G107" s="4"/>
      <c r="H107" s="4"/>
      <c r="I107" s="200"/>
      <c r="J107" s="200"/>
      <c r="K107" s="4"/>
      <c r="L107" s="4"/>
      <c r="M107" s="4"/>
      <c r="N107" s="4"/>
      <c r="O107" s="4"/>
      <c r="P107" s="200"/>
      <c r="Q107" s="200"/>
      <c r="R107" s="4"/>
      <c r="S107" s="4"/>
      <c r="T107" s="4"/>
      <c r="U107" s="4"/>
      <c r="V107" s="4"/>
      <c r="W107" s="200"/>
      <c r="X107" s="200"/>
      <c r="Y107" s="4"/>
      <c r="Z107" s="4"/>
      <c r="AA107" s="4"/>
      <c r="AB107" s="4"/>
      <c r="AC107" s="4"/>
      <c r="AD107" s="200"/>
      <c r="AE107" s="200"/>
      <c r="AF107" s="4"/>
      <c r="AG107" s="183"/>
      <c r="AH107" s="4"/>
      <c r="AJ107" s="71">
        <f t="shared" si="3"/>
        <v>0</v>
      </c>
    </row>
    <row r="108" spans="2:36" hidden="1" outlineLevel="1" x14ac:dyDescent="0.25">
      <c r="B108" s="151"/>
      <c r="C108" s="54" t="s">
        <v>77</v>
      </c>
      <c r="D108" s="183"/>
      <c r="E108" s="5"/>
      <c r="F108" s="5"/>
      <c r="G108" s="5"/>
      <c r="H108" s="5"/>
      <c r="I108" s="200"/>
      <c r="J108" s="200"/>
      <c r="K108" s="5"/>
      <c r="L108" s="5"/>
      <c r="M108" s="5"/>
      <c r="N108" s="5"/>
      <c r="O108" s="5"/>
      <c r="P108" s="200"/>
      <c r="Q108" s="200"/>
      <c r="R108" s="5"/>
      <c r="S108" s="5"/>
      <c r="T108" s="5"/>
      <c r="U108" s="5"/>
      <c r="V108" s="5"/>
      <c r="W108" s="200"/>
      <c r="X108" s="200"/>
      <c r="Y108" s="5"/>
      <c r="Z108" s="5"/>
      <c r="AA108" s="5"/>
      <c r="AB108" s="5"/>
      <c r="AC108" s="5"/>
      <c r="AD108" s="200"/>
      <c r="AE108" s="200"/>
      <c r="AF108" s="5"/>
      <c r="AG108" s="183"/>
      <c r="AH108" s="5"/>
      <c r="AJ108" s="72">
        <f t="shared" si="3"/>
        <v>0</v>
      </c>
    </row>
    <row r="109" spans="2:36" ht="15.75" hidden="1" outlineLevel="1" thickBot="1" x14ac:dyDescent="0.3">
      <c r="B109" s="151"/>
      <c r="C109" s="9" t="s">
        <v>3</v>
      </c>
      <c r="D109" s="183"/>
      <c r="E109" s="8"/>
      <c r="F109" s="8"/>
      <c r="G109" s="8"/>
      <c r="H109" s="8"/>
      <c r="I109" s="201"/>
      <c r="J109" s="201"/>
      <c r="K109" s="8"/>
      <c r="L109" s="8"/>
      <c r="M109" s="8"/>
      <c r="N109" s="8"/>
      <c r="O109" s="8"/>
      <c r="P109" s="201"/>
      <c r="Q109" s="201"/>
      <c r="R109" s="8"/>
      <c r="S109" s="8"/>
      <c r="T109" s="8"/>
      <c r="U109" s="8"/>
      <c r="V109" s="8"/>
      <c r="W109" s="201"/>
      <c r="X109" s="201"/>
      <c r="Y109" s="8"/>
      <c r="Z109" s="8"/>
      <c r="AA109" s="8"/>
      <c r="AB109" s="8"/>
      <c r="AC109" s="8"/>
      <c r="AD109" s="201"/>
      <c r="AE109" s="201"/>
      <c r="AF109" s="8"/>
      <c r="AG109" s="183"/>
      <c r="AH109" s="8"/>
      <c r="AI109" s="7"/>
      <c r="AJ109" s="69">
        <f t="shared" si="3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183"/>
      <c r="E110" s="2"/>
      <c r="F110" s="2"/>
      <c r="G110" s="2"/>
      <c r="H110" s="2"/>
      <c r="I110" s="200"/>
      <c r="J110" s="200"/>
      <c r="K110" s="2"/>
      <c r="L110" s="2"/>
      <c r="M110" s="2"/>
      <c r="N110" s="2"/>
      <c r="O110" s="2"/>
      <c r="P110" s="200"/>
      <c r="Q110" s="200"/>
      <c r="R110" s="2"/>
      <c r="S110" s="64"/>
      <c r="T110" s="2"/>
      <c r="U110" s="2"/>
      <c r="V110" s="2">
        <v>9</v>
      </c>
      <c r="W110" s="200"/>
      <c r="X110" s="200"/>
      <c r="Y110" s="2"/>
      <c r="Z110" s="2"/>
      <c r="AA110" s="2"/>
      <c r="AB110" s="2"/>
      <c r="AC110" s="2">
        <v>0</v>
      </c>
      <c r="AD110" s="200"/>
      <c r="AE110" s="200"/>
      <c r="AF110" s="2"/>
      <c r="AG110" s="183"/>
      <c r="AH110" s="2"/>
      <c r="AJ110" s="64">
        <f t="shared" si="3"/>
        <v>9</v>
      </c>
    </row>
    <row r="111" spans="2:36" ht="15.75" hidden="1" outlineLevel="1" thickTop="1" x14ac:dyDescent="0.25">
      <c r="B111" s="150"/>
      <c r="C111" s="1" t="s">
        <v>1</v>
      </c>
      <c r="D111" s="183"/>
      <c r="E111" s="3"/>
      <c r="F111" s="3"/>
      <c r="G111" s="3"/>
      <c r="H111" s="3"/>
      <c r="I111" s="200"/>
      <c r="J111" s="200"/>
      <c r="K111" s="3"/>
      <c r="L111" s="3"/>
      <c r="M111" s="3"/>
      <c r="N111" s="3"/>
      <c r="O111" s="3"/>
      <c r="P111" s="200"/>
      <c r="Q111" s="200"/>
      <c r="R111" s="3"/>
      <c r="S111" s="3"/>
      <c r="T111" s="3"/>
      <c r="U111" s="3"/>
      <c r="V111" s="3"/>
      <c r="W111" s="200"/>
      <c r="X111" s="200"/>
      <c r="Y111" s="3"/>
      <c r="Z111" s="3"/>
      <c r="AA111" s="3"/>
      <c r="AB111" s="3"/>
      <c r="AC111" s="3"/>
      <c r="AD111" s="200"/>
      <c r="AE111" s="200"/>
      <c r="AF111" s="3"/>
      <c r="AG111" s="183"/>
      <c r="AH111" s="3"/>
      <c r="AJ111" s="70">
        <f t="shared" si="3"/>
        <v>0</v>
      </c>
    </row>
    <row r="112" spans="2:36" hidden="1" outlineLevel="1" x14ac:dyDescent="0.25">
      <c r="B112" s="151"/>
      <c r="C112" s="1" t="s">
        <v>2</v>
      </c>
      <c r="D112" s="183"/>
      <c r="E112" s="4"/>
      <c r="F112" s="4"/>
      <c r="G112" s="4"/>
      <c r="H112" s="4"/>
      <c r="I112" s="200"/>
      <c r="J112" s="200"/>
      <c r="K112" s="4"/>
      <c r="L112" s="4"/>
      <c r="M112" s="4"/>
      <c r="N112" s="4"/>
      <c r="O112" s="4"/>
      <c r="P112" s="200"/>
      <c r="Q112" s="200"/>
      <c r="R112" s="4"/>
      <c r="S112" s="4"/>
      <c r="T112" s="4"/>
      <c r="U112" s="4"/>
      <c r="V112" s="4"/>
      <c r="W112" s="200"/>
      <c r="X112" s="200"/>
      <c r="Y112" s="4"/>
      <c r="Z112" s="4"/>
      <c r="AA112" s="4"/>
      <c r="AB112" s="4"/>
      <c r="AC112" s="4"/>
      <c r="AD112" s="200"/>
      <c r="AE112" s="200"/>
      <c r="AF112" s="4"/>
      <c r="AG112" s="183"/>
      <c r="AH112" s="4"/>
      <c r="AJ112" s="71">
        <f t="shared" si="3"/>
        <v>0</v>
      </c>
    </row>
    <row r="113" spans="2:36" hidden="1" outlineLevel="1" x14ac:dyDescent="0.25">
      <c r="B113" s="151"/>
      <c r="C113" s="54" t="s">
        <v>77</v>
      </c>
      <c r="D113" s="183"/>
      <c r="E113" s="5"/>
      <c r="F113" s="5"/>
      <c r="G113" s="5"/>
      <c r="H113" s="5"/>
      <c r="I113" s="200"/>
      <c r="J113" s="200"/>
      <c r="K113" s="5"/>
      <c r="L113" s="5"/>
      <c r="M113" s="5"/>
      <c r="N113" s="5"/>
      <c r="O113" s="5"/>
      <c r="P113" s="200"/>
      <c r="Q113" s="200"/>
      <c r="R113" s="5"/>
      <c r="S113" s="5"/>
      <c r="T113" s="5"/>
      <c r="U113" s="5"/>
      <c r="V113" s="5"/>
      <c r="W113" s="200"/>
      <c r="X113" s="200"/>
      <c r="Y113" s="5"/>
      <c r="Z113" s="5"/>
      <c r="AA113" s="5"/>
      <c r="AB113" s="5"/>
      <c r="AC113" s="5"/>
      <c r="AD113" s="200"/>
      <c r="AE113" s="200"/>
      <c r="AF113" s="5"/>
      <c r="AG113" s="183"/>
      <c r="AH113" s="5"/>
      <c r="AJ113" s="72">
        <f t="shared" si="3"/>
        <v>0</v>
      </c>
    </row>
    <row r="114" spans="2:36" ht="15.75" hidden="1" outlineLevel="1" thickBot="1" x14ac:dyDescent="0.3">
      <c r="B114" s="151"/>
      <c r="C114" s="9" t="s">
        <v>3</v>
      </c>
      <c r="D114" s="183"/>
      <c r="E114" s="8"/>
      <c r="F114" s="8"/>
      <c r="G114" s="8"/>
      <c r="H114" s="8"/>
      <c r="I114" s="201"/>
      <c r="J114" s="201"/>
      <c r="K114" s="8"/>
      <c r="L114" s="8"/>
      <c r="M114" s="8"/>
      <c r="N114" s="8"/>
      <c r="O114" s="8"/>
      <c r="P114" s="201"/>
      <c r="Q114" s="201"/>
      <c r="R114" s="8"/>
      <c r="S114" s="8"/>
      <c r="T114" s="8"/>
      <c r="U114" s="8"/>
      <c r="V114" s="8"/>
      <c r="W114" s="201"/>
      <c r="X114" s="201"/>
      <c r="Y114" s="8"/>
      <c r="Z114" s="8"/>
      <c r="AA114" s="8"/>
      <c r="AB114" s="8"/>
      <c r="AC114" s="8"/>
      <c r="AD114" s="201"/>
      <c r="AE114" s="201"/>
      <c r="AF114" s="8"/>
      <c r="AG114" s="183"/>
      <c r="AH114" s="8"/>
      <c r="AI114" s="7"/>
      <c r="AJ114" s="69">
        <f t="shared" si="3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s="46" t="s">
        <v>0</v>
      </c>
      <c r="D115" s="183"/>
      <c r="E115" s="2">
        <v>8</v>
      </c>
      <c r="F115" s="2">
        <v>8</v>
      </c>
      <c r="G115" s="2">
        <v>8</v>
      </c>
      <c r="H115" s="2">
        <v>8</v>
      </c>
      <c r="I115" s="200"/>
      <c r="J115" s="200"/>
      <c r="K115" s="2">
        <v>8</v>
      </c>
      <c r="L115" s="2"/>
      <c r="M115" s="2"/>
      <c r="N115" s="2"/>
      <c r="O115" s="2"/>
      <c r="P115" s="200"/>
      <c r="Q115" s="200"/>
      <c r="R115" s="2"/>
      <c r="S115" s="2"/>
      <c r="T115" s="2"/>
      <c r="U115" s="64">
        <v>0.5</v>
      </c>
      <c r="V115" s="2"/>
      <c r="W115" s="200"/>
      <c r="X115" s="200"/>
      <c r="Y115" s="2"/>
      <c r="Z115" s="2"/>
      <c r="AA115" s="2"/>
      <c r="AB115" s="2"/>
      <c r="AC115" s="2"/>
      <c r="AD115" s="200"/>
      <c r="AE115" s="200"/>
      <c r="AF115" s="2"/>
      <c r="AG115" s="183"/>
      <c r="AH115" s="2"/>
      <c r="AI115" s="46"/>
      <c r="AJ115" s="64">
        <f t="shared" si="3"/>
        <v>40.5</v>
      </c>
    </row>
    <row r="116" spans="2:36" ht="15.75" hidden="1" outlineLevel="1" thickTop="1" x14ac:dyDescent="0.25">
      <c r="B116" s="150"/>
      <c r="C116" s="1" t="s">
        <v>1</v>
      </c>
      <c r="D116" s="183"/>
      <c r="E116" s="3"/>
      <c r="F116" s="3"/>
      <c r="G116" s="3"/>
      <c r="H116" s="3"/>
      <c r="I116" s="200"/>
      <c r="J116" s="200"/>
      <c r="K116" s="3"/>
      <c r="L116" s="3"/>
      <c r="M116" s="3"/>
      <c r="N116" s="3"/>
      <c r="O116" s="3"/>
      <c r="P116" s="200"/>
      <c r="Q116" s="200"/>
      <c r="R116" s="3"/>
      <c r="S116" s="3"/>
      <c r="T116" s="3"/>
      <c r="U116" s="3"/>
      <c r="V116" s="3"/>
      <c r="W116" s="200"/>
      <c r="X116" s="200"/>
      <c r="Y116" s="3"/>
      <c r="Z116" s="3"/>
      <c r="AA116" s="3"/>
      <c r="AB116" s="3"/>
      <c r="AC116" s="3"/>
      <c r="AD116" s="200"/>
      <c r="AE116" s="200"/>
      <c r="AF116" s="3"/>
      <c r="AG116" s="183"/>
      <c r="AH116" s="3"/>
      <c r="AJ116" s="70">
        <f t="shared" si="3"/>
        <v>0</v>
      </c>
    </row>
    <row r="117" spans="2:36" hidden="1" outlineLevel="1" x14ac:dyDescent="0.25">
      <c r="B117" s="151"/>
      <c r="C117" s="1" t="s">
        <v>2</v>
      </c>
      <c r="D117" s="183"/>
      <c r="E117" s="4"/>
      <c r="F117" s="4"/>
      <c r="G117" s="4"/>
      <c r="H117" s="4"/>
      <c r="I117" s="200"/>
      <c r="J117" s="200"/>
      <c r="K117" s="4"/>
      <c r="L117" s="4"/>
      <c r="M117" s="4"/>
      <c r="N117" s="4"/>
      <c r="O117" s="4"/>
      <c r="P117" s="200"/>
      <c r="Q117" s="200"/>
      <c r="R117" s="4"/>
      <c r="S117" s="4"/>
      <c r="T117" s="4"/>
      <c r="U117" s="4"/>
      <c r="V117" s="4"/>
      <c r="W117" s="200"/>
      <c r="X117" s="200"/>
      <c r="Y117" s="4"/>
      <c r="Z117" s="4"/>
      <c r="AA117" s="4"/>
      <c r="AB117" s="4"/>
      <c r="AC117" s="4"/>
      <c r="AD117" s="200"/>
      <c r="AE117" s="200"/>
      <c r="AF117" s="4"/>
      <c r="AG117" s="183"/>
      <c r="AH117" s="4"/>
      <c r="AJ117" s="71">
        <f t="shared" si="3"/>
        <v>0</v>
      </c>
    </row>
    <row r="118" spans="2:36" hidden="1" outlineLevel="1" x14ac:dyDescent="0.25">
      <c r="B118" s="151"/>
      <c r="C118" s="54" t="s">
        <v>77</v>
      </c>
      <c r="D118" s="183"/>
      <c r="E118" s="5"/>
      <c r="F118" s="5"/>
      <c r="G118" s="5"/>
      <c r="H118" s="5"/>
      <c r="I118" s="200"/>
      <c r="J118" s="200"/>
      <c r="K118" s="5"/>
      <c r="L118" s="5"/>
      <c r="M118" s="5"/>
      <c r="N118" s="5"/>
      <c r="O118" s="5"/>
      <c r="P118" s="200"/>
      <c r="Q118" s="200"/>
      <c r="R118" s="5"/>
      <c r="S118" s="5"/>
      <c r="T118" s="5"/>
      <c r="U118" s="5"/>
      <c r="V118" s="5"/>
      <c r="W118" s="200"/>
      <c r="X118" s="200"/>
      <c r="Y118" s="5"/>
      <c r="Z118" s="5"/>
      <c r="AA118" s="5"/>
      <c r="AB118" s="5"/>
      <c r="AC118" s="5"/>
      <c r="AD118" s="200"/>
      <c r="AE118" s="200"/>
      <c r="AF118" s="5"/>
      <c r="AG118" s="183"/>
      <c r="AH118" s="5"/>
      <c r="AJ118" s="72">
        <f t="shared" ref="AJ118:AJ139" si="4">SUM(D118:AH118)</f>
        <v>0</v>
      </c>
    </row>
    <row r="119" spans="2:36" ht="15.75" hidden="1" outlineLevel="1" thickBot="1" x14ac:dyDescent="0.3">
      <c r="B119" s="151"/>
      <c r="C119" s="9" t="s">
        <v>3</v>
      </c>
      <c r="D119" s="183"/>
      <c r="E119" s="8"/>
      <c r="F119" s="8"/>
      <c r="G119" s="8"/>
      <c r="H119" s="8"/>
      <c r="I119" s="201"/>
      <c r="J119" s="201"/>
      <c r="K119" s="8"/>
      <c r="L119" s="8"/>
      <c r="M119" s="8"/>
      <c r="N119" s="8"/>
      <c r="O119" s="8"/>
      <c r="P119" s="201"/>
      <c r="Q119" s="201"/>
      <c r="R119" s="8"/>
      <c r="S119" s="8"/>
      <c r="T119" s="8"/>
      <c r="U119" s="8"/>
      <c r="V119" s="8"/>
      <c r="W119" s="201"/>
      <c r="X119" s="201"/>
      <c r="Y119" s="8"/>
      <c r="Z119" s="8"/>
      <c r="AA119" s="8"/>
      <c r="AB119" s="8"/>
      <c r="AC119" s="8"/>
      <c r="AD119" s="201"/>
      <c r="AE119" s="201"/>
      <c r="AF119" s="8"/>
      <c r="AG119" s="183"/>
      <c r="AH119" s="8"/>
      <c r="AI119" s="7"/>
      <c r="AJ119" s="69">
        <f t="shared" si="4"/>
        <v>0</v>
      </c>
    </row>
    <row r="120" spans="2:36" ht="16.5" collapsed="1" thickTop="1" thickBot="1" x14ac:dyDescent="0.3">
      <c r="B120" s="149" t="str">
        <f>'Hours Scheduled'!B27</f>
        <v>Niels Lievaart</v>
      </c>
      <c r="C120" s="46" t="s">
        <v>0</v>
      </c>
      <c r="D120" s="183"/>
      <c r="E120" s="2"/>
      <c r="F120" s="2"/>
      <c r="G120" s="2"/>
      <c r="H120" s="2"/>
      <c r="I120" s="200"/>
      <c r="J120" s="200"/>
      <c r="K120" s="2">
        <v>0</v>
      </c>
      <c r="L120" s="2"/>
      <c r="M120" s="2"/>
      <c r="N120" s="2"/>
      <c r="O120" s="2"/>
      <c r="P120" s="200"/>
      <c r="Q120" s="200"/>
      <c r="R120" s="2"/>
      <c r="S120" s="2"/>
      <c r="T120" s="2"/>
      <c r="U120" s="213">
        <v>0</v>
      </c>
      <c r="V120" s="2"/>
      <c r="W120" s="200"/>
      <c r="X120" s="200"/>
      <c r="Y120" s="2"/>
      <c r="Z120" s="2">
        <v>0</v>
      </c>
      <c r="AA120" s="2">
        <v>0</v>
      </c>
      <c r="AB120" s="2"/>
      <c r="AC120" s="2"/>
      <c r="AD120" s="200"/>
      <c r="AE120" s="200"/>
      <c r="AF120" s="2"/>
      <c r="AG120" s="183"/>
      <c r="AH120" s="2"/>
      <c r="AI120" s="46"/>
      <c r="AJ120" s="64">
        <f t="shared" si="4"/>
        <v>0</v>
      </c>
    </row>
    <row r="121" spans="2:36" ht="15.75" hidden="1" outlineLevel="1" thickTop="1" x14ac:dyDescent="0.25">
      <c r="B121" s="150"/>
      <c r="C121" s="1" t="s">
        <v>1</v>
      </c>
      <c r="D121" s="183"/>
      <c r="E121" s="3"/>
      <c r="F121" s="3"/>
      <c r="G121" s="3"/>
      <c r="H121" s="3"/>
      <c r="I121" s="200"/>
      <c r="J121" s="200"/>
      <c r="K121" s="3"/>
      <c r="L121" s="3"/>
      <c r="M121" s="3"/>
      <c r="N121" s="3"/>
      <c r="O121" s="3"/>
      <c r="P121" s="200"/>
      <c r="Q121" s="200"/>
      <c r="R121" s="3"/>
      <c r="S121" s="3"/>
      <c r="T121" s="3"/>
      <c r="U121" s="70"/>
      <c r="V121" s="3"/>
      <c r="W121" s="200"/>
      <c r="X121" s="200"/>
      <c r="Y121" s="3"/>
      <c r="Z121" s="3">
        <v>8</v>
      </c>
      <c r="AA121" s="3">
        <v>8</v>
      </c>
      <c r="AB121" s="3"/>
      <c r="AC121" s="3"/>
      <c r="AD121" s="200"/>
      <c r="AE121" s="200"/>
      <c r="AF121" s="3"/>
      <c r="AG121" s="183"/>
      <c r="AH121" s="3"/>
      <c r="AJ121" s="70">
        <f t="shared" si="4"/>
        <v>16</v>
      </c>
    </row>
    <row r="122" spans="2:36" hidden="1" outlineLevel="1" x14ac:dyDescent="0.25">
      <c r="B122" s="151"/>
      <c r="C122" s="1" t="s">
        <v>2</v>
      </c>
      <c r="D122" s="183"/>
      <c r="E122" s="4"/>
      <c r="F122" s="4"/>
      <c r="G122" s="4"/>
      <c r="H122" s="4"/>
      <c r="I122" s="200"/>
      <c r="J122" s="200"/>
      <c r="K122" s="4"/>
      <c r="L122" s="4"/>
      <c r="M122" s="4"/>
      <c r="N122" s="4"/>
      <c r="O122" s="4"/>
      <c r="P122" s="200"/>
      <c r="Q122" s="200"/>
      <c r="R122" s="4"/>
      <c r="S122" s="4"/>
      <c r="T122" s="4"/>
      <c r="U122" s="71"/>
      <c r="V122" s="4"/>
      <c r="W122" s="200"/>
      <c r="X122" s="200"/>
      <c r="Y122" s="4"/>
      <c r="Z122" s="4"/>
      <c r="AA122" s="4"/>
      <c r="AB122" s="4"/>
      <c r="AC122" s="4"/>
      <c r="AD122" s="200"/>
      <c r="AE122" s="200"/>
      <c r="AF122" s="4"/>
      <c r="AG122" s="183"/>
      <c r="AH122" s="4"/>
      <c r="AJ122" s="71">
        <f t="shared" si="4"/>
        <v>0</v>
      </c>
    </row>
    <row r="123" spans="2:36" hidden="1" outlineLevel="1" x14ac:dyDescent="0.25">
      <c r="B123" s="151"/>
      <c r="C123" s="54" t="s">
        <v>77</v>
      </c>
      <c r="D123" s="183"/>
      <c r="E123" s="5"/>
      <c r="F123" s="5"/>
      <c r="G123" s="5"/>
      <c r="H123" s="5"/>
      <c r="I123" s="200"/>
      <c r="J123" s="200"/>
      <c r="K123" s="5">
        <v>2</v>
      </c>
      <c r="L123" s="5"/>
      <c r="M123" s="5"/>
      <c r="N123" s="5"/>
      <c r="O123" s="5"/>
      <c r="P123" s="200"/>
      <c r="Q123" s="200"/>
      <c r="R123" s="5"/>
      <c r="S123" s="5"/>
      <c r="T123" s="5"/>
      <c r="U123" s="72"/>
      <c r="V123" s="5"/>
      <c r="W123" s="200"/>
      <c r="X123" s="200"/>
      <c r="Y123" s="5"/>
      <c r="Z123" s="5"/>
      <c r="AA123" s="5"/>
      <c r="AB123" s="5"/>
      <c r="AC123" s="5"/>
      <c r="AD123" s="200"/>
      <c r="AE123" s="200"/>
      <c r="AF123" s="5"/>
      <c r="AG123" s="183"/>
      <c r="AH123" s="5"/>
      <c r="AJ123" s="72">
        <f t="shared" si="4"/>
        <v>2</v>
      </c>
    </row>
    <row r="124" spans="2:36" ht="15.75" hidden="1" outlineLevel="1" thickBot="1" x14ac:dyDescent="0.3">
      <c r="B124" s="151"/>
      <c r="C124" s="9" t="s">
        <v>3</v>
      </c>
      <c r="D124" s="183"/>
      <c r="E124" s="8"/>
      <c r="F124" s="8"/>
      <c r="G124" s="8"/>
      <c r="H124" s="8"/>
      <c r="I124" s="201"/>
      <c r="J124" s="201"/>
      <c r="K124" s="8"/>
      <c r="L124" s="8"/>
      <c r="M124" s="8"/>
      <c r="N124" s="8"/>
      <c r="O124" s="8"/>
      <c r="P124" s="201"/>
      <c r="Q124" s="201"/>
      <c r="R124" s="8"/>
      <c r="S124" s="8"/>
      <c r="T124" s="8"/>
      <c r="U124" s="69">
        <v>0.5</v>
      </c>
      <c r="V124" s="8"/>
      <c r="W124" s="201"/>
      <c r="X124" s="201"/>
      <c r="Y124" s="8"/>
      <c r="Z124" s="8"/>
      <c r="AA124" s="8"/>
      <c r="AB124" s="8"/>
      <c r="AC124" s="8"/>
      <c r="AD124" s="201"/>
      <c r="AE124" s="201"/>
      <c r="AF124" s="8"/>
      <c r="AG124" s="183"/>
      <c r="AH124" s="8"/>
      <c r="AI124" s="7"/>
      <c r="AJ124" s="69">
        <f t="shared" si="4"/>
        <v>0.5</v>
      </c>
    </row>
    <row r="125" spans="2:36" ht="16.5" collapsed="1" thickTop="1" thickBot="1" x14ac:dyDescent="0.3">
      <c r="B125" s="149" t="str">
        <f>'Hours Scheduled'!B28</f>
        <v>Patrick Janssen</v>
      </c>
      <c r="C125" s="46" t="s">
        <v>0</v>
      </c>
      <c r="D125" s="183"/>
      <c r="E125" s="2">
        <v>8</v>
      </c>
      <c r="F125" s="2"/>
      <c r="G125" s="2"/>
      <c r="H125" s="2"/>
      <c r="I125" s="200"/>
      <c r="J125" s="200"/>
      <c r="K125" s="2"/>
      <c r="L125" s="2"/>
      <c r="M125" s="2"/>
      <c r="N125" s="2">
        <v>8</v>
      </c>
      <c r="O125" s="2"/>
      <c r="P125" s="200"/>
      <c r="Q125" s="200"/>
      <c r="R125" s="2"/>
      <c r="S125" s="2"/>
      <c r="T125" s="2"/>
      <c r="U125" s="2"/>
      <c r="V125" s="2">
        <v>8</v>
      </c>
      <c r="W125" s="200"/>
      <c r="X125" s="200"/>
      <c r="Y125" s="2">
        <v>8</v>
      </c>
      <c r="Z125" s="2"/>
      <c r="AA125" s="2"/>
      <c r="AB125" s="2"/>
      <c r="AC125" s="2"/>
      <c r="AD125" s="200"/>
      <c r="AE125" s="200"/>
      <c r="AF125" s="2">
        <v>8</v>
      </c>
      <c r="AG125" s="183"/>
      <c r="AH125" s="2"/>
      <c r="AI125" s="46"/>
      <c r="AJ125" s="64">
        <f t="shared" si="4"/>
        <v>40</v>
      </c>
    </row>
    <row r="126" spans="2:36" ht="15.75" hidden="1" outlineLevel="1" thickTop="1" x14ac:dyDescent="0.25">
      <c r="B126" s="150"/>
      <c r="C126" s="1" t="s">
        <v>1</v>
      </c>
      <c r="D126" s="183"/>
      <c r="E126" s="3"/>
      <c r="F126" s="3"/>
      <c r="G126" s="3"/>
      <c r="H126" s="3"/>
      <c r="I126" s="200"/>
      <c r="J126" s="200"/>
      <c r="K126" s="3"/>
      <c r="L126" s="3"/>
      <c r="M126" s="3"/>
      <c r="N126" s="3"/>
      <c r="O126" s="3"/>
      <c r="P126" s="200"/>
      <c r="Q126" s="200"/>
      <c r="R126" s="3"/>
      <c r="S126" s="3"/>
      <c r="T126" s="3"/>
      <c r="U126" s="3"/>
      <c r="V126" s="3"/>
      <c r="W126" s="200"/>
      <c r="X126" s="200"/>
      <c r="Y126" s="3"/>
      <c r="Z126" s="3"/>
      <c r="AA126" s="3"/>
      <c r="AB126" s="3"/>
      <c r="AC126" s="3"/>
      <c r="AD126" s="200"/>
      <c r="AE126" s="200"/>
      <c r="AF126" s="3"/>
      <c r="AG126" s="183"/>
      <c r="AH126" s="3"/>
      <c r="AJ126" s="70">
        <f t="shared" si="4"/>
        <v>0</v>
      </c>
    </row>
    <row r="127" spans="2:36" hidden="1" outlineLevel="1" x14ac:dyDescent="0.25">
      <c r="B127" s="151"/>
      <c r="C127" s="1" t="s">
        <v>2</v>
      </c>
      <c r="D127" s="183"/>
      <c r="E127" s="4"/>
      <c r="F127" s="4"/>
      <c r="G127" s="4"/>
      <c r="H127" s="4"/>
      <c r="I127" s="200"/>
      <c r="J127" s="200"/>
      <c r="K127" s="4"/>
      <c r="L127" s="4"/>
      <c r="M127" s="4"/>
      <c r="N127" s="4"/>
      <c r="O127" s="4"/>
      <c r="P127" s="200"/>
      <c r="Q127" s="200"/>
      <c r="R127" s="4"/>
      <c r="S127" s="4"/>
      <c r="T127" s="4"/>
      <c r="U127" s="4"/>
      <c r="V127" s="4"/>
      <c r="W127" s="200"/>
      <c r="X127" s="200"/>
      <c r="Y127" s="4"/>
      <c r="Z127" s="4"/>
      <c r="AA127" s="4"/>
      <c r="AB127" s="4"/>
      <c r="AC127" s="4"/>
      <c r="AD127" s="200"/>
      <c r="AE127" s="200"/>
      <c r="AF127" s="4"/>
      <c r="AG127" s="183"/>
      <c r="AH127" s="4"/>
      <c r="AJ127" s="71">
        <f t="shared" si="4"/>
        <v>0</v>
      </c>
    </row>
    <row r="128" spans="2:36" hidden="1" outlineLevel="1" x14ac:dyDescent="0.25">
      <c r="B128" s="151"/>
      <c r="C128" s="54" t="s">
        <v>77</v>
      </c>
      <c r="D128" s="183"/>
      <c r="E128" s="5"/>
      <c r="F128" s="5"/>
      <c r="G128" s="5"/>
      <c r="H128" s="5"/>
      <c r="I128" s="200"/>
      <c r="J128" s="200"/>
      <c r="K128" s="5"/>
      <c r="L128" s="5"/>
      <c r="M128" s="5"/>
      <c r="N128" s="5"/>
      <c r="O128" s="5"/>
      <c r="P128" s="200"/>
      <c r="Q128" s="200"/>
      <c r="R128" s="5"/>
      <c r="S128" s="5"/>
      <c r="T128" s="5"/>
      <c r="U128" s="5"/>
      <c r="V128" s="5"/>
      <c r="W128" s="200"/>
      <c r="X128" s="200"/>
      <c r="Y128" s="5"/>
      <c r="Z128" s="5"/>
      <c r="AA128" s="5"/>
      <c r="AB128" s="5"/>
      <c r="AC128" s="5"/>
      <c r="AD128" s="200"/>
      <c r="AE128" s="200"/>
      <c r="AF128" s="5"/>
      <c r="AG128" s="183"/>
      <c r="AH128" s="5"/>
      <c r="AJ128" s="72">
        <f t="shared" si="4"/>
        <v>0</v>
      </c>
    </row>
    <row r="129" spans="2:36" ht="15.75" hidden="1" outlineLevel="1" thickBot="1" x14ac:dyDescent="0.3">
      <c r="B129" s="151"/>
      <c r="C129" s="9" t="s">
        <v>3</v>
      </c>
      <c r="D129" s="183"/>
      <c r="E129" s="8"/>
      <c r="F129" s="8"/>
      <c r="G129" s="8"/>
      <c r="H129" s="8"/>
      <c r="I129" s="201"/>
      <c r="J129" s="201"/>
      <c r="K129" s="8"/>
      <c r="L129" s="8"/>
      <c r="M129" s="8"/>
      <c r="N129" s="8"/>
      <c r="O129" s="8"/>
      <c r="P129" s="201"/>
      <c r="Q129" s="201"/>
      <c r="R129" s="8"/>
      <c r="S129" s="8"/>
      <c r="T129" s="8"/>
      <c r="U129" s="8"/>
      <c r="V129" s="8"/>
      <c r="W129" s="201"/>
      <c r="X129" s="201"/>
      <c r="Y129" s="8"/>
      <c r="Z129" s="8"/>
      <c r="AA129" s="8"/>
      <c r="AB129" s="8"/>
      <c r="AC129" s="8"/>
      <c r="AD129" s="201"/>
      <c r="AE129" s="201"/>
      <c r="AF129" s="8"/>
      <c r="AG129" s="183"/>
      <c r="AH129" s="8"/>
      <c r="AI129" s="7"/>
      <c r="AJ129" s="69">
        <f t="shared" si="4"/>
        <v>0</v>
      </c>
    </row>
    <row r="130" spans="2:36" ht="16.5" collapsed="1" thickTop="1" thickBot="1" x14ac:dyDescent="0.3">
      <c r="B130" s="149" t="str">
        <f>'Hours Scheduled'!B29</f>
        <v>Patrick Ziesen</v>
      </c>
      <c r="C130" s="46" t="s">
        <v>0</v>
      </c>
      <c r="D130" s="183"/>
      <c r="E130" s="2"/>
      <c r="F130" s="2"/>
      <c r="G130" s="2"/>
      <c r="H130" s="2"/>
      <c r="I130" s="200"/>
      <c r="J130" s="200"/>
      <c r="K130" s="2"/>
      <c r="L130" s="2"/>
      <c r="M130" s="2"/>
      <c r="N130" s="2"/>
      <c r="O130" s="64">
        <v>2.5</v>
      </c>
      <c r="P130" s="200"/>
      <c r="Q130" s="200"/>
      <c r="R130" s="2"/>
      <c r="S130" s="2"/>
      <c r="T130" s="2"/>
      <c r="U130" s="2"/>
      <c r="V130" s="2"/>
      <c r="W130" s="200"/>
      <c r="X130" s="200"/>
      <c r="Y130" s="2"/>
      <c r="Z130" s="2"/>
      <c r="AA130" s="2"/>
      <c r="AB130" s="2"/>
      <c r="AC130" s="2"/>
      <c r="AD130" s="200"/>
      <c r="AE130" s="200"/>
      <c r="AF130" s="2"/>
      <c r="AG130" s="183"/>
      <c r="AH130" s="2"/>
      <c r="AI130" s="46"/>
      <c r="AJ130" s="64">
        <f t="shared" si="4"/>
        <v>2.5</v>
      </c>
    </row>
    <row r="131" spans="2:36" ht="15.75" hidden="1" outlineLevel="1" thickTop="1" x14ac:dyDescent="0.25">
      <c r="B131" s="150"/>
      <c r="C131" s="1" t="s">
        <v>1</v>
      </c>
      <c r="D131" s="183"/>
      <c r="E131" s="3"/>
      <c r="F131" s="3"/>
      <c r="G131" s="3"/>
      <c r="H131" s="3"/>
      <c r="I131" s="200"/>
      <c r="J131" s="200"/>
      <c r="K131" s="3"/>
      <c r="L131" s="3"/>
      <c r="M131" s="3"/>
      <c r="N131" s="3"/>
      <c r="O131" s="3"/>
      <c r="P131" s="200"/>
      <c r="Q131" s="200"/>
      <c r="R131" s="3"/>
      <c r="S131" s="3"/>
      <c r="T131" s="3"/>
      <c r="U131" s="3"/>
      <c r="V131" s="3"/>
      <c r="W131" s="200"/>
      <c r="X131" s="200"/>
      <c r="Y131" s="3"/>
      <c r="Z131" s="3"/>
      <c r="AA131" s="3"/>
      <c r="AB131" s="3"/>
      <c r="AC131" s="3"/>
      <c r="AD131" s="200"/>
      <c r="AE131" s="200"/>
      <c r="AF131" s="3"/>
      <c r="AG131" s="183"/>
      <c r="AH131" s="3"/>
      <c r="AJ131" s="70">
        <f t="shared" si="4"/>
        <v>0</v>
      </c>
    </row>
    <row r="132" spans="2:36" hidden="1" outlineLevel="1" x14ac:dyDescent="0.25">
      <c r="B132" s="151"/>
      <c r="C132" s="1" t="s">
        <v>2</v>
      </c>
      <c r="D132" s="183"/>
      <c r="E132" s="4"/>
      <c r="F132" s="4"/>
      <c r="G132" s="4"/>
      <c r="H132" s="4"/>
      <c r="I132" s="200"/>
      <c r="J132" s="200"/>
      <c r="K132" s="4"/>
      <c r="L132" s="4"/>
      <c r="M132" s="4"/>
      <c r="N132" s="4"/>
      <c r="O132" s="4"/>
      <c r="P132" s="200"/>
      <c r="Q132" s="200"/>
      <c r="R132" s="4"/>
      <c r="S132" s="4"/>
      <c r="T132" s="4"/>
      <c r="U132" s="4"/>
      <c r="V132" s="4"/>
      <c r="W132" s="200"/>
      <c r="X132" s="200"/>
      <c r="Y132" s="4"/>
      <c r="Z132" s="4"/>
      <c r="AA132" s="4"/>
      <c r="AB132" s="4"/>
      <c r="AC132" s="4"/>
      <c r="AD132" s="200"/>
      <c r="AE132" s="200"/>
      <c r="AF132" s="4"/>
      <c r="AG132" s="183"/>
      <c r="AH132" s="4"/>
      <c r="AJ132" s="71">
        <f t="shared" si="4"/>
        <v>0</v>
      </c>
    </row>
    <row r="133" spans="2:36" hidden="1" outlineLevel="1" x14ac:dyDescent="0.25">
      <c r="B133" s="151"/>
      <c r="C133" s="54" t="s">
        <v>77</v>
      </c>
      <c r="D133" s="183"/>
      <c r="E133" s="5"/>
      <c r="F133" s="5"/>
      <c r="G133" s="5"/>
      <c r="H133" s="5"/>
      <c r="I133" s="200"/>
      <c r="J133" s="200"/>
      <c r="K133" s="5"/>
      <c r="L133" s="5"/>
      <c r="M133" s="5"/>
      <c r="N133" s="5"/>
      <c r="O133" s="5"/>
      <c r="P133" s="200"/>
      <c r="Q133" s="200"/>
      <c r="R133" s="5"/>
      <c r="S133" s="5"/>
      <c r="T133" s="5"/>
      <c r="U133" s="5"/>
      <c r="V133" s="5"/>
      <c r="W133" s="200"/>
      <c r="X133" s="200"/>
      <c r="Y133" s="5"/>
      <c r="Z133" s="5"/>
      <c r="AA133" s="5"/>
      <c r="AB133" s="5"/>
      <c r="AC133" s="5"/>
      <c r="AD133" s="200"/>
      <c r="AE133" s="200"/>
      <c r="AF133" s="5"/>
      <c r="AG133" s="183"/>
      <c r="AH133" s="5"/>
      <c r="AJ133" s="72">
        <f t="shared" si="4"/>
        <v>0</v>
      </c>
    </row>
    <row r="134" spans="2:36" ht="15.75" hidden="1" outlineLevel="1" thickBot="1" x14ac:dyDescent="0.3">
      <c r="B134" s="151"/>
      <c r="C134" s="9" t="s">
        <v>3</v>
      </c>
      <c r="D134" s="183"/>
      <c r="E134" s="8"/>
      <c r="F134" s="8"/>
      <c r="G134" s="8"/>
      <c r="H134" s="8"/>
      <c r="I134" s="201"/>
      <c r="J134" s="201"/>
      <c r="K134" s="8"/>
      <c r="L134" s="8"/>
      <c r="M134" s="8"/>
      <c r="N134" s="8"/>
      <c r="O134" s="8"/>
      <c r="P134" s="201"/>
      <c r="Q134" s="201"/>
      <c r="R134" s="8"/>
      <c r="S134" s="8"/>
      <c r="T134" s="8"/>
      <c r="U134" s="8"/>
      <c r="V134" s="8"/>
      <c r="W134" s="201"/>
      <c r="X134" s="201"/>
      <c r="Y134" s="8"/>
      <c r="Z134" s="8"/>
      <c r="AA134" s="8"/>
      <c r="AB134" s="8"/>
      <c r="AC134" s="8"/>
      <c r="AD134" s="201"/>
      <c r="AE134" s="201"/>
      <c r="AF134" s="8"/>
      <c r="AG134" s="183"/>
      <c r="AH134" s="8"/>
      <c r="AI134" s="7"/>
      <c r="AJ134" s="69">
        <f t="shared" si="4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s="46" t="s">
        <v>0</v>
      </c>
      <c r="D135" s="183"/>
      <c r="E135" s="2"/>
      <c r="F135" s="2"/>
      <c r="G135" s="2"/>
      <c r="H135" s="2"/>
      <c r="I135" s="200"/>
      <c r="J135" s="200"/>
      <c r="K135" s="2"/>
      <c r="L135" s="2"/>
      <c r="M135" s="2"/>
      <c r="N135" s="2"/>
      <c r="O135" s="2"/>
      <c r="P135" s="200"/>
      <c r="Q135" s="200"/>
      <c r="R135" s="2"/>
      <c r="S135" s="2"/>
      <c r="T135" s="2"/>
      <c r="U135" s="2"/>
      <c r="V135" s="2"/>
      <c r="W135" s="200"/>
      <c r="X135" s="200"/>
      <c r="Y135" s="2"/>
      <c r="Z135" s="2"/>
      <c r="AA135" s="2"/>
      <c r="AB135" s="2"/>
      <c r="AC135" s="2">
        <v>4</v>
      </c>
      <c r="AD135" s="200"/>
      <c r="AE135" s="200"/>
      <c r="AF135" s="2">
        <v>8</v>
      </c>
      <c r="AG135" s="183"/>
      <c r="AH135" s="2"/>
      <c r="AI135" s="46"/>
      <c r="AJ135" s="64">
        <f t="shared" si="4"/>
        <v>12</v>
      </c>
    </row>
    <row r="136" spans="2:36" ht="15.75" hidden="1" outlineLevel="1" thickTop="1" x14ac:dyDescent="0.25">
      <c r="B136" s="150"/>
      <c r="C136" s="1" t="s">
        <v>1</v>
      </c>
      <c r="D136" s="183"/>
      <c r="E136" s="3"/>
      <c r="F136" s="3"/>
      <c r="G136" s="3"/>
      <c r="H136" s="3"/>
      <c r="I136" s="200"/>
      <c r="J136" s="200"/>
      <c r="K136" s="3"/>
      <c r="L136" s="3"/>
      <c r="M136" s="3"/>
      <c r="N136" s="3"/>
      <c r="O136" s="3"/>
      <c r="P136" s="200"/>
      <c r="Q136" s="200"/>
      <c r="R136" s="3"/>
      <c r="S136" s="3"/>
      <c r="T136" s="3"/>
      <c r="U136" s="3"/>
      <c r="V136" s="3"/>
      <c r="W136" s="200"/>
      <c r="X136" s="200"/>
      <c r="Y136" s="3"/>
      <c r="Z136" s="3"/>
      <c r="AA136" s="3"/>
      <c r="AB136" s="3"/>
      <c r="AC136" s="3"/>
      <c r="AD136" s="200"/>
      <c r="AE136" s="200"/>
      <c r="AF136" s="3"/>
      <c r="AG136" s="183"/>
      <c r="AH136" s="3"/>
      <c r="AJ136" s="3">
        <f t="shared" si="4"/>
        <v>0</v>
      </c>
    </row>
    <row r="137" spans="2:36" hidden="1" outlineLevel="1" x14ac:dyDescent="0.25">
      <c r="B137" s="151"/>
      <c r="C137" s="1" t="s">
        <v>2</v>
      </c>
      <c r="D137" s="183"/>
      <c r="E137" s="4"/>
      <c r="F137" s="4"/>
      <c r="G137" s="4"/>
      <c r="H137" s="4"/>
      <c r="I137" s="200"/>
      <c r="J137" s="200"/>
      <c r="K137" s="4"/>
      <c r="L137" s="4"/>
      <c r="M137" s="4"/>
      <c r="N137" s="4"/>
      <c r="O137" s="4"/>
      <c r="P137" s="200"/>
      <c r="Q137" s="200"/>
      <c r="R137" s="4"/>
      <c r="S137" s="4"/>
      <c r="T137" s="4"/>
      <c r="U137" s="4"/>
      <c r="V137" s="4"/>
      <c r="W137" s="200"/>
      <c r="X137" s="200"/>
      <c r="Y137" s="4"/>
      <c r="Z137" s="4"/>
      <c r="AA137" s="4"/>
      <c r="AB137" s="4"/>
      <c r="AC137" s="4"/>
      <c r="AD137" s="200"/>
      <c r="AE137" s="200"/>
      <c r="AF137" s="4"/>
      <c r="AG137" s="183"/>
      <c r="AH137" s="4"/>
      <c r="AJ137" s="4">
        <f t="shared" si="4"/>
        <v>0</v>
      </c>
    </row>
    <row r="138" spans="2:36" hidden="1" outlineLevel="1" x14ac:dyDescent="0.25">
      <c r="B138" s="151"/>
      <c r="C138" s="54" t="s">
        <v>77</v>
      </c>
      <c r="D138" s="183"/>
      <c r="E138" s="5"/>
      <c r="F138" s="5"/>
      <c r="G138" s="5"/>
      <c r="H138" s="5"/>
      <c r="I138" s="200"/>
      <c r="J138" s="200"/>
      <c r="K138" s="5"/>
      <c r="L138" s="5"/>
      <c r="M138" s="5"/>
      <c r="N138" s="5"/>
      <c r="O138" s="5"/>
      <c r="P138" s="200"/>
      <c r="Q138" s="200"/>
      <c r="R138" s="5"/>
      <c r="S138" s="5"/>
      <c r="T138" s="5"/>
      <c r="U138" s="5"/>
      <c r="V138" s="5"/>
      <c r="W138" s="200"/>
      <c r="X138" s="200"/>
      <c r="Y138" s="5"/>
      <c r="Z138" s="5"/>
      <c r="AA138" s="5"/>
      <c r="AB138" s="5"/>
      <c r="AC138" s="5"/>
      <c r="AD138" s="200"/>
      <c r="AE138" s="200"/>
      <c r="AF138" s="5"/>
      <c r="AG138" s="183"/>
      <c r="AH138" s="5"/>
      <c r="AJ138" s="5">
        <f t="shared" si="4"/>
        <v>0</v>
      </c>
    </row>
    <row r="139" spans="2:36" ht="15.75" hidden="1" outlineLevel="1" thickBot="1" x14ac:dyDescent="0.3">
      <c r="B139" s="151"/>
      <c r="C139" s="9" t="s">
        <v>3</v>
      </c>
      <c r="D139" s="183"/>
      <c r="E139" s="8"/>
      <c r="F139" s="8"/>
      <c r="G139" s="8"/>
      <c r="H139" s="8"/>
      <c r="I139" s="201"/>
      <c r="J139" s="201"/>
      <c r="K139" s="8"/>
      <c r="L139" s="8"/>
      <c r="M139" s="8"/>
      <c r="N139" s="8"/>
      <c r="O139" s="8"/>
      <c r="P139" s="201"/>
      <c r="Q139" s="201"/>
      <c r="R139" s="8"/>
      <c r="S139" s="8"/>
      <c r="T139" s="8"/>
      <c r="U139" s="8"/>
      <c r="V139" s="8"/>
      <c r="W139" s="201"/>
      <c r="X139" s="201"/>
      <c r="Y139" s="8"/>
      <c r="Z139" s="8"/>
      <c r="AA139" s="8"/>
      <c r="AB139" s="8"/>
      <c r="AC139" s="8"/>
      <c r="AD139" s="201"/>
      <c r="AE139" s="201"/>
      <c r="AF139" s="8"/>
      <c r="AG139" s="183"/>
      <c r="AH139" s="8"/>
      <c r="AI139" s="7"/>
      <c r="AJ139" s="8">
        <f t="shared" si="4"/>
        <v>0</v>
      </c>
    </row>
    <row r="140" spans="2:36" ht="16.5" collapsed="1" thickTop="1" thickBot="1" x14ac:dyDescent="0.3">
      <c r="B140" s="253" t="str">
        <f>'Hours Scheduled'!B31</f>
        <v>Thom van Bodegraven</v>
      </c>
      <c r="C140" t="s">
        <v>0</v>
      </c>
      <c r="D140" s="183"/>
      <c r="E140" s="249">
        <v>4</v>
      </c>
      <c r="F140" s="180">
        <v>8</v>
      </c>
      <c r="G140" s="198"/>
      <c r="H140" s="198"/>
      <c r="I140" s="198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97"/>
      <c r="AJ140" s="172">
        <f>SUM(D140:AH140)</f>
        <v>12</v>
      </c>
    </row>
    <row r="141" spans="2:36" ht="15.75" hidden="1" outlineLevel="1" thickTop="1" x14ac:dyDescent="0.25">
      <c r="B141" s="150"/>
      <c r="C141" s="1" t="s">
        <v>1</v>
      </c>
      <c r="D141" s="183"/>
      <c r="E141" s="181"/>
      <c r="F141" s="181"/>
      <c r="G141" s="181"/>
      <c r="H141" s="181"/>
      <c r="I141" s="198"/>
      <c r="J141" s="198"/>
      <c r="K141" s="181"/>
      <c r="L141" s="181"/>
      <c r="M141" s="181"/>
      <c r="N141" s="181"/>
      <c r="O141" s="181"/>
      <c r="P141" s="198"/>
      <c r="Q141" s="198"/>
      <c r="R141" s="181"/>
      <c r="S141" s="181"/>
      <c r="T141" s="181"/>
      <c r="U141" s="181"/>
      <c r="V141" s="181"/>
      <c r="W141" s="198"/>
      <c r="X141" s="198"/>
      <c r="Y141" s="181"/>
      <c r="Z141" s="181"/>
      <c r="AA141" s="181"/>
      <c r="AB141" s="181"/>
      <c r="AC141" s="181"/>
      <c r="AD141" s="198"/>
      <c r="AE141" s="198"/>
      <c r="AF141" s="181"/>
      <c r="AG141" s="183"/>
      <c r="AH141" s="181"/>
      <c r="AI141" s="97"/>
      <c r="AJ141" s="174">
        <f t="shared" ref="AJ141:AJ144" si="5">SUM(D141:AH141)</f>
        <v>0</v>
      </c>
    </row>
    <row r="142" spans="2:36" hidden="1" outlineLevel="1" x14ac:dyDescent="0.25">
      <c r="B142" s="151"/>
      <c r="C142" s="1" t="s">
        <v>2</v>
      </c>
      <c r="D142" s="183"/>
      <c r="E142" s="182"/>
      <c r="F142" s="182"/>
      <c r="G142" s="182"/>
      <c r="H142" s="182"/>
      <c r="I142" s="198"/>
      <c r="J142" s="198"/>
      <c r="K142" s="182"/>
      <c r="L142" s="182"/>
      <c r="M142" s="182"/>
      <c r="N142" s="182"/>
      <c r="O142" s="182"/>
      <c r="P142" s="198"/>
      <c r="Q142" s="198"/>
      <c r="R142" s="182"/>
      <c r="S142" s="182"/>
      <c r="T142" s="182"/>
      <c r="U142" s="182"/>
      <c r="V142" s="182"/>
      <c r="W142" s="198"/>
      <c r="X142" s="198"/>
      <c r="Y142" s="182"/>
      <c r="Z142" s="182"/>
      <c r="AA142" s="182"/>
      <c r="AB142" s="182"/>
      <c r="AC142" s="182"/>
      <c r="AD142" s="198"/>
      <c r="AE142" s="198"/>
      <c r="AF142" s="182"/>
      <c r="AG142" s="183"/>
      <c r="AH142" s="182"/>
      <c r="AI142" s="97"/>
      <c r="AJ142" s="175">
        <f t="shared" si="5"/>
        <v>0</v>
      </c>
    </row>
    <row r="143" spans="2:36" hidden="1" outlineLevel="1" x14ac:dyDescent="0.25">
      <c r="B143" s="151"/>
      <c r="C143" s="54" t="s">
        <v>77</v>
      </c>
      <c r="D143" s="183"/>
      <c r="E143" s="183"/>
      <c r="F143" s="183"/>
      <c r="G143" s="183"/>
      <c r="H143" s="183">
        <v>8</v>
      </c>
      <c r="I143" s="198"/>
      <c r="J143" s="198"/>
      <c r="K143" s="183"/>
      <c r="L143" s="183"/>
      <c r="M143" s="183"/>
      <c r="N143" s="183"/>
      <c r="O143" s="183"/>
      <c r="P143" s="198"/>
      <c r="Q143" s="198"/>
      <c r="R143" s="183"/>
      <c r="S143" s="183"/>
      <c r="T143" s="183"/>
      <c r="U143" s="183"/>
      <c r="V143" s="183"/>
      <c r="W143" s="198"/>
      <c r="X143" s="198"/>
      <c r="Y143" s="183"/>
      <c r="Z143" s="183"/>
      <c r="AA143" s="183"/>
      <c r="AB143" s="183"/>
      <c r="AC143" s="183"/>
      <c r="AD143" s="198"/>
      <c r="AE143" s="198"/>
      <c r="AF143" s="183"/>
      <c r="AG143" s="183"/>
      <c r="AH143" s="183"/>
      <c r="AI143" s="97"/>
      <c r="AJ143" s="176">
        <f t="shared" si="5"/>
        <v>8</v>
      </c>
    </row>
    <row r="144" spans="2:36" ht="15.75" hidden="1" outlineLevel="1" thickBot="1" x14ac:dyDescent="0.3">
      <c r="B144" s="151"/>
      <c r="C144" s="9" t="s">
        <v>3</v>
      </c>
      <c r="D144" s="183"/>
      <c r="E144" s="184"/>
      <c r="F144" s="184"/>
      <c r="G144" s="184"/>
      <c r="H144" s="184"/>
      <c r="I144" s="199"/>
      <c r="J144" s="199"/>
      <c r="K144" s="184"/>
      <c r="L144" s="184"/>
      <c r="M144" s="184"/>
      <c r="N144" s="184"/>
      <c r="O144" s="184"/>
      <c r="P144" s="199"/>
      <c r="Q144" s="199"/>
      <c r="R144" s="184"/>
      <c r="S144" s="184"/>
      <c r="T144" s="184"/>
      <c r="U144" s="184"/>
      <c r="V144" s="184"/>
      <c r="W144" s="199"/>
      <c r="X144" s="199"/>
      <c r="Y144" s="184"/>
      <c r="Z144" s="184"/>
      <c r="AA144" s="184"/>
      <c r="AB144" s="184"/>
      <c r="AC144" s="184"/>
      <c r="AD144" s="199"/>
      <c r="AE144" s="199"/>
      <c r="AF144" s="184"/>
      <c r="AG144" s="183"/>
      <c r="AH144" s="184"/>
      <c r="AI144" s="186"/>
      <c r="AJ144" s="177">
        <f t="shared" si="5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183"/>
      <c r="E145" s="180"/>
      <c r="F145" s="180"/>
      <c r="G145" s="180"/>
      <c r="H145" s="180">
        <v>2</v>
      </c>
      <c r="I145" s="198"/>
      <c r="J145" s="198"/>
      <c r="K145" s="180"/>
      <c r="L145" s="180"/>
      <c r="M145" s="180"/>
      <c r="N145" s="180"/>
      <c r="O145" s="180"/>
      <c r="P145" s="198"/>
      <c r="Q145" s="198"/>
      <c r="R145" s="180"/>
      <c r="S145" s="180"/>
      <c r="T145" s="180"/>
      <c r="U145" s="180"/>
      <c r="V145" s="180">
        <v>2</v>
      </c>
      <c r="W145" s="198"/>
      <c r="X145" s="198"/>
      <c r="Y145" s="180"/>
      <c r="Z145" s="180"/>
      <c r="AA145" s="180">
        <v>1</v>
      </c>
      <c r="AB145" s="180"/>
      <c r="AC145" s="180">
        <v>1</v>
      </c>
      <c r="AD145" s="198"/>
      <c r="AE145" s="198"/>
      <c r="AF145" s="180"/>
      <c r="AG145" s="183"/>
      <c r="AH145" s="180"/>
      <c r="AI145" s="97"/>
      <c r="AJ145" s="172">
        <f>SUM(D145:AH145)</f>
        <v>6</v>
      </c>
    </row>
    <row r="146" spans="2:36" ht="15.75" hidden="1" outlineLevel="1" thickTop="1" x14ac:dyDescent="0.25">
      <c r="B146" s="150"/>
      <c r="C146" s="1" t="s">
        <v>1</v>
      </c>
      <c r="D146" s="183"/>
      <c r="E146" s="181"/>
      <c r="F146" s="181"/>
      <c r="G146" s="181"/>
      <c r="H146" s="181"/>
      <c r="I146" s="198"/>
      <c r="J146" s="198"/>
      <c r="K146" s="181"/>
      <c r="L146" s="181"/>
      <c r="M146" s="181"/>
      <c r="N146" s="181"/>
      <c r="O146" s="181"/>
      <c r="P146" s="198"/>
      <c r="Q146" s="198"/>
      <c r="R146" s="181"/>
      <c r="S146" s="181"/>
      <c r="T146" s="181"/>
      <c r="U146" s="181"/>
      <c r="V146" s="181"/>
      <c r="W146" s="198"/>
      <c r="X146" s="198"/>
      <c r="Y146" s="181"/>
      <c r="Z146" s="181"/>
      <c r="AA146" s="181"/>
      <c r="AB146" s="181"/>
      <c r="AC146" s="181"/>
      <c r="AD146" s="198"/>
      <c r="AE146" s="198"/>
      <c r="AF146" s="181"/>
      <c r="AG146" s="183"/>
      <c r="AH146" s="181"/>
      <c r="AI146" s="97"/>
      <c r="AJ146" s="174">
        <f t="shared" ref="AJ146:AJ149" si="6">SUM(D146:AH146)</f>
        <v>0</v>
      </c>
    </row>
    <row r="147" spans="2:36" hidden="1" outlineLevel="1" x14ac:dyDescent="0.25">
      <c r="B147" s="151"/>
      <c r="C147" s="1" t="s">
        <v>2</v>
      </c>
      <c r="D147" s="183"/>
      <c r="E147" s="182"/>
      <c r="F147" s="182"/>
      <c r="G147" s="182"/>
      <c r="H147" s="182">
        <v>2</v>
      </c>
      <c r="I147" s="198"/>
      <c r="J147" s="198"/>
      <c r="K147" s="182"/>
      <c r="L147" s="182"/>
      <c r="M147" s="182"/>
      <c r="N147" s="182"/>
      <c r="O147" s="182"/>
      <c r="P147" s="198"/>
      <c r="Q147" s="198"/>
      <c r="R147" s="182"/>
      <c r="S147" s="182"/>
      <c r="T147" s="182"/>
      <c r="U147" s="182"/>
      <c r="V147" s="182"/>
      <c r="W147" s="198"/>
      <c r="X147" s="198"/>
      <c r="Y147" s="182"/>
      <c r="Z147" s="182"/>
      <c r="AA147" s="182"/>
      <c r="AB147" s="182"/>
      <c r="AC147" s="182"/>
      <c r="AD147" s="198"/>
      <c r="AE147" s="198"/>
      <c r="AF147" s="182"/>
      <c r="AG147" s="183"/>
      <c r="AH147" s="182"/>
      <c r="AI147" s="97"/>
      <c r="AJ147" s="175">
        <f t="shared" si="6"/>
        <v>2</v>
      </c>
    </row>
    <row r="148" spans="2:36" hidden="1" outlineLevel="1" x14ac:dyDescent="0.25">
      <c r="B148" s="151"/>
      <c r="C148" s="54" t="s">
        <v>77</v>
      </c>
      <c r="D148" s="183"/>
      <c r="E148" s="183"/>
      <c r="F148" s="183"/>
      <c r="G148" s="183"/>
      <c r="H148" s="183"/>
      <c r="I148" s="198"/>
      <c r="J148" s="198"/>
      <c r="K148" s="183"/>
      <c r="L148" s="183"/>
      <c r="M148" s="183"/>
      <c r="N148" s="183"/>
      <c r="O148" s="183"/>
      <c r="P148" s="198"/>
      <c r="Q148" s="198"/>
      <c r="R148" s="183"/>
      <c r="S148" s="183"/>
      <c r="T148" s="183"/>
      <c r="U148" s="183"/>
      <c r="V148" s="183"/>
      <c r="W148" s="198"/>
      <c r="X148" s="198"/>
      <c r="Y148" s="183"/>
      <c r="Z148" s="183"/>
      <c r="AA148" s="183"/>
      <c r="AB148" s="183"/>
      <c r="AC148" s="183"/>
      <c r="AD148" s="198"/>
      <c r="AE148" s="198"/>
      <c r="AF148" s="183"/>
      <c r="AG148" s="183"/>
      <c r="AH148" s="183"/>
      <c r="AI148" s="97"/>
      <c r="AJ148" s="176">
        <f t="shared" si="6"/>
        <v>0</v>
      </c>
    </row>
    <row r="149" spans="2:36" ht="15.75" hidden="1" outlineLevel="1" thickBot="1" x14ac:dyDescent="0.3">
      <c r="B149" s="151"/>
      <c r="C149" s="9" t="s">
        <v>3</v>
      </c>
      <c r="D149" s="183"/>
      <c r="E149" s="184"/>
      <c r="F149" s="184"/>
      <c r="G149" s="184"/>
      <c r="H149" s="184"/>
      <c r="I149" s="199"/>
      <c r="J149" s="199"/>
      <c r="K149" s="184"/>
      <c r="L149" s="184"/>
      <c r="M149" s="184"/>
      <c r="N149" s="184"/>
      <c r="O149" s="184"/>
      <c r="P149" s="199"/>
      <c r="Q149" s="199"/>
      <c r="R149" s="184"/>
      <c r="S149" s="184"/>
      <c r="T149" s="184"/>
      <c r="U149" s="184"/>
      <c r="V149" s="184"/>
      <c r="W149" s="199"/>
      <c r="X149" s="199"/>
      <c r="Y149" s="184"/>
      <c r="Z149" s="184"/>
      <c r="AA149" s="184"/>
      <c r="AB149" s="184"/>
      <c r="AC149" s="184"/>
      <c r="AD149" s="199"/>
      <c r="AE149" s="199"/>
      <c r="AF149" s="184"/>
      <c r="AG149" s="183"/>
      <c r="AH149" s="184"/>
      <c r="AI149" s="186"/>
      <c r="AJ149" s="177">
        <f t="shared" si="6"/>
        <v>0</v>
      </c>
    </row>
    <row r="150" spans="2:36" ht="16.5" collapsed="1" thickTop="1" thickBot="1" x14ac:dyDescent="0.3">
      <c r="B150" s="149" t="str">
        <f>'Hours Scheduled'!B33</f>
        <v>Erik Jaspers</v>
      </c>
      <c r="C150" t="s">
        <v>0</v>
      </c>
      <c r="D150" s="183"/>
      <c r="E150" s="180"/>
      <c r="F150" s="180">
        <v>0</v>
      </c>
      <c r="G150" s="180">
        <v>0</v>
      </c>
      <c r="H150" s="180"/>
      <c r="I150" s="198"/>
      <c r="J150" s="198"/>
      <c r="K150" s="180">
        <v>0</v>
      </c>
      <c r="L150" s="180"/>
      <c r="M150" s="180"/>
      <c r="N150" s="180"/>
      <c r="O150" s="180"/>
      <c r="P150" s="198"/>
      <c r="Q150" s="198"/>
      <c r="R150" s="180"/>
      <c r="S150" s="180"/>
      <c r="T150" s="180"/>
      <c r="U150" s="180"/>
      <c r="V150" s="180"/>
      <c r="W150" s="198"/>
      <c r="X150" s="198"/>
      <c r="Y150" s="180"/>
      <c r="Z150" s="180"/>
      <c r="AA150" s="180"/>
      <c r="AB150" s="180">
        <v>4</v>
      </c>
      <c r="AC150" s="180"/>
      <c r="AD150" s="198"/>
      <c r="AE150" s="198"/>
      <c r="AF150" s="180"/>
      <c r="AG150" s="183"/>
      <c r="AH150" s="180"/>
      <c r="AI150" s="97"/>
      <c r="AJ150" s="172">
        <f>SUM(D150:AH150)</f>
        <v>4</v>
      </c>
    </row>
    <row r="151" spans="2:36" ht="15.75" hidden="1" outlineLevel="1" thickTop="1" x14ac:dyDescent="0.25">
      <c r="B151" s="150"/>
      <c r="C151" s="1" t="s">
        <v>1</v>
      </c>
      <c r="D151" s="183"/>
      <c r="E151" s="181"/>
      <c r="F151" s="181">
        <v>8</v>
      </c>
      <c r="G151" s="181">
        <v>8</v>
      </c>
      <c r="H151" s="181"/>
      <c r="I151" s="198"/>
      <c r="J151" s="198"/>
      <c r="K151" s="181"/>
      <c r="L151" s="181"/>
      <c r="M151" s="181"/>
      <c r="N151" s="181"/>
      <c r="O151" s="181"/>
      <c r="P151" s="198"/>
      <c r="Q151" s="198"/>
      <c r="R151" s="181"/>
      <c r="S151" s="181"/>
      <c r="T151" s="181"/>
      <c r="U151" s="181"/>
      <c r="V151" s="181"/>
      <c r="W151" s="198"/>
      <c r="X151" s="198"/>
      <c r="Y151" s="181"/>
      <c r="Z151" s="181"/>
      <c r="AA151" s="181"/>
      <c r="AB151" s="181"/>
      <c r="AC151" s="181"/>
      <c r="AD151" s="198"/>
      <c r="AE151" s="198"/>
      <c r="AF151" s="181"/>
      <c r="AG151" s="183"/>
      <c r="AH151" s="181"/>
      <c r="AI151" s="97"/>
      <c r="AJ151" s="174">
        <f t="shared" ref="AJ151:AJ154" si="7">SUM(D151:AH151)</f>
        <v>16</v>
      </c>
    </row>
    <row r="152" spans="2:36" hidden="1" outlineLevel="1" x14ac:dyDescent="0.25">
      <c r="B152" s="151"/>
      <c r="C152" s="1" t="s">
        <v>2</v>
      </c>
      <c r="D152" s="183"/>
      <c r="E152" s="182"/>
      <c r="F152" s="182"/>
      <c r="G152" s="182"/>
      <c r="H152" s="182"/>
      <c r="I152" s="198"/>
      <c r="J152" s="198"/>
      <c r="K152" s="182"/>
      <c r="L152" s="182"/>
      <c r="M152" s="182"/>
      <c r="N152" s="182"/>
      <c r="O152" s="182"/>
      <c r="P152" s="198"/>
      <c r="Q152" s="198"/>
      <c r="R152" s="182"/>
      <c r="S152" s="182"/>
      <c r="T152" s="182"/>
      <c r="U152" s="182"/>
      <c r="V152" s="182"/>
      <c r="W152" s="198"/>
      <c r="X152" s="198"/>
      <c r="Y152" s="182"/>
      <c r="Z152" s="182"/>
      <c r="AA152" s="182"/>
      <c r="AB152" s="182"/>
      <c r="AC152" s="182"/>
      <c r="AD152" s="198"/>
      <c r="AE152" s="198"/>
      <c r="AF152" s="182"/>
      <c r="AG152" s="183"/>
      <c r="AH152" s="182"/>
      <c r="AI152" s="97"/>
      <c r="AJ152" s="175">
        <f t="shared" si="7"/>
        <v>0</v>
      </c>
    </row>
    <row r="153" spans="2:36" hidden="1" outlineLevel="1" x14ac:dyDescent="0.25">
      <c r="B153" s="151"/>
      <c r="C153" s="54" t="s">
        <v>77</v>
      </c>
      <c r="D153" s="183"/>
      <c r="E153" s="183"/>
      <c r="F153" s="183"/>
      <c r="G153" s="183"/>
      <c r="H153" s="183"/>
      <c r="I153" s="198"/>
      <c r="J153" s="198"/>
      <c r="K153" s="183"/>
      <c r="L153" s="183"/>
      <c r="M153" s="183"/>
      <c r="N153" s="183"/>
      <c r="O153" s="183"/>
      <c r="P153" s="198"/>
      <c r="Q153" s="198"/>
      <c r="R153" s="183"/>
      <c r="S153" s="183"/>
      <c r="T153" s="183"/>
      <c r="U153" s="183"/>
      <c r="V153" s="183"/>
      <c r="W153" s="198"/>
      <c r="X153" s="198"/>
      <c r="Y153" s="183"/>
      <c r="Z153" s="183"/>
      <c r="AA153" s="183"/>
      <c r="AB153" s="183"/>
      <c r="AC153" s="183"/>
      <c r="AD153" s="198"/>
      <c r="AE153" s="198"/>
      <c r="AF153" s="183"/>
      <c r="AG153" s="183"/>
      <c r="AH153" s="183"/>
      <c r="AI153" s="97"/>
      <c r="AJ153" s="176">
        <f t="shared" si="7"/>
        <v>0</v>
      </c>
    </row>
    <row r="154" spans="2:36" ht="15.75" hidden="1" outlineLevel="1" thickBot="1" x14ac:dyDescent="0.3">
      <c r="B154" s="151"/>
      <c r="C154" s="9" t="s">
        <v>3</v>
      </c>
      <c r="D154" s="183"/>
      <c r="E154" s="184"/>
      <c r="F154" s="184"/>
      <c r="G154" s="184"/>
      <c r="H154" s="184"/>
      <c r="I154" s="199"/>
      <c r="J154" s="199"/>
      <c r="K154" s="243">
        <v>1.25</v>
      </c>
      <c r="L154" s="184"/>
      <c r="M154" s="184"/>
      <c r="N154" s="184"/>
      <c r="O154" s="184"/>
      <c r="P154" s="199"/>
      <c r="Q154" s="199"/>
      <c r="R154" s="184"/>
      <c r="S154" s="184"/>
      <c r="T154" s="184"/>
      <c r="U154" s="184"/>
      <c r="V154" s="184"/>
      <c r="W154" s="199"/>
      <c r="X154" s="199"/>
      <c r="Y154" s="184"/>
      <c r="Z154" s="184"/>
      <c r="AA154" s="184"/>
      <c r="AB154" s="184"/>
      <c r="AC154" s="184"/>
      <c r="AD154" s="199"/>
      <c r="AE154" s="199"/>
      <c r="AF154" s="184"/>
      <c r="AG154" s="183"/>
      <c r="AH154" s="184"/>
      <c r="AI154" s="186"/>
      <c r="AJ154" s="177">
        <f t="shared" si="7"/>
        <v>1.25</v>
      </c>
    </row>
    <row r="155" spans="2:36" ht="16.5" collapsed="1" thickTop="1" thickBot="1" x14ac:dyDescent="0.3">
      <c r="B155" s="149" t="str">
        <f>'Hours Scheduled'!B34</f>
        <v>Leo Wijnands</v>
      </c>
      <c r="C155" t="s">
        <v>0</v>
      </c>
      <c r="D155" s="183"/>
      <c r="E155" s="180"/>
      <c r="F155" s="180"/>
      <c r="G155" s="180"/>
      <c r="H155" s="180"/>
      <c r="I155" s="198"/>
      <c r="J155" s="198"/>
      <c r="K155" s="180"/>
      <c r="L155" s="180"/>
      <c r="M155" s="180"/>
      <c r="N155" s="180"/>
      <c r="O155" s="180"/>
      <c r="P155" s="198"/>
      <c r="Q155" s="198"/>
      <c r="R155" s="180"/>
      <c r="S155" s="180"/>
      <c r="T155" s="180"/>
      <c r="U155" s="180"/>
      <c r="V155" s="180"/>
      <c r="W155" s="198"/>
      <c r="X155" s="198"/>
      <c r="Y155" s="180"/>
      <c r="Z155" s="180"/>
      <c r="AA155" s="180"/>
      <c r="AB155" s="180">
        <v>8</v>
      </c>
      <c r="AC155" s="180"/>
      <c r="AD155" s="198"/>
      <c r="AE155" s="198"/>
      <c r="AF155" s="180"/>
      <c r="AG155" s="183"/>
      <c r="AH155" s="180"/>
      <c r="AI155" s="97"/>
      <c r="AJ155" s="172">
        <f>SUM(D155:AH155)</f>
        <v>8</v>
      </c>
    </row>
    <row r="156" spans="2:36" ht="15.75" hidden="1" outlineLevel="1" thickTop="1" x14ac:dyDescent="0.25">
      <c r="B156" s="150"/>
      <c r="C156" s="1" t="s">
        <v>1</v>
      </c>
      <c r="D156" s="183"/>
      <c r="E156" s="181"/>
      <c r="F156" s="181"/>
      <c r="G156" s="181"/>
      <c r="H156" s="181"/>
      <c r="I156" s="198"/>
      <c r="J156" s="198"/>
      <c r="K156" s="181"/>
      <c r="L156" s="181"/>
      <c r="M156" s="181"/>
      <c r="N156" s="181"/>
      <c r="O156" s="181"/>
      <c r="P156" s="198"/>
      <c r="Q156" s="198"/>
      <c r="R156" s="181"/>
      <c r="S156" s="181"/>
      <c r="T156" s="181"/>
      <c r="U156" s="181"/>
      <c r="V156" s="181"/>
      <c r="W156" s="198"/>
      <c r="X156" s="198"/>
      <c r="Y156" s="181"/>
      <c r="Z156" s="181"/>
      <c r="AA156" s="181"/>
      <c r="AB156" s="181"/>
      <c r="AC156" s="181"/>
      <c r="AD156" s="198"/>
      <c r="AE156" s="198"/>
      <c r="AF156" s="181"/>
      <c r="AG156" s="183"/>
      <c r="AH156" s="181"/>
      <c r="AI156" s="97"/>
      <c r="AJ156" s="174">
        <f t="shared" ref="AJ156:AJ159" si="8">SUM(D156:AH156)</f>
        <v>0</v>
      </c>
    </row>
    <row r="157" spans="2:36" hidden="1" outlineLevel="1" x14ac:dyDescent="0.25">
      <c r="B157" s="151"/>
      <c r="C157" s="1" t="s">
        <v>2</v>
      </c>
      <c r="D157" s="183"/>
      <c r="E157" s="182"/>
      <c r="F157" s="182"/>
      <c r="G157" s="182"/>
      <c r="H157" s="182"/>
      <c r="I157" s="198"/>
      <c r="J157" s="198"/>
      <c r="K157" s="182"/>
      <c r="L157" s="182"/>
      <c r="M157" s="182"/>
      <c r="N157" s="182"/>
      <c r="O157" s="182"/>
      <c r="P157" s="198"/>
      <c r="Q157" s="198"/>
      <c r="R157" s="182"/>
      <c r="S157" s="182"/>
      <c r="T157" s="182"/>
      <c r="U157" s="182"/>
      <c r="V157" s="182"/>
      <c r="W157" s="198"/>
      <c r="X157" s="198"/>
      <c r="Y157" s="182"/>
      <c r="Z157" s="182"/>
      <c r="AA157" s="182"/>
      <c r="AB157" s="182"/>
      <c r="AC157" s="182"/>
      <c r="AD157" s="198"/>
      <c r="AE157" s="198"/>
      <c r="AF157" s="182"/>
      <c r="AG157" s="183"/>
      <c r="AH157" s="182"/>
      <c r="AI157" s="97"/>
      <c r="AJ157" s="175">
        <f t="shared" si="8"/>
        <v>0</v>
      </c>
    </row>
    <row r="158" spans="2:36" hidden="1" outlineLevel="1" x14ac:dyDescent="0.25">
      <c r="B158" s="151"/>
      <c r="C158" s="54" t="s">
        <v>77</v>
      </c>
      <c r="D158" s="183"/>
      <c r="E158" s="183"/>
      <c r="F158" s="183"/>
      <c r="G158" s="183"/>
      <c r="H158" s="183"/>
      <c r="I158" s="198"/>
      <c r="J158" s="198"/>
      <c r="K158" s="183"/>
      <c r="L158" s="183"/>
      <c r="M158" s="183"/>
      <c r="N158" s="183"/>
      <c r="O158" s="183"/>
      <c r="P158" s="198"/>
      <c r="Q158" s="198"/>
      <c r="R158" s="183"/>
      <c r="S158" s="183"/>
      <c r="T158" s="183"/>
      <c r="U158" s="183"/>
      <c r="V158" s="183"/>
      <c r="W158" s="198"/>
      <c r="X158" s="198"/>
      <c r="Y158" s="183"/>
      <c r="Z158" s="183"/>
      <c r="AA158" s="183"/>
      <c r="AB158" s="183"/>
      <c r="AC158" s="183"/>
      <c r="AD158" s="198"/>
      <c r="AE158" s="198"/>
      <c r="AF158" s="183"/>
      <c r="AG158" s="183"/>
      <c r="AH158" s="183"/>
      <c r="AI158" s="97"/>
      <c r="AJ158" s="176">
        <f t="shared" si="8"/>
        <v>0</v>
      </c>
    </row>
    <row r="159" spans="2:36" ht="15.75" hidden="1" outlineLevel="1" thickBot="1" x14ac:dyDescent="0.3">
      <c r="B159" s="151"/>
      <c r="C159" s="9" t="s">
        <v>3</v>
      </c>
      <c r="D159" s="183"/>
      <c r="E159" s="184"/>
      <c r="F159" s="184"/>
      <c r="G159" s="184"/>
      <c r="H159" s="184"/>
      <c r="I159" s="199"/>
      <c r="J159" s="199"/>
      <c r="K159" s="184"/>
      <c r="L159" s="184"/>
      <c r="M159" s="184"/>
      <c r="N159" s="184"/>
      <c r="O159" s="184"/>
      <c r="P159" s="199"/>
      <c r="Q159" s="199"/>
      <c r="R159" s="184"/>
      <c r="S159" s="184"/>
      <c r="T159" s="184"/>
      <c r="U159" s="184"/>
      <c r="V159" s="184"/>
      <c r="W159" s="199"/>
      <c r="X159" s="199"/>
      <c r="Y159" s="184"/>
      <c r="Z159" s="184"/>
      <c r="AA159" s="184"/>
      <c r="AB159" s="184"/>
      <c r="AC159" s="184"/>
      <c r="AD159" s="199"/>
      <c r="AE159" s="199"/>
      <c r="AF159" s="184"/>
      <c r="AG159" s="183"/>
      <c r="AH159" s="184"/>
      <c r="AI159" s="186"/>
      <c r="AJ159" s="177">
        <f t="shared" si="8"/>
        <v>0</v>
      </c>
    </row>
    <row r="160" spans="2:36" ht="16.5" collapsed="1" thickTop="1" thickBot="1" x14ac:dyDescent="0.3">
      <c r="B160" s="149" t="str">
        <f>'Hours Scheduled'!B35</f>
        <v>Danny Ummels</v>
      </c>
      <c r="C160" t="s">
        <v>0</v>
      </c>
      <c r="D160" s="183"/>
      <c r="E160" s="180"/>
      <c r="F160" s="180"/>
      <c r="G160" s="180"/>
      <c r="H160" s="180"/>
      <c r="I160" s="198"/>
      <c r="J160" s="198"/>
      <c r="K160" s="180"/>
      <c r="L160" s="180"/>
      <c r="M160" s="180"/>
      <c r="N160" s="180"/>
      <c r="O160" s="180">
        <v>0.5</v>
      </c>
      <c r="P160" s="198"/>
      <c r="Q160" s="198"/>
      <c r="R160" s="180"/>
      <c r="S160" s="180"/>
      <c r="T160" s="180"/>
      <c r="U160" s="180"/>
      <c r="V160" s="180"/>
      <c r="W160" s="198"/>
      <c r="X160" s="198"/>
      <c r="Y160" s="180">
        <v>0</v>
      </c>
      <c r="Z160" s="180">
        <v>0</v>
      </c>
      <c r="AA160" s="180">
        <v>0</v>
      </c>
      <c r="AB160" s="180">
        <v>0</v>
      </c>
      <c r="AC160" s="180">
        <v>0</v>
      </c>
      <c r="AD160" s="198"/>
      <c r="AE160" s="198"/>
      <c r="AF160" s="180"/>
      <c r="AG160" s="183"/>
      <c r="AH160" s="180"/>
      <c r="AI160" s="97"/>
      <c r="AJ160" s="172">
        <f>SUM(D160:AH160)</f>
        <v>0.5</v>
      </c>
    </row>
    <row r="161" spans="2:36" ht="15.75" hidden="1" outlineLevel="1" thickTop="1" x14ac:dyDescent="0.25">
      <c r="B161" s="150"/>
      <c r="C161" s="1" t="s">
        <v>1</v>
      </c>
      <c r="D161" s="183"/>
      <c r="E161" s="181"/>
      <c r="F161" s="181"/>
      <c r="G161" s="181"/>
      <c r="H161" s="181"/>
      <c r="I161" s="198"/>
      <c r="J161" s="198"/>
      <c r="K161" s="181"/>
      <c r="L161" s="181"/>
      <c r="M161" s="181"/>
      <c r="N161" s="181"/>
      <c r="O161" s="181"/>
      <c r="P161" s="198"/>
      <c r="Q161" s="198"/>
      <c r="R161" s="181"/>
      <c r="S161" s="181"/>
      <c r="T161" s="181"/>
      <c r="U161" s="181"/>
      <c r="V161" s="181"/>
      <c r="W161" s="198"/>
      <c r="X161" s="198"/>
      <c r="Y161" s="181">
        <v>3.25</v>
      </c>
      <c r="Z161" s="181">
        <v>8</v>
      </c>
      <c r="AA161" s="181">
        <v>8</v>
      </c>
      <c r="AB161" s="181">
        <v>8</v>
      </c>
      <c r="AC161" s="181">
        <v>8</v>
      </c>
      <c r="AD161" s="198"/>
      <c r="AE161" s="198"/>
      <c r="AF161" s="181"/>
      <c r="AG161" s="181"/>
      <c r="AH161" s="181"/>
      <c r="AI161" s="97"/>
      <c r="AJ161" s="174">
        <f t="shared" ref="AJ161:AJ164" si="9">SUM(D161:AH161)</f>
        <v>35.25</v>
      </c>
    </row>
    <row r="162" spans="2:36" hidden="1" outlineLevel="1" x14ac:dyDescent="0.25">
      <c r="B162" s="151"/>
      <c r="C162" s="1" t="s">
        <v>2</v>
      </c>
      <c r="D162" s="183"/>
      <c r="E162" s="182"/>
      <c r="F162" s="182"/>
      <c r="G162" s="182"/>
      <c r="H162" s="182"/>
      <c r="I162" s="198"/>
      <c r="J162" s="198"/>
      <c r="K162" s="182"/>
      <c r="L162" s="182"/>
      <c r="M162" s="182"/>
      <c r="N162" s="182"/>
      <c r="O162" s="182"/>
      <c r="P162" s="198"/>
      <c r="Q162" s="198"/>
      <c r="R162" s="182"/>
      <c r="S162" s="182"/>
      <c r="T162" s="182"/>
      <c r="U162" s="182"/>
      <c r="V162" s="182"/>
      <c r="W162" s="198"/>
      <c r="X162" s="198"/>
      <c r="Y162" s="254"/>
      <c r="Z162" s="182"/>
      <c r="AA162" s="182"/>
      <c r="AB162" s="182"/>
      <c r="AC162" s="182"/>
      <c r="AD162" s="198"/>
      <c r="AE162" s="198"/>
      <c r="AF162" s="182"/>
      <c r="AG162" s="182"/>
      <c r="AH162" s="182"/>
      <c r="AI162" s="97"/>
      <c r="AJ162" s="175">
        <f t="shared" si="9"/>
        <v>0</v>
      </c>
    </row>
    <row r="163" spans="2:36" hidden="1" outlineLevel="1" x14ac:dyDescent="0.25">
      <c r="B163" s="151"/>
      <c r="C163" s="54" t="s">
        <v>77</v>
      </c>
      <c r="D163" s="183"/>
      <c r="E163" s="183"/>
      <c r="F163" s="183"/>
      <c r="G163" s="183"/>
      <c r="H163" s="183"/>
      <c r="I163" s="198"/>
      <c r="J163" s="198"/>
      <c r="K163" s="183"/>
      <c r="L163" s="183"/>
      <c r="M163" s="183"/>
      <c r="N163" s="183"/>
      <c r="O163" s="183">
        <v>4</v>
      </c>
      <c r="P163" s="198"/>
      <c r="Q163" s="198"/>
      <c r="R163" s="183"/>
      <c r="S163" s="183"/>
      <c r="T163" s="183"/>
      <c r="U163" s="183"/>
      <c r="V163" s="183"/>
      <c r="W163" s="198"/>
      <c r="X163" s="198"/>
      <c r="Y163" s="183"/>
      <c r="Z163" s="183"/>
      <c r="AA163" s="183"/>
      <c r="AB163" s="183"/>
      <c r="AC163" s="183"/>
      <c r="AD163" s="198"/>
      <c r="AE163" s="198"/>
      <c r="AF163" s="183"/>
      <c r="AG163" s="183"/>
      <c r="AH163" s="183"/>
      <c r="AI163" s="97"/>
      <c r="AJ163" s="176">
        <f t="shared" si="9"/>
        <v>4</v>
      </c>
    </row>
    <row r="164" spans="2:36" ht="15.75" hidden="1" outlineLevel="1" thickBot="1" x14ac:dyDescent="0.3">
      <c r="B164" s="151"/>
      <c r="C164" s="9" t="s">
        <v>3</v>
      </c>
      <c r="D164" s="183"/>
      <c r="E164" s="184"/>
      <c r="F164" s="184"/>
      <c r="G164" s="184"/>
      <c r="H164" s="184"/>
      <c r="I164" s="199"/>
      <c r="J164" s="199"/>
      <c r="K164" s="184"/>
      <c r="L164" s="184"/>
      <c r="M164" s="184"/>
      <c r="N164" s="184"/>
      <c r="O164" s="184"/>
      <c r="P164" s="199"/>
      <c r="Q164" s="199"/>
      <c r="R164" s="184"/>
      <c r="S164" s="184"/>
      <c r="T164" s="184"/>
      <c r="U164" s="184"/>
      <c r="V164" s="184"/>
      <c r="W164" s="199"/>
      <c r="X164" s="199"/>
      <c r="Y164" s="184"/>
      <c r="Z164" s="184"/>
      <c r="AA164" s="184"/>
      <c r="AB164" s="184"/>
      <c r="AC164" s="184"/>
      <c r="AD164" s="199"/>
      <c r="AE164" s="199"/>
      <c r="AF164" s="184"/>
      <c r="AG164" s="184"/>
      <c r="AH164" s="184"/>
      <c r="AI164" s="186"/>
      <c r="AJ164" s="177">
        <f t="shared" si="9"/>
        <v>0</v>
      </c>
    </row>
    <row r="165" spans="2:36" ht="15.75" collapsed="1" thickTop="1" x14ac:dyDescent="0.25">
      <c r="B165"/>
    </row>
    <row r="166" spans="2:36" x14ac:dyDescent="0.25">
      <c r="B166"/>
    </row>
    <row r="167" spans="2:36" x14ac:dyDescent="0.25">
      <c r="B167"/>
    </row>
    <row r="168" spans="2:36" x14ac:dyDescent="0.25">
      <c r="B168"/>
    </row>
    <row r="169" spans="2:36" x14ac:dyDescent="0.25">
      <c r="B169"/>
    </row>
    <row r="170" spans="2:36" x14ac:dyDescent="0.25">
      <c r="B170"/>
    </row>
  </sheetData>
  <autoFilter ref="B4:AJ164"/>
  <customSheetViews>
    <customSheetView guid="{98CBC5BF-8C89-48A4-860E-9C56014CD200}" scale="90" showGridLines="0" showAutoFilter="1" hiddenRows="1" topLeftCell="A2">
      <pane ySplit="2" topLeftCell="A20" activePane="bottomLeft" state="frozenSplit"/>
      <selection pane="bottomLeft" activeCell="F125" sqref="F125"/>
      <pageMargins left="0.7" right="0.7" top="0.75" bottom="0.75" header="0.3" footer="0.3"/>
      <pageSetup paperSize="9" orientation="portrait" horizontalDpi="1200" r:id="rId1"/>
      <autoFilter ref="B4:AJ164"/>
    </customSheetView>
    <customSheetView guid="{1BC25061-32D5-45DE-83F9-EFA3A1092E03}" scale="90" showGridLines="0" showAutoFilter="1" hiddenRows="1" topLeftCell="A2">
      <pane ySplit="3" topLeftCell="A5" activePane="bottomLeft" state="frozenSplit"/>
      <selection pane="bottomLeft" activeCell="AD20" sqref="AD20"/>
      <pageMargins left="0.7" right="0.7" top="0.75" bottom="0.75" header="0.3" footer="0.3"/>
      <pageSetup paperSize="9" orientation="portrait" horizontalDpi="1200" r:id="rId2"/>
      <autoFilter ref="B4:AJ145"/>
    </customSheetView>
    <customSheetView guid="{CF917189-7AB9-4E55-816F-ACFC7FA45C05}" scale="90" showGridLines="0" showAutoFilter="1" hiddenRows="1" topLeftCell="A2">
      <pane ySplit="2" topLeftCell="A5" activePane="bottomLeft" state="frozenSplit"/>
      <selection pane="bottomLeft" activeCell="AD20" sqref="AD20"/>
      <pageMargins left="0.7" right="0.7" top="0.75" bottom="0.75" header="0.3" footer="0.3"/>
      <pageSetup paperSize="9" orientation="portrait" horizontalDpi="1200" r:id="rId3"/>
      <autoFilter ref="B4:AJ145"/>
    </customSheetView>
    <customSheetView guid="{4155806E-C0D0-4CC9-9B31-04245B7DD4C8}" showGridLines="0" showAutoFilter="1" hiddenRows="1" topLeftCell="A2">
      <pane ySplit="7" topLeftCell="A15" activePane="bottomLeft" state="frozenSplit"/>
      <selection pane="bottomLeft" activeCell="M80" sqref="M80"/>
      <pageMargins left="0.7" right="0.7" top="0.75" bottom="0.75" header="0.3" footer="0.3"/>
      <pageSetup paperSize="9" orientation="portrait" horizontalDpi="1200" r:id="rId4"/>
      <autoFilter ref="B4:AJ145"/>
    </customSheetView>
    <customSheetView guid="{1587CBCC-2CC7-4525-8A49-E261AB2E1606}" scale="90" showGridLines="0" showAutoFilter="1" topLeftCell="A2">
      <pane ySplit="2" topLeftCell="A5" activePane="bottomLeft" state="frozenSplit"/>
      <selection pane="bottomLeft" activeCell="AD20" sqref="AD20"/>
      <pageMargins left="0.7" right="0.7" top="0.75" bottom="0.75" header="0.3" footer="0.3"/>
      <pageSetup paperSize="9" orientation="portrait" horizontalDpi="1200" r:id="rId5"/>
      <autoFilter ref="B4:AJ164"/>
    </customSheetView>
    <customSheetView guid="{C5D9000A-81ED-4920-B6AF-4B234775AEC9}" scale="90" showGridLines="0" showAutoFilter="1" hiddenRows="1" topLeftCell="A2">
      <pane ySplit="2" topLeftCell="A5" activePane="bottomLeft" state="frozenSplit"/>
      <selection pane="bottomLeft" activeCell="AD20" sqref="AD20"/>
      <pageMargins left="0.7" right="0.7" top="0.75" bottom="0.75" header="0.3" footer="0.3"/>
      <pageSetup paperSize="9" orientation="portrait" horizontalDpi="1200" r:id="rId6"/>
      <autoFilter ref="B4:AJ164"/>
    </customSheetView>
  </customSheetViews>
  <conditionalFormatting sqref="D3:AG3">
    <cfRule type="expression" dxfId="57" priority="11">
      <formula>WEEKDAY(D3:AH3)=1</formula>
    </cfRule>
    <cfRule type="expression" dxfId="56" priority="12">
      <formula>WEEKDAY(D3:AH3)=7</formula>
    </cfRule>
  </conditionalFormatting>
  <conditionalFormatting sqref="A11:A140">
    <cfRule type="cellIs" dxfId="55" priority="10" operator="equal">
      <formula>"08:00/16:30"</formula>
    </cfRule>
  </conditionalFormatting>
  <conditionalFormatting sqref="A15:A140">
    <cfRule type="cellIs" dxfId="54" priority="9" operator="equal">
      <formula>"09:30/18:00"</formula>
    </cfRule>
  </conditionalFormatting>
  <conditionalFormatting sqref="A5:A10">
    <cfRule type="cellIs" dxfId="53" priority="2" operator="equal">
      <formula>"08:00/16:30"</formula>
    </cfRule>
  </conditionalFormatting>
  <conditionalFormatting sqref="A5:A10">
    <cfRule type="cellIs" dxfId="52" priority="1" operator="equal">
      <formula>"09:30/18:00"</formula>
    </cfRule>
  </conditionalFormatting>
  <dataValidations count="2">
    <dataValidation type="list" allowBlank="1" showInputMessage="1" sqref="A140 A115 A120 A125 A130 A135 A5 A10 A15 A20 A25 A30 A35 A40 A50 A55 A60 A65 A70 A75 A80 A85 A90 A95:A110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" right="0.7" top="0.75" bottom="0.75" header="0.3" footer="0.3"/>
  <pageSetup paperSize="9" orientation="portrait" horizontalDpi="1200" r:id="rId7"/>
  <legacyDrawing r:id="rId8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CCFFCC"/>
  </sheetPr>
  <dimension ref="A1:AJ173"/>
  <sheetViews>
    <sheetView showGridLines="0" topLeftCell="A2" zoomScale="90" zoomScaleNormal="90" workbookViewId="0">
      <pane ySplit="2" topLeftCell="A30" activePane="bottomLeft" state="frozenSplit"/>
      <selection activeCell="A2" sqref="A2"/>
      <selection pane="bottomLeft" activeCell="AG115" sqref="AG115"/>
    </sheetView>
  </sheetViews>
  <sheetFormatPr defaultRowHeight="15" outlineLevelRow="1" x14ac:dyDescent="0.25"/>
  <cols>
    <col min="1" max="1" width="12.42578125" bestFit="1" customWidth="1"/>
    <col min="2" max="2" width="17.42578125" style="152" bestFit="1" customWidth="1"/>
    <col min="3" max="3" width="11.5703125" bestFit="1" customWidth="1"/>
    <col min="4" max="4" width="4.85546875" customWidth="1"/>
    <col min="5" max="16" width="3.42578125" customWidth="1"/>
    <col min="17" max="17" width="4.42578125" customWidth="1"/>
    <col min="18" max="18" width="3.42578125" customWidth="1"/>
    <col min="19" max="19" width="4.5703125" customWidth="1"/>
    <col min="20" max="20" width="4.42578125" customWidth="1"/>
    <col min="21" max="23" width="3.42578125" customWidth="1"/>
    <col min="24" max="24" width="4.42578125" customWidth="1"/>
    <col min="25" max="25" width="3.5703125" customWidth="1"/>
    <col min="26" max="26" width="3.42578125" bestFit="1" customWidth="1"/>
    <col min="27" max="27" width="4" bestFit="1" customWidth="1"/>
    <col min="28" max="29" width="3.42578125" bestFit="1" customWidth="1"/>
    <col min="30" max="30" width="4.42578125" bestFit="1" customWidth="1"/>
    <col min="31" max="31" width="3.42578125" bestFit="1" customWidth="1"/>
    <col min="32" max="32" width="4.42578125" bestFit="1" customWidth="1"/>
    <col min="33" max="34" width="3.42578125" bestFit="1" customWidth="1"/>
    <col min="35" max="35" width="3.7109375" customWidth="1"/>
    <col min="36" max="36" width="5.42578125" bestFit="1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x14ac:dyDescent="0.25">
      <c r="B2" s="153" t="s">
        <v>11</v>
      </c>
    </row>
    <row r="3" spans="1:36" ht="120" customHeight="1" x14ac:dyDescent="0.25">
      <c r="A3" t="s">
        <v>163</v>
      </c>
      <c r="B3" s="152" t="s">
        <v>4</v>
      </c>
      <c r="D3" s="78">
        <f>DATE(Title!$F$12,5,D1)</f>
        <v>41395</v>
      </c>
      <c r="E3" s="78">
        <f>DATE(Title!$F$12,5,E1)</f>
        <v>41396</v>
      </c>
      <c r="F3" s="78">
        <f>DATE(Title!$F$12,5,F1)</f>
        <v>41397</v>
      </c>
      <c r="G3" s="78">
        <f>DATE(Title!$F$12,5,G1)</f>
        <v>41398</v>
      </c>
      <c r="H3" s="78">
        <f>DATE(Title!$F$12,5,H1)</f>
        <v>41399</v>
      </c>
      <c r="I3" s="78">
        <f>DATE(Title!$F$12,5,I1)</f>
        <v>41400</v>
      </c>
      <c r="J3" s="78">
        <f>DATE(Title!$F$12,5,J1)</f>
        <v>41401</v>
      </c>
      <c r="K3" s="78">
        <f>DATE(Title!$F$12,5,K1)</f>
        <v>41402</v>
      </c>
      <c r="L3" s="240">
        <f>DATE(Title!$F$12,5,L1)</f>
        <v>41403</v>
      </c>
      <c r="M3" s="78">
        <f>DATE(Title!$F$12,5,M1)</f>
        <v>41404</v>
      </c>
      <c r="N3" s="78">
        <f>DATE(Title!$F$12,5,N1)</f>
        <v>41405</v>
      </c>
      <c r="O3" s="78">
        <f>DATE(Title!$F$12,5,O1)</f>
        <v>41406</v>
      </c>
      <c r="P3" s="78">
        <f>DATE(Title!$F$12,5,P1)</f>
        <v>41407</v>
      </c>
      <c r="Q3" s="78">
        <f>DATE(Title!$F$12,5,Q1)</f>
        <v>41408</v>
      </c>
      <c r="R3" s="78">
        <f>DATE(Title!$F$12,5,R1)</f>
        <v>41409</v>
      </c>
      <c r="S3" s="78">
        <f>DATE(Title!$F$12,5,S1)</f>
        <v>41410</v>
      </c>
      <c r="T3" s="78">
        <f>DATE(Title!$F$12,5,T1)</f>
        <v>41411</v>
      </c>
      <c r="U3" s="78">
        <f>DATE(Title!$F$12,5,U1)</f>
        <v>41412</v>
      </c>
      <c r="V3" s="78">
        <f>DATE(Title!$F$12,5,V1)</f>
        <v>41413</v>
      </c>
      <c r="W3" s="240">
        <f>DATE(Title!$F$12,5,W1)</f>
        <v>41414</v>
      </c>
      <c r="X3" s="78">
        <f>DATE(Title!$F$12,5,X1)</f>
        <v>41415</v>
      </c>
      <c r="Y3" s="78">
        <f>DATE(Title!$F$12,5,Y1)</f>
        <v>41416</v>
      </c>
      <c r="Z3" s="78">
        <f>DATE(Title!$F$12,5,Z1)</f>
        <v>41417</v>
      </c>
      <c r="AA3" s="78">
        <f>DATE(Title!$F$12,5,AA1)</f>
        <v>41418</v>
      </c>
      <c r="AB3" s="78">
        <f>DATE(Title!$F$12,5,AB1)</f>
        <v>41419</v>
      </c>
      <c r="AC3" s="78">
        <f>DATE(Title!$F$12,5,AC1)</f>
        <v>41420</v>
      </c>
      <c r="AD3" s="78">
        <f>DATE(Title!$F$12,5,AD1)</f>
        <v>41421</v>
      </c>
      <c r="AE3" s="78">
        <f>DATE(Title!$F$12,5,AE1)</f>
        <v>41422</v>
      </c>
      <c r="AF3" s="78">
        <f>DATE(Title!$F$12,5,AF1)</f>
        <v>41423</v>
      </c>
      <c r="AG3" s="78">
        <f>DATE(Title!$F$12,5,AG1)</f>
        <v>41424</v>
      </c>
      <c r="AH3" s="78">
        <f>DATE(Title!$F$12,5,AH1)</f>
        <v>41425</v>
      </c>
      <c r="AJ3" s="6" t="s">
        <v>5</v>
      </c>
    </row>
    <row r="4" spans="1:36" s="148" customFormat="1" x14ac:dyDescent="0.25">
      <c r="B4" s="152"/>
      <c r="F4" s="148">
        <v>32</v>
      </c>
      <c r="G4" s="148">
        <v>32</v>
      </c>
      <c r="I4" s="148">
        <v>32</v>
      </c>
      <c r="L4" s="258"/>
      <c r="AG4" s="258"/>
    </row>
    <row r="5" spans="1:36" ht="15.75" customHeight="1" thickBot="1" x14ac:dyDescent="0.3">
      <c r="B5" s="149" t="str">
        <f>'Hours Scheduled'!B4</f>
        <v>Barry Berendhuysen</v>
      </c>
      <c r="C5" t="s">
        <v>0</v>
      </c>
      <c r="D5" s="2"/>
      <c r="E5" s="2"/>
      <c r="F5" s="2"/>
      <c r="G5" s="200"/>
      <c r="H5" s="200"/>
      <c r="I5" s="2">
        <v>0</v>
      </c>
      <c r="J5" s="2"/>
      <c r="K5" s="2"/>
      <c r="L5" s="183"/>
      <c r="M5" s="2">
        <v>0</v>
      </c>
      <c r="N5" s="200"/>
      <c r="O5" s="200"/>
      <c r="P5" s="2"/>
      <c r="Q5" s="2"/>
      <c r="R5" s="2"/>
      <c r="S5" s="2"/>
      <c r="T5" s="2"/>
      <c r="U5" s="200"/>
      <c r="V5" s="200"/>
      <c r="W5" s="183"/>
      <c r="X5" s="2">
        <v>8</v>
      </c>
      <c r="Y5" s="2">
        <v>8</v>
      </c>
      <c r="Z5" s="2">
        <v>4</v>
      </c>
      <c r="AA5" s="2"/>
      <c r="AB5" s="200"/>
      <c r="AC5" s="200"/>
      <c r="AD5" s="2">
        <v>0</v>
      </c>
      <c r="AE5" s="2"/>
      <c r="AF5" s="2"/>
      <c r="AG5" s="2"/>
      <c r="AH5" s="2"/>
      <c r="AJ5" s="64">
        <f t="shared" ref="AJ5:AJ36" si="0">SUM(D5:AH5)</f>
        <v>20</v>
      </c>
    </row>
    <row r="6" spans="1:36" ht="15.75" hidden="1" customHeight="1" outlineLevel="1" thickTop="1" x14ac:dyDescent="0.25">
      <c r="B6" s="150"/>
      <c r="C6" s="1" t="s">
        <v>1</v>
      </c>
      <c r="D6" s="3"/>
      <c r="E6" s="3"/>
      <c r="F6" s="3"/>
      <c r="G6" s="200"/>
      <c r="H6" s="200"/>
      <c r="I6" s="3"/>
      <c r="J6" s="3"/>
      <c r="K6" s="3"/>
      <c r="L6" s="183"/>
      <c r="M6" s="3"/>
      <c r="N6" s="200"/>
      <c r="O6" s="200"/>
      <c r="P6" s="3"/>
      <c r="Q6" s="3"/>
      <c r="R6" s="3"/>
      <c r="S6" s="3"/>
      <c r="T6" s="3"/>
      <c r="U6" s="200"/>
      <c r="V6" s="200"/>
      <c r="W6" s="183"/>
      <c r="X6" s="3"/>
      <c r="Y6" s="3"/>
      <c r="Z6" s="3"/>
      <c r="AA6" s="3"/>
      <c r="AB6" s="200"/>
      <c r="AC6" s="200"/>
      <c r="AD6" s="3"/>
      <c r="AE6" s="3"/>
      <c r="AF6" s="3"/>
      <c r="AG6" s="3"/>
      <c r="AH6" s="3"/>
      <c r="AJ6" s="70">
        <f t="shared" si="0"/>
        <v>0</v>
      </c>
    </row>
    <row r="7" spans="1:36" ht="15" hidden="1" customHeight="1" outlineLevel="1" x14ac:dyDescent="0.25">
      <c r="B7" s="151"/>
      <c r="C7" s="1" t="s">
        <v>2</v>
      </c>
      <c r="D7" s="4"/>
      <c r="E7" s="4"/>
      <c r="F7" s="4"/>
      <c r="G7" s="200"/>
      <c r="H7" s="200"/>
      <c r="I7" s="4"/>
      <c r="J7" s="4"/>
      <c r="K7" s="4"/>
      <c r="L7" s="183"/>
      <c r="M7" s="4"/>
      <c r="N7" s="200"/>
      <c r="O7" s="200"/>
      <c r="P7" s="4"/>
      <c r="Q7" s="4"/>
      <c r="R7" s="4"/>
      <c r="S7" s="4"/>
      <c r="T7" s="4"/>
      <c r="U7" s="200"/>
      <c r="V7" s="200"/>
      <c r="W7" s="183"/>
      <c r="X7" s="4"/>
      <c r="Y7" s="4"/>
      <c r="Z7" s="4"/>
      <c r="AA7" s="4"/>
      <c r="AB7" s="200"/>
      <c r="AC7" s="200"/>
      <c r="AD7" s="4"/>
      <c r="AE7" s="4"/>
      <c r="AF7" s="4"/>
      <c r="AG7" s="4"/>
      <c r="AH7" s="4"/>
      <c r="AJ7" s="71">
        <f t="shared" si="0"/>
        <v>0</v>
      </c>
    </row>
    <row r="8" spans="1:36" ht="15" hidden="1" customHeight="1" outlineLevel="1" x14ac:dyDescent="0.25">
      <c r="B8" s="151"/>
      <c r="C8" s="54" t="s">
        <v>77</v>
      </c>
      <c r="D8" s="5"/>
      <c r="E8" s="5"/>
      <c r="F8" s="5"/>
      <c r="G8" s="200"/>
      <c r="H8" s="200"/>
      <c r="I8" s="5"/>
      <c r="J8" s="5"/>
      <c r="K8" s="5"/>
      <c r="L8" s="183"/>
      <c r="M8" s="5"/>
      <c r="N8" s="200"/>
      <c r="O8" s="200"/>
      <c r="P8" s="5"/>
      <c r="Q8" s="5"/>
      <c r="R8" s="5"/>
      <c r="S8" s="5"/>
      <c r="T8" s="5"/>
      <c r="U8" s="200"/>
      <c r="V8" s="200"/>
      <c r="W8" s="183"/>
      <c r="X8" s="5"/>
      <c r="Y8" s="5"/>
      <c r="Z8" s="5"/>
      <c r="AA8" s="5"/>
      <c r="AB8" s="200"/>
      <c r="AC8" s="200"/>
      <c r="AD8" s="5"/>
      <c r="AE8" s="5"/>
      <c r="AF8" s="5"/>
      <c r="AG8" s="5"/>
      <c r="AH8" s="5"/>
      <c r="AJ8" s="72">
        <f t="shared" si="0"/>
        <v>0</v>
      </c>
    </row>
    <row r="9" spans="1:36" ht="15.75" hidden="1" customHeight="1" outlineLevel="1" thickBot="1" x14ac:dyDescent="0.3">
      <c r="B9" s="151"/>
      <c r="C9" s="9" t="s">
        <v>3</v>
      </c>
      <c r="D9" s="8"/>
      <c r="E9" s="8"/>
      <c r="F9" s="8"/>
      <c r="G9" s="201"/>
      <c r="H9" s="201"/>
      <c r="I9" s="8"/>
      <c r="J9" s="8"/>
      <c r="K9" s="8"/>
      <c r="L9" s="183"/>
      <c r="M9" s="8"/>
      <c r="N9" s="201"/>
      <c r="O9" s="201"/>
      <c r="P9" s="8"/>
      <c r="Q9" s="8"/>
      <c r="R9" s="8"/>
      <c r="S9" s="8"/>
      <c r="T9" s="8"/>
      <c r="U9" s="201"/>
      <c r="V9" s="201"/>
      <c r="W9" s="183"/>
      <c r="X9" s="8"/>
      <c r="Y9" s="8"/>
      <c r="Z9" s="8"/>
      <c r="AA9" s="8"/>
      <c r="AB9" s="201"/>
      <c r="AC9" s="201"/>
      <c r="AD9" s="8"/>
      <c r="AE9" s="8"/>
      <c r="AF9" s="8"/>
      <c r="AG9" s="8"/>
      <c r="AH9" s="8"/>
      <c r="AI9" s="7"/>
      <c r="AJ9" s="69">
        <f t="shared" si="0"/>
        <v>0</v>
      </c>
    </row>
    <row r="10" spans="1:36" ht="16.5" hidden="1" collapsed="1" thickTop="1" thickBot="1" x14ac:dyDescent="0.3">
      <c r="B10" s="149" t="str">
        <f>'Hours Scheduled'!B5</f>
        <v>Bas Boermans</v>
      </c>
      <c r="C10" t="s">
        <v>0</v>
      </c>
      <c r="D10" s="2">
        <v>8</v>
      </c>
      <c r="E10" s="2">
        <v>8</v>
      </c>
      <c r="F10" s="200"/>
      <c r="G10" s="200"/>
      <c r="H10" s="200"/>
      <c r="I10" s="200"/>
      <c r="J10" s="200"/>
      <c r="K10" s="200"/>
      <c r="L10" s="198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198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J10" s="64">
        <f t="shared" si="0"/>
        <v>16</v>
      </c>
    </row>
    <row r="11" spans="1:36" ht="15.75" hidden="1" outlineLevel="1" thickTop="1" x14ac:dyDescent="0.25">
      <c r="B11" s="150"/>
      <c r="C11" s="1" t="s">
        <v>1</v>
      </c>
      <c r="D11" s="3"/>
      <c r="E11" s="3"/>
      <c r="F11" s="3"/>
      <c r="G11" s="200"/>
      <c r="H11" s="200"/>
      <c r="I11" s="3"/>
      <c r="J11" s="3"/>
      <c r="K11" s="3"/>
      <c r="L11" s="183"/>
      <c r="M11" s="3"/>
      <c r="N11" s="200"/>
      <c r="O11" s="200"/>
      <c r="P11" s="3"/>
      <c r="Q11" s="3"/>
      <c r="R11" s="3"/>
      <c r="S11" s="3"/>
      <c r="T11" s="3"/>
      <c r="U11" s="200"/>
      <c r="V11" s="200"/>
      <c r="W11" s="183"/>
      <c r="X11" s="3"/>
      <c r="Y11" s="3"/>
      <c r="Z11" s="3"/>
      <c r="AA11" s="3"/>
      <c r="AB11" s="200"/>
      <c r="AC11" s="200"/>
      <c r="AD11" s="3"/>
      <c r="AE11" s="3"/>
      <c r="AF11" s="3"/>
      <c r="AG11" s="3"/>
      <c r="AH11" s="3"/>
      <c r="AJ11" s="70">
        <f t="shared" si="0"/>
        <v>0</v>
      </c>
    </row>
    <row r="12" spans="1:36" hidden="1" outlineLevel="1" x14ac:dyDescent="0.25">
      <c r="B12" s="151"/>
      <c r="C12" s="1" t="s">
        <v>2</v>
      </c>
      <c r="D12" s="4"/>
      <c r="E12" s="4"/>
      <c r="F12" s="4"/>
      <c r="G12" s="200"/>
      <c r="H12" s="200"/>
      <c r="I12" s="4"/>
      <c r="J12" s="4"/>
      <c r="K12" s="4"/>
      <c r="L12" s="183"/>
      <c r="M12" s="4"/>
      <c r="N12" s="200"/>
      <c r="O12" s="200"/>
      <c r="P12" s="4"/>
      <c r="Q12" s="4"/>
      <c r="R12" s="4"/>
      <c r="S12" s="4"/>
      <c r="T12" s="4"/>
      <c r="U12" s="200"/>
      <c r="V12" s="200"/>
      <c r="W12" s="183"/>
      <c r="X12" s="4"/>
      <c r="Y12" s="4"/>
      <c r="Z12" s="4"/>
      <c r="AA12" s="4"/>
      <c r="AB12" s="200"/>
      <c r="AC12" s="200"/>
      <c r="AD12" s="4"/>
      <c r="AE12" s="4"/>
      <c r="AF12" s="4"/>
      <c r="AG12" s="4"/>
      <c r="AH12" s="4"/>
      <c r="AJ12" s="71">
        <f t="shared" si="0"/>
        <v>0</v>
      </c>
    </row>
    <row r="13" spans="1:36" hidden="1" outlineLevel="1" x14ac:dyDescent="0.25">
      <c r="B13" s="151"/>
      <c r="C13" s="54" t="s">
        <v>77</v>
      </c>
      <c r="D13" s="5"/>
      <c r="E13" s="5"/>
      <c r="F13" s="5"/>
      <c r="G13" s="200"/>
      <c r="H13" s="200"/>
      <c r="I13" s="5"/>
      <c r="J13" s="5"/>
      <c r="K13" s="5"/>
      <c r="L13" s="183"/>
      <c r="M13" s="5"/>
      <c r="N13" s="200"/>
      <c r="O13" s="200"/>
      <c r="P13" s="5"/>
      <c r="Q13" s="5"/>
      <c r="R13" s="5"/>
      <c r="S13" s="5"/>
      <c r="T13" s="5"/>
      <c r="U13" s="200"/>
      <c r="V13" s="200"/>
      <c r="W13" s="183"/>
      <c r="X13" s="5"/>
      <c r="Y13" s="5"/>
      <c r="Z13" s="5"/>
      <c r="AA13" s="5"/>
      <c r="AB13" s="200"/>
      <c r="AC13" s="200"/>
      <c r="AD13" s="5"/>
      <c r="AE13" s="5"/>
      <c r="AF13" s="5"/>
      <c r="AG13" s="5"/>
      <c r="AH13" s="5"/>
      <c r="AJ13" s="72">
        <f t="shared" si="0"/>
        <v>0</v>
      </c>
    </row>
    <row r="14" spans="1:36" ht="15.75" hidden="1" outlineLevel="1" thickBot="1" x14ac:dyDescent="0.3">
      <c r="B14" s="151"/>
      <c r="C14" s="9" t="s">
        <v>3</v>
      </c>
      <c r="D14" s="8"/>
      <c r="E14" s="8"/>
      <c r="F14" s="8"/>
      <c r="G14" s="201"/>
      <c r="H14" s="201"/>
      <c r="I14" s="8"/>
      <c r="J14" s="8"/>
      <c r="K14" s="8"/>
      <c r="L14" s="183"/>
      <c r="M14" s="8"/>
      <c r="N14" s="201"/>
      <c r="O14" s="201"/>
      <c r="P14" s="8"/>
      <c r="Q14" s="8"/>
      <c r="R14" s="8"/>
      <c r="S14" s="8"/>
      <c r="T14" s="8"/>
      <c r="U14" s="201"/>
      <c r="V14" s="201"/>
      <c r="W14" s="183"/>
      <c r="X14" s="8"/>
      <c r="Y14" s="8"/>
      <c r="Z14" s="8"/>
      <c r="AA14" s="8"/>
      <c r="AB14" s="201"/>
      <c r="AC14" s="201"/>
      <c r="AD14" s="8"/>
      <c r="AE14" s="8"/>
      <c r="AF14" s="8"/>
      <c r="AG14" s="8"/>
      <c r="AH14" s="8"/>
      <c r="AI14" s="7"/>
      <c r="AJ14" s="69">
        <f t="shared" si="0"/>
        <v>0</v>
      </c>
    </row>
    <row r="15" spans="1:36" ht="16.5" hidden="1" collapsed="1" thickTop="1" thickBot="1" x14ac:dyDescent="0.3">
      <c r="B15" s="253" t="str">
        <f>'Hours Scheduled'!B6</f>
        <v>Bastiaan Franssen</v>
      </c>
      <c r="C15" t="s">
        <v>0</v>
      </c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J15" s="64">
        <f t="shared" si="0"/>
        <v>0</v>
      </c>
    </row>
    <row r="16" spans="1:36" ht="15.75" hidden="1" outlineLevel="1" thickTop="1" x14ac:dyDescent="0.25">
      <c r="B16" s="150"/>
      <c r="C16" s="1" t="s">
        <v>1</v>
      </c>
      <c r="D16" s="3"/>
      <c r="E16" s="3"/>
      <c r="F16" s="3"/>
      <c r="G16" s="200"/>
      <c r="H16" s="200"/>
      <c r="I16" s="3"/>
      <c r="J16" s="3"/>
      <c r="K16" s="3"/>
      <c r="L16" s="183"/>
      <c r="M16" s="3"/>
      <c r="N16" s="200"/>
      <c r="O16" s="200"/>
      <c r="P16" s="3"/>
      <c r="Q16" s="3"/>
      <c r="R16" s="3"/>
      <c r="S16" s="3"/>
      <c r="T16" s="3"/>
      <c r="U16" s="200"/>
      <c r="V16" s="200"/>
      <c r="W16" s="183"/>
      <c r="X16" s="3"/>
      <c r="Y16" s="3"/>
      <c r="Z16" s="3"/>
      <c r="AA16" s="3"/>
      <c r="AB16" s="200"/>
      <c r="AC16" s="200"/>
      <c r="AD16" s="3"/>
      <c r="AE16" s="3"/>
      <c r="AF16" s="3"/>
      <c r="AG16" s="3"/>
      <c r="AH16" s="3"/>
      <c r="AJ16" s="70">
        <f t="shared" si="0"/>
        <v>0</v>
      </c>
    </row>
    <row r="17" spans="2:36" hidden="1" outlineLevel="1" x14ac:dyDescent="0.25">
      <c r="B17" s="151"/>
      <c r="C17" s="1" t="s">
        <v>2</v>
      </c>
      <c r="D17" s="4"/>
      <c r="E17" s="4"/>
      <c r="F17" s="4"/>
      <c r="G17" s="200"/>
      <c r="H17" s="200"/>
      <c r="I17" s="4"/>
      <c r="J17" s="4"/>
      <c r="K17" s="4"/>
      <c r="L17" s="183"/>
      <c r="M17" s="4"/>
      <c r="N17" s="200"/>
      <c r="O17" s="200"/>
      <c r="P17" s="4"/>
      <c r="Q17" s="4"/>
      <c r="R17" s="4"/>
      <c r="S17" s="4"/>
      <c r="T17" s="4"/>
      <c r="U17" s="200"/>
      <c r="V17" s="200"/>
      <c r="W17" s="183"/>
      <c r="X17" s="4"/>
      <c r="Y17" s="4"/>
      <c r="Z17" s="4"/>
      <c r="AA17" s="4"/>
      <c r="AB17" s="200"/>
      <c r="AC17" s="200"/>
      <c r="AD17" s="4"/>
      <c r="AE17" s="4"/>
      <c r="AF17" s="4"/>
      <c r="AG17" s="4"/>
      <c r="AH17" s="4"/>
      <c r="AJ17" s="71">
        <f t="shared" si="0"/>
        <v>0</v>
      </c>
    </row>
    <row r="18" spans="2:36" hidden="1" outlineLevel="1" x14ac:dyDescent="0.25">
      <c r="B18" s="151"/>
      <c r="C18" s="54" t="s">
        <v>77</v>
      </c>
      <c r="D18" s="5"/>
      <c r="E18" s="5"/>
      <c r="F18" s="5"/>
      <c r="G18" s="200"/>
      <c r="H18" s="200"/>
      <c r="I18" s="5"/>
      <c r="J18" s="5"/>
      <c r="K18" s="5"/>
      <c r="L18" s="183"/>
      <c r="M18" s="5"/>
      <c r="N18" s="200"/>
      <c r="O18" s="200"/>
      <c r="P18" s="5"/>
      <c r="Q18" s="5"/>
      <c r="R18" s="5"/>
      <c r="S18" s="5"/>
      <c r="T18" s="5"/>
      <c r="U18" s="200"/>
      <c r="V18" s="200"/>
      <c r="W18" s="183"/>
      <c r="X18" s="5"/>
      <c r="Y18" s="5"/>
      <c r="Z18" s="5"/>
      <c r="AA18" s="5"/>
      <c r="AB18" s="200"/>
      <c r="AC18" s="200"/>
      <c r="AD18" s="5"/>
      <c r="AE18" s="5"/>
      <c r="AF18" s="5"/>
      <c r="AG18" s="5"/>
      <c r="AH18" s="5"/>
      <c r="AJ18" s="72">
        <f t="shared" si="0"/>
        <v>0</v>
      </c>
    </row>
    <row r="19" spans="2:36" ht="15.75" hidden="1" outlineLevel="1" thickBot="1" x14ac:dyDescent="0.3">
      <c r="B19" s="151"/>
      <c r="C19" s="9" t="s">
        <v>3</v>
      </c>
      <c r="D19" s="8"/>
      <c r="E19" s="8"/>
      <c r="F19" s="8"/>
      <c r="G19" s="201"/>
      <c r="H19" s="201"/>
      <c r="I19" s="8"/>
      <c r="J19" s="8"/>
      <c r="K19" s="8"/>
      <c r="L19" s="183"/>
      <c r="M19" s="8"/>
      <c r="N19" s="201"/>
      <c r="O19" s="201"/>
      <c r="P19" s="8"/>
      <c r="Q19" s="8"/>
      <c r="R19" s="8"/>
      <c r="S19" s="8"/>
      <c r="T19" s="8"/>
      <c r="U19" s="201"/>
      <c r="V19" s="201"/>
      <c r="W19" s="183"/>
      <c r="X19" s="8"/>
      <c r="Y19" s="8"/>
      <c r="Z19" s="8"/>
      <c r="AA19" s="8"/>
      <c r="AB19" s="201"/>
      <c r="AC19" s="201"/>
      <c r="AD19" s="8"/>
      <c r="AE19" s="8"/>
      <c r="AF19" s="8"/>
      <c r="AG19" s="8"/>
      <c r="AH19" s="8"/>
      <c r="AI19" s="7"/>
      <c r="AJ19" s="69">
        <f t="shared" si="0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2"/>
      <c r="E20" s="2"/>
      <c r="F20" s="2"/>
      <c r="G20" s="200"/>
      <c r="H20" s="200"/>
      <c r="I20" s="2"/>
      <c r="J20" s="2"/>
      <c r="K20" s="2"/>
      <c r="L20" s="183"/>
      <c r="M20" s="2"/>
      <c r="N20" s="200"/>
      <c r="O20" s="200"/>
      <c r="P20" s="2"/>
      <c r="Q20" s="2"/>
      <c r="R20" s="2"/>
      <c r="S20" s="2"/>
      <c r="T20" s="2">
        <v>8</v>
      </c>
      <c r="U20" s="200"/>
      <c r="V20" s="200"/>
      <c r="W20" s="183"/>
      <c r="X20" s="2">
        <v>8</v>
      </c>
      <c r="Y20" s="2"/>
      <c r="Z20" s="2"/>
      <c r="AA20" s="2"/>
      <c r="AB20" s="200"/>
      <c r="AC20" s="200"/>
      <c r="AD20" s="2"/>
      <c r="AE20" s="2"/>
      <c r="AF20" s="2"/>
      <c r="AG20" s="2"/>
      <c r="AH20" s="2"/>
      <c r="AJ20" s="64">
        <f t="shared" si="0"/>
        <v>16</v>
      </c>
    </row>
    <row r="21" spans="2:36" ht="15.75" hidden="1" outlineLevel="1" thickTop="1" x14ac:dyDescent="0.25">
      <c r="B21" s="150"/>
      <c r="C21" s="1" t="s">
        <v>1</v>
      </c>
      <c r="D21" s="3"/>
      <c r="E21" s="3"/>
      <c r="F21" s="3"/>
      <c r="G21" s="200"/>
      <c r="H21" s="200"/>
      <c r="I21" s="3"/>
      <c r="J21" s="3"/>
      <c r="K21" s="3"/>
      <c r="L21" s="183"/>
      <c r="M21" s="3"/>
      <c r="N21" s="200"/>
      <c r="O21" s="200"/>
      <c r="P21" s="3"/>
      <c r="Q21" s="3"/>
      <c r="R21" s="3"/>
      <c r="S21" s="3"/>
      <c r="T21" s="3"/>
      <c r="U21" s="200"/>
      <c r="V21" s="200"/>
      <c r="W21" s="183"/>
      <c r="X21" s="3"/>
      <c r="Y21" s="3"/>
      <c r="Z21" s="3"/>
      <c r="AA21" s="3"/>
      <c r="AB21" s="200"/>
      <c r="AC21" s="200"/>
      <c r="AD21" s="3"/>
      <c r="AE21" s="3"/>
      <c r="AF21" s="3"/>
      <c r="AG21" s="3"/>
      <c r="AH21" s="3"/>
      <c r="AJ21" s="70">
        <f t="shared" si="0"/>
        <v>0</v>
      </c>
    </row>
    <row r="22" spans="2:36" hidden="1" outlineLevel="1" x14ac:dyDescent="0.25">
      <c r="B22" s="151"/>
      <c r="C22" s="1" t="s">
        <v>2</v>
      </c>
      <c r="D22" s="4"/>
      <c r="E22" s="4"/>
      <c r="F22" s="4"/>
      <c r="G22" s="200"/>
      <c r="H22" s="200"/>
      <c r="I22" s="4"/>
      <c r="J22" s="4"/>
      <c r="K22" s="4"/>
      <c r="L22" s="183"/>
      <c r="M22" s="4"/>
      <c r="N22" s="200"/>
      <c r="O22" s="200"/>
      <c r="P22" s="4"/>
      <c r="Q22" s="4"/>
      <c r="R22" s="4"/>
      <c r="S22" s="4"/>
      <c r="T22" s="4"/>
      <c r="U22" s="200"/>
      <c r="V22" s="200"/>
      <c r="W22" s="183"/>
      <c r="X22" s="4"/>
      <c r="Y22" s="4"/>
      <c r="Z22" s="4"/>
      <c r="AA22" s="4"/>
      <c r="AB22" s="200"/>
      <c r="AC22" s="200"/>
      <c r="AD22" s="4"/>
      <c r="AE22" s="4"/>
      <c r="AF22" s="4"/>
      <c r="AG22" s="4"/>
      <c r="AH22" s="4"/>
      <c r="AJ22" s="71">
        <f t="shared" si="0"/>
        <v>0</v>
      </c>
    </row>
    <row r="23" spans="2:36" hidden="1" outlineLevel="1" x14ac:dyDescent="0.25">
      <c r="B23" s="151"/>
      <c r="C23" s="54" t="s">
        <v>77</v>
      </c>
      <c r="D23" s="5"/>
      <c r="E23" s="5"/>
      <c r="F23" s="5"/>
      <c r="G23" s="200"/>
      <c r="H23" s="200"/>
      <c r="I23" s="5"/>
      <c r="J23" s="5"/>
      <c r="K23" s="5"/>
      <c r="L23" s="183"/>
      <c r="M23" s="5"/>
      <c r="N23" s="200"/>
      <c r="O23" s="200"/>
      <c r="P23" s="5"/>
      <c r="Q23" s="5"/>
      <c r="R23" s="5"/>
      <c r="S23" s="5"/>
      <c r="T23" s="5"/>
      <c r="U23" s="200"/>
      <c r="V23" s="200"/>
      <c r="W23" s="183"/>
      <c r="X23" s="5"/>
      <c r="Y23" s="5"/>
      <c r="Z23" s="5"/>
      <c r="AA23" s="5"/>
      <c r="AB23" s="200"/>
      <c r="AC23" s="200"/>
      <c r="AD23" s="5"/>
      <c r="AE23" s="5"/>
      <c r="AF23" s="5"/>
      <c r="AG23" s="5"/>
      <c r="AH23" s="5"/>
      <c r="AJ23" s="72">
        <f t="shared" si="0"/>
        <v>0</v>
      </c>
    </row>
    <row r="24" spans="2:36" ht="15.75" hidden="1" outlineLevel="1" thickBot="1" x14ac:dyDescent="0.3">
      <c r="B24" s="151"/>
      <c r="C24" s="9" t="s">
        <v>3</v>
      </c>
      <c r="D24" s="8"/>
      <c r="E24" s="8"/>
      <c r="F24" s="8"/>
      <c r="G24" s="201"/>
      <c r="H24" s="201"/>
      <c r="I24" s="8"/>
      <c r="J24" s="8"/>
      <c r="K24" s="8"/>
      <c r="L24" s="183"/>
      <c r="M24" s="8"/>
      <c r="N24" s="201"/>
      <c r="O24" s="201"/>
      <c r="P24" s="8"/>
      <c r="Q24" s="8"/>
      <c r="R24" s="8"/>
      <c r="S24" s="8"/>
      <c r="T24" s="8"/>
      <c r="U24" s="201"/>
      <c r="V24" s="201"/>
      <c r="W24" s="183"/>
      <c r="X24" s="8"/>
      <c r="Y24" s="8"/>
      <c r="Z24" s="8"/>
      <c r="AA24" s="8"/>
      <c r="AB24" s="201"/>
      <c r="AC24" s="201"/>
      <c r="AD24" s="8"/>
      <c r="AE24" s="8"/>
      <c r="AF24" s="8"/>
      <c r="AG24" s="8"/>
      <c r="AH24" s="8"/>
      <c r="AI24" s="7"/>
      <c r="AJ24" s="69">
        <f t="shared" si="0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2"/>
      <c r="E25" s="2"/>
      <c r="F25" s="2"/>
      <c r="G25" s="200"/>
      <c r="H25" s="200"/>
      <c r="I25" s="2"/>
      <c r="J25" s="2">
        <v>2</v>
      </c>
      <c r="K25" s="2">
        <v>4</v>
      </c>
      <c r="L25" s="183"/>
      <c r="M25" s="2"/>
      <c r="N25" s="200"/>
      <c r="O25" s="200"/>
      <c r="P25" s="2"/>
      <c r="Q25" s="2"/>
      <c r="R25" s="2">
        <v>4</v>
      </c>
      <c r="S25" s="2"/>
      <c r="T25" s="2">
        <v>4</v>
      </c>
      <c r="U25" s="200"/>
      <c r="V25" s="200"/>
      <c r="W25" s="183"/>
      <c r="X25" s="2"/>
      <c r="Y25" s="2"/>
      <c r="Z25" s="2"/>
      <c r="AA25" s="2"/>
      <c r="AB25" s="200"/>
      <c r="AC25" s="200"/>
      <c r="AD25" s="2"/>
      <c r="AE25" s="2"/>
      <c r="AF25" s="2"/>
      <c r="AG25" s="2"/>
      <c r="AH25" s="2">
        <v>0</v>
      </c>
      <c r="AJ25" s="64">
        <f t="shared" si="0"/>
        <v>14</v>
      </c>
    </row>
    <row r="26" spans="2:36" ht="15.75" hidden="1" outlineLevel="1" thickTop="1" x14ac:dyDescent="0.25">
      <c r="B26" s="150"/>
      <c r="C26" s="1" t="s">
        <v>1</v>
      </c>
      <c r="D26" s="3"/>
      <c r="E26" s="3"/>
      <c r="F26" s="3"/>
      <c r="G26" s="200"/>
      <c r="H26" s="200"/>
      <c r="I26" s="3"/>
      <c r="J26" s="3"/>
      <c r="K26" s="3"/>
      <c r="L26" s="183"/>
      <c r="M26" s="3"/>
      <c r="N26" s="200"/>
      <c r="O26" s="200"/>
      <c r="P26" s="3"/>
      <c r="Q26" s="3"/>
      <c r="R26" s="3"/>
      <c r="S26" s="3"/>
      <c r="T26" s="3"/>
      <c r="U26" s="200"/>
      <c r="V26" s="200"/>
      <c r="W26" s="183"/>
      <c r="X26" s="3"/>
      <c r="Y26" s="3"/>
      <c r="Z26" s="3"/>
      <c r="AA26" s="3"/>
      <c r="AB26" s="200"/>
      <c r="AC26" s="200"/>
      <c r="AD26" s="3"/>
      <c r="AE26" s="3"/>
      <c r="AF26" s="3"/>
      <c r="AG26" s="3"/>
      <c r="AH26" s="3"/>
      <c r="AJ26" s="70">
        <f t="shared" si="0"/>
        <v>0</v>
      </c>
    </row>
    <row r="27" spans="2:36" hidden="1" outlineLevel="1" x14ac:dyDescent="0.25">
      <c r="B27" s="151"/>
      <c r="C27" s="1" t="s">
        <v>2</v>
      </c>
      <c r="D27" s="4"/>
      <c r="E27" s="4"/>
      <c r="F27" s="4"/>
      <c r="G27" s="200"/>
      <c r="H27" s="200"/>
      <c r="I27" s="4"/>
      <c r="J27" s="4"/>
      <c r="K27" s="4"/>
      <c r="L27" s="183"/>
      <c r="M27" s="4"/>
      <c r="N27" s="200"/>
      <c r="O27" s="200"/>
      <c r="P27" s="4"/>
      <c r="Q27" s="4"/>
      <c r="R27" s="4"/>
      <c r="S27" s="4"/>
      <c r="T27" s="4"/>
      <c r="U27" s="200"/>
      <c r="V27" s="200"/>
      <c r="W27" s="183"/>
      <c r="X27" s="4"/>
      <c r="Y27" s="4"/>
      <c r="Z27" s="4"/>
      <c r="AA27" s="4"/>
      <c r="AB27" s="200"/>
      <c r="AC27" s="200"/>
      <c r="AD27" s="4"/>
      <c r="AE27" s="4"/>
      <c r="AF27" s="4"/>
      <c r="AG27" s="4"/>
      <c r="AH27" s="4"/>
      <c r="AJ27" s="71">
        <f t="shared" si="0"/>
        <v>0</v>
      </c>
    </row>
    <row r="28" spans="2:36" hidden="1" outlineLevel="1" x14ac:dyDescent="0.25">
      <c r="B28" s="151"/>
      <c r="C28" s="54" t="s">
        <v>77</v>
      </c>
      <c r="D28" s="5"/>
      <c r="E28" s="5"/>
      <c r="F28" s="5"/>
      <c r="G28" s="200"/>
      <c r="H28" s="200"/>
      <c r="I28" s="5"/>
      <c r="J28" s="5"/>
      <c r="K28" s="5"/>
      <c r="L28" s="183"/>
      <c r="M28" s="5"/>
      <c r="N28" s="200"/>
      <c r="O28" s="200"/>
      <c r="P28" s="5"/>
      <c r="Q28" s="5"/>
      <c r="R28" s="5"/>
      <c r="S28" s="5"/>
      <c r="T28" s="5"/>
      <c r="U28" s="200"/>
      <c r="V28" s="200"/>
      <c r="W28" s="183"/>
      <c r="X28" s="5"/>
      <c r="Y28" s="5"/>
      <c r="Z28" s="5"/>
      <c r="AA28" s="5"/>
      <c r="AB28" s="200"/>
      <c r="AC28" s="200"/>
      <c r="AD28" s="5"/>
      <c r="AE28" s="5"/>
      <c r="AF28" s="5"/>
      <c r="AG28" s="5"/>
      <c r="AH28" s="5">
        <v>8</v>
      </c>
      <c r="AJ28" s="72">
        <f t="shared" si="0"/>
        <v>8</v>
      </c>
    </row>
    <row r="29" spans="2:36" ht="15.75" hidden="1" outlineLevel="1" thickBot="1" x14ac:dyDescent="0.3">
      <c r="B29" s="151"/>
      <c r="C29" s="9" t="s">
        <v>3</v>
      </c>
      <c r="D29" s="8"/>
      <c r="E29" s="8"/>
      <c r="F29" s="8"/>
      <c r="G29" s="201"/>
      <c r="H29" s="201"/>
      <c r="I29" s="8"/>
      <c r="J29" s="8"/>
      <c r="K29" s="8"/>
      <c r="L29" s="183"/>
      <c r="M29" s="8"/>
      <c r="N29" s="201"/>
      <c r="O29" s="201"/>
      <c r="P29" s="8"/>
      <c r="Q29" s="8"/>
      <c r="R29" s="8"/>
      <c r="S29" s="8"/>
      <c r="T29" s="8"/>
      <c r="U29" s="201"/>
      <c r="V29" s="201"/>
      <c r="W29" s="183"/>
      <c r="X29" s="8"/>
      <c r="Y29" s="8">
        <v>0.25</v>
      </c>
      <c r="Z29" s="8"/>
      <c r="AA29" s="69">
        <v>0.2</v>
      </c>
      <c r="AB29" s="201"/>
      <c r="AC29" s="201"/>
      <c r="AD29" s="8"/>
      <c r="AE29" s="8"/>
      <c r="AF29" s="8"/>
      <c r="AG29" s="8"/>
      <c r="AH29" s="8"/>
      <c r="AI29" s="7"/>
      <c r="AJ29" s="69">
        <f t="shared" si="0"/>
        <v>0.45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2"/>
      <c r="E30" s="2"/>
      <c r="F30" s="2"/>
      <c r="G30" s="200"/>
      <c r="H30" s="200"/>
      <c r="I30" s="2">
        <v>0</v>
      </c>
      <c r="J30" s="2">
        <v>0</v>
      </c>
      <c r="K30" s="2"/>
      <c r="L30" s="183"/>
      <c r="M30" s="2"/>
      <c r="N30" s="200"/>
      <c r="O30" s="200"/>
      <c r="P30" s="2"/>
      <c r="Q30" s="2"/>
      <c r="R30" s="2"/>
      <c r="S30" s="2"/>
      <c r="T30" s="2"/>
      <c r="U30" s="200"/>
      <c r="V30" s="200"/>
      <c r="W30" s="183"/>
      <c r="X30" s="2"/>
      <c r="Y30" s="2"/>
      <c r="Z30" s="2"/>
      <c r="AA30" s="2"/>
      <c r="AB30" s="200"/>
      <c r="AC30" s="200"/>
      <c r="AD30" s="2"/>
      <c r="AE30" s="2">
        <v>0</v>
      </c>
      <c r="AF30" s="2">
        <v>0</v>
      </c>
      <c r="AG30" s="2"/>
      <c r="AH30" s="2"/>
      <c r="AJ30" s="64">
        <f t="shared" si="0"/>
        <v>0</v>
      </c>
    </row>
    <row r="31" spans="2:36" ht="15.75" hidden="1" outlineLevel="1" thickTop="1" x14ac:dyDescent="0.25">
      <c r="B31" s="150"/>
      <c r="C31" s="1" t="s">
        <v>1</v>
      </c>
      <c r="D31" s="3"/>
      <c r="E31" s="3"/>
      <c r="F31" s="3"/>
      <c r="G31" s="200"/>
      <c r="H31" s="200"/>
      <c r="I31" s="3"/>
      <c r="J31" s="3"/>
      <c r="K31" s="3"/>
      <c r="L31" s="183"/>
      <c r="M31" s="3"/>
      <c r="N31" s="200"/>
      <c r="O31" s="200"/>
      <c r="P31" s="3"/>
      <c r="Q31" s="3"/>
      <c r="R31" s="3"/>
      <c r="S31" s="3"/>
      <c r="T31" s="3"/>
      <c r="U31" s="200"/>
      <c r="V31" s="200"/>
      <c r="W31" s="183"/>
      <c r="X31" s="3"/>
      <c r="Y31" s="3"/>
      <c r="Z31" s="3"/>
      <c r="AA31" s="3"/>
      <c r="AB31" s="200"/>
      <c r="AC31" s="200"/>
      <c r="AD31" s="3"/>
      <c r="AE31" s="3"/>
      <c r="AF31" s="3"/>
      <c r="AG31" s="3"/>
      <c r="AH31" s="3"/>
      <c r="AJ31" s="70">
        <f t="shared" si="0"/>
        <v>0</v>
      </c>
    </row>
    <row r="32" spans="2:36" hidden="1" outlineLevel="1" x14ac:dyDescent="0.25">
      <c r="B32" s="151"/>
      <c r="C32" s="1" t="s">
        <v>2</v>
      </c>
      <c r="D32" s="4"/>
      <c r="E32" s="4"/>
      <c r="F32" s="4"/>
      <c r="G32" s="200"/>
      <c r="H32" s="200"/>
      <c r="I32" s="4"/>
      <c r="J32" s="4"/>
      <c r="K32" s="4"/>
      <c r="L32" s="183"/>
      <c r="M32" s="4"/>
      <c r="N32" s="200"/>
      <c r="O32" s="200"/>
      <c r="P32" s="4"/>
      <c r="Q32" s="4"/>
      <c r="R32" s="4"/>
      <c r="S32" s="4"/>
      <c r="T32" s="4"/>
      <c r="U32" s="200"/>
      <c r="V32" s="200"/>
      <c r="W32" s="183"/>
      <c r="X32" s="4"/>
      <c r="Y32" s="4"/>
      <c r="Z32" s="4"/>
      <c r="AA32" s="4"/>
      <c r="AB32" s="200"/>
      <c r="AC32" s="200"/>
      <c r="AD32" s="4"/>
      <c r="AE32" s="4"/>
      <c r="AF32" s="4"/>
      <c r="AG32" s="4"/>
      <c r="AH32" s="4"/>
      <c r="AJ32" s="71">
        <f t="shared" si="0"/>
        <v>0</v>
      </c>
    </row>
    <row r="33" spans="2:36" hidden="1" outlineLevel="1" x14ac:dyDescent="0.25">
      <c r="B33" s="151"/>
      <c r="C33" s="54" t="s">
        <v>77</v>
      </c>
      <c r="D33" s="5"/>
      <c r="E33" s="5"/>
      <c r="F33" s="5"/>
      <c r="G33" s="200"/>
      <c r="H33" s="200"/>
      <c r="I33" s="5"/>
      <c r="J33" s="5"/>
      <c r="K33" s="5"/>
      <c r="L33" s="183"/>
      <c r="M33" s="5"/>
      <c r="N33" s="200"/>
      <c r="O33" s="200"/>
      <c r="P33" s="5"/>
      <c r="Q33" s="5"/>
      <c r="R33" s="5"/>
      <c r="S33" s="5"/>
      <c r="T33" s="5"/>
      <c r="U33" s="200"/>
      <c r="V33" s="200"/>
      <c r="W33" s="183"/>
      <c r="X33" s="5"/>
      <c r="Y33" s="5"/>
      <c r="Z33" s="5"/>
      <c r="AA33" s="5"/>
      <c r="AB33" s="200"/>
      <c r="AC33" s="200"/>
      <c r="AD33" s="5"/>
      <c r="AE33" s="5"/>
      <c r="AF33" s="5"/>
      <c r="AG33" s="5"/>
      <c r="AH33" s="5"/>
      <c r="AJ33" s="72">
        <f t="shared" si="0"/>
        <v>0</v>
      </c>
    </row>
    <row r="34" spans="2:36" ht="15.75" hidden="1" outlineLevel="1" thickBot="1" x14ac:dyDescent="0.3">
      <c r="B34" s="151"/>
      <c r="C34" s="9" t="s">
        <v>3</v>
      </c>
      <c r="D34" s="8"/>
      <c r="E34" s="8"/>
      <c r="F34" s="8"/>
      <c r="G34" s="201"/>
      <c r="H34" s="201"/>
      <c r="I34" s="8"/>
      <c r="J34" s="8"/>
      <c r="K34" s="8"/>
      <c r="L34" s="183"/>
      <c r="M34" s="8"/>
      <c r="N34" s="201"/>
      <c r="O34" s="201"/>
      <c r="P34" s="8"/>
      <c r="Q34" s="8"/>
      <c r="R34" s="8"/>
      <c r="S34" s="8"/>
      <c r="T34" s="8"/>
      <c r="U34" s="201"/>
      <c r="V34" s="201"/>
      <c r="W34" s="183"/>
      <c r="X34" s="8"/>
      <c r="Y34" s="8"/>
      <c r="Z34" s="8"/>
      <c r="AA34" s="8"/>
      <c r="AB34" s="201"/>
      <c r="AC34" s="201"/>
      <c r="AD34" s="8"/>
      <c r="AE34" s="8"/>
      <c r="AF34" s="8"/>
      <c r="AG34" s="8"/>
      <c r="AH34" s="8"/>
      <c r="AI34" s="7"/>
      <c r="AJ34" s="69">
        <f t="shared" si="0"/>
        <v>0</v>
      </c>
    </row>
    <row r="35" spans="2:36" ht="16.5" hidden="1" collapsed="1" thickTop="1" thickBot="1" x14ac:dyDescent="0.3">
      <c r="B35" s="253" t="str">
        <f>'Hours Scheduled'!B10</f>
        <v>Dennis van 't Hul</v>
      </c>
      <c r="C35" t="s">
        <v>0</v>
      </c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J35" s="64">
        <f t="shared" si="0"/>
        <v>0</v>
      </c>
    </row>
    <row r="36" spans="2:36" ht="15.75" hidden="1" customHeight="1" outlineLevel="1" thickTop="1" x14ac:dyDescent="0.25">
      <c r="B36" s="150"/>
      <c r="C36" s="1" t="s">
        <v>1</v>
      </c>
      <c r="D36" s="3"/>
      <c r="E36" s="3"/>
      <c r="F36" s="3"/>
      <c r="G36" s="200"/>
      <c r="H36" s="200"/>
      <c r="I36" s="3">
        <v>8</v>
      </c>
      <c r="J36" s="3">
        <v>8</v>
      </c>
      <c r="K36" s="3"/>
      <c r="L36" s="183"/>
      <c r="M36" s="3"/>
      <c r="N36" s="200"/>
      <c r="O36" s="200"/>
      <c r="P36" s="3"/>
      <c r="Q36" s="3"/>
      <c r="R36" s="3"/>
      <c r="S36" s="3"/>
      <c r="T36" s="3"/>
      <c r="U36" s="200"/>
      <c r="V36" s="200"/>
      <c r="W36" s="183"/>
      <c r="X36" s="3"/>
      <c r="Y36" s="3"/>
      <c r="Z36" s="3"/>
      <c r="AA36" s="3"/>
      <c r="AB36" s="200"/>
      <c r="AC36" s="200"/>
      <c r="AD36" s="3"/>
      <c r="AE36" s="3">
        <v>8</v>
      </c>
      <c r="AF36" s="3">
        <v>8</v>
      </c>
      <c r="AG36" s="3"/>
      <c r="AH36" s="3"/>
      <c r="AJ36" s="70">
        <f t="shared" si="0"/>
        <v>32</v>
      </c>
    </row>
    <row r="37" spans="2:36" ht="15" hidden="1" customHeight="1" outlineLevel="1" x14ac:dyDescent="0.25">
      <c r="B37" s="151"/>
      <c r="C37" s="1" t="s">
        <v>2</v>
      </c>
      <c r="D37" s="4"/>
      <c r="E37" s="4"/>
      <c r="F37" s="4"/>
      <c r="G37" s="200"/>
      <c r="H37" s="200"/>
      <c r="I37" s="4"/>
      <c r="J37" s="4"/>
      <c r="K37" s="4"/>
      <c r="L37" s="183"/>
      <c r="M37" s="4"/>
      <c r="N37" s="200"/>
      <c r="O37" s="200"/>
      <c r="P37" s="4"/>
      <c r="Q37" s="4"/>
      <c r="R37" s="4"/>
      <c r="S37" s="4"/>
      <c r="T37" s="4"/>
      <c r="U37" s="200"/>
      <c r="V37" s="200"/>
      <c r="W37" s="183"/>
      <c r="X37" s="4"/>
      <c r="Y37" s="4"/>
      <c r="Z37" s="4"/>
      <c r="AA37" s="4"/>
      <c r="AB37" s="200"/>
      <c r="AC37" s="200"/>
      <c r="AD37" s="4"/>
      <c r="AE37" s="4"/>
      <c r="AF37" s="4"/>
      <c r="AG37" s="4"/>
      <c r="AH37" s="4"/>
      <c r="AJ37" s="71">
        <f t="shared" ref="AJ37:AJ68" si="1">SUM(D37:AH37)</f>
        <v>0</v>
      </c>
    </row>
    <row r="38" spans="2:36" ht="15" hidden="1" customHeight="1" outlineLevel="1" x14ac:dyDescent="0.25">
      <c r="B38" s="151"/>
      <c r="C38" s="54" t="s">
        <v>77</v>
      </c>
      <c r="D38" s="5"/>
      <c r="E38" s="5"/>
      <c r="F38" s="5"/>
      <c r="G38" s="200"/>
      <c r="H38" s="200"/>
      <c r="I38" s="5"/>
      <c r="J38" s="5"/>
      <c r="K38" s="5"/>
      <c r="L38" s="183"/>
      <c r="M38" s="5"/>
      <c r="N38" s="200"/>
      <c r="O38" s="200"/>
      <c r="P38" s="5"/>
      <c r="Q38" s="5"/>
      <c r="R38" s="5"/>
      <c r="S38" s="5"/>
      <c r="T38" s="5"/>
      <c r="U38" s="200"/>
      <c r="V38" s="200"/>
      <c r="W38" s="183"/>
      <c r="X38" s="5"/>
      <c r="Y38" s="5"/>
      <c r="Z38" s="5"/>
      <c r="AA38" s="5"/>
      <c r="AB38" s="200"/>
      <c r="AC38" s="200"/>
      <c r="AD38" s="5"/>
      <c r="AE38" s="5"/>
      <c r="AF38" s="5"/>
      <c r="AG38" s="5"/>
      <c r="AH38" s="5"/>
      <c r="AJ38" s="72">
        <f t="shared" si="1"/>
        <v>0</v>
      </c>
    </row>
    <row r="39" spans="2:36" ht="15.75" hidden="1" customHeight="1" outlineLevel="1" thickBot="1" x14ac:dyDescent="0.3">
      <c r="B39" s="151"/>
      <c r="C39" s="9" t="s">
        <v>3</v>
      </c>
      <c r="D39" s="8"/>
      <c r="E39" s="8"/>
      <c r="F39" s="8"/>
      <c r="G39" s="201"/>
      <c r="H39" s="201"/>
      <c r="I39" s="8"/>
      <c r="J39" s="8"/>
      <c r="K39" s="8"/>
      <c r="L39" s="183"/>
      <c r="M39" s="8"/>
      <c r="N39" s="201"/>
      <c r="O39" s="201"/>
      <c r="P39" s="8"/>
      <c r="Q39" s="8"/>
      <c r="R39" s="8"/>
      <c r="S39" s="8"/>
      <c r="T39" s="8"/>
      <c r="U39" s="201"/>
      <c r="V39" s="201"/>
      <c r="W39" s="183"/>
      <c r="X39" s="8"/>
      <c r="Y39" s="8"/>
      <c r="Z39" s="8"/>
      <c r="AA39" s="8"/>
      <c r="AB39" s="201"/>
      <c r="AC39" s="201"/>
      <c r="AD39" s="8"/>
      <c r="AE39" s="8"/>
      <c r="AF39" s="8"/>
      <c r="AG39" s="8"/>
      <c r="AH39" s="8"/>
      <c r="AI39" s="7"/>
      <c r="AJ39" s="69">
        <f t="shared" si="1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2">
        <v>8</v>
      </c>
      <c r="E40" s="2">
        <v>8</v>
      </c>
      <c r="F40" s="2">
        <v>8</v>
      </c>
      <c r="G40" s="200"/>
      <c r="H40" s="200"/>
      <c r="I40" s="2"/>
      <c r="J40" s="2"/>
      <c r="K40" s="2"/>
      <c r="L40" s="183"/>
      <c r="M40" s="2"/>
      <c r="N40" s="200"/>
      <c r="O40" s="200"/>
      <c r="P40" s="2"/>
      <c r="Q40" s="2"/>
      <c r="R40" s="2"/>
      <c r="S40" s="2"/>
      <c r="T40" s="2"/>
      <c r="U40" s="200"/>
      <c r="V40" s="200"/>
      <c r="W40" s="183"/>
      <c r="X40" s="2"/>
      <c r="Y40" s="2"/>
      <c r="Z40" s="2"/>
      <c r="AA40" s="2"/>
      <c r="AB40" s="200"/>
      <c r="AC40" s="200"/>
      <c r="AD40" s="2"/>
      <c r="AE40" s="2"/>
      <c r="AF40" s="2"/>
      <c r="AG40" s="2"/>
      <c r="AH40" s="2"/>
      <c r="AJ40" s="64">
        <f t="shared" si="1"/>
        <v>24</v>
      </c>
    </row>
    <row r="41" spans="2:36" ht="15.75" hidden="1" outlineLevel="1" thickTop="1" x14ac:dyDescent="0.25">
      <c r="B41" s="150"/>
      <c r="C41" s="1" t="s">
        <v>1</v>
      </c>
      <c r="D41" s="3"/>
      <c r="E41" s="3"/>
      <c r="F41" s="3"/>
      <c r="G41" s="200"/>
      <c r="H41" s="200"/>
      <c r="I41" s="3"/>
      <c r="J41" s="3"/>
      <c r="K41" s="3"/>
      <c r="L41" s="183"/>
      <c r="M41" s="3"/>
      <c r="N41" s="200"/>
      <c r="O41" s="200"/>
      <c r="P41" s="3"/>
      <c r="Q41" s="3"/>
      <c r="R41" s="3"/>
      <c r="S41" s="3"/>
      <c r="T41" s="3"/>
      <c r="U41" s="200"/>
      <c r="V41" s="200"/>
      <c r="W41" s="183"/>
      <c r="X41" s="3"/>
      <c r="Y41" s="3"/>
      <c r="Z41" s="3"/>
      <c r="AA41" s="3"/>
      <c r="AB41" s="200"/>
      <c r="AC41" s="200"/>
      <c r="AD41" s="3"/>
      <c r="AE41" s="3"/>
      <c r="AF41" s="3"/>
      <c r="AG41" s="3"/>
      <c r="AH41" s="3"/>
      <c r="AJ41" s="70">
        <f t="shared" si="1"/>
        <v>0</v>
      </c>
    </row>
    <row r="42" spans="2:36" hidden="1" outlineLevel="1" x14ac:dyDescent="0.25">
      <c r="B42" s="151"/>
      <c r="C42" s="1" t="s">
        <v>2</v>
      </c>
      <c r="D42" s="4"/>
      <c r="E42" s="4"/>
      <c r="F42" s="4"/>
      <c r="G42" s="200"/>
      <c r="H42" s="200"/>
      <c r="I42" s="4"/>
      <c r="J42" s="4"/>
      <c r="K42" s="4"/>
      <c r="L42" s="183"/>
      <c r="M42" s="4"/>
      <c r="N42" s="200"/>
      <c r="O42" s="200"/>
      <c r="P42" s="4"/>
      <c r="Q42" s="4"/>
      <c r="R42" s="4"/>
      <c r="S42" s="4"/>
      <c r="T42" s="4"/>
      <c r="U42" s="200"/>
      <c r="V42" s="200"/>
      <c r="W42" s="183"/>
      <c r="X42" s="4"/>
      <c r="Y42" s="4"/>
      <c r="Z42" s="4"/>
      <c r="AA42" s="4"/>
      <c r="AB42" s="200"/>
      <c r="AC42" s="200"/>
      <c r="AD42" s="4"/>
      <c r="AE42" s="4"/>
      <c r="AF42" s="4"/>
      <c r="AG42" s="4"/>
      <c r="AH42" s="4"/>
      <c r="AJ42" s="71">
        <f t="shared" si="1"/>
        <v>0</v>
      </c>
    </row>
    <row r="43" spans="2:36" hidden="1" outlineLevel="1" x14ac:dyDescent="0.25">
      <c r="B43" s="151"/>
      <c r="C43" s="54" t="s">
        <v>77</v>
      </c>
      <c r="D43" s="5"/>
      <c r="E43" s="5"/>
      <c r="F43" s="5"/>
      <c r="G43" s="200"/>
      <c r="H43" s="200"/>
      <c r="I43" s="5"/>
      <c r="J43" s="5"/>
      <c r="K43" s="5"/>
      <c r="L43" s="183"/>
      <c r="M43" s="5"/>
      <c r="N43" s="200"/>
      <c r="O43" s="200"/>
      <c r="P43" s="5"/>
      <c r="Q43" s="5"/>
      <c r="R43" s="5"/>
      <c r="S43" s="5"/>
      <c r="T43" s="5"/>
      <c r="U43" s="200"/>
      <c r="V43" s="200"/>
      <c r="W43" s="183"/>
      <c r="X43" s="5"/>
      <c r="Y43" s="5"/>
      <c r="Z43" s="5"/>
      <c r="AA43" s="5"/>
      <c r="AB43" s="200"/>
      <c r="AC43" s="200"/>
      <c r="AD43" s="5"/>
      <c r="AE43" s="5"/>
      <c r="AF43" s="5"/>
      <c r="AG43" s="5"/>
      <c r="AH43" s="5"/>
      <c r="AJ43" s="72">
        <f t="shared" si="1"/>
        <v>0</v>
      </c>
    </row>
    <row r="44" spans="2:36" ht="15.75" hidden="1" outlineLevel="1" thickBot="1" x14ac:dyDescent="0.3">
      <c r="B44" s="151"/>
      <c r="C44" s="9" t="s">
        <v>3</v>
      </c>
      <c r="D44" s="8"/>
      <c r="E44" s="8"/>
      <c r="F44" s="8"/>
      <c r="G44" s="201"/>
      <c r="H44" s="201"/>
      <c r="I44" s="8"/>
      <c r="J44" s="8"/>
      <c r="K44" s="8"/>
      <c r="L44" s="183"/>
      <c r="M44" s="8"/>
      <c r="N44" s="201"/>
      <c r="O44" s="201"/>
      <c r="P44" s="8"/>
      <c r="Q44" s="8"/>
      <c r="R44" s="8"/>
      <c r="S44" s="8"/>
      <c r="T44" s="8"/>
      <c r="U44" s="201"/>
      <c r="V44" s="201"/>
      <c r="W44" s="183"/>
      <c r="X44" s="8"/>
      <c r="Y44" s="8"/>
      <c r="Z44" s="8"/>
      <c r="AA44" s="8"/>
      <c r="AB44" s="201"/>
      <c r="AC44" s="201"/>
      <c r="AD44" s="8"/>
      <c r="AE44" s="8"/>
      <c r="AF44" s="8"/>
      <c r="AG44" s="8"/>
      <c r="AH44" s="8"/>
      <c r="AI44" s="7"/>
      <c r="AJ44" s="69">
        <f t="shared" si="1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2"/>
      <c r="E45" s="2"/>
      <c r="F45" s="2"/>
      <c r="G45" s="200"/>
      <c r="H45" s="200"/>
      <c r="I45" s="2"/>
      <c r="J45" s="2"/>
      <c r="K45" s="2"/>
      <c r="L45" s="183"/>
      <c r="M45" s="2">
        <v>8</v>
      </c>
      <c r="N45" s="200"/>
      <c r="O45" s="200"/>
      <c r="P45" s="2">
        <v>8</v>
      </c>
      <c r="Q45" s="2"/>
      <c r="R45" s="2"/>
      <c r="S45" s="2"/>
      <c r="T45" s="2"/>
      <c r="U45" s="200"/>
      <c r="V45" s="200"/>
      <c r="W45" s="183"/>
      <c r="X45" s="2">
        <v>5</v>
      </c>
      <c r="Y45" s="2"/>
      <c r="Z45" s="2"/>
      <c r="AA45" s="2"/>
      <c r="AB45" s="200"/>
      <c r="AC45" s="200"/>
      <c r="AD45" s="2"/>
      <c r="AE45" s="2"/>
      <c r="AF45" s="2"/>
      <c r="AG45" s="2"/>
      <c r="AH45" s="2"/>
      <c r="AJ45" s="64">
        <f t="shared" si="1"/>
        <v>21</v>
      </c>
    </row>
    <row r="46" spans="2:36" ht="15.75" hidden="1" outlineLevel="1" thickTop="1" x14ac:dyDescent="0.25">
      <c r="B46" s="150"/>
      <c r="C46" s="1" t="s">
        <v>1</v>
      </c>
      <c r="D46" s="3"/>
      <c r="E46" s="3"/>
      <c r="F46" s="3"/>
      <c r="G46" s="200"/>
      <c r="H46" s="200"/>
      <c r="I46" s="3"/>
      <c r="J46" s="3"/>
      <c r="K46" s="3"/>
      <c r="L46" s="183"/>
      <c r="M46" s="3"/>
      <c r="N46" s="200"/>
      <c r="O46" s="200"/>
      <c r="P46" s="3"/>
      <c r="Q46" s="3"/>
      <c r="R46" s="3"/>
      <c r="S46" s="3"/>
      <c r="T46" s="3"/>
      <c r="U46" s="200"/>
      <c r="V46" s="200"/>
      <c r="W46" s="183"/>
      <c r="X46" s="3"/>
      <c r="Y46" s="3"/>
      <c r="Z46" s="3"/>
      <c r="AA46" s="3"/>
      <c r="AB46" s="200"/>
      <c r="AC46" s="200"/>
      <c r="AD46" s="3"/>
      <c r="AE46" s="3"/>
      <c r="AF46" s="3"/>
      <c r="AG46" s="3"/>
      <c r="AH46" s="3"/>
      <c r="AJ46" s="70">
        <f t="shared" si="1"/>
        <v>0</v>
      </c>
    </row>
    <row r="47" spans="2:36" hidden="1" outlineLevel="1" x14ac:dyDescent="0.25">
      <c r="B47" s="151"/>
      <c r="C47" s="1" t="s">
        <v>2</v>
      </c>
      <c r="D47" s="4"/>
      <c r="E47" s="4"/>
      <c r="F47" s="4"/>
      <c r="G47" s="200"/>
      <c r="H47" s="200"/>
      <c r="I47" s="4"/>
      <c r="J47" s="4"/>
      <c r="K47" s="4"/>
      <c r="L47" s="183"/>
      <c r="M47" s="4"/>
      <c r="N47" s="200"/>
      <c r="O47" s="200"/>
      <c r="P47" s="4"/>
      <c r="Q47" s="4"/>
      <c r="R47" s="4"/>
      <c r="S47" s="4"/>
      <c r="T47" s="4"/>
      <c r="U47" s="200"/>
      <c r="V47" s="200"/>
      <c r="W47" s="183"/>
      <c r="X47" s="4"/>
      <c r="Y47" s="4"/>
      <c r="Z47" s="4"/>
      <c r="AA47" s="4"/>
      <c r="AB47" s="200"/>
      <c r="AC47" s="200"/>
      <c r="AD47" s="4"/>
      <c r="AE47" s="4"/>
      <c r="AF47" s="4"/>
      <c r="AG47" s="4"/>
      <c r="AH47" s="4"/>
      <c r="AJ47" s="71">
        <f t="shared" si="1"/>
        <v>0</v>
      </c>
    </row>
    <row r="48" spans="2:36" hidden="1" outlineLevel="1" x14ac:dyDescent="0.25">
      <c r="B48" s="151"/>
      <c r="C48" s="54" t="s">
        <v>77</v>
      </c>
      <c r="D48" s="5"/>
      <c r="E48" s="5"/>
      <c r="F48" s="5"/>
      <c r="G48" s="200"/>
      <c r="H48" s="200"/>
      <c r="I48" s="5"/>
      <c r="J48" s="5"/>
      <c r="K48" s="5"/>
      <c r="L48" s="183"/>
      <c r="M48" s="5"/>
      <c r="N48" s="200"/>
      <c r="O48" s="200"/>
      <c r="P48" s="5"/>
      <c r="Q48" s="5"/>
      <c r="R48" s="5"/>
      <c r="S48" s="5"/>
      <c r="T48" s="5"/>
      <c r="U48" s="200"/>
      <c r="V48" s="200"/>
      <c r="W48" s="183"/>
      <c r="X48" s="5"/>
      <c r="Y48" s="5"/>
      <c r="Z48" s="5"/>
      <c r="AA48" s="5"/>
      <c r="AB48" s="200"/>
      <c r="AC48" s="200"/>
      <c r="AD48" s="5"/>
      <c r="AE48" s="5"/>
      <c r="AF48" s="5"/>
      <c r="AG48" s="5"/>
      <c r="AH48" s="5"/>
      <c r="AJ48" s="72">
        <f t="shared" si="1"/>
        <v>0</v>
      </c>
    </row>
    <row r="49" spans="2:36" ht="15.75" hidden="1" outlineLevel="1" thickBot="1" x14ac:dyDescent="0.3">
      <c r="B49" s="151"/>
      <c r="C49" s="9" t="s">
        <v>3</v>
      </c>
      <c r="D49" s="8"/>
      <c r="E49" s="8"/>
      <c r="F49" s="8"/>
      <c r="G49" s="201"/>
      <c r="H49" s="201"/>
      <c r="I49" s="8"/>
      <c r="J49" s="8"/>
      <c r="K49" s="8"/>
      <c r="L49" s="183"/>
      <c r="M49" s="8"/>
      <c r="N49" s="201"/>
      <c r="O49" s="201"/>
      <c r="P49" s="8"/>
      <c r="Q49" s="8"/>
      <c r="R49" s="8"/>
      <c r="S49" s="8"/>
      <c r="T49" s="8"/>
      <c r="U49" s="201"/>
      <c r="V49" s="201"/>
      <c r="W49" s="183"/>
      <c r="X49" s="73">
        <v>1.25</v>
      </c>
      <c r="Y49" s="8"/>
      <c r="Z49" s="8"/>
      <c r="AA49" s="8"/>
      <c r="AB49" s="201"/>
      <c r="AC49" s="201"/>
      <c r="AD49" s="8"/>
      <c r="AE49" s="8"/>
      <c r="AF49" s="8"/>
      <c r="AG49" s="8"/>
      <c r="AH49" s="8"/>
      <c r="AI49" s="7"/>
      <c r="AJ49" s="69">
        <f t="shared" si="1"/>
        <v>1.25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2">
        <v>4</v>
      </c>
      <c r="E50" s="2"/>
      <c r="F50" s="2"/>
      <c r="G50" s="200"/>
      <c r="H50" s="200"/>
      <c r="I50" s="2"/>
      <c r="J50" s="2"/>
      <c r="K50" s="2"/>
      <c r="L50" s="183"/>
      <c r="M50" s="2"/>
      <c r="N50" s="200"/>
      <c r="O50" s="200"/>
      <c r="P50" s="2"/>
      <c r="Q50" s="2">
        <v>4</v>
      </c>
      <c r="R50" s="2"/>
      <c r="S50" s="2"/>
      <c r="T50" s="2"/>
      <c r="U50" s="200"/>
      <c r="V50" s="200"/>
      <c r="W50" s="183"/>
      <c r="X50" s="2"/>
      <c r="Y50" s="2"/>
      <c r="Z50" s="2"/>
      <c r="AA50" s="2"/>
      <c r="AB50" s="200"/>
      <c r="AC50" s="200"/>
      <c r="AD50" s="2">
        <v>4</v>
      </c>
      <c r="AE50" s="2"/>
      <c r="AF50" s="2"/>
      <c r="AG50" s="2"/>
      <c r="AH50" s="2"/>
      <c r="AJ50" s="64">
        <f t="shared" si="1"/>
        <v>12</v>
      </c>
    </row>
    <row r="51" spans="2:36" ht="15.75" hidden="1" outlineLevel="1" thickTop="1" x14ac:dyDescent="0.25">
      <c r="B51" s="150"/>
      <c r="C51" s="1" t="s">
        <v>1</v>
      </c>
      <c r="D51" s="3"/>
      <c r="E51" s="3"/>
      <c r="F51" s="3"/>
      <c r="G51" s="200"/>
      <c r="H51" s="200"/>
      <c r="I51" s="3"/>
      <c r="J51" s="3"/>
      <c r="K51" s="3"/>
      <c r="L51" s="183"/>
      <c r="M51" s="3"/>
      <c r="N51" s="200"/>
      <c r="O51" s="200"/>
      <c r="P51" s="3"/>
      <c r="Q51" s="3"/>
      <c r="R51" s="3"/>
      <c r="S51" s="3"/>
      <c r="T51" s="3"/>
      <c r="U51" s="200"/>
      <c r="V51" s="200"/>
      <c r="W51" s="183"/>
      <c r="X51" s="3"/>
      <c r="Y51" s="3"/>
      <c r="Z51" s="3"/>
      <c r="AA51" s="3"/>
      <c r="AB51" s="200"/>
      <c r="AC51" s="200"/>
      <c r="AD51" s="3"/>
      <c r="AE51" s="3"/>
      <c r="AF51" s="3"/>
      <c r="AG51" s="3"/>
      <c r="AH51" s="3"/>
      <c r="AJ51" s="70">
        <f t="shared" si="1"/>
        <v>0</v>
      </c>
    </row>
    <row r="52" spans="2:36" hidden="1" outlineLevel="1" x14ac:dyDescent="0.25">
      <c r="B52" s="151"/>
      <c r="C52" s="1" t="s">
        <v>2</v>
      </c>
      <c r="D52" s="4"/>
      <c r="E52" s="4"/>
      <c r="F52" s="4"/>
      <c r="G52" s="200"/>
      <c r="H52" s="200"/>
      <c r="I52" s="4"/>
      <c r="J52" s="4"/>
      <c r="K52" s="4"/>
      <c r="L52" s="183"/>
      <c r="M52" s="4"/>
      <c r="N52" s="200"/>
      <c r="O52" s="200"/>
      <c r="P52" s="4"/>
      <c r="Q52" s="4"/>
      <c r="R52" s="4"/>
      <c r="S52" s="4"/>
      <c r="T52" s="4"/>
      <c r="U52" s="200"/>
      <c r="V52" s="200"/>
      <c r="W52" s="183"/>
      <c r="X52" s="4"/>
      <c r="Y52" s="4"/>
      <c r="Z52" s="4"/>
      <c r="AA52" s="4"/>
      <c r="AB52" s="200"/>
      <c r="AC52" s="200"/>
      <c r="AD52" s="4"/>
      <c r="AE52" s="4"/>
      <c r="AF52" s="4"/>
      <c r="AG52" s="4"/>
      <c r="AH52" s="4"/>
      <c r="AJ52" s="71">
        <f t="shared" si="1"/>
        <v>0</v>
      </c>
    </row>
    <row r="53" spans="2:36" hidden="1" outlineLevel="1" x14ac:dyDescent="0.25">
      <c r="B53" s="151"/>
      <c r="C53" s="54" t="s">
        <v>77</v>
      </c>
      <c r="D53" s="5"/>
      <c r="E53" s="5"/>
      <c r="F53" s="5"/>
      <c r="G53" s="200"/>
      <c r="H53" s="200"/>
      <c r="I53" s="5"/>
      <c r="J53" s="5"/>
      <c r="K53" s="5"/>
      <c r="L53" s="183"/>
      <c r="M53" s="5"/>
      <c r="N53" s="200"/>
      <c r="O53" s="200"/>
      <c r="P53" s="5"/>
      <c r="Q53" s="5"/>
      <c r="R53" s="5"/>
      <c r="S53" s="5"/>
      <c r="T53" s="5"/>
      <c r="U53" s="200"/>
      <c r="V53" s="200"/>
      <c r="W53" s="183"/>
      <c r="X53" s="5"/>
      <c r="Y53" s="5"/>
      <c r="Z53" s="5"/>
      <c r="AA53" s="5"/>
      <c r="AB53" s="200"/>
      <c r="AC53" s="200"/>
      <c r="AD53" s="5"/>
      <c r="AE53" s="5"/>
      <c r="AF53" s="5"/>
      <c r="AG53" s="5"/>
      <c r="AH53" s="5"/>
      <c r="AJ53" s="72">
        <f t="shared" si="1"/>
        <v>0</v>
      </c>
    </row>
    <row r="54" spans="2:36" ht="15.75" hidden="1" outlineLevel="1" thickBot="1" x14ac:dyDescent="0.3">
      <c r="B54" s="151"/>
      <c r="C54" s="9" t="s">
        <v>3</v>
      </c>
      <c r="D54" s="8"/>
      <c r="E54" s="8"/>
      <c r="F54" s="8"/>
      <c r="G54" s="201"/>
      <c r="H54" s="201"/>
      <c r="I54" s="8"/>
      <c r="J54" s="8"/>
      <c r="K54" s="8"/>
      <c r="L54" s="183"/>
      <c r="M54" s="8"/>
      <c r="N54" s="201"/>
      <c r="O54" s="201"/>
      <c r="P54" s="8"/>
      <c r="Q54" s="8"/>
      <c r="R54" s="8"/>
      <c r="S54" s="8"/>
      <c r="T54" s="8"/>
      <c r="U54" s="201"/>
      <c r="V54" s="201"/>
      <c r="W54" s="183"/>
      <c r="X54" s="8"/>
      <c r="Y54" s="8"/>
      <c r="Z54" s="8"/>
      <c r="AA54" s="8"/>
      <c r="AB54" s="201"/>
      <c r="AC54" s="201"/>
      <c r="AD54" s="8"/>
      <c r="AE54" s="8"/>
      <c r="AF54" s="8"/>
      <c r="AG54" s="8"/>
      <c r="AH54" s="8"/>
      <c r="AI54" s="7"/>
      <c r="AJ54" s="69">
        <f t="shared" si="1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213">
        <v>8</v>
      </c>
      <c r="E55" s="213">
        <v>8</v>
      </c>
      <c r="F55" s="213">
        <v>8</v>
      </c>
      <c r="G55" s="200"/>
      <c r="H55" s="200"/>
      <c r="I55" s="213">
        <v>8</v>
      </c>
      <c r="J55" s="213">
        <v>8</v>
      </c>
      <c r="K55" s="213">
        <v>8</v>
      </c>
      <c r="L55" s="183"/>
      <c r="M55" s="213">
        <v>8</v>
      </c>
      <c r="N55" s="200"/>
      <c r="O55" s="200"/>
      <c r="P55" s="2"/>
      <c r="Q55" s="2"/>
      <c r="R55" s="2"/>
      <c r="S55" s="2"/>
      <c r="T55" s="2"/>
      <c r="U55" s="200"/>
      <c r="V55" s="200"/>
      <c r="W55" s="183"/>
      <c r="X55" s="2"/>
      <c r="Y55" s="2"/>
      <c r="Z55" s="2"/>
      <c r="AA55" s="2"/>
      <c r="AB55" s="200"/>
      <c r="AC55" s="200"/>
      <c r="AD55" s="2"/>
      <c r="AE55" s="2"/>
      <c r="AF55" s="2"/>
      <c r="AG55" s="2"/>
      <c r="AH55" s="2"/>
      <c r="AJ55" s="64">
        <f t="shared" si="1"/>
        <v>56</v>
      </c>
    </row>
    <row r="56" spans="2:36" ht="15.75" hidden="1" outlineLevel="1" thickTop="1" x14ac:dyDescent="0.25">
      <c r="B56" s="150"/>
      <c r="C56" s="1" t="s">
        <v>1</v>
      </c>
      <c r="D56" s="3"/>
      <c r="E56" s="3"/>
      <c r="F56" s="3"/>
      <c r="G56" s="200"/>
      <c r="H56" s="200"/>
      <c r="I56" s="3"/>
      <c r="J56" s="3"/>
      <c r="K56" s="3"/>
      <c r="L56" s="183"/>
      <c r="M56" s="3"/>
      <c r="N56" s="200"/>
      <c r="O56" s="200"/>
      <c r="P56" s="3"/>
      <c r="Q56" s="3"/>
      <c r="R56" s="3"/>
      <c r="S56" s="3"/>
      <c r="T56" s="3"/>
      <c r="U56" s="200"/>
      <c r="V56" s="200"/>
      <c r="W56" s="183"/>
      <c r="X56" s="3"/>
      <c r="Y56" s="3"/>
      <c r="Z56" s="3"/>
      <c r="AA56" s="3"/>
      <c r="AB56" s="200"/>
      <c r="AC56" s="200"/>
      <c r="AD56" s="3"/>
      <c r="AE56" s="3"/>
      <c r="AF56" s="3"/>
      <c r="AG56" s="3"/>
      <c r="AH56" s="3"/>
      <c r="AJ56" s="70">
        <f t="shared" si="1"/>
        <v>0</v>
      </c>
    </row>
    <row r="57" spans="2:36" hidden="1" outlineLevel="1" x14ac:dyDescent="0.25">
      <c r="B57" s="151"/>
      <c r="C57" s="1" t="s">
        <v>2</v>
      </c>
      <c r="D57" s="4"/>
      <c r="E57" s="4"/>
      <c r="F57" s="4"/>
      <c r="G57" s="200"/>
      <c r="H57" s="200"/>
      <c r="I57" s="4"/>
      <c r="J57" s="4"/>
      <c r="K57" s="4"/>
      <c r="L57" s="183"/>
      <c r="M57" s="4"/>
      <c r="N57" s="200"/>
      <c r="O57" s="200"/>
      <c r="P57" s="4"/>
      <c r="Q57" s="4"/>
      <c r="R57" s="4"/>
      <c r="S57" s="4"/>
      <c r="T57" s="4"/>
      <c r="U57" s="200"/>
      <c r="V57" s="200"/>
      <c r="W57" s="183"/>
      <c r="X57" s="4"/>
      <c r="Y57" s="4"/>
      <c r="Z57" s="4"/>
      <c r="AA57" s="4"/>
      <c r="AB57" s="200"/>
      <c r="AC57" s="200"/>
      <c r="AD57" s="4"/>
      <c r="AE57" s="4"/>
      <c r="AF57" s="4"/>
      <c r="AG57" s="4"/>
      <c r="AH57" s="4"/>
      <c r="AJ57" s="71">
        <f t="shared" si="1"/>
        <v>0</v>
      </c>
    </row>
    <row r="58" spans="2:36" hidden="1" outlineLevel="1" x14ac:dyDescent="0.25">
      <c r="B58" s="151"/>
      <c r="C58" s="54" t="s">
        <v>77</v>
      </c>
      <c r="D58" s="5"/>
      <c r="E58" s="5"/>
      <c r="F58" s="5"/>
      <c r="G58" s="200"/>
      <c r="H58" s="200"/>
      <c r="I58" s="5"/>
      <c r="J58" s="5"/>
      <c r="K58" s="5"/>
      <c r="L58" s="183"/>
      <c r="M58" s="5"/>
      <c r="N58" s="200"/>
      <c r="O58" s="200"/>
      <c r="P58" s="5"/>
      <c r="Q58" s="5"/>
      <c r="R58" s="5"/>
      <c r="S58" s="5"/>
      <c r="T58" s="5"/>
      <c r="U58" s="200"/>
      <c r="V58" s="200"/>
      <c r="W58" s="183"/>
      <c r="X58" s="5"/>
      <c r="Y58" s="5"/>
      <c r="Z58" s="5"/>
      <c r="AA58" s="5"/>
      <c r="AB58" s="200"/>
      <c r="AC58" s="200"/>
      <c r="AD58" s="5"/>
      <c r="AE58" s="5"/>
      <c r="AF58" s="5"/>
      <c r="AG58" s="5"/>
      <c r="AH58" s="5"/>
      <c r="AJ58" s="72">
        <f t="shared" si="1"/>
        <v>0</v>
      </c>
    </row>
    <row r="59" spans="2:36" ht="15.75" hidden="1" outlineLevel="1" thickBot="1" x14ac:dyDescent="0.3">
      <c r="B59" s="151"/>
      <c r="C59" s="9" t="s">
        <v>3</v>
      </c>
      <c r="D59" s="8"/>
      <c r="E59" s="8"/>
      <c r="F59" s="8"/>
      <c r="G59" s="201"/>
      <c r="H59" s="201"/>
      <c r="I59" s="8"/>
      <c r="J59" s="8"/>
      <c r="K59" s="8"/>
      <c r="L59" s="183"/>
      <c r="M59" s="8"/>
      <c r="N59" s="201"/>
      <c r="O59" s="201"/>
      <c r="P59" s="8"/>
      <c r="Q59" s="8"/>
      <c r="R59" s="8"/>
      <c r="S59" s="8"/>
      <c r="T59" s="8"/>
      <c r="U59" s="201"/>
      <c r="V59" s="201"/>
      <c r="W59" s="183"/>
      <c r="X59" s="8"/>
      <c r="Y59" s="8"/>
      <c r="Z59" s="8"/>
      <c r="AA59" s="8"/>
      <c r="AB59" s="201"/>
      <c r="AC59" s="201"/>
      <c r="AD59" s="8"/>
      <c r="AE59" s="8"/>
      <c r="AF59" s="8"/>
      <c r="AG59" s="8"/>
      <c r="AH59" s="8"/>
      <c r="AI59" s="7"/>
      <c r="AJ59" s="69">
        <f t="shared" si="1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200"/>
      <c r="E60" s="2"/>
      <c r="F60" s="2"/>
      <c r="G60" s="200"/>
      <c r="H60" s="200"/>
      <c r="I60" s="2"/>
      <c r="J60" s="2"/>
      <c r="K60" s="200"/>
      <c r="L60" s="183"/>
      <c r="M60" s="2"/>
      <c r="N60" s="200"/>
      <c r="O60" s="200"/>
      <c r="P60" s="2"/>
      <c r="Q60" s="2">
        <v>0</v>
      </c>
      <c r="R60" s="200"/>
      <c r="S60" s="2"/>
      <c r="T60" s="2"/>
      <c r="U60" s="200"/>
      <c r="V60" s="200"/>
      <c r="W60" s="183"/>
      <c r="X60" s="2"/>
      <c r="Y60" s="200"/>
      <c r="Z60" s="2"/>
      <c r="AA60" s="2"/>
      <c r="AB60" s="200"/>
      <c r="AC60" s="200"/>
      <c r="AD60" s="2"/>
      <c r="AE60" s="2"/>
      <c r="AF60" s="200"/>
      <c r="AG60" s="2"/>
      <c r="AH60" s="2"/>
      <c r="AJ60" s="64">
        <f t="shared" si="1"/>
        <v>0</v>
      </c>
    </row>
    <row r="61" spans="2:36" ht="15.75" hidden="1" outlineLevel="1" thickTop="1" x14ac:dyDescent="0.25">
      <c r="B61" s="150"/>
      <c r="C61" s="1" t="s">
        <v>1</v>
      </c>
      <c r="D61" s="3"/>
      <c r="E61" s="3"/>
      <c r="F61" s="3"/>
      <c r="G61" s="200"/>
      <c r="H61" s="200"/>
      <c r="I61" s="3"/>
      <c r="J61" s="3"/>
      <c r="K61" s="3"/>
      <c r="L61" s="183"/>
      <c r="M61" s="3"/>
      <c r="N61" s="200"/>
      <c r="O61" s="200"/>
      <c r="P61" s="3"/>
      <c r="Q61" s="3"/>
      <c r="R61" s="3"/>
      <c r="S61" s="3"/>
      <c r="T61" s="3"/>
      <c r="U61" s="200"/>
      <c r="V61" s="200"/>
      <c r="W61" s="183"/>
      <c r="X61" s="3"/>
      <c r="Y61" s="3"/>
      <c r="Z61" s="3"/>
      <c r="AA61" s="3"/>
      <c r="AB61" s="200"/>
      <c r="AC61" s="200"/>
      <c r="AD61" s="3"/>
      <c r="AE61" s="3"/>
      <c r="AF61" s="3"/>
      <c r="AG61" s="3"/>
      <c r="AH61" s="3"/>
      <c r="AJ61" s="70">
        <f t="shared" si="1"/>
        <v>0</v>
      </c>
    </row>
    <row r="62" spans="2:36" hidden="1" outlineLevel="1" x14ac:dyDescent="0.25">
      <c r="B62" s="151"/>
      <c r="C62" s="1" t="s">
        <v>2</v>
      </c>
      <c r="D62" s="4"/>
      <c r="E62" s="4"/>
      <c r="F62" s="4"/>
      <c r="G62" s="200"/>
      <c r="H62" s="200"/>
      <c r="I62" s="4"/>
      <c r="J62" s="4"/>
      <c r="K62" s="4"/>
      <c r="L62" s="183"/>
      <c r="M62" s="4"/>
      <c r="N62" s="200"/>
      <c r="O62" s="200"/>
      <c r="P62" s="4"/>
      <c r="Q62" s="4"/>
      <c r="R62" s="4"/>
      <c r="S62" s="4"/>
      <c r="T62" s="4"/>
      <c r="U62" s="200"/>
      <c r="V62" s="200"/>
      <c r="W62" s="183"/>
      <c r="X62" s="4"/>
      <c r="Y62" s="4"/>
      <c r="Z62" s="4"/>
      <c r="AA62" s="4"/>
      <c r="AB62" s="200"/>
      <c r="AC62" s="200"/>
      <c r="AD62" s="4"/>
      <c r="AE62" s="4"/>
      <c r="AF62" s="4"/>
      <c r="AG62" s="4"/>
      <c r="AH62" s="4"/>
      <c r="AJ62" s="71">
        <f t="shared" si="1"/>
        <v>0</v>
      </c>
    </row>
    <row r="63" spans="2:36" hidden="1" outlineLevel="1" x14ac:dyDescent="0.25">
      <c r="B63" s="151"/>
      <c r="C63" s="54" t="s">
        <v>77</v>
      </c>
      <c r="D63" s="5"/>
      <c r="E63" s="5"/>
      <c r="F63" s="5"/>
      <c r="G63" s="200"/>
      <c r="H63" s="200"/>
      <c r="I63" s="5"/>
      <c r="J63" s="5"/>
      <c r="K63" s="5"/>
      <c r="L63" s="183"/>
      <c r="M63" s="5"/>
      <c r="N63" s="200"/>
      <c r="O63" s="200"/>
      <c r="P63" s="5"/>
      <c r="Q63" s="5">
        <v>2</v>
      </c>
      <c r="R63" s="5"/>
      <c r="S63" s="5"/>
      <c r="T63" s="5"/>
      <c r="U63" s="200"/>
      <c r="V63" s="200"/>
      <c r="W63" s="183"/>
      <c r="X63" s="5"/>
      <c r="Y63" s="5"/>
      <c r="Z63" s="5"/>
      <c r="AA63" s="5"/>
      <c r="AB63" s="200"/>
      <c r="AC63" s="200"/>
      <c r="AD63" s="5"/>
      <c r="AE63" s="5"/>
      <c r="AF63" s="5"/>
      <c r="AG63" s="5"/>
      <c r="AH63" s="5"/>
      <c r="AJ63" s="72">
        <f t="shared" si="1"/>
        <v>2</v>
      </c>
    </row>
    <row r="64" spans="2:36" ht="15.75" hidden="1" outlineLevel="1" thickBot="1" x14ac:dyDescent="0.3">
      <c r="B64" s="151"/>
      <c r="C64" s="9" t="s">
        <v>3</v>
      </c>
      <c r="D64" s="8"/>
      <c r="E64" s="8"/>
      <c r="F64" s="8"/>
      <c r="G64" s="201"/>
      <c r="H64" s="201"/>
      <c r="I64" s="8"/>
      <c r="J64" s="8"/>
      <c r="K64" s="8"/>
      <c r="L64" s="183"/>
      <c r="M64" s="8"/>
      <c r="N64" s="201"/>
      <c r="O64" s="201"/>
      <c r="P64" s="8"/>
      <c r="Q64" s="8"/>
      <c r="R64" s="8"/>
      <c r="S64" s="8"/>
      <c r="T64" s="8"/>
      <c r="U64" s="201"/>
      <c r="V64" s="201"/>
      <c r="W64" s="183"/>
      <c r="X64" s="8"/>
      <c r="Y64" s="8"/>
      <c r="Z64" s="8"/>
      <c r="AA64" s="8"/>
      <c r="AB64" s="201"/>
      <c r="AC64" s="201"/>
      <c r="AD64" s="8"/>
      <c r="AE64" s="8"/>
      <c r="AF64" s="8"/>
      <c r="AG64" s="8"/>
      <c r="AH64" s="8"/>
      <c r="AI64" s="7"/>
      <c r="AJ64" s="69">
        <f t="shared" si="1"/>
        <v>0</v>
      </c>
    </row>
    <row r="65" spans="2:36" ht="16.5" hidden="1" collapsed="1" thickTop="1" thickBot="1" x14ac:dyDescent="0.3">
      <c r="B65" s="253" t="str">
        <f>'Hours Scheduled'!B16</f>
        <v>Jim van der Weijden</v>
      </c>
      <c r="C65" t="s">
        <v>0</v>
      </c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J65" s="64">
        <f t="shared" si="1"/>
        <v>0</v>
      </c>
    </row>
    <row r="66" spans="2:36" ht="15.75" hidden="1" outlineLevel="1" thickTop="1" x14ac:dyDescent="0.25">
      <c r="B66" s="150"/>
      <c r="C66" s="1" t="s">
        <v>1</v>
      </c>
      <c r="D66" s="3"/>
      <c r="E66" s="3"/>
      <c r="F66" s="3"/>
      <c r="G66" s="200"/>
      <c r="H66" s="200"/>
      <c r="I66" s="3"/>
      <c r="J66" s="3"/>
      <c r="K66" s="3"/>
      <c r="L66" s="183"/>
      <c r="M66" s="3"/>
      <c r="N66" s="200"/>
      <c r="O66" s="200"/>
      <c r="P66" s="3"/>
      <c r="Q66" s="3"/>
      <c r="R66" s="3"/>
      <c r="S66" s="3"/>
      <c r="T66" s="3"/>
      <c r="U66" s="200"/>
      <c r="V66" s="200"/>
      <c r="W66" s="183"/>
      <c r="X66" s="3"/>
      <c r="Y66" s="3"/>
      <c r="Z66" s="3"/>
      <c r="AA66" s="3"/>
      <c r="AB66" s="200"/>
      <c r="AC66" s="200"/>
      <c r="AD66" s="3"/>
      <c r="AE66" s="3"/>
      <c r="AF66" s="3"/>
      <c r="AG66" s="3"/>
      <c r="AH66" s="3"/>
      <c r="AJ66" s="70">
        <f t="shared" si="1"/>
        <v>0</v>
      </c>
    </row>
    <row r="67" spans="2:36" hidden="1" outlineLevel="1" x14ac:dyDescent="0.25">
      <c r="B67" s="151"/>
      <c r="C67" s="1" t="s">
        <v>2</v>
      </c>
      <c r="D67" s="4"/>
      <c r="E67" s="4"/>
      <c r="F67" s="4"/>
      <c r="G67" s="200"/>
      <c r="H67" s="200"/>
      <c r="I67" s="4"/>
      <c r="J67" s="4"/>
      <c r="K67" s="4"/>
      <c r="L67" s="183"/>
      <c r="M67" s="4"/>
      <c r="N67" s="200"/>
      <c r="O67" s="200"/>
      <c r="P67" s="4"/>
      <c r="Q67" s="4"/>
      <c r="R67" s="4"/>
      <c r="S67" s="4"/>
      <c r="T67" s="4"/>
      <c r="U67" s="200"/>
      <c r="V67" s="200"/>
      <c r="W67" s="183"/>
      <c r="X67" s="4"/>
      <c r="Y67" s="4"/>
      <c r="Z67" s="4"/>
      <c r="AA67" s="4"/>
      <c r="AB67" s="200"/>
      <c r="AC67" s="200"/>
      <c r="AD67" s="4"/>
      <c r="AE67" s="4"/>
      <c r="AF67" s="4"/>
      <c r="AG67" s="4"/>
      <c r="AH67" s="4"/>
      <c r="AJ67" s="71">
        <f t="shared" si="1"/>
        <v>0</v>
      </c>
    </row>
    <row r="68" spans="2:36" hidden="1" outlineLevel="1" x14ac:dyDescent="0.25">
      <c r="B68" s="151"/>
      <c r="C68" s="54" t="s">
        <v>77</v>
      </c>
      <c r="D68" s="5"/>
      <c r="E68" s="5"/>
      <c r="F68" s="5"/>
      <c r="G68" s="200"/>
      <c r="H68" s="200"/>
      <c r="I68" s="5"/>
      <c r="J68" s="5"/>
      <c r="K68" s="5"/>
      <c r="L68" s="183"/>
      <c r="M68" s="5"/>
      <c r="N68" s="200"/>
      <c r="O68" s="200"/>
      <c r="P68" s="5"/>
      <c r="Q68" s="77">
        <v>1.75</v>
      </c>
      <c r="R68" s="5"/>
      <c r="S68" s="5"/>
      <c r="T68" s="5"/>
      <c r="U68" s="200"/>
      <c r="V68" s="200"/>
      <c r="W68" s="183"/>
      <c r="X68" s="5"/>
      <c r="Y68" s="5"/>
      <c r="Z68" s="5"/>
      <c r="AA68" s="5"/>
      <c r="AB68" s="200"/>
      <c r="AC68" s="200"/>
      <c r="AD68" s="5"/>
      <c r="AE68" s="5"/>
      <c r="AF68" s="5"/>
      <c r="AG68" s="5"/>
      <c r="AH68" s="5"/>
      <c r="AJ68" s="72">
        <f t="shared" si="1"/>
        <v>1.75</v>
      </c>
    </row>
    <row r="69" spans="2:36" ht="15.75" hidden="1" outlineLevel="1" thickBot="1" x14ac:dyDescent="0.3">
      <c r="B69" s="151"/>
      <c r="C69" s="9" t="s">
        <v>3</v>
      </c>
      <c r="D69" s="8"/>
      <c r="E69" s="8"/>
      <c r="F69" s="8"/>
      <c r="G69" s="201"/>
      <c r="H69" s="201"/>
      <c r="I69" s="8"/>
      <c r="J69" s="8"/>
      <c r="K69" s="8"/>
      <c r="L69" s="183"/>
      <c r="M69" s="8"/>
      <c r="N69" s="201"/>
      <c r="O69" s="201"/>
      <c r="P69" s="8"/>
      <c r="Q69" s="8"/>
      <c r="R69" s="8"/>
      <c r="S69" s="73">
        <v>0.85</v>
      </c>
      <c r="T69" s="8"/>
      <c r="U69" s="201"/>
      <c r="V69" s="201"/>
      <c r="W69" s="183"/>
      <c r="X69" s="8"/>
      <c r="Y69" s="8"/>
      <c r="Z69" s="8"/>
      <c r="AA69" s="8">
        <v>0.5</v>
      </c>
      <c r="AB69" s="201"/>
      <c r="AC69" s="201"/>
      <c r="AD69" s="8"/>
      <c r="AE69" s="8"/>
      <c r="AF69" s="8"/>
      <c r="AG69" s="8"/>
      <c r="AH69" s="8"/>
      <c r="AI69" s="7"/>
      <c r="AJ69" s="69">
        <f t="shared" ref="AJ69:AJ100" si="2">SUM(D69:AH69)</f>
        <v>1.35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2"/>
      <c r="E70" s="2"/>
      <c r="F70" s="2">
        <v>0</v>
      </c>
      <c r="G70" s="200"/>
      <c r="H70" s="200"/>
      <c r="I70" s="2"/>
      <c r="J70" s="2"/>
      <c r="K70" s="2"/>
      <c r="L70" s="183"/>
      <c r="M70" s="2"/>
      <c r="N70" s="200"/>
      <c r="O70" s="200"/>
      <c r="P70" s="2"/>
      <c r="Q70" s="2"/>
      <c r="R70" s="2"/>
      <c r="S70" s="2"/>
      <c r="T70" s="2"/>
      <c r="U70" s="200"/>
      <c r="V70" s="200"/>
      <c r="W70" s="183"/>
      <c r="X70" s="2"/>
      <c r="Y70" s="2"/>
      <c r="Z70" s="2"/>
      <c r="AA70" s="2"/>
      <c r="AB70" s="200"/>
      <c r="AC70" s="200"/>
      <c r="AD70" s="2"/>
      <c r="AE70" s="2"/>
      <c r="AF70" s="2"/>
      <c r="AG70" s="2">
        <v>0</v>
      </c>
      <c r="AH70" s="2">
        <v>0</v>
      </c>
      <c r="AJ70" s="64">
        <f t="shared" si="2"/>
        <v>0</v>
      </c>
    </row>
    <row r="71" spans="2:36" ht="15.75" hidden="1" outlineLevel="1" thickTop="1" x14ac:dyDescent="0.25">
      <c r="B71" s="150"/>
      <c r="C71" s="1" t="s">
        <v>1</v>
      </c>
      <c r="D71" s="3"/>
      <c r="E71" s="3"/>
      <c r="F71" s="3"/>
      <c r="G71" s="200"/>
      <c r="H71" s="200"/>
      <c r="I71" s="3"/>
      <c r="J71" s="3"/>
      <c r="K71" s="3"/>
      <c r="L71" s="183"/>
      <c r="M71" s="3"/>
      <c r="N71" s="200"/>
      <c r="O71" s="200"/>
      <c r="P71" s="3"/>
      <c r="Q71" s="3"/>
      <c r="R71" s="3"/>
      <c r="S71" s="3"/>
      <c r="T71" s="3"/>
      <c r="U71" s="200"/>
      <c r="V71" s="200"/>
      <c r="W71" s="183"/>
      <c r="X71" s="3"/>
      <c r="Y71" s="3"/>
      <c r="Z71" s="3"/>
      <c r="AA71" s="3"/>
      <c r="AB71" s="200"/>
      <c r="AC71" s="200"/>
      <c r="AD71" s="3"/>
      <c r="AE71" s="3"/>
      <c r="AF71" s="3"/>
      <c r="AG71" s="3"/>
      <c r="AH71" s="3"/>
      <c r="AJ71" s="70">
        <f t="shared" si="2"/>
        <v>0</v>
      </c>
    </row>
    <row r="72" spans="2:36" hidden="1" outlineLevel="1" x14ac:dyDescent="0.25">
      <c r="B72" s="151"/>
      <c r="C72" s="1" t="s">
        <v>2</v>
      </c>
      <c r="D72" s="4"/>
      <c r="E72" s="4"/>
      <c r="F72" s="4"/>
      <c r="G72" s="200"/>
      <c r="H72" s="200"/>
      <c r="I72" s="4"/>
      <c r="J72" s="4"/>
      <c r="K72" s="4"/>
      <c r="L72" s="183"/>
      <c r="M72" s="4"/>
      <c r="N72" s="200"/>
      <c r="O72" s="200"/>
      <c r="P72" s="4"/>
      <c r="Q72" s="4"/>
      <c r="R72" s="4"/>
      <c r="S72" s="4"/>
      <c r="T72" s="4"/>
      <c r="U72" s="200"/>
      <c r="V72" s="200"/>
      <c r="W72" s="183"/>
      <c r="X72" s="4"/>
      <c r="Y72" s="4"/>
      <c r="Z72" s="4"/>
      <c r="AA72" s="4"/>
      <c r="AB72" s="200"/>
      <c r="AC72" s="200"/>
      <c r="AD72" s="4"/>
      <c r="AE72" s="4"/>
      <c r="AF72" s="4"/>
      <c r="AG72" s="4"/>
      <c r="AH72" s="4"/>
      <c r="AJ72" s="71">
        <f t="shared" si="2"/>
        <v>0</v>
      </c>
    </row>
    <row r="73" spans="2:36" hidden="1" outlineLevel="1" x14ac:dyDescent="0.25">
      <c r="B73" s="151"/>
      <c r="C73" s="54" t="s">
        <v>77</v>
      </c>
      <c r="D73" s="5"/>
      <c r="E73" s="5"/>
      <c r="F73" s="5"/>
      <c r="G73" s="200"/>
      <c r="H73" s="200"/>
      <c r="I73" s="5"/>
      <c r="J73" s="5"/>
      <c r="K73" s="5"/>
      <c r="L73" s="183"/>
      <c r="M73" s="5"/>
      <c r="N73" s="200"/>
      <c r="O73" s="200"/>
      <c r="P73" s="5"/>
      <c r="Q73" s="5"/>
      <c r="R73" s="5"/>
      <c r="S73" s="5"/>
      <c r="T73" s="5"/>
      <c r="U73" s="200"/>
      <c r="V73" s="200"/>
      <c r="W73" s="183"/>
      <c r="X73" s="5"/>
      <c r="Y73" s="5"/>
      <c r="Z73" s="5"/>
      <c r="AA73" s="5"/>
      <c r="AB73" s="200"/>
      <c r="AC73" s="200"/>
      <c r="AD73" s="5"/>
      <c r="AE73" s="5"/>
      <c r="AF73" s="5"/>
      <c r="AG73" s="5"/>
      <c r="AH73" s="5"/>
      <c r="AJ73" s="72">
        <f t="shared" si="2"/>
        <v>0</v>
      </c>
    </row>
    <row r="74" spans="2:36" ht="15.75" hidden="1" outlineLevel="1" thickBot="1" x14ac:dyDescent="0.3">
      <c r="B74" s="151"/>
      <c r="C74" s="9" t="s">
        <v>3</v>
      </c>
      <c r="D74" s="8"/>
      <c r="E74" s="8"/>
      <c r="F74" s="8"/>
      <c r="G74" s="201"/>
      <c r="H74" s="201"/>
      <c r="I74" s="8"/>
      <c r="J74" s="8"/>
      <c r="K74" s="8"/>
      <c r="L74" s="183"/>
      <c r="M74" s="8"/>
      <c r="N74" s="201"/>
      <c r="O74" s="201"/>
      <c r="P74" s="8"/>
      <c r="Q74" s="8"/>
      <c r="R74" s="8"/>
      <c r="S74" s="8"/>
      <c r="T74" s="8"/>
      <c r="U74" s="201"/>
      <c r="V74" s="201"/>
      <c r="W74" s="183"/>
      <c r="X74" s="8"/>
      <c r="Y74" s="8"/>
      <c r="Z74" s="8"/>
      <c r="AA74" s="8"/>
      <c r="AB74" s="201"/>
      <c r="AC74" s="201"/>
      <c r="AD74" s="8"/>
      <c r="AE74" s="8"/>
      <c r="AF74" s="8"/>
      <c r="AG74" s="8"/>
      <c r="AH74" s="8"/>
      <c r="AI74" s="7"/>
      <c r="AJ74" s="69">
        <f t="shared" si="2"/>
        <v>0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2"/>
      <c r="E75" s="2">
        <v>4</v>
      </c>
      <c r="F75" s="2">
        <v>0</v>
      </c>
      <c r="G75" s="200"/>
      <c r="H75" s="200"/>
      <c r="I75" s="2"/>
      <c r="J75" s="2"/>
      <c r="K75" s="2"/>
      <c r="L75" s="183"/>
      <c r="M75" s="2"/>
      <c r="N75" s="200"/>
      <c r="O75" s="200"/>
      <c r="P75" s="2"/>
      <c r="Q75" s="2"/>
      <c r="R75" s="2"/>
      <c r="S75" s="64">
        <v>4.5</v>
      </c>
      <c r="T75" s="2">
        <v>8</v>
      </c>
      <c r="U75" s="200"/>
      <c r="V75" s="200"/>
      <c r="W75" s="183"/>
      <c r="X75" s="2">
        <v>8</v>
      </c>
      <c r="Y75" s="2">
        <v>8</v>
      </c>
      <c r="Z75" s="2">
        <v>8</v>
      </c>
      <c r="AA75" s="2">
        <v>8</v>
      </c>
      <c r="AB75" s="200"/>
      <c r="AC75" s="200"/>
      <c r="AD75" s="2">
        <v>8</v>
      </c>
      <c r="AE75" s="2">
        <v>8</v>
      </c>
      <c r="AF75" s="2">
        <v>8</v>
      </c>
      <c r="AG75" s="2">
        <v>8</v>
      </c>
      <c r="AH75" s="2">
        <v>8</v>
      </c>
      <c r="AJ75" s="64">
        <f t="shared" si="2"/>
        <v>88.5</v>
      </c>
    </row>
    <row r="76" spans="2:36" ht="15.75" hidden="1" outlineLevel="1" thickTop="1" x14ac:dyDescent="0.25">
      <c r="B76" s="150"/>
      <c r="C76" s="1" t="s">
        <v>1</v>
      </c>
      <c r="D76" s="3"/>
      <c r="E76" s="3"/>
      <c r="F76" s="3"/>
      <c r="G76" s="200"/>
      <c r="H76" s="200"/>
      <c r="I76" s="3"/>
      <c r="J76" s="3"/>
      <c r="K76" s="3"/>
      <c r="L76" s="183"/>
      <c r="M76" s="3"/>
      <c r="N76" s="200"/>
      <c r="O76" s="200"/>
      <c r="P76" s="3"/>
      <c r="Q76" s="3"/>
      <c r="R76" s="3"/>
      <c r="S76" s="3"/>
      <c r="T76" s="3"/>
      <c r="U76" s="200"/>
      <c r="V76" s="200"/>
      <c r="W76" s="183"/>
      <c r="X76" s="3"/>
      <c r="Y76" s="3"/>
      <c r="Z76" s="3"/>
      <c r="AA76" s="3"/>
      <c r="AB76" s="200"/>
      <c r="AC76" s="200"/>
      <c r="AD76" s="3"/>
      <c r="AE76" s="3"/>
      <c r="AF76" s="3"/>
      <c r="AG76" s="3"/>
      <c r="AH76" s="3"/>
      <c r="AJ76" s="70">
        <f t="shared" si="2"/>
        <v>0</v>
      </c>
    </row>
    <row r="77" spans="2:36" hidden="1" outlineLevel="1" x14ac:dyDescent="0.25">
      <c r="B77" s="151"/>
      <c r="C77" s="1" t="s">
        <v>2</v>
      </c>
      <c r="D77" s="4"/>
      <c r="E77" s="4"/>
      <c r="F77" s="4"/>
      <c r="G77" s="200"/>
      <c r="H77" s="200"/>
      <c r="I77" s="4"/>
      <c r="J77" s="4"/>
      <c r="K77" s="4"/>
      <c r="L77" s="183"/>
      <c r="M77" s="4"/>
      <c r="N77" s="200"/>
      <c r="O77" s="200"/>
      <c r="P77" s="4"/>
      <c r="Q77" s="4"/>
      <c r="R77" s="4"/>
      <c r="S77" s="4"/>
      <c r="T77" s="4"/>
      <c r="U77" s="200"/>
      <c r="V77" s="200"/>
      <c r="W77" s="183"/>
      <c r="X77" s="4"/>
      <c r="Y77" s="4"/>
      <c r="Z77" s="4"/>
      <c r="AA77" s="4"/>
      <c r="AB77" s="200"/>
      <c r="AC77" s="200"/>
      <c r="AD77" s="4"/>
      <c r="AE77" s="4"/>
      <c r="AF77" s="4"/>
      <c r="AG77" s="4"/>
      <c r="AH77" s="4"/>
      <c r="AJ77" s="71">
        <f t="shared" si="2"/>
        <v>0</v>
      </c>
    </row>
    <row r="78" spans="2:36" hidden="1" outlineLevel="1" x14ac:dyDescent="0.25">
      <c r="B78" s="151"/>
      <c r="C78" s="54" t="s">
        <v>77</v>
      </c>
      <c r="D78" s="5"/>
      <c r="E78" s="5"/>
      <c r="F78" s="5"/>
      <c r="G78" s="200"/>
      <c r="H78" s="200"/>
      <c r="I78" s="5"/>
      <c r="J78" s="5"/>
      <c r="K78" s="5"/>
      <c r="L78" s="183"/>
      <c r="M78" s="5"/>
      <c r="N78" s="200"/>
      <c r="O78" s="200"/>
      <c r="P78" s="5"/>
      <c r="Q78" s="5"/>
      <c r="R78" s="5"/>
      <c r="S78" s="5"/>
      <c r="T78" s="5"/>
      <c r="U78" s="200"/>
      <c r="V78" s="200"/>
      <c r="W78" s="183"/>
      <c r="X78" s="5"/>
      <c r="Y78" s="5"/>
      <c r="Z78" s="5"/>
      <c r="AA78" s="5"/>
      <c r="AB78" s="200"/>
      <c r="AC78" s="200"/>
      <c r="AD78" s="5"/>
      <c r="AE78" s="5"/>
      <c r="AF78" s="5"/>
      <c r="AG78" s="5"/>
      <c r="AH78" s="5"/>
      <c r="AJ78" s="72">
        <f t="shared" si="2"/>
        <v>0</v>
      </c>
    </row>
    <row r="79" spans="2:36" ht="15.75" hidden="1" outlineLevel="1" thickBot="1" x14ac:dyDescent="0.3">
      <c r="B79" s="151"/>
      <c r="C79" s="9" t="s">
        <v>3</v>
      </c>
      <c r="D79" s="8"/>
      <c r="E79" s="8"/>
      <c r="F79" s="8"/>
      <c r="G79" s="201"/>
      <c r="H79" s="201"/>
      <c r="I79" s="8"/>
      <c r="J79" s="8"/>
      <c r="K79" s="8"/>
      <c r="L79" s="183"/>
      <c r="M79" s="8"/>
      <c r="N79" s="201"/>
      <c r="O79" s="201"/>
      <c r="P79" s="8"/>
      <c r="Q79" s="8"/>
      <c r="R79" s="8"/>
      <c r="S79" s="8"/>
      <c r="T79" s="8"/>
      <c r="U79" s="201"/>
      <c r="V79" s="201"/>
      <c r="W79" s="183"/>
      <c r="X79" s="8"/>
      <c r="Y79" s="8"/>
      <c r="Z79" s="8"/>
      <c r="AA79" s="8"/>
      <c r="AB79" s="201"/>
      <c r="AC79" s="201"/>
      <c r="AD79" s="8"/>
      <c r="AE79" s="8"/>
      <c r="AF79" s="8"/>
      <c r="AG79" s="8"/>
      <c r="AH79" s="8"/>
      <c r="AI79" s="7"/>
      <c r="AJ79" s="69">
        <f t="shared" si="2"/>
        <v>0</v>
      </c>
    </row>
    <row r="80" spans="2:36" ht="16.5" hidden="1" collapsed="1" thickTop="1" thickBot="1" x14ac:dyDescent="0.3">
      <c r="B80" s="253" t="str">
        <f>'Hours Scheduled'!B19</f>
        <v>Loek Moling</v>
      </c>
      <c r="C80" t="s">
        <v>0</v>
      </c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J80" s="64">
        <f t="shared" si="2"/>
        <v>0</v>
      </c>
    </row>
    <row r="81" spans="2:36" ht="15.75" hidden="1" outlineLevel="1" thickTop="1" x14ac:dyDescent="0.25">
      <c r="B81" s="150"/>
      <c r="C81" s="1" t="s">
        <v>1</v>
      </c>
      <c r="D81" s="3"/>
      <c r="E81" s="3"/>
      <c r="F81" s="3"/>
      <c r="G81" s="200"/>
      <c r="H81" s="200"/>
      <c r="I81" s="3"/>
      <c r="J81" s="3"/>
      <c r="K81" s="3"/>
      <c r="L81" s="183"/>
      <c r="M81" s="3"/>
      <c r="N81" s="200"/>
      <c r="O81" s="200"/>
      <c r="P81" s="3"/>
      <c r="Q81" s="3"/>
      <c r="R81" s="3"/>
      <c r="S81" s="3"/>
      <c r="T81" s="3"/>
      <c r="U81" s="200"/>
      <c r="V81" s="200"/>
      <c r="W81" s="183"/>
      <c r="X81" s="3"/>
      <c r="Y81" s="3"/>
      <c r="Z81" s="3"/>
      <c r="AA81" s="3"/>
      <c r="AB81" s="200"/>
      <c r="AC81" s="200"/>
      <c r="AD81" s="3"/>
      <c r="AE81" s="3"/>
      <c r="AF81" s="3"/>
      <c r="AG81" s="3"/>
      <c r="AH81" s="3"/>
      <c r="AJ81" s="70">
        <f t="shared" si="2"/>
        <v>0</v>
      </c>
    </row>
    <row r="82" spans="2:36" hidden="1" outlineLevel="1" x14ac:dyDescent="0.25">
      <c r="B82" s="151"/>
      <c r="C82" s="1" t="s">
        <v>2</v>
      </c>
      <c r="D82" s="4"/>
      <c r="E82" s="4"/>
      <c r="F82" s="4"/>
      <c r="G82" s="200"/>
      <c r="H82" s="200"/>
      <c r="I82" s="4"/>
      <c r="J82" s="4"/>
      <c r="K82" s="4"/>
      <c r="L82" s="183"/>
      <c r="M82" s="4"/>
      <c r="N82" s="200"/>
      <c r="O82" s="200"/>
      <c r="P82" s="4"/>
      <c r="Q82" s="4"/>
      <c r="R82" s="4"/>
      <c r="S82" s="4"/>
      <c r="T82" s="4"/>
      <c r="U82" s="200"/>
      <c r="V82" s="200"/>
      <c r="W82" s="183"/>
      <c r="X82" s="4"/>
      <c r="Y82" s="4"/>
      <c r="Z82" s="4"/>
      <c r="AA82" s="4"/>
      <c r="AB82" s="200"/>
      <c r="AC82" s="200"/>
      <c r="AD82" s="4"/>
      <c r="AE82" s="4"/>
      <c r="AF82" s="4"/>
      <c r="AG82" s="4"/>
      <c r="AH82" s="4"/>
      <c r="AJ82" s="71">
        <f t="shared" si="2"/>
        <v>0</v>
      </c>
    </row>
    <row r="83" spans="2:36" hidden="1" outlineLevel="1" x14ac:dyDescent="0.25">
      <c r="B83" s="151"/>
      <c r="C83" s="54" t="s">
        <v>77</v>
      </c>
      <c r="D83" s="5"/>
      <c r="E83" s="5"/>
      <c r="F83" s="5"/>
      <c r="G83" s="200"/>
      <c r="H83" s="200"/>
      <c r="I83" s="5"/>
      <c r="J83" s="5"/>
      <c r="K83" s="5"/>
      <c r="L83" s="183"/>
      <c r="M83" s="5"/>
      <c r="N83" s="200"/>
      <c r="O83" s="200"/>
      <c r="P83" s="5"/>
      <c r="Q83" s="5"/>
      <c r="R83" s="5"/>
      <c r="S83" s="5"/>
      <c r="T83" s="5"/>
      <c r="U83" s="200"/>
      <c r="V83" s="200"/>
      <c r="W83" s="183"/>
      <c r="X83" s="5"/>
      <c r="Y83" s="5"/>
      <c r="Z83" s="5"/>
      <c r="AA83" s="5"/>
      <c r="AB83" s="200"/>
      <c r="AC83" s="200"/>
      <c r="AD83" s="5"/>
      <c r="AE83" s="5"/>
      <c r="AF83" s="5"/>
      <c r="AG83" s="5"/>
      <c r="AH83" s="5"/>
      <c r="AJ83" s="72">
        <f t="shared" si="2"/>
        <v>0</v>
      </c>
    </row>
    <row r="84" spans="2:36" ht="15.75" hidden="1" outlineLevel="1" thickBot="1" x14ac:dyDescent="0.3">
      <c r="B84" s="151"/>
      <c r="C84" s="9" t="s">
        <v>3</v>
      </c>
      <c r="D84" s="8"/>
      <c r="E84" s="8"/>
      <c r="F84" s="8"/>
      <c r="G84" s="201"/>
      <c r="H84" s="201"/>
      <c r="I84" s="8"/>
      <c r="J84" s="8"/>
      <c r="K84" s="8"/>
      <c r="L84" s="183"/>
      <c r="M84" s="8"/>
      <c r="N84" s="201"/>
      <c r="O84" s="201"/>
      <c r="P84" s="8"/>
      <c r="Q84" s="8"/>
      <c r="R84" s="8"/>
      <c r="S84" s="8"/>
      <c r="T84" s="8"/>
      <c r="U84" s="201"/>
      <c r="V84" s="201"/>
      <c r="W84" s="183"/>
      <c r="X84" s="8"/>
      <c r="Y84" s="8"/>
      <c r="Z84" s="8"/>
      <c r="AA84" s="8"/>
      <c r="AB84" s="201"/>
      <c r="AC84" s="201"/>
      <c r="AD84" s="8"/>
      <c r="AE84" s="8"/>
      <c r="AF84" s="8"/>
      <c r="AG84" s="8"/>
      <c r="AH84" s="8"/>
      <c r="AI84" s="7"/>
      <c r="AJ84" s="69">
        <f t="shared" si="2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2">
        <v>8</v>
      </c>
      <c r="E85" s="2"/>
      <c r="F85" s="2"/>
      <c r="G85" s="200"/>
      <c r="H85" s="200"/>
      <c r="I85" s="2"/>
      <c r="J85" s="2"/>
      <c r="K85" s="2"/>
      <c r="L85" s="183"/>
      <c r="M85" s="2">
        <v>8</v>
      </c>
      <c r="N85" s="200"/>
      <c r="O85" s="200"/>
      <c r="P85" s="2"/>
      <c r="Q85" s="2"/>
      <c r="R85" s="2"/>
      <c r="S85" s="2"/>
      <c r="T85" s="2"/>
      <c r="U85" s="200"/>
      <c r="V85" s="200"/>
      <c r="W85" s="183"/>
      <c r="X85" s="2"/>
      <c r="Y85" s="2"/>
      <c r="Z85" s="2"/>
      <c r="AA85" s="2">
        <v>8</v>
      </c>
      <c r="AB85" s="200"/>
      <c r="AC85" s="200"/>
      <c r="AD85" s="2"/>
      <c r="AE85" s="2"/>
      <c r="AF85" s="2"/>
      <c r="AG85" s="2">
        <v>8</v>
      </c>
      <c r="AH85" s="2">
        <v>8</v>
      </c>
      <c r="AJ85" s="74">
        <f t="shared" si="2"/>
        <v>40</v>
      </c>
    </row>
    <row r="86" spans="2:36" ht="15.75" hidden="1" outlineLevel="1" thickTop="1" x14ac:dyDescent="0.25">
      <c r="B86" s="150"/>
      <c r="C86" s="1" t="s">
        <v>1</v>
      </c>
      <c r="D86" s="3"/>
      <c r="E86" s="3"/>
      <c r="F86" s="3"/>
      <c r="G86" s="200"/>
      <c r="H86" s="200"/>
      <c r="I86" s="3"/>
      <c r="J86" s="3"/>
      <c r="K86" s="3"/>
      <c r="L86" s="183"/>
      <c r="M86" s="3"/>
      <c r="N86" s="200"/>
      <c r="O86" s="200"/>
      <c r="P86" s="3"/>
      <c r="Q86" s="3"/>
      <c r="R86" s="3"/>
      <c r="S86" s="3"/>
      <c r="T86" s="3"/>
      <c r="U86" s="200"/>
      <c r="V86" s="200"/>
      <c r="W86" s="183"/>
      <c r="X86" s="3"/>
      <c r="Y86" s="3"/>
      <c r="Z86" s="3"/>
      <c r="AA86" s="3"/>
      <c r="AB86" s="200"/>
      <c r="AC86" s="200"/>
      <c r="AD86" s="3"/>
      <c r="AE86" s="3"/>
      <c r="AF86" s="3"/>
      <c r="AG86" s="3"/>
      <c r="AH86" s="3"/>
      <c r="AJ86" s="70">
        <f t="shared" si="2"/>
        <v>0</v>
      </c>
    </row>
    <row r="87" spans="2:36" hidden="1" outlineLevel="1" x14ac:dyDescent="0.25">
      <c r="B87" s="151"/>
      <c r="C87" s="1" t="s">
        <v>2</v>
      </c>
      <c r="D87" s="4"/>
      <c r="E87" s="4"/>
      <c r="F87" s="4"/>
      <c r="G87" s="200"/>
      <c r="H87" s="200"/>
      <c r="I87" s="4"/>
      <c r="J87" s="4"/>
      <c r="K87" s="4"/>
      <c r="L87" s="183"/>
      <c r="M87" s="4"/>
      <c r="N87" s="200"/>
      <c r="O87" s="200"/>
      <c r="P87" s="4"/>
      <c r="Q87" s="4"/>
      <c r="R87" s="4"/>
      <c r="S87" s="4"/>
      <c r="T87" s="4"/>
      <c r="U87" s="200"/>
      <c r="V87" s="200"/>
      <c r="W87" s="183"/>
      <c r="X87" s="4"/>
      <c r="Y87" s="4"/>
      <c r="Z87" s="4"/>
      <c r="AA87" s="4"/>
      <c r="AB87" s="200"/>
      <c r="AC87" s="200"/>
      <c r="AD87" s="4"/>
      <c r="AE87" s="4"/>
      <c r="AF87" s="4"/>
      <c r="AG87" s="4"/>
      <c r="AH87" s="4"/>
      <c r="AJ87" s="71">
        <f t="shared" si="2"/>
        <v>0</v>
      </c>
    </row>
    <row r="88" spans="2:36" hidden="1" outlineLevel="1" x14ac:dyDescent="0.25">
      <c r="B88" s="151"/>
      <c r="C88" s="54" t="s">
        <v>77</v>
      </c>
      <c r="D88" s="5"/>
      <c r="E88" s="5"/>
      <c r="F88" s="5"/>
      <c r="G88" s="200"/>
      <c r="H88" s="200"/>
      <c r="I88" s="5"/>
      <c r="J88" s="5"/>
      <c r="K88" s="5"/>
      <c r="L88" s="183"/>
      <c r="M88" s="5"/>
      <c r="N88" s="200"/>
      <c r="O88" s="200"/>
      <c r="P88" s="5"/>
      <c r="Q88" s="5"/>
      <c r="R88" s="5"/>
      <c r="S88" s="5"/>
      <c r="T88" s="5"/>
      <c r="U88" s="200"/>
      <c r="V88" s="200"/>
      <c r="W88" s="183"/>
      <c r="X88" s="5"/>
      <c r="Y88" s="5"/>
      <c r="Z88" s="5"/>
      <c r="AA88" s="5"/>
      <c r="AB88" s="200"/>
      <c r="AC88" s="200"/>
      <c r="AD88" s="5"/>
      <c r="AE88" s="5"/>
      <c r="AF88" s="5"/>
      <c r="AG88" s="5"/>
      <c r="AH88" s="5"/>
      <c r="AJ88" s="72">
        <f t="shared" si="2"/>
        <v>0</v>
      </c>
    </row>
    <row r="89" spans="2:36" ht="15.75" hidden="1" outlineLevel="1" thickBot="1" x14ac:dyDescent="0.3">
      <c r="B89" s="151"/>
      <c r="C89" s="9" t="s">
        <v>3</v>
      </c>
      <c r="D89" s="8"/>
      <c r="E89" s="8"/>
      <c r="F89" s="8"/>
      <c r="G89" s="201"/>
      <c r="H89" s="201"/>
      <c r="I89" s="8"/>
      <c r="J89" s="8"/>
      <c r="K89" s="8"/>
      <c r="L89" s="183"/>
      <c r="M89" s="8"/>
      <c r="N89" s="201"/>
      <c r="O89" s="201"/>
      <c r="P89" s="8"/>
      <c r="Q89" s="8"/>
      <c r="R89" s="8"/>
      <c r="S89" s="8"/>
      <c r="T89" s="8"/>
      <c r="U89" s="201"/>
      <c r="V89" s="201"/>
      <c r="W89" s="183"/>
      <c r="X89" s="8"/>
      <c r="Y89" s="8"/>
      <c r="Z89" s="8"/>
      <c r="AA89" s="8"/>
      <c r="AB89" s="201"/>
      <c r="AC89" s="201"/>
      <c r="AD89" s="8"/>
      <c r="AE89" s="8"/>
      <c r="AF89" s="8"/>
      <c r="AG89" s="8"/>
      <c r="AH89" s="8"/>
      <c r="AI89" s="7"/>
      <c r="AJ89" s="69">
        <f t="shared" si="2"/>
        <v>0</v>
      </c>
    </row>
    <row r="90" spans="2:36" ht="16.5" hidden="1" collapsed="1" thickTop="1" thickBot="1" x14ac:dyDescent="0.3">
      <c r="B90" s="253" t="str">
        <f>'Hours Scheduled'!B21</f>
        <v>Manuel Sperti</v>
      </c>
      <c r="C90" t="s">
        <v>0</v>
      </c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  <c r="AA90" s="200"/>
      <c r="AB90" s="200"/>
      <c r="AC90" s="200"/>
      <c r="AD90" s="200"/>
      <c r="AE90" s="200"/>
      <c r="AF90" s="200"/>
      <c r="AG90" s="200"/>
      <c r="AH90" s="200"/>
      <c r="AJ90" s="64">
        <f t="shared" si="2"/>
        <v>0</v>
      </c>
    </row>
    <row r="91" spans="2:36" ht="15.75" hidden="1" outlineLevel="1" thickTop="1" x14ac:dyDescent="0.25">
      <c r="B91" s="150"/>
      <c r="C91" s="1" t="s">
        <v>1</v>
      </c>
      <c r="D91" s="3"/>
      <c r="E91" s="3"/>
      <c r="F91" s="3"/>
      <c r="G91" s="200"/>
      <c r="H91" s="200"/>
      <c r="I91" s="3"/>
      <c r="J91" s="3"/>
      <c r="K91" s="3"/>
      <c r="L91" s="183"/>
      <c r="M91" s="3"/>
      <c r="N91" s="200"/>
      <c r="O91" s="200"/>
      <c r="P91" s="3"/>
      <c r="Q91" s="3"/>
      <c r="R91" s="3"/>
      <c r="S91" s="3"/>
      <c r="T91" s="3"/>
      <c r="U91" s="200"/>
      <c r="V91" s="200"/>
      <c r="W91" s="183"/>
      <c r="X91" s="3"/>
      <c r="Y91" s="3"/>
      <c r="Z91" s="3"/>
      <c r="AA91" s="3"/>
      <c r="AB91" s="200"/>
      <c r="AC91" s="200"/>
      <c r="AD91" s="3"/>
      <c r="AE91" s="3"/>
      <c r="AF91" s="3"/>
      <c r="AG91" s="3"/>
      <c r="AH91" s="3"/>
      <c r="AJ91" s="70">
        <f t="shared" si="2"/>
        <v>0</v>
      </c>
    </row>
    <row r="92" spans="2:36" hidden="1" outlineLevel="1" x14ac:dyDescent="0.25">
      <c r="B92" s="151"/>
      <c r="C92" s="1" t="s">
        <v>2</v>
      </c>
      <c r="D92" s="4"/>
      <c r="E92" s="4"/>
      <c r="F92" s="4"/>
      <c r="G92" s="200"/>
      <c r="H92" s="200"/>
      <c r="I92" s="4"/>
      <c r="J92" s="4"/>
      <c r="K92" s="4"/>
      <c r="L92" s="183"/>
      <c r="M92" s="4"/>
      <c r="N92" s="200"/>
      <c r="O92" s="200"/>
      <c r="P92" s="4"/>
      <c r="Q92" s="4"/>
      <c r="R92" s="4"/>
      <c r="S92" s="4"/>
      <c r="T92" s="4"/>
      <c r="U92" s="200"/>
      <c r="V92" s="200"/>
      <c r="W92" s="183"/>
      <c r="X92" s="4"/>
      <c r="Y92" s="4"/>
      <c r="Z92" s="4"/>
      <c r="AA92" s="4"/>
      <c r="AB92" s="200"/>
      <c r="AC92" s="200"/>
      <c r="AD92" s="4"/>
      <c r="AE92" s="4"/>
      <c r="AF92" s="4"/>
      <c r="AG92" s="4"/>
      <c r="AH92" s="4"/>
      <c r="AJ92" s="71">
        <f t="shared" si="2"/>
        <v>0</v>
      </c>
    </row>
    <row r="93" spans="2:36" hidden="1" outlineLevel="1" x14ac:dyDescent="0.25">
      <c r="B93" s="151"/>
      <c r="C93" s="54" t="s">
        <v>77</v>
      </c>
      <c r="D93" s="5"/>
      <c r="E93" s="5"/>
      <c r="F93" s="5"/>
      <c r="G93" s="200"/>
      <c r="H93" s="200"/>
      <c r="I93" s="5"/>
      <c r="J93" s="5"/>
      <c r="K93" s="5"/>
      <c r="L93" s="183"/>
      <c r="M93" s="5"/>
      <c r="N93" s="200"/>
      <c r="O93" s="200"/>
      <c r="P93" s="5"/>
      <c r="Q93" s="5"/>
      <c r="R93" s="5"/>
      <c r="S93" s="5"/>
      <c r="T93" s="5"/>
      <c r="U93" s="200"/>
      <c r="V93" s="200"/>
      <c r="W93" s="183"/>
      <c r="X93" s="5"/>
      <c r="Y93" s="5"/>
      <c r="Z93" s="5"/>
      <c r="AA93" s="5"/>
      <c r="AB93" s="200"/>
      <c r="AC93" s="200"/>
      <c r="AD93" s="5"/>
      <c r="AE93" s="5"/>
      <c r="AF93" s="5"/>
      <c r="AG93" s="5"/>
      <c r="AH93" s="5"/>
      <c r="AJ93" s="72">
        <f t="shared" si="2"/>
        <v>0</v>
      </c>
    </row>
    <row r="94" spans="2:36" ht="15.75" hidden="1" outlineLevel="1" thickBot="1" x14ac:dyDescent="0.3">
      <c r="B94" s="151"/>
      <c r="C94" s="9" t="s">
        <v>3</v>
      </c>
      <c r="D94" s="8"/>
      <c r="E94" s="8"/>
      <c r="F94" s="8"/>
      <c r="G94" s="201"/>
      <c r="H94" s="201"/>
      <c r="I94" s="8"/>
      <c r="J94" s="8"/>
      <c r="K94" s="8"/>
      <c r="L94" s="183"/>
      <c r="M94" s="8"/>
      <c r="N94" s="201"/>
      <c r="O94" s="201"/>
      <c r="P94" s="8"/>
      <c r="Q94" s="8"/>
      <c r="R94" s="8"/>
      <c r="S94" s="8"/>
      <c r="T94" s="8"/>
      <c r="U94" s="201"/>
      <c r="V94" s="201"/>
      <c r="W94" s="183"/>
      <c r="X94" s="8"/>
      <c r="Y94" s="8"/>
      <c r="Z94" s="8"/>
      <c r="AA94" s="8"/>
      <c r="AB94" s="201"/>
      <c r="AC94" s="201"/>
      <c r="AD94" s="8"/>
      <c r="AE94" s="8"/>
      <c r="AF94" s="8"/>
      <c r="AG94" s="8"/>
      <c r="AH94" s="8"/>
      <c r="AI94" s="7"/>
      <c r="AJ94" s="69">
        <f t="shared" si="2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2">
        <v>8</v>
      </c>
      <c r="E95" s="2"/>
      <c r="F95" s="2"/>
      <c r="G95" s="200"/>
      <c r="H95" s="200"/>
      <c r="I95" s="2">
        <v>8</v>
      </c>
      <c r="J95" s="2">
        <v>8</v>
      </c>
      <c r="K95" s="2"/>
      <c r="L95" s="183"/>
      <c r="M95" s="2"/>
      <c r="N95" s="200"/>
      <c r="O95" s="200"/>
      <c r="P95" s="2"/>
      <c r="Q95" s="2"/>
      <c r="R95" s="2"/>
      <c r="S95" s="2">
        <v>4</v>
      </c>
      <c r="T95" s="2">
        <v>8</v>
      </c>
      <c r="U95" s="200"/>
      <c r="V95" s="200"/>
      <c r="W95" s="183"/>
      <c r="X95" s="2">
        <v>0</v>
      </c>
      <c r="Y95" s="2"/>
      <c r="Z95" s="2"/>
      <c r="AA95" s="2"/>
      <c r="AB95" s="200"/>
      <c r="AC95" s="200"/>
      <c r="AD95" s="2">
        <v>1</v>
      </c>
      <c r="AE95" s="2"/>
      <c r="AF95" s="2"/>
      <c r="AG95" s="2"/>
      <c r="AH95" s="2">
        <v>4</v>
      </c>
      <c r="AJ95" s="64">
        <f t="shared" si="2"/>
        <v>41</v>
      </c>
    </row>
    <row r="96" spans="2:36" ht="15.75" hidden="1" outlineLevel="1" thickTop="1" x14ac:dyDescent="0.25">
      <c r="B96" s="150"/>
      <c r="C96" s="1" t="s">
        <v>1</v>
      </c>
      <c r="D96" s="3"/>
      <c r="E96" s="3"/>
      <c r="F96" s="3"/>
      <c r="G96" s="200"/>
      <c r="H96" s="200"/>
      <c r="I96" s="3"/>
      <c r="J96" s="3"/>
      <c r="K96" s="3"/>
      <c r="L96" s="183"/>
      <c r="M96" s="3"/>
      <c r="N96" s="200"/>
      <c r="O96" s="200"/>
      <c r="P96" s="3"/>
      <c r="Q96" s="3"/>
      <c r="R96" s="3"/>
      <c r="S96" s="3"/>
      <c r="T96" s="3"/>
      <c r="U96" s="200"/>
      <c r="V96" s="200"/>
      <c r="W96" s="183"/>
      <c r="X96" s="3"/>
      <c r="Y96" s="3"/>
      <c r="Z96" s="3"/>
      <c r="AA96" s="3"/>
      <c r="AB96" s="200"/>
      <c r="AC96" s="200"/>
      <c r="AD96" s="3"/>
      <c r="AE96" s="3"/>
      <c r="AF96" s="3"/>
      <c r="AG96" s="3"/>
      <c r="AH96" s="3"/>
      <c r="AJ96" s="70">
        <f t="shared" si="2"/>
        <v>0</v>
      </c>
    </row>
    <row r="97" spans="2:36" hidden="1" outlineLevel="1" x14ac:dyDescent="0.25">
      <c r="B97" s="151"/>
      <c r="C97" s="1" t="s">
        <v>2</v>
      </c>
      <c r="D97" s="4"/>
      <c r="E97" s="4"/>
      <c r="F97" s="4"/>
      <c r="G97" s="200"/>
      <c r="H97" s="200"/>
      <c r="I97" s="4"/>
      <c r="J97" s="4"/>
      <c r="K97" s="4"/>
      <c r="L97" s="183"/>
      <c r="M97" s="4"/>
      <c r="N97" s="200"/>
      <c r="O97" s="200"/>
      <c r="P97" s="4"/>
      <c r="Q97" s="4"/>
      <c r="R97" s="4"/>
      <c r="S97" s="4"/>
      <c r="T97" s="4"/>
      <c r="U97" s="200"/>
      <c r="V97" s="200"/>
      <c r="W97" s="183"/>
      <c r="X97" s="4"/>
      <c r="Y97" s="4"/>
      <c r="Z97" s="4"/>
      <c r="AA97" s="4"/>
      <c r="AB97" s="200"/>
      <c r="AC97" s="200"/>
      <c r="AD97" s="4"/>
      <c r="AE97" s="4"/>
      <c r="AF97" s="4"/>
      <c r="AG97" s="4"/>
      <c r="AH97" s="4"/>
      <c r="AJ97" s="71">
        <f t="shared" si="2"/>
        <v>0</v>
      </c>
    </row>
    <row r="98" spans="2:36" hidden="1" outlineLevel="1" x14ac:dyDescent="0.25">
      <c r="B98" s="151"/>
      <c r="C98" s="54" t="s">
        <v>77</v>
      </c>
      <c r="D98" s="5"/>
      <c r="E98" s="5"/>
      <c r="F98" s="5"/>
      <c r="G98" s="200"/>
      <c r="H98" s="200"/>
      <c r="I98" s="5"/>
      <c r="J98" s="5"/>
      <c r="K98" s="5"/>
      <c r="L98" s="183"/>
      <c r="M98" s="5"/>
      <c r="N98" s="200"/>
      <c r="O98" s="200"/>
      <c r="P98" s="5"/>
      <c r="Q98" s="5"/>
      <c r="R98" s="5"/>
      <c r="S98" s="5"/>
      <c r="T98" s="5"/>
      <c r="U98" s="200"/>
      <c r="V98" s="200"/>
      <c r="W98" s="183"/>
      <c r="X98" s="5"/>
      <c r="Y98" s="5"/>
      <c r="Z98" s="5"/>
      <c r="AA98" s="5"/>
      <c r="AB98" s="200"/>
      <c r="AC98" s="200"/>
      <c r="AD98" s="5"/>
      <c r="AE98" s="5"/>
      <c r="AF98" s="5"/>
      <c r="AG98" s="5"/>
      <c r="AH98" s="5"/>
      <c r="AJ98" s="72">
        <f t="shared" si="2"/>
        <v>0</v>
      </c>
    </row>
    <row r="99" spans="2:36" ht="15.75" hidden="1" outlineLevel="1" thickBot="1" x14ac:dyDescent="0.3">
      <c r="B99" s="151"/>
      <c r="C99" s="9" t="s">
        <v>3</v>
      </c>
      <c r="D99" s="8"/>
      <c r="E99" s="8"/>
      <c r="F99" s="8"/>
      <c r="G99" s="201"/>
      <c r="H99" s="201"/>
      <c r="I99" s="8"/>
      <c r="J99" s="8"/>
      <c r="K99" s="8"/>
      <c r="L99" s="183"/>
      <c r="M99" s="8"/>
      <c r="N99" s="201"/>
      <c r="O99" s="201"/>
      <c r="P99" s="8"/>
      <c r="Q99" s="8"/>
      <c r="R99" s="8"/>
      <c r="S99" s="8"/>
      <c r="T99" s="8"/>
      <c r="U99" s="201"/>
      <c r="V99" s="201"/>
      <c r="W99" s="183"/>
      <c r="X99" s="8"/>
      <c r="Y99" s="8"/>
      <c r="Z99" s="8"/>
      <c r="AA99" s="8"/>
      <c r="AB99" s="201"/>
      <c r="AC99" s="201"/>
      <c r="AD99" s="8"/>
      <c r="AE99" s="8"/>
      <c r="AF99" s="8"/>
      <c r="AG99" s="8"/>
      <c r="AH99" s="8"/>
      <c r="AI99" s="7"/>
      <c r="AJ99" s="69">
        <f t="shared" si="2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64">
        <v>1.5</v>
      </c>
      <c r="E100" s="2"/>
      <c r="F100" s="2"/>
      <c r="G100" s="200"/>
      <c r="H100" s="200"/>
      <c r="I100" s="2"/>
      <c r="J100" s="2"/>
      <c r="K100" s="2"/>
      <c r="L100" s="183"/>
      <c r="M100" s="2"/>
      <c r="N100" s="200"/>
      <c r="O100" s="200"/>
      <c r="P100" s="2"/>
      <c r="Q100" s="2"/>
      <c r="R100" s="2"/>
      <c r="S100" s="2">
        <v>0</v>
      </c>
      <c r="T100" s="2">
        <v>0</v>
      </c>
      <c r="U100" s="200"/>
      <c r="V100" s="200"/>
      <c r="W100" s="183"/>
      <c r="X100" s="2"/>
      <c r="Y100" s="2"/>
      <c r="Z100" s="2"/>
      <c r="AA100" s="2">
        <v>8</v>
      </c>
      <c r="AB100" s="200"/>
      <c r="AC100" s="200"/>
      <c r="AD100" s="2"/>
      <c r="AE100" s="2"/>
      <c r="AF100" s="2"/>
      <c r="AG100" s="2"/>
      <c r="AH100" s="2"/>
      <c r="AJ100" s="64">
        <f t="shared" si="2"/>
        <v>9.5</v>
      </c>
    </row>
    <row r="101" spans="2:36" ht="15.75" hidden="1" outlineLevel="1" thickTop="1" x14ac:dyDescent="0.25">
      <c r="B101" s="150"/>
      <c r="C101" s="1" t="s">
        <v>1</v>
      </c>
      <c r="D101" s="3"/>
      <c r="E101" s="3"/>
      <c r="F101" s="3"/>
      <c r="G101" s="200"/>
      <c r="H101" s="200"/>
      <c r="I101" s="3"/>
      <c r="J101" s="3"/>
      <c r="K101" s="3"/>
      <c r="L101" s="183"/>
      <c r="M101" s="3"/>
      <c r="N101" s="200"/>
      <c r="O101" s="200"/>
      <c r="P101" s="3"/>
      <c r="Q101" s="3"/>
      <c r="R101" s="3"/>
      <c r="S101" s="3">
        <v>7.5</v>
      </c>
      <c r="T101" s="3">
        <v>8</v>
      </c>
      <c r="U101" s="200"/>
      <c r="V101" s="200"/>
      <c r="W101" s="183"/>
      <c r="X101" s="3"/>
      <c r="Y101" s="3"/>
      <c r="Z101" s="3"/>
      <c r="AA101" s="3"/>
      <c r="AB101" s="200"/>
      <c r="AC101" s="200"/>
      <c r="AD101" s="3"/>
      <c r="AE101" s="3"/>
      <c r="AF101" s="3"/>
      <c r="AG101" s="3"/>
      <c r="AH101" s="3"/>
      <c r="AJ101" s="70">
        <f t="shared" ref="AJ101:AJ132" si="3">SUM(D101:AH101)</f>
        <v>15.5</v>
      </c>
    </row>
    <row r="102" spans="2:36" hidden="1" outlineLevel="1" x14ac:dyDescent="0.25">
      <c r="B102" s="151"/>
      <c r="C102" s="1" t="s">
        <v>2</v>
      </c>
      <c r="D102" s="4"/>
      <c r="E102" s="4"/>
      <c r="F102" s="4"/>
      <c r="G102" s="200"/>
      <c r="H102" s="200"/>
      <c r="I102" s="4"/>
      <c r="J102" s="4"/>
      <c r="K102" s="4"/>
      <c r="L102" s="183"/>
      <c r="M102" s="4"/>
      <c r="N102" s="200"/>
      <c r="O102" s="200"/>
      <c r="P102" s="4"/>
      <c r="Q102" s="4"/>
      <c r="R102" s="4"/>
      <c r="S102" s="4"/>
      <c r="T102" s="4"/>
      <c r="U102" s="200"/>
      <c r="V102" s="200"/>
      <c r="W102" s="183"/>
      <c r="X102" s="4"/>
      <c r="Y102" s="4"/>
      <c r="Z102" s="4"/>
      <c r="AA102" s="4"/>
      <c r="AB102" s="200"/>
      <c r="AC102" s="200"/>
      <c r="AD102" s="4"/>
      <c r="AE102" s="4"/>
      <c r="AF102" s="4"/>
      <c r="AG102" s="4"/>
      <c r="AH102" s="4"/>
      <c r="AJ102" s="71">
        <f t="shared" si="3"/>
        <v>0</v>
      </c>
    </row>
    <row r="103" spans="2:36" hidden="1" outlineLevel="1" x14ac:dyDescent="0.25">
      <c r="B103" s="151"/>
      <c r="C103" s="54" t="s">
        <v>77</v>
      </c>
      <c r="D103" s="5"/>
      <c r="E103" s="5"/>
      <c r="F103" s="5"/>
      <c r="G103" s="200"/>
      <c r="H103" s="200"/>
      <c r="I103" s="5"/>
      <c r="J103" s="5"/>
      <c r="K103" s="5"/>
      <c r="L103" s="183"/>
      <c r="M103" s="5"/>
      <c r="N103" s="200"/>
      <c r="O103" s="200"/>
      <c r="P103" s="5"/>
      <c r="Q103" s="5"/>
      <c r="R103" s="5"/>
      <c r="S103" s="5"/>
      <c r="T103" s="5"/>
      <c r="U103" s="200"/>
      <c r="V103" s="200"/>
      <c r="W103" s="183"/>
      <c r="X103" s="5"/>
      <c r="Y103" s="5"/>
      <c r="Z103" s="5"/>
      <c r="AA103" s="5"/>
      <c r="AB103" s="200"/>
      <c r="AC103" s="200"/>
      <c r="AD103" s="5"/>
      <c r="AE103" s="5"/>
      <c r="AF103" s="5"/>
      <c r="AG103" s="5"/>
      <c r="AH103" s="5"/>
      <c r="AJ103" s="72">
        <f t="shared" si="3"/>
        <v>0</v>
      </c>
    </row>
    <row r="104" spans="2:36" ht="15.75" hidden="1" outlineLevel="1" thickBot="1" x14ac:dyDescent="0.3">
      <c r="B104" s="151"/>
      <c r="C104" s="9" t="s">
        <v>3</v>
      </c>
      <c r="D104" s="8"/>
      <c r="E104" s="8"/>
      <c r="F104" s="8"/>
      <c r="G104" s="201"/>
      <c r="H104" s="201"/>
      <c r="I104" s="8"/>
      <c r="J104" s="8"/>
      <c r="K104" s="8"/>
      <c r="L104" s="183"/>
      <c r="M104" s="8"/>
      <c r="N104" s="201"/>
      <c r="O104" s="201"/>
      <c r="P104" s="8"/>
      <c r="Q104" s="8"/>
      <c r="R104" s="8"/>
      <c r="S104" s="8"/>
      <c r="T104" s="8"/>
      <c r="U104" s="201"/>
      <c r="V104" s="201"/>
      <c r="W104" s="183"/>
      <c r="X104" s="8"/>
      <c r="Y104" s="8"/>
      <c r="Z104" s="8"/>
      <c r="AA104" s="8"/>
      <c r="AB104" s="201"/>
      <c r="AC104" s="201"/>
      <c r="AD104" s="8"/>
      <c r="AE104" s="8"/>
      <c r="AF104" s="8"/>
      <c r="AG104" s="8"/>
      <c r="AH104" s="8"/>
      <c r="AI104" s="7"/>
      <c r="AJ104" s="69">
        <f t="shared" si="3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2"/>
      <c r="E105" s="2"/>
      <c r="F105" s="2"/>
      <c r="G105" s="200"/>
      <c r="H105" s="200"/>
      <c r="I105" s="2"/>
      <c r="J105" s="2"/>
      <c r="K105" s="2"/>
      <c r="L105" s="183"/>
      <c r="M105" s="2">
        <v>8</v>
      </c>
      <c r="N105" s="200"/>
      <c r="O105" s="200"/>
      <c r="P105" s="2"/>
      <c r="Q105" s="2"/>
      <c r="R105" s="2"/>
      <c r="S105" s="2"/>
      <c r="T105" s="2"/>
      <c r="U105" s="200"/>
      <c r="V105" s="200"/>
      <c r="W105" s="183"/>
      <c r="X105" s="2"/>
      <c r="Y105" s="2"/>
      <c r="Z105" s="2"/>
      <c r="AA105" s="2">
        <v>0</v>
      </c>
      <c r="AB105" s="200"/>
      <c r="AC105" s="200"/>
      <c r="AD105" s="2">
        <v>0</v>
      </c>
      <c r="AE105" s="2">
        <v>0</v>
      </c>
      <c r="AF105" s="2">
        <v>0</v>
      </c>
      <c r="AG105" s="2"/>
      <c r="AH105" s="2"/>
      <c r="AJ105" s="64">
        <f t="shared" si="3"/>
        <v>8</v>
      </c>
    </row>
    <row r="106" spans="2:36" ht="15.75" hidden="1" outlineLevel="1" thickTop="1" x14ac:dyDescent="0.25">
      <c r="B106" s="150"/>
      <c r="C106" s="1" t="s">
        <v>1</v>
      </c>
      <c r="D106" s="3"/>
      <c r="E106" s="3"/>
      <c r="F106" s="3"/>
      <c r="G106" s="200"/>
      <c r="H106" s="200"/>
      <c r="I106" s="3"/>
      <c r="J106" s="3"/>
      <c r="K106" s="3"/>
      <c r="L106" s="183"/>
      <c r="M106" s="3"/>
      <c r="N106" s="200"/>
      <c r="O106" s="200"/>
      <c r="P106" s="3"/>
      <c r="Q106" s="3"/>
      <c r="R106" s="3"/>
      <c r="S106" s="3"/>
      <c r="T106" s="3"/>
      <c r="U106" s="200"/>
      <c r="V106" s="200"/>
      <c r="W106" s="183"/>
      <c r="X106" s="3"/>
      <c r="Y106" s="3"/>
      <c r="Z106" s="3"/>
      <c r="AA106" s="3"/>
      <c r="AB106" s="200"/>
      <c r="AC106" s="200"/>
      <c r="AD106" s="3">
        <v>8</v>
      </c>
      <c r="AE106" s="3">
        <v>8</v>
      </c>
      <c r="AF106" s="3">
        <v>8</v>
      </c>
      <c r="AG106" s="3"/>
      <c r="AH106" s="3"/>
      <c r="AJ106" s="70">
        <f t="shared" si="3"/>
        <v>24</v>
      </c>
    </row>
    <row r="107" spans="2:36" hidden="1" outlineLevel="1" x14ac:dyDescent="0.25">
      <c r="B107" s="151"/>
      <c r="C107" s="1" t="s">
        <v>2</v>
      </c>
      <c r="D107" s="4"/>
      <c r="E107" s="4"/>
      <c r="F107" s="4"/>
      <c r="G107" s="200"/>
      <c r="H107" s="200"/>
      <c r="I107" s="4"/>
      <c r="J107" s="4"/>
      <c r="K107" s="4"/>
      <c r="L107" s="183"/>
      <c r="M107" s="4"/>
      <c r="N107" s="200"/>
      <c r="O107" s="200"/>
      <c r="P107" s="4"/>
      <c r="Q107" s="4"/>
      <c r="R107" s="4"/>
      <c r="S107" s="4"/>
      <c r="T107" s="4"/>
      <c r="U107" s="200"/>
      <c r="V107" s="200"/>
      <c r="W107" s="183"/>
      <c r="X107" s="4"/>
      <c r="Y107" s="4"/>
      <c r="Z107" s="4"/>
      <c r="AA107" s="4"/>
      <c r="AB107" s="200"/>
      <c r="AC107" s="200"/>
      <c r="AD107" s="4"/>
      <c r="AE107" s="4"/>
      <c r="AF107" s="4"/>
      <c r="AG107" s="4"/>
      <c r="AH107" s="4"/>
      <c r="AJ107" s="71">
        <f t="shared" si="3"/>
        <v>0</v>
      </c>
    </row>
    <row r="108" spans="2:36" hidden="1" outlineLevel="1" x14ac:dyDescent="0.25">
      <c r="B108" s="151"/>
      <c r="C108" s="54" t="s">
        <v>77</v>
      </c>
      <c r="D108" s="5"/>
      <c r="E108" s="5"/>
      <c r="F108" s="5"/>
      <c r="G108" s="200"/>
      <c r="H108" s="200"/>
      <c r="I108" s="5"/>
      <c r="J108" s="5"/>
      <c r="K108" s="5"/>
      <c r="L108" s="183"/>
      <c r="M108" s="5"/>
      <c r="N108" s="200"/>
      <c r="O108" s="200"/>
      <c r="P108" s="5"/>
      <c r="Q108" s="5"/>
      <c r="R108" s="5"/>
      <c r="S108" s="5"/>
      <c r="T108" s="5"/>
      <c r="U108" s="200"/>
      <c r="V108" s="200"/>
      <c r="W108" s="183"/>
      <c r="X108" s="5"/>
      <c r="Y108" s="5"/>
      <c r="Z108" s="5"/>
      <c r="AA108" s="5"/>
      <c r="AB108" s="200"/>
      <c r="AC108" s="200"/>
      <c r="AD108" s="5"/>
      <c r="AE108" s="5"/>
      <c r="AF108" s="5"/>
      <c r="AG108" s="5"/>
      <c r="AH108" s="5"/>
      <c r="AJ108" s="72">
        <f t="shared" si="3"/>
        <v>0</v>
      </c>
    </row>
    <row r="109" spans="2:36" ht="15.75" hidden="1" outlineLevel="1" thickBot="1" x14ac:dyDescent="0.3">
      <c r="B109" s="151"/>
      <c r="C109" s="9" t="s">
        <v>3</v>
      </c>
      <c r="D109" s="8"/>
      <c r="E109" s="8"/>
      <c r="F109" s="8"/>
      <c r="G109" s="201"/>
      <c r="H109" s="201"/>
      <c r="I109" s="8"/>
      <c r="J109" s="8"/>
      <c r="K109" s="8"/>
      <c r="L109" s="183"/>
      <c r="M109" s="8"/>
      <c r="N109" s="201"/>
      <c r="O109" s="201"/>
      <c r="P109" s="8"/>
      <c r="Q109" s="8"/>
      <c r="R109" s="8"/>
      <c r="S109" s="8"/>
      <c r="T109" s="8"/>
      <c r="U109" s="201"/>
      <c r="V109" s="201"/>
      <c r="W109" s="183"/>
      <c r="X109" s="8"/>
      <c r="Y109" s="8"/>
      <c r="Z109" s="8"/>
      <c r="AA109" s="8"/>
      <c r="AB109" s="201"/>
      <c r="AC109" s="201"/>
      <c r="AD109" s="8"/>
      <c r="AE109" s="8"/>
      <c r="AF109" s="8"/>
      <c r="AG109" s="8"/>
      <c r="AH109" s="8"/>
      <c r="AI109" s="7"/>
      <c r="AJ109" s="69">
        <f t="shared" si="3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2"/>
      <c r="E110" s="2"/>
      <c r="F110" s="2"/>
      <c r="G110" s="200"/>
      <c r="H110" s="200"/>
      <c r="I110" s="2"/>
      <c r="J110" s="2"/>
      <c r="K110" s="2"/>
      <c r="L110" s="183"/>
      <c r="M110" s="2"/>
      <c r="N110" s="200"/>
      <c r="O110" s="200"/>
      <c r="P110" s="2"/>
      <c r="Q110" s="2"/>
      <c r="R110" s="2"/>
      <c r="S110" s="2"/>
      <c r="T110" s="2"/>
      <c r="U110" s="200"/>
      <c r="V110" s="200"/>
      <c r="W110" s="183"/>
      <c r="X110" s="2">
        <v>9</v>
      </c>
      <c r="Y110" s="2">
        <v>9</v>
      </c>
      <c r="Z110" s="2">
        <v>4</v>
      </c>
      <c r="AA110" s="2">
        <v>9</v>
      </c>
      <c r="AB110" s="200"/>
      <c r="AC110" s="200"/>
      <c r="AD110" s="2"/>
      <c r="AE110" s="2"/>
      <c r="AF110" s="2"/>
      <c r="AG110" s="2"/>
      <c r="AH110" s="2"/>
      <c r="AJ110" s="64">
        <f t="shared" si="3"/>
        <v>31</v>
      </c>
    </row>
    <row r="111" spans="2:36" ht="15.75" hidden="1" outlineLevel="1" thickTop="1" x14ac:dyDescent="0.25">
      <c r="B111" s="150"/>
      <c r="C111" s="1" t="s">
        <v>1</v>
      </c>
      <c r="D111" s="3"/>
      <c r="E111" s="3"/>
      <c r="F111" s="3"/>
      <c r="G111" s="200"/>
      <c r="H111" s="200"/>
      <c r="I111" s="3"/>
      <c r="J111" s="3"/>
      <c r="K111" s="3"/>
      <c r="L111" s="183"/>
      <c r="M111" s="3"/>
      <c r="N111" s="200"/>
      <c r="O111" s="200"/>
      <c r="P111" s="3"/>
      <c r="Q111" s="3"/>
      <c r="R111" s="3"/>
      <c r="S111" s="3"/>
      <c r="T111" s="3"/>
      <c r="U111" s="200"/>
      <c r="V111" s="200"/>
      <c r="W111" s="183"/>
      <c r="X111" s="3"/>
      <c r="Y111" s="3"/>
      <c r="Z111" s="3"/>
      <c r="AA111" s="3"/>
      <c r="AB111" s="200"/>
      <c r="AC111" s="200"/>
      <c r="AD111" s="3"/>
      <c r="AE111" s="3"/>
      <c r="AF111" s="3"/>
      <c r="AG111" s="3"/>
      <c r="AH111" s="3"/>
      <c r="AJ111" s="70">
        <f t="shared" si="3"/>
        <v>0</v>
      </c>
    </row>
    <row r="112" spans="2:36" hidden="1" outlineLevel="1" x14ac:dyDescent="0.25">
      <c r="B112" s="151"/>
      <c r="C112" s="1" t="s">
        <v>2</v>
      </c>
      <c r="D112" s="4"/>
      <c r="E112" s="4"/>
      <c r="F112" s="4"/>
      <c r="G112" s="200"/>
      <c r="H112" s="200"/>
      <c r="I112" s="4"/>
      <c r="J112" s="4"/>
      <c r="K112" s="4"/>
      <c r="L112" s="183"/>
      <c r="M112" s="4"/>
      <c r="N112" s="200"/>
      <c r="O112" s="200"/>
      <c r="P112" s="4"/>
      <c r="Q112" s="4"/>
      <c r="R112" s="4"/>
      <c r="S112" s="4"/>
      <c r="T112" s="4"/>
      <c r="U112" s="200"/>
      <c r="V112" s="200"/>
      <c r="W112" s="183"/>
      <c r="X112" s="4"/>
      <c r="Y112" s="4"/>
      <c r="Z112" s="4"/>
      <c r="AA112" s="4"/>
      <c r="AB112" s="200"/>
      <c r="AC112" s="200"/>
      <c r="AD112" s="4"/>
      <c r="AE112" s="4"/>
      <c r="AF112" s="4"/>
      <c r="AG112" s="4"/>
      <c r="AH112" s="4"/>
      <c r="AJ112" s="71">
        <f t="shared" si="3"/>
        <v>0</v>
      </c>
    </row>
    <row r="113" spans="2:36" hidden="1" outlineLevel="1" x14ac:dyDescent="0.25">
      <c r="B113" s="151"/>
      <c r="C113" s="54" t="s">
        <v>77</v>
      </c>
      <c r="D113" s="5"/>
      <c r="E113" s="5"/>
      <c r="F113" s="5"/>
      <c r="G113" s="200"/>
      <c r="H113" s="200"/>
      <c r="I113" s="5"/>
      <c r="J113" s="5"/>
      <c r="K113" s="5"/>
      <c r="L113" s="183"/>
      <c r="M113" s="5"/>
      <c r="N113" s="200"/>
      <c r="O113" s="200"/>
      <c r="P113" s="5"/>
      <c r="Q113" s="5"/>
      <c r="R113" s="5"/>
      <c r="S113" s="5"/>
      <c r="T113" s="5"/>
      <c r="U113" s="200"/>
      <c r="V113" s="200"/>
      <c r="W113" s="183"/>
      <c r="X113" s="5"/>
      <c r="Y113" s="5"/>
      <c r="Z113" s="5"/>
      <c r="AA113" s="5"/>
      <c r="AB113" s="200"/>
      <c r="AC113" s="200"/>
      <c r="AD113" s="5"/>
      <c r="AE113" s="5"/>
      <c r="AF113" s="5"/>
      <c r="AG113" s="5"/>
      <c r="AH113" s="5"/>
      <c r="AJ113" s="72">
        <f t="shared" si="3"/>
        <v>0</v>
      </c>
    </row>
    <row r="114" spans="2:36" ht="15.75" hidden="1" outlineLevel="1" thickBot="1" x14ac:dyDescent="0.3">
      <c r="B114" s="151"/>
      <c r="C114" s="9" t="s">
        <v>3</v>
      </c>
      <c r="D114" s="8"/>
      <c r="E114" s="8"/>
      <c r="F114" s="8"/>
      <c r="G114" s="201"/>
      <c r="H114" s="201"/>
      <c r="I114" s="8"/>
      <c r="J114" s="8"/>
      <c r="K114" s="8"/>
      <c r="L114" s="183"/>
      <c r="M114" s="8"/>
      <c r="N114" s="201"/>
      <c r="O114" s="201"/>
      <c r="P114" s="8"/>
      <c r="Q114" s="8"/>
      <c r="R114" s="8"/>
      <c r="S114" s="8"/>
      <c r="T114" s="8"/>
      <c r="U114" s="201"/>
      <c r="V114" s="201"/>
      <c r="W114" s="183"/>
      <c r="X114" s="8"/>
      <c r="Y114" s="8"/>
      <c r="Z114" s="8"/>
      <c r="AA114" s="8"/>
      <c r="AB114" s="201"/>
      <c r="AC114" s="201"/>
      <c r="AD114" s="8"/>
      <c r="AE114" s="8"/>
      <c r="AF114" s="8"/>
      <c r="AG114" s="8"/>
      <c r="AH114" s="8"/>
      <c r="AI114" s="7"/>
      <c r="AJ114" s="69">
        <f t="shared" si="3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2">
        <v>3</v>
      </c>
      <c r="E115" s="2"/>
      <c r="F115" s="2"/>
      <c r="G115" s="200"/>
      <c r="H115" s="200"/>
      <c r="I115" s="2"/>
      <c r="J115" s="2"/>
      <c r="K115" s="2"/>
      <c r="L115" s="183"/>
      <c r="M115" s="2"/>
      <c r="N115" s="200"/>
      <c r="O115" s="200"/>
      <c r="P115" s="2"/>
      <c r="Q115" s="2"/>
      <c r="R115" s="2"/>
      <c r="S115" s="2"/>
      <c r="T115" s="2">
        <v>8</v>
      </c>
      <c r="U115" s="200"/>
      <c r="V115" s="200"/>
      <c r="W115" s="183"/>
      <c r="X115" s="2"/>
      <c r="Y115" s="2"/>
      <c r="Z115" s="2"/>
      <c r="AA115" s="2"/>
      <c r="AB115" s="200"/>
      <c r="AC115" s="200"/>
      <c r="AD115" s="2"/>
      <c r="AE115" s="2"/>
      <c r="AF115" s="2"/>
      <c r="AG115" s="2"/>
      <c r="AH115" s="2"/>
      <c r="AJ115" s="64">
        <f t="shared" si="3"/>
        <v>11</v>
      </c>
    </row>
    <row r="116" spans="2:36" ht="15.75" hidden="1" outlineLevel="1" thickTop="1" x14ac:dyDescent="0.25">
      <c r="B116" s="150"/>
      <c r="C116" s="1" t="s">
        <v>1</v>
      </c>
      <c r="D116" s="3"/>
      <c r="E116" s="3"/>
      <c r="F116" s="3"/>
      <c r="G116" s="200"/>
      <c r="H116" s="200"/>
      <c r="I116" s="3"/>
      <c r="J116" s="3"/>
      <c r="K116" s="3"/>
      <c r="L116" s="183"/>
      <c r="M116" s="3"/>
      <c r="N116" s="200"/>
      <c r="O116" s="200"/>
      <c r="P116" s="3"/>
      <c r="Q116" s="3"/>
      <c r="R116" s="3"/>
      <c r="S116" s="3"/>
      <c r="T116" s="3"/>
      <c r="U116" s="200"/>
      <c r="V116" s="200"/>
      <c r="W116" s="183"/>
      <c r="X116" s="3"/>
      <c r="Y116" s="3"/>
      <c r="Z116" s="3"/>
      <c r="AA116" s="3"/>
      <c r="AB116" s="200"/>
      <c r="AC116" s="200"/>
      <c r="AD116" s="3"/>
      <c r="AE116" s="3"/>
      <c r="AF116" s="3"/>
      <c r="AG116" s="3"/>
      <c r="AH116" s="3"/>
      <c r="AJ116" s="70">
        <f t="shared" si="3"/>
        <v>0</v>
      </c>
    </row>
    <row r="117" spans="2:36" hidden="1" outlineLevel="1" x14ac:dyDescent="0.25">
      <c r="B117" s="151"/>
      <c r="C117" s="1" t="s">
        <v>2</v>
      </c>
      <c r="D117" s="4"/>
      <c r="E117" s="4"/>
      <c r="F117" s="4"/>
      <c r="G117" s="200"/>
      <c r="H117" s="200"/>
      <c r="I117" s="4"/>
      <c r="J117" s="4"/>
      <c r="K117" s="4"/>
      <c r="L117" s="183"/>
      <c r="M117" s="4"/>
      <c r="N117" s="200"/>
      <c r="O117" s="200"/>
      <c r="P117" s="4"/>
      <c r="Q117" s="4"/>
      <c r="R117" s="4"/>
      <c r="S117" s="4"/>
      <c r="T117" s="4"/>
      <c r="U117" s="200"/>
      <c r="V117" s="200"/>
      <c r="W117" s="183"/>
      <c r="X117" s="4"/>
      <c r="Y117" s="4"/>
      <c r="Z117" s="4"/>
      <c r="AA117" s="4"/>
      <c r="AB117" s="200"/>
      <c r="AC117" s="200"/>
      <c r="AD117" s="4"/>
      <c r="AE117" s="4"/>
      <c r="AF117" s="4"/>
      <c r="AG117" s="4"/>
      <c r="AH117" s="4"/>
      <c r="AJ117" s="71">
        <f t="shared" si="3"/>
        <v>0</v>
      </c>
    </row>
    <row r="118" spans="2:36" hidden="1" outlineLevel="1" x14ac:dyDescent="0.25">
      <c r="B118" s="151"/>
      <c r="C118" s="54" t="s">
        <v>77</v>
      </c>
      <c r="D118" s="5"/>
      <c r="E118" s="5"/>
      <c r="F118" s="5"/>
      <c r="G118" s="200"/>
      <c r="H118" s="200"/>
      <c r="I118" s="5"/>
      <c r="J118" s="5"/>
      <c r="K118" s="5"/>
      <c r="L118" s="183"/>
      <c r="M118" s="5"/>
      <c r="N118" s="200"/>
      <c r="O118" s="200"/>
      <c r="P118" s="5"/>
      <c r="Q118" s="5"/>
      <c r="R118" s="5"/>
      <c r="S118" s="5"/>
      <c r="T118" s="5"/>
      <c r="U118" s="200"/>
      <c r="V118" s="200"/>
      <c r="W118" s="183"/>
      <c r="X118" s="5"/>
      <c r="Y118" s="5"/>
      <c r="Z118" s="5"/>
      <c r="AA118" s="5"/>
      <c r="AB118" s="200"/>
      <c r="AC118" s="200"/>
      <c r="AD118" s="5"/>
      <c r="AE118" s="5"/>
      <c r="AF118" s="5"/>
      <c r="AG118" s="5"/>
      <c r="AH118" s="5"/>
      <c r="AJ118" s="72">
        <f t="shared" si="3"/>
        <v>0</v>
      </c>
    </row>
    <row r="119" spans="2:36" ht="15.75" hidden="1" outlineLevel="1" thickBot="1" x14ac:dyDescent="0.3">
      <c r="B119" s="151"/>
      <c r="C119" s="9" t="s">
        <v>3</v>
      </c>
      <c r="D119" s="8"/>
      <c r="E119" s="8"/>
      <c r="F119" s="8"/>
      <c r="G119" s="201"/>
      <c r="H119" s="201"/>
      <c r="I119" s="8"/>
      <c r="J119" s="8"/>
      <c r="K119" s="8"/>
      <c r="L119" s="183"/>
      <c r="M119" s="8"/>
      <c r="N119" s="201"/>
      <c r="O119" s="201"/>
      <c r="P119" s="8"/>
      <c r="Q119" s="8"/>
      <c r="R119" s="8"/>
      <c r="S119" s="8"/>
      <c r="T119" s="8"/>
      <c r="U119" s="201"/>
      <c r="V119" s="201"/>
      <c r="W119" s="183"/>
      <c r="X119" s="8"/>
      <c r="Y119" s="8"/>
      <c r="Z119" s="8"/>
      <c r="AA119" s="8"/>
      <c r="AB119" s="201"/>
      <c r="AC119" s="201"/>
      <c r="AD119" s="8"/>
      <c r="AE119" s="8"/>
      <c r="AF119" s="8"/>
      <c r="AG119" s="8"/>
      <c r="AH119" s="8"/>
      <c r="AI119" s="7"/>
      <c r="AJ119" s="69">
        <f t="shared" si="3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2"/>
      <c r="E120" s="2"/>
      <c r="F120" s="2"/>
      <c r="G120" s="200"/>
      <c r="H120" s="200"/>
      <c r="I120" s="2">
        <v>8</v>
      </c>
      <c r="J120" s="2">
        <v>8</v>
      </c>
      <c r="K120" s="2">
        <v>8</v>
      </c>
      <c r="L120" s="183"/>
      <c r="M120" s="2">
        <v>8</v>
      </c>
      <c r="N120" s="200"/>
      <c r="O120" s="200"/>
      <c r="P120" s="2"/>
      <c r="Q120" s="2">
        <v>0</v>
      </c>
      <c r="R120" s="2"/>
      <c r="S120" s="2"/>
      <c r="T120" s="2"/>
      <c r="U120" s="200"/>
      <c r="V120" s="200"/>
      <c r="W120" s="183"/>
      <c r="X120" s="2"/>
      <c r="Y120" s="2">
        <v>8</v>
      </c>
      <c r="Z120" s="2">
        <v>4</v>
      </c>
      <c r="AA120" s="2"/>
      <c r="AB120" s="200"/>
      <c r="AC120" s="200"/>
      <c r="AD120" s="74">
        <v>5.25</v>
      </c>
      <c r="AE120" s="2"/>
      <c r="AF120" s="2"/>
      <c r="AG120" s="2">
        <v>0</v>
      </c>
      <c r="AH120" s="2">
        <v>0</v>
      </c>
      <c r="AJ120" s="64">
        <f t="shared" si="3"/>
        <v>49.25</v>
      </c>
    </row>
    <row r="121" spans="2:36" ht="15.75" hidden="1" outlineLevel="1" thickTop="1" x14ac:dyDescent="0.25">
      <c r="B121" s="150"/>
      <c r="C121" s="1" t="s">
        <v>1</v>
      </c>
      <c r="D121" s="3"/>
      <c r="E121" s="3"/>
      <c r="F121" s="3"/>
      <c r="G121" s="200"/>
      <c r="H121" s="200"/>
      <c r="I121" s="3"/>
      <c r="J121" s="3"/>
      <c r="K121" s="3"/>
      <c r="L121" s="183"/>
      <c r="M121" s="3"/>
      <c r="N121" s="200"/>
      <c r="O121" s="200"/>
      <c r="P121" s="3"/>
      <c r="Q121" s="3"/>
      <c r="R121" s="3"/>
      <c r="S121" s="3"/>
      <c r="T121" s="3"/>
      <c r="U121" s="200"/>
      <c r="V121" s="200"/>
      <c r="W121" s="183"/>
      <c r="X121" s="3"/>
      <c r="Y121" s="3"/>
      <c r="Z121" s="3"/>
      <c r="AA121" s="3"/>
      <c r="AB121" s="200"/>
      <c r="AC121" s="200"/>
      <c r="AD121" s="3"/>
      <c r="AE121" s="3"/>
      <c r="AF121" s="3"/>
      <c r="AG121" s="3"/>
      <c r="AH121" s="3"/>
      <c r="AJ121" s="70">
        <f t="shared" si="3"/>
        <v>0</v>
      </c>
    </row>
    <row r="122" spans="2:36" hidden="1" outlineLevel="1" x14ac:dyDescent="0.25">
      <c r="B122" s="151"/>
      <c r="C122" s="1" t="s">
        <v>2</v>
      </c>
      <c r="D122" s="4"/>
      <c r="E122" s="4"/>
      <c r="F122" s="4"/>
      <c r="G122" s="200"/>
      <c r="H122" s="200"/>
      <c r="I122" s="4"/>
      <c r="J122" s="4"/>
      <c r="K122" s="4"/>
      <c r="L122" s="183"/>
      <c r="M122" s="4"/>
      <c r="N122" s="200"/>
      <c r="O122" s="200"/>
      <c r="P122" s="4"/>
      <c r="Q122" s="4"/>
      <c r="R122" s="4"/>
      <c r="S122" s="4"/>
      <c r="T122" s="4"/>
      <c r="U122" s="200"/>
      <c r="V122" s="200"/>
      <c r="W122" s="183"/>
      <c r="X122" s="4"/>
      <c r="Y122" s="4"/>
      <c r="Z122" s="4"/>
      <c r="AA122" s="4"/>
      <c r="AB122" s="200"/>
      <c r="AC122" s="200"/>
      <c r="AD122" s="4"/>
      <c r="AE122" s="4"/>
      <c r="AF122" s="4"/>
      <c r="AG122" s="4"/>
      <c r="AH122" s="4"/>
      <c r="AJ122" s="71">
        <f t="shared" si="3"/>
        <v>0</v>
      </c>
    </row>
    <row r="123" spans="2:36" hidden="1" outlineLevel="1" x14ac:dyDescent="0.25">
      <c r="B123" s="151"/>
      <c r="C123" s="54" t="s">
        <v>77</v>
      </c>
      <c r="D123" s="5"/>
      <c r="E123" s="5"/>
      <c r="F123" s="5"/>
      <c r="G123" s="200"/>
      <c r="H123" s="200"/>
      <c r="I123" s="5"/>
      <c r="J123" s="5"/>
      <c r="K123" s="5"/>
      <c r="L123" s="183"/>
      <c r="M123" s="5"/>
      <c r="N123" s="200"/>
      <c r="O123" s="200"/>
      <c r="P123" s="5"/>
      <c r="Q123" s="5"/>
      <c r="R123" s="5"/>
      <c r="S123" s="5"/>
      <c r="T123" s="5"/>
      <c r="U123" s="200"/>
      <c r="V123" s="200"/>
      <c r="W123" s="183"/>
      <c r="X123" s="5"/>
      <c r="Y123" s="5"/>
      <c r="Z123" s="5"/>
      <c r="AA123" s="5"/>
      <c r="AB123" s="200"/>
      <c r="AC123" s="200"/>
      <c r="AD123" s="5"/>
      <c r="AE123" s="5"/>
      <c r="AF123" s="5"/>
      <c r="AG123" s="5"/>
      <c r="AH123" s="5"/>
      <c r="AJ123" s="72">
        <f t="shared" si="3"/>
        <v>0</v>
      </c>
    </row>
    <row r="124" spans="2:36" ht="15.75" hidden="1" outlineLevel="1" thickBot="1" x14ac:dyDescent="0.3">
      <c r="B124" s="151"/>
      <c r="C124" s="9" t="s">
        <v>3</v>
      </c>
      <c r="D124" s="8"/>
      <c r="E124" s="8"/>
      <c r="F124" s="8"/>
      <c r="G124" s="201"/>
      <c r="H124" s="201"/>
      <c r="I124" s="8"/>
      <c r="J124" s="8"/>
      <c r="K124" s="8"/>
      <c r="L124" s="183"/>
      <c r="M124" s="8"/>
      <c r="N124" s="201"/>
      <c r="O124" s="201"/>
      <c r="P124" s="8"/>
      <c r="Q124" s="8"/>
      <c r="R124" s="8"/>
      <c r="S124" s="73">
        <v>0.25</v>
      </c>
      <c r="T124" s="73">
        <v>0.25</v>
      </c>
      <c r="U124" s="201"/>
      <c r="V124" s="201"/>
      <c r="W124" s="183"/>
      <c r="X124" s="8"/>
      <c r="Y124" s="8"/>
      <c r="Z124" s="8"/>
      <c r="AA124" s="8"/>
      <c r="AB124" s="201"/>
      <c r="AC124" s="201"/>
      <c r="AD124" s="8"/>
      <c r="AE124" s="8"/>
      <c r="AF124" s="73">
        <v>1.35</v>
      </c>
      <c r="AG124" s="8"/>
      <c r="AH124" s="8"/>
      <c r="AI124" s="7"/>
      <c r="AJ124" s="69">
        <f t="shared" si="3"/>
        <v>1.85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2"/>
      <c r="E125" s="2"/>
      <c r="F125" s="2"/>
      <c r="G125" s="200"/>
      <c r="H125" s="200"/>
      <c r="I125" s="2"/>
      <c r="J125" s="2"/>
      <c r="K125" s="2"/>
      <c r="L125" s="183"/>
      <c r="M125" s="2">
        <v>8</v>
      </c>
      <c r="N125" s="200"/>
      <c r="O125" s="200"/>
      <c r="P125" s="2"/>
      <c r="Q125" s="2"/>
      <c r="R125" s="2"/>
      <c r="S125" s="256"/>
      <c r="T125" s="2">
        <v>8</v>
      </c>
      <c r="U125" s="200"/>
      <c r="V125" s="200"/>
      <c r="W125" s="183"/>
      <c r="X125" s="2"/>
      <c r="Y125" s="2"/>
      <c r="Z125" s="256"/>
      <c r="AA125" s="256"/>
      <c r="AB125" s="200"/>
      <c r="AC125" s="200"/>
      <c r="AD125" s="2"/>
      <c r="AE125" s="2"/>
      <c r="AF125" s="2"/>
      <c r="AG125" s="2"/>
      <c r="AH125" s="2"/>
      <c r="AJ125" s="64">
        <f t="shared" si="3"/>
        <v>16</v>
      </c>
    </row>
    <row r="126" spans="2:36" ht="15.75" hidden="1" outlineLevel="1" thickTop="1" x14ac:dyDescent="0.25">
      <c r="B126" s="150"/>
      <c r="C126" s="1" t="s">
        <v>1</v>
      </c>
      <c r="D126" s="3"/>
      <c r="E126" s="3"/>
      <c r="F126" s="3"/>
      <c r="G126" s="200"/>
      <c r="H126" s="200"/>
      <c r="I126" s="3"/>
      <c r="J126" s="3"/>
      <c r="K126" s="3"/>
      <c r="L126" s="183"/>
      <c r="M126" s="3"/>
      <c r="N126" s="200"/>
      <c r="O126" s="200"/>
      <c r="P126" s="3"/>
      <c r="Q126" s="3"/>
      <c r="R126" s="3"/>
      <c r="S126" s="3"/>
      <c r="T126" s="3"/>
      <c r="U126" s="200"/>
      <c r="V126" s="200"/>
      <c r="W126" s="183"/>
      <c r="X126" s="3"/>
      <c r="Y126" s="3"/>
      <c r="Z126" s="3"/>
      <c r="AA126" s="3"/>
      <c r="AB126" s="200"/>
      <c r="AC126" s="200"/>
      <c r="AD126" s="3"/>
      <c r="AE126" s="3"/>
      <c r="AF126" s="3"/>
      <c r="AG126" s="3"/>
      <c r="AH126" s="3"/>
      <c r="AJ126" s="70">
        <f t="shared" si="3"/>
        <v>0</v>
      </c>
    </row>
    <row r="127" spans="2:36" hidden="1" outlineLevel="1" x14ac:dyDescent="0.25">
      <c r="B127" s="151"/>
      <c r="C127" s="1" t="s">
        <v>2</v>
      </c>
      <c r="D127" s="4"/>
      <c r="E127" s="4"/>
      <c r="F127" s="4"/>
      <c r="G127" s="200"/>
      <c r="H127" s="200"/>
      <c r="I127" s="4"/>
      <c r="J127" s="4"/>
      <c r="K127" s="4"/>
      <c r="L127" s="183"/>
      <c r="M127" s="4"/>
      <c r="N127" s="200"/>
      <c r="O127" s="200"/>
      <c r="P127" s="4"/>
      <c r="Q127" s="4"/>
      <c r="R127" s="4"/>
      <c r="S127" s="4"/>
      <c r="T127" s="4"/>
      <c r="U127" s="200"/>
      <c r="V127" s="200"/>
      <c r="W127" s="183"/>
      <c r="X127" s="4"/>
      <c r="Y127" s="4"/>
      <c r="Z127" s="4"/>
      <c r="AA127" s="4"/>
      <c r="AB127" s="200"/>
      <c r="AC127" s="200"/>
      <c r="AD127" s="4"/>
      <c r="AE127" s="4"/>
      <c r="AF127" s="4"/>
      <c r="AG127" s="4"/>
      <c r="AH127" s="4"/>
      <c r="AJ127" s="71">
        <f t="shared" si="3"/>
        <v>0</v>
      </c>
    </row>
    <row r="128" spans="2:36" hidden="1" outlineLevel="1" x14ac:dyDescent="0.25">
      <c r="B128" s="151"/>
      <c r="C128" s="54" t="s">
        <v>77</v>
      </c>
      <c r="D128" s="5"/>
      <c r="E128" s="5"/>
      <c r="F128" s="5"/>
      <c r="G128" s="200"/>
      <c r="H128" s="200"/>
      <c r="I128" s="5"/>
      <c r="J128" s="5"/>
      <c r="K128" s="5"/>
      <c r="L128" s="183"/>
      <c r="M128" s="5"/>
      <c r="N128" s="200"/>
      <c r="O128" s="200"/>
      <c r="P128" s="5"/>
      <c r="Q128" s="5"/>
      <c r="R128" s="5"/>
      <c r="S128" s="5"/>
      <c r="T128" s="5"/>
      <c r="U128" s="200"/>
      <c r="V128" s="200"/>
      <c r="W128" s="183"/>
      <c r="X128" s="5"/>
      <c r="Y128" s="5"/>
      <c r="Z128" s="5"/>
      <c r="AA128" s="5"/>
      <c r="AB128" s="200"/>
      <c r="AC128" s="200"/>
      <c r="AD128" s="5"/>
      <c r="AE128" s="5"/>
      <c r="AF128" s="5"/>
      <c r="AG128" s="5"/>
      <c r="AH128" s="5"/>
      <c r="AJ128" s="72">
        <f t="shared" si="3"/>
        <v>0</v>
      </c>
    </row>
    <row r="129" spans="2:36" ht="15.75" hidden="1" outlineLevel="1" thickBot="1" x14ac:dyDescent="0.3">
      <c r="B129" s="151"/>
      <c r="C129" s="9" t="s">
        <v>3</v>
      </c>
      <c r="D129" s="8"/>
      <c r="E129" s="8"/>
      <c r="F129" s="8"/>
      <c r="G129" s="201"/>
      <c r="H129" s="201"/>
      <c r="I129" s="8"/>
      <c r="J129" s="8"/>
      <c r="K129" s="8"/>
      <c r="L129" s="183"/>
      <c r="M129" s="8"/>
      <c r="N129" s="201"/>
      <c r="O129" s="201"/>
      <c r="P129" s="8"/>
      <c r="Q129" s="8"/>
      <c r="R129" s="8"/>
      <c r="S129" s="8"/>
      <c r="T129" s="8"/>
      <c r="U129" s="201"/>
      <c r="V129" s="201"/>
      <c r="W129" s="183"/>
      <c r="X129" s="8"/>
      <c r="Y129" s="8"/>
      <c r="Z129" s="8"/>
      <c r="AA129" s="8"/>
      <c r="AB129" s="201"/>
      <c r="AC129" s="201"/>
      <c r="AD129" s="8"/>
      <c r="AE129" s="8"/>
      <c r="AF129" s="8"/>
      <c r="AG129" s="8"/>
      <c r="AH129" s="8"/>
      <c r="AI129" s="7"/>
      <c r="AJ129" s="69">
        <f t="shared" si="3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2"/>
      <c r="E130" s="2"/>
      <c r="F130" s="2"/>
      <c r="G130" s="200"/>
      <c r="H130" s="200"/>
      <c r="I130" s="2"/>
      <c r="J130" s="2"/>
      <c r="K130" s="2"/>
      <c r="L130" s="183"/>
      <c r="M130" s="2"/>
      <c r="N130" s="200"/>
      <c r="O130" s="200"/>
      <c r="P130" s="2"/>
      <c r="Q130" s="2"/>
      <c r="R130" s="2"/>
      <c r="S130" s="2">
        <v>2</v>
      </c>
      <c r="T130" s="255">
        <v>0</v>
      </c>
      <c r="U130" s="200"/>
      <c r="V130" s="200"/>
      <c r="W130" s="183"/>
      <c r="X130" s="2"/>
      <c r="Y130" s="2"/>
      <c r="Z130" s="2"/>
      <c r="AA130" s="255">
        <v>0</v>
      </c>
      <c r="AB130" s="200"/>
      <c r="AC130" s="200"/>
      <c r="AD130" s="2"/>
      <c r="AE130" s="2"/>
      <c r="AF130" s="2"/>
      <c r="AG130" s="2"/>
      <c r="AH130" s="255">
        <v>0</v>
      </c>
      <c r="AJ130" s="64">
        <f t="shared" si="3"/>
        <v>2</v>
      </c>
    </row>
    <row r="131" spans="2:36" ht="15.75" hidden="1" outlineLevel="1" thickTop="1" x14ac:dyDescent="0.25">
      <c r="B131" s="150"/>
      <c r="C131" s="1" t="s">
        <v>1</v>
      </c>
      <c r="D131" s="3"/>
      <c r="E131" s="3"/>
      <c r="F131" s="3"/>
      <c r="G131" s="200"/>
      <c r="H131" s="200"/>
      <c r="I131" s="3"/>
      <c r="J131" s="3"/>
      <c r="K131" s="3"/>
      <c r="L131" s="183"/>
      <c r="M131" s="3"/>
      <c r="N131" s="200"/>
      <c r="O131" s="200"/>
      <c r="P131" s="3"/>
      <c r="Q131" s="3"/>
      <c r="R131" s="3"/>
      <c r="S131" s="3"/>
      <c r="T131" s="3"/>
      <c r="U131" s="200"/>
      <c r="V131" s="200"/>
      <c r="W131" s="183"/>
      <c r="X131" s="3"/>
      <c r="Y131" s="3"/>
      <c r="Z131" s="3"/>
      <c r="AA131" s="3"/>
      <c r="AB131" s="200"/>
      <c r="AC131" s="200"/>
      <c r="AD131" s="3"/>
      <c r="AE131" s="3"/>
      <c r="AF131" s="3"/>
      <c r="AG131" s="3"/>
      <c r="AH131" s="3"/>
      <c r="AJ131" s="70">
        <f t="shared" si="3"/>
        <v>0</v>
      </c>
    </row>
    <row r="132" spans="2:36" hidden="1" outlineLevel="1" x14ac:dyDescent="0.25">
      <c r="B132" s="151"/>
      <c r="C132" s="1" t="s">
        <v>2</v>
      </c>
      <c r="D132" s="4"/>
      <c r="E132" s="4"/>
      <c r="F132" s="4"/>
      <c r="G132" s="200"/>
      <c r="H132" s="200"/>
      <c r="I132" s="4"/>
      <c r="J132" s="4"/>
      <c r="K132" s="4"/>
      <c r="L132" s="183"/>
      <c r="M132" s="4"/>
      <c r="N132" s="200"/>
      <c r="O132" s="200"/>
      <c r="P132" s="4"/>
      <c r="Q132" s="4"/>
      <c r="R132" s="4"/>
      <c r="S132" s="4"/>
      <c r="T132" s="4"/>
      <c r="U132" s="200"/>
      <c r="V132" s="200"/>
      <c r="W132" s="183"/>
      <c r="X132" s="4"/>
      <c r="Y132" s="4"/>
      <c r="Z132" s="4"/>
      <c r="AA132" s="4"/>
      <c r="AB132" s="200"/>
      <c r="AC132" s="200"/>
      <c r="AD132" s="4"/>
      <c r="AE132" s="4"/>
      <c r="AF132" s="4"/>
      <c r="AG132" s="4"/>
      <c r="AH132" s="4"/>
      <c r="AJ132" s="71">
        <f t="shared" si="3"/>
        <v>0</v>
      </c>
    </row>
    <row r="133" spans="2:36" hidden="1" outlineLevel="1" x14ac:dyDescent="0.25">
      <c r="B133" s="151"/>
      <c r="C133" s="54" t="s">
        <v>77</v>
      </c>
      <c r="D133" s="5"/>
      <c r="E133" s="5"/>
      <c r="F133" s="5"/>
      <c r="G133" s="200"/>
      <c r="H133" s="200"/>
      <c r="I133" s="5"/>
      <c r="J133" s="5"/>
      <c r="K133" s="5"/>
      <c r="L133" s="183"/>
      <c r="M133" s="5"/>
      <c r="N133" s="200"/>
      <c r="O133" s="200"/>
      <c r="P133" s="5"/>
      <c r="Q133" s="5"/>
      <c r="R133" s="5"/>
      <c r="S133" s="5"/>
      <c r="T133" s="5"/>
      <c r="U133" s="200"/>
      <c r="V133" s="200"/>
      <c r="W133" s="183"/>
      <c r="X133" s="5"/>
      <c r="Y133" s="5"/>
      <c r="Z133" s="5"/>
      <c r="AA133" s="5"/>
      <c r="AB133" s="200"/>
      <c r="AC133" s="200"/>
      <c r="AD133" s="5"/>
      <c r="AE133" s="5"/>
      <c r="AF133" s="5"/>
      <c r="AG133" s="5"/>
      <c r="AH133" s="5"/>
      <c r="AJ133" s="72">
        <f t="shared" ref="AJ133:AJ139" si="4">SUM(D133:AH133)</f>
        <v>0</v>
      </c>
    </row>
    <row r="134" spans="2:36" ht="15.75" hidden="1" outlineLevel="1" thickBot="1" x14ac:dyDescent="0.3">
      <c r="B134" s="151"/>
      <c r="C134" s="9" t="s">
        <v>3</v>
      </c>
      <c r="D134" s="8"/>
      <c r="E134" s="8"/>
      <c r="F134" s="8"/>
      <c r="G134" s="201"/>
      <c r="H134" s="201"/>
      <c r="I134" s="8"/>
      <c r="J134" s="8"/>
      <c r="K134" s="8"/>
      <c r="L134" s="183"/>
      <c r="M134" s="8"/>
      <c r="N134" s="201"/>
      <c r="O134" s="201"/>
      <c r="P134" s="8"/>
      <c r="Q134" s="8"/>
      <c r="R134" s="8"/>
      <c r="S134" s="8"/>
      <c r="T134" s="8"/>
      <c r="U134" s="201"/>
      <c r="V134" s="201"/>
      <c r="W134" s="183"/>
      <c r="X134" s="8"/>
      <c r="Y134" s="8"/>
      <c r="Z134" s="8"/>
      <c r="AA134" s="8"/>
      <c r="AB134" s="201"/>
      <c r="AC134" s="201"/>
      <c r="AD134" s="8"/>
      <c r="AE134" s="8"/>
      <c r="AF134" s="8"/>
      <c r="AG134" s="8"/>
      <c r="AH134" s="8"/>
      <c r="AI134" s="7"/>
      <c r="AJ134" s="69">
        <f t="shared" si="4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2"/>
      <c r="E135" s="2"/>
      <c r="F135" s="2"/>
      <c r="G135" s="200"/>
      <c r="H135" s="200"/>
      <c r="I135" s="2"/>
      <c r="J135" s="2"/>
      <c r="K135" s="2"/>
      <c r="L135" s="183"/>
      <c r="M135" s="2">
        <v>8</v>
      </c>
      <c r="N135" s="200"/>
      <c r="O135" s="200"/>
      <c r="P135" s="2"/>
      <c r="Q135" s="2"/>
      <c r="R135" s="2"/>
      <c r="S135" s="2"/>
      <c r="T135" s="2"/>
      <c r="U135" s="200"/>
      <c r="V135" s="200"/>
      <c r="W135" s="183"/>
      <c r="X135" s="2"/>
      <c r="Y135" s="2"/>
      <c r="Z135" s="2"/>
      <c r="AA135" s="2"/>
      <c r="AB135" s="200"/>
      <c r="AC135" s="200"/>
      <c r="AD135" s="2"/>
      <c r="AE135" s="2"/>
      <c r="AF135" s="2"/>
      <c r="AG135" s="2"/>
      <c r="AH135" s="2"/>
      <c r="AJ135" s="64">
        <f t="shared" si="4"/>
        <v>8</v>
      </c>
    </row>
    <row r="136" spans="2:36" ht="15.75" hidden="1" outlineLevel="1" thickTop="1" x14ac:dyDescent="0.25">
      <c r="B136" s="150"/>
      <c r="C136" s="1" t="s">
        <v>1</v>
      </c>
      <c r="D136" s="3"/>
      <c r="E136" s="3"/>
      <c r="F136" s="3"/>
      <c r="G136" s="200"/>
      <c r="H136" s="200"/>
      <c r="I136" s="3"/>
      <c r="J136" s="3"/>
      <c r="K136" s="3"/>
      <c r="L136" s="183"/>
      <c r="M136" s="3"/>
      <c r="N136" s="200"/>
      <c r="O136" s="200"/>
      <c r="P136" s="3"/>
      <c r="Q136" s="3"/>
      <c r="R136" s="3"/>
      <c r="S136" s="3"/>
      <c r="T136" s="3"/>
      <c r="U136" s="200"/>
      <c r="V136" s="200"/>
      <c r="W136" s="183"/>
      <c r="X136" s="3"/>
      <c r="Y136" s="3"/>
      <c r="Z136" s="3"/>
      <c r="AA136" s="3"/>
      <c r="AB136" s="200"/>
      <c r="AC136" s="200"/>
      <c r="AD136" s="3"/>
      <c r="AE136" s="3"/>
      <c r="AF136" s="3"/>
      <c r="AG136" s="3"/>
      <c r="AH136" s="3"/>
      <c r="AJ136" s="70">
        <f t="shared" si="4"/>
        <v>0</v>
      </c>
    </row>
    <row r="137" spans="2:36" hidden="1" outlineLevel="1" x14ac:dyDescent="0.25">
      <c r="B137" s="151"/>
      <c r="C137" s="1" t="s">
        <v>2</v>
      </c>
      <c r="D137" s="4"/>
      <c r="E137" s="4"/>
      <c r="F137" s="4"/>
      <c r="G137" s="200"/>
      <c r="H137" s="200"/>
      <c r="I137" s="4"/>
      <c r="J137" s="4"/>
      <c r="K137" s="4"/>
      <c r="L137" s="183"/>
      <c r="M137" s="4"/>
      <c r="N137" s="200"/>
      <c r="O137" s="200"/>
      <c r="P137" s="4"/>
      <c r="Q137" s="4"/>
      <c r="R137" s="4"/>
      <c r="S137" s="4"/>
      <c r="T137" s="4"/>
      <c r="U137" s="200"/>
      <c r="V137" s="200"/>
      <c r="W137" s="183"/>
      <c r="X137" s="4"/>
      <c r="Y137" s="4"/>
      <c r="Z137" s="4"/>
      <c r="AA137" s="4"/>
      <c r="AB137" s="200"/>
      <c r="AC137" s="200"/>
      <c r="AD137" s="4"/>
      <c r="AE137" s="4"/>
      <c r="AF137" s="4"/>
      <c r="AG137" s="4"/>
      <c r="AH137" s="4"/>
      <c r="AJ137" s="71">
        <f t="shared" si="4"/>
        <v>0</v>
      </c>
    </row>
    <row r="138" spans="2:36" hidden="1" outlineLevel="1" x14ac:dyDescent="0.25">
      <c r="B138" s="151"/>
      <c r="C138" s="54" t="s">
        <v>77</v>
      </c>
      <c r="D138" s="5"/>
      <c r="E138" s="5"/>
      <c r="F138" s="5"/>
      <c r="G138" s="200"/>
      <c r="H138" s="200"/>
      <c r="I138" s="5"/>
      <c r="J138" s="5"/>
      <c r="K138" s="5"/>
      <c r="L138" s="183"/>
      <c r="M138" s="5"/>
      <c r="N138" s="200"/>
      <c r="O138" s="200"/>
      <c r="P138" s="5"/>
      <c r="Q138" s="5"/>
      <c r="R138" s="5"/>
      <c r="S138" s="5"/>
      <c r="T138" s="5"/>
      <c r="U138" s="200"/>
      <c r="V138" s="200"/>
      <c r="W138" s="183"/>
      <c r="X138" s="5"/>
      <c r="Y138" s="5"/>
      <c r="Z138" s="5"/>
      <c r="AA138" s="5"/>
      <c r="AB138" s="200"/>
      <c r="AC138" s="200"/>
      <c r="AD138" s="5"/>
      <c r="AE138" s="5"/>
      <c r="AF138" s="5"/>
      <c r="AG138" s="5"/>
      <c r="AH138" s="5"/>
      <c r="AJ138" s="72">
        <f t="shared" si="4"/>
        <v>0</v>
      </c>
    </row>
    <row r="139" spans="2:36" ht="15.75" hidden="1" outlineLevel="1" thickBot="1" x14ac:dyDescent="0.3">
      <c r="B139" s="151"/>
      <c r="C139" s="9" t="s">
        <v>3</v>
      </c>
      <c r="D139" s="8"/>
      <c r="E139" s="8"/>
      <c r="F139" s="8"/>
      <c r="G139" s="201"/>
      <c r="H139" s="201"/>
      <c r="I139" s="8"/>
      <c r="J139" s="8"/>
      <c r="K139" s="8"/>
      <c r="L139" s="183"/>
      <c r="M139" s="8"/>
      <c r="N139" s="201"/>
      <c r="O139" s="201"/>
      <c r="P139" s="8"/>
      <c r="Q139" s="8"/>
      <c r="R139" s="8"/>
      <c r="S139" s="8"/>
      <c r="T139" s="8"/>
      <c r="U139" s="201"/>
      <c r="V139" s="201"/>
      <c r="W139" s="183"/>
      <c r="X139" s="8"/>
      <c r="Y139" s="8"/>
      <c r="Z139" s="8"/>
      <c r="AA139" s="8"/>
      <c r="AB139" s="201"/>
      <c r="AC139" s="201"/>
      <c r="AD139" s="8"/>
      <c r="AE139" s="8"/>
      <c r="AF139" s="8"/>
      <c r="AG139" s="8"/>
      <c r="AH139" s="8"/>
      <c r="AI139" s="7"/>
      <c r="AJ139" s="69">
        <f t="shared" si="4"/>
        <v>0</v>
      </c>
    </row>
    <row r="140" spans="2:36" ht="16.5" hidden="1" collapsed="1" thickTop="1" thickBot="1" x14ac:dyDescent="0.3">
      <c r="B140" s="253" t="str">
        <f>'Hours Scheduled'!B31</f>
        <v>Thom van Bodegraven</v>
      </c>
      <c r="C140" t="s">
        <v>0</v>
      </c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  <c r="AA140" s="200"/>
      <c r="AB140" s="200"/>
      <c r="AC140" s="200"/>
      <c r="AD140" s="200"/>
      <c r="AE140" s="200"/>
      <c r="AF140" s="200"/>
      <c r="AG140" s="200"/>
      <c r="AH140" s="200"/>
      <c r="AI140" s="97"/>
      <c r="AJ140" s="172">
        <f>SUM(D140:AH140)</f>
        <v>0</v>
      </c>
    </row>
    <row r="141" spans="2:36" ht="15.75" hidden="1" outlineLevel="1" thickTop="1" x14ac:dyDescent="0.25">
      <c r="B141" s="150"/>
      <c r="C141" s="1" t="s">
        <v>1</v>
      </c>
      <c r="D141" s="181"/>
      <c r="E141" s="181"/>
      <c r="F141" s="181"/>
      <c r="G141" s="198"/>
      <c r="H141" s="198"/>
      <c r="I141" s="181"/>
      <c r="J141" s="181"/>
      <c r="K141" s="181"/>
      <c r="L141" s="183"/>
      <c r="M141" s="181"/>
      <c r="N141" s="198"/>
      <c r="O141" s="198"/>
      <c r="P141" s="181"/>
      <c r="Q141" s="181"/>
      <c r="R141" s="181"/>
      <c r="S141" s="181"/>
      <c r="T141" s="181"/>
      <c r="U141" s="198"/>
      <c r="V141" s="198"/>
      <c r="W141" s="183"/>
      <c r="X141" s="181"/>
      <c r="Y141" s="181"/>
      <c r="Z141" s="181"/>
      <c r="AA141" s="181"/>
      <c r="AB141" s="198"/>
      <c r="AC141" s="198"/>
      <c r="AD141" s="181"/>
      <c r="AE141" s="181"/>
      <c r="AF141" s="181"/>
      <c r="AG141" s="181"/>
      <c r="AH141" s="181"/>
      <c r="AI141" s="97"/>
      <c r="AJ141" s="174">
        <f t="shared" ref="AJ141:AJ144" si="5">SUM(D141:AH141)</f>
        <v>0</v>
      </c>
    </row>
    <row r="142" spans="2:36" hidden="1" outlineLevel="1" x14ac:dyDescent="0.25">
      <c r="B142" s="151"/>
      <c r="C142" s="1" t="s">
        <v>2</v>
      </c>
      <c r="D142" s="182"/>
      <c r="E142" s="182"/>
      <c r="F142" s="182"/>
      <c r="G142" s="198"/>
      <c r="H142" s="198"/>
      <c r="I142" s="182"/>
      <c r="J142" s="182"/>
      <c r="K142" s="182"/>
      <c r="L142" s="183"/>
      <c r="M142" s="182"/>
      <c r="N142" s="198"/>
      <c r="O142" s="198"/>
      <c r="P142" s="182"/>
      <c r="Q142" s="182"/>
      <c r="R142" s="182"/>
      <c r="S142" s="182"/>
      <c r="T142" s="182"/>
      <c r="U142" s="198"/>
      <c r="V142" s="198"/>
      <c r="W142" s="183"/>
      <c r="X142" s="182"/>
      <c r="Y142" s="182"/>
      <c r="Z142" s="182"/>
      <c r="AA142" s="182"/>
      <c r="AB142" s="198"/>
      <c r="AC142" s="198"/>
      <c r="AD142" s="182"/>
      <c r="AE142" s="182"/>
      <c r="AF142" s="182"/>
      <c r="AG142" s="182"/>
      <c r="AH142" s="182"/>
      <c r="AI142" s="97"/>
      <c r="AJ142" s="175">
        <f t="shared" si="5"/>
        <v>0</v>
      </c>
    </row>
    <row r="143" spans="2:36" hidden="1" outlineLevel="1" x14ac:dyDescent="0.25">
      <c r="B143" s="151"/>
      <c r="C143" s="54" t="s">
        <v>77</v>
      </c>
      <c r="D143" s="183"/>
      <c r="E143" s="183"/>
      <c r="F143" s="183"/>
      <c r="G143" s="198"/>
      <c r="H143" s="198"/>
      <c r="I143" s="183"/>
      <c r="J143" s="183"/>
      <c r="K143" s="183"/>
      <c r="L143" s="183"/>
      <c r="M143" s="183"/>
      <c r="N143" s="198"/>
      <c r="O143" s="198"/>
      <c r="P143" s="183"/>
      <c r="Q143" s="183"/>
      <c r="R143" s="183"/>
      <c r="S143" s="183"/>
      <c r="T143" s="183"/>
      <c r="U143" s="198"/>
      <c r="V143" s="198"/>
      <c r="W143" s="183"/>
      <c r="X143" s="183"/>
      <c r="Y143" s="183"/>
      <c r="Z143" s="183"/>
      <c r="AA143" s="183"/>
      <c r="AB143" s="198"/>
      <c r="AC143" s="198"/>
      <c r="AD143" s="183"/>
      <c r="AE143" s="183"/>
      <c r="AF143" s="183"/>
      <c r="AG143" s="183"/>
      <c r="AH143" s="183"/>
      <c r="AI143" s="97"/>
      <c r="AJ143" s="176">
        <f t="shared" si="5"/>
        <v>0</v>
      </c>
    </row>
    <row r="144" spans="2:36" ht="15.75" hidden="1" outlineLevel="1" thickBot="1" x14ac:dyDescent="0.3">
      <c r="B144" s="151"/>
      <c r="C144" s="9" t="s">
        <v>3</v>
      </c>
      <c r="D144" s="184"/>
      <c r="E144" s="184"/>
      <c r="F144" s="184"/>
      <c r="G144" s="199"/>
      <c r="H144" s="199"/>
      <c r="I144" s="184"/>
      <c r="J144" s="184"/>
      <c r="K144" s="184"/>
      <c r="L144" s="183"/>
      <c r="M144" s="184"/>
      <c r="N144" s="199"/>
      <c r="O144" s="199"/>
      <c r="P144" s="184"/>
      <c r="Q144" s="184"/>
      <c r="R144" s="184"/>
      <c r="S144" s="184"/>
      <c r="T144" s="184"/>
      <c r="U144" s="199"/>
      <c r="V144" s="199"/>
      <c r="W144" s="183"/>
      <c r="X144" s="184"/>
      <c r="Y144" s="184"/>
      <c r="Z144" s="184"/>
      <c r="AA144" s="184"/>
      <c r="AB144" s="199"/>
      <c r="AC144" s="199"/>
      <c r="AD144" s="184"/>
      <c r="AE144" s="184"/>
      <c r="AF144" s="184"/>
      <c r="AG144" s="184"/>
      <c r="AH144" s="184"/>
      <c r="AI144" s="186"/>
      <c r="AJ144" s="177">
        <f t="shared" si="5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180"/>
      <c r="E145" s="180"/>
      <c r="F145" s="180">
        <v>3</v>
      </c>
      <c r="G145" s="198"/>
      <c r="H145" s="198"/>
      <c r="I145" s="180"/>
      <c r="J145" s="180"/>
      <c r="K145" s="180"/>
      <c r="L145" s="183"/>
      <c r="M145" s="180"/>
      <c r="N145" s="198"/>
      <c r="O145" s="198"/>
      <c r="P145" s="180"/>
      <c r="Q145" s="180"/>
      <c r="R145" s="2">
        <v>2</v>
      </c>
      <c r="S145" s="2">
        <v>2</v>
      </c>
      <c r="T145" s="2">
        <v>2</v>
      </c>
      <c r="U145" s="198"/>
      <c r="V145" s="198"/>
      <c r="W145" s="183"/>
      <c r="X145" s="180"/>
      <c r="Y145" s="180"/>
      <c r="Z145" s="180"/>
      <c r="AA145" s="180"/>
      <c r="AB145" s="198"/>
      <c r="AC145" s="198"/>
      <c r="AD145" s="180"/>
      <c r="AE145" s="180"/>
      <c r="AF145" s="180"/>
      <c r="AG145" s="180"/>
      <c r="AH145" s="180"/>
      <c r="AI145" s="97"/>
      <c r="AJ145" s="172">
        <f>SUM(D145:AH145)</f>
        <v>9</v>
      </c>
    </row>
    <row r="146" spans="2:36" ht="15.75" hidden="1" outlineLevel="1" thickTop="1" x14ac:dyDescent="0.25">
      <c r="B146" s="150"/>
      <c r="C146" s="1" t="s">
        <v>1</v>
      </c>
      <c r="D146" s="181"/>
      <c r="E146" s="181"/>
      <c r="F146" s="181"/>
      <c r="G146" s="198"/>
      <c r="H146" s="198"/>
      <c r="I146" s="181"/>
      <c r="J146" s="181"/>
      <c r="K146" s="181"/>
      <c r="L146" s="183"/>
      <c r="M146" s="181"/>
      <c r="N146" s="198"/>
      <c r="O146" s="198"/>
      <c r="P146" s="181"/>
      <c r="Q146" s="181"/>
      <c r="R146" s="181"/>
      <c r="S146" s="181"/>
      <c r="T146" s="181"/>
      <c r="U146" s="198"/>
      <c r="V146" s="198"/>
      <c r="W146" s="183"/>
      <c r="X146" s="181"/>
      <c r="Y146" s="181"/>
      <c r="Z146" s="181"/>
      <c r="AA146" s="181"/>
      <c r="AB146" s="198"/>
      <c r="AC146" s="198"/>
      <c r="AD146" s="181"/>
      <c r="AE146" s="181"/>
      <c r="AF146" s="181"/>
      <c r="AG146" s="181"/>
      <c r="AH146" s="181"/>
      <c r="AI146" s="97"/>
      <c r="AJ146" s="174">
        <f t="shared" ref="AJ146:AJ149" si="6">SUM(D146:AH146)</f>
        <v>0</v>
      </c>
    </row>
    <row r="147" spans="2:36" hidden="1" outlineLevel="1" x14ac:dyDescent="0.25">
      <c r="B147" s="151"/>
      <c r="C147" s="1" t="s">
        <v>2</v>
      </c>
      <c r="D147" s="182"/>
      <c r="E147" s="182"/>
      <c r="F147" s="182"/>
      <c r="G147" s="198"/>
      <c r="H147" s="198"/>
      <c r="I147" s="182"/>
      <c r="J147" s="182"/>
      <c r="K147" s="182"/>
      <c r="L147" s="183"/>
      <c r="M147" s="182"/>
      <c r="N147" s="198"/>
      <c r="O147" s="198"/>
      <c r="P147" s="182"/>
      <c r="Q147" s="182"/>
      <c r="R147" s="182"/>
      <c r="S147" s="182"/>
      <c r="T147" s="182"/>
      <c r="U147" s="198"/>
      <c r="V147" s="198"/>
      <c r="W147" s="183"/>
      <c r="X147" s="182"/>
      <c r="Y147" s="182"/>
      <c r="Z147" s="182"/>
      <c r="AA147" s="182"/>
      <c r="AB147" s="198"/>
      <c r="AC147" s="198"/>
      <c r="AD147" s="182"/>
      <c r="AE147" s="182"/>
      <c r="AF147" s="182"/>
      <c r="AG147" s="182"/>
      <c r="AH147" s="182"/>
      <c r="AI147" s="97"/>
      <c r="AJ147" s="175">
        <f t="shared" si="6"/>
        <v>0</v>
      </c>
    </row>
    <row r="148" spans="2:36" hidden="1" outlineLevel="1" x14ac:dyDescent="0.25">
      <c r="B148" s="151"/>
      <c r="C148" s="54" t="s">
        <v>77</v>
      </c>
      <c r="D148" s="183"/>
      <c r="E148" s="183"/>
      <c r="F148" s="183"/>
      <c r="G148" s="198"/>
      <c r="H148" s="198"/>
      <c r="I148" s="183"/>
      <c r="J148" s="183"/>
      <c r="K148" s="183"/>
      <c r="L148" s="183"/>
      <c r="M148" s="183"/>
      <c r="N148" s="198"/>
      <c r="O148" s="198"/>
      <c r="P148" s="183"/>
      <c r="Q148" s="183"/>
      <c r="R148" s="183"/>
      <c r="S148" s="183"/>
      <c r="T148" s="183"/>
      <c r="U148" s="198"/>
      <c r="V148" s="198"/>
      <c r="W148" s="183"/>
      <c r="X148" s="183"/>
      <c r="Y148" s="183"/>
      <c r="Z148" s="183"/>
      <c r="AA148" s="183"/>
      <c r="AB148" s="198"/>
      <c r="AC148" s="198"/>
      <c r="AD148" s="183"/>
      <c r="AE148" s="183">
        <v>1</v>
      </c>
      <c r="AF148" s="183"/>
      <c r="AG148" s="183"/>
      <c r="AH148" s="183"/>
      <c r="AI148" s="97"/>
      <c r="AJ148" s="176">
        <f t="shared" si="6"/>
        <v>1</v>
      </c>
    </row>
    <row r="149" spans="2:36" ht="15.75" hidden="1" outlineLevel="1" thickBot="1" x14ac:dyDescent="0.3">
      <c r="B149" s="151"/>
      <c r="C149" s="9" t="s">
        <v>3</v>
      </c>
      <c r="D149" s="184"/>
      <c r="E149" s="184"/>
      <c r="F149" s="184"/>
      <c r="G149" s="199"/>
      <c r="H149" s="199"/>
      <c r="I149" s="184"/>
      <c r="J149" s="184"/>
      <c r="K149" s="184"/>
      <c r="L149" s="183"/>
      <c r="M149" s="184"/>
      <c r="N149" s="199"/>
      <c r="O149" s="199"/>
      <c r="P149" s="184"/>
      <c r="Q149" s="184"/>
      <c r="R149" s="184"/>
      <c r="S149" s="184"/>
      <c r="T149" s="184"/>
      <c r="U149" s="199"/>
      <c r="V149" s="199"/>
      <c r="W149" s="183"/>
      <c r="X149" s="184"/>
      <c r="Y149" s="184"/>
      <c r="Z149" s="184"/>
      <c r="AA149" s="184">
        <v>0.08</v>
      </c>
      <c r="AB149" s="199"/>
      <c r="AC149" s="199"/>
      <c r="AD149" s="184"/>
      <c r="AE149" s="184"/>
      <c r="AF149" s="184"/>
      <c r="AG149" s="184"/>
      <c r="AH149" s="184"/>
      <c r="AI149" s="186"/>
      <c r="AJ149" s="177">
        <f t="shared" si="6"/>
        <v>0.08</v>
      </c>
    </row>
    <row r="150" spans="2:36" ht="16.5" collapsed="1" thickTop="1" thickBot="1" x14ac:dyDescent="0.3">
      <c r="B150" s="149" t="str">
        <f>'Hours Scheduled'!B33</f>
        <v>Erik Jaspers</v>
      </c>
      <c r="C150" t="s">
        <v>0</v>
      </c>
      <c r="D150" s="180"/>
      <c r="E150" s="180">
        <v>4</v>
      </c>
      <c r="F150" s="180"/>
      <c r="G150" s="198"/>
      <c r="H150" s="198"/>
      <c r="I150" s="180"/>
      <c r="J150" s="180"/>
      <c r="K150" s="180"/>
      <c r="L150" s="183"/>
      <c r="M150" s="180"/>
      <c r="N150" s="198"/>
      <c r="O150" s="198"/>
      <c r="P150" s="180"/>
      <c r="Q150" s="180"/>
      <c r="R150" s="180"/>
      <c r="S150" s="180"/>
      <c r="T150" s="180"/>
      <c r="U150" s="198"/>
      <c r="V150" s="198"/>
      <c r="W150" s="183"/>
      <c r="X150" s="180">
        <v>8</v>
      </c>
      <c r="Y150" s="180">
        <v>8</v>
      </c>
      <c r="Z150" s="180">
        <v>8</v>
      </c>
      <c r="AA150" s="180">
        <v>8</v>
      </c>
      <c r="AB150" s="198"/>
      <c r="AC150" s="198"/>
      <c r="AD150" s="180">
        <v>8</v>
      </c>
      <c r="AE150" s="180">
        <v>8</v>
      </c>
      <c r="AF150" s="180">
        <v>8</v>
      </c>
      <c r="AG150" s="180">
        <v>8</v>
      </c>
      <c r="AH150" s="180">
        <v>8</v>
      </c>
      <c r="AI150" s="97"/>
      <c r="AJ150" s="172">
        <f>SUM(D150:AH150)</f>
        <v>76</v>
      </c>
    </row>
    <row r="151" spans="2:36" ht="15.75" hidden="1" outlineLevel="1" thickTop="1" x14ac:dyDescent="0.25">
      <c r="B151" s="150"/>
      <c r="C151" s="1" t="s">
        <v>1</v>
      </c>
      <c r="D151" s="181"/>
      <c r="E151" s="181"/>
      <c r="F151" s="181"/>
      <c r="G151" s="198"/>
      <c r="H151" s="198"/>
      <c r="I151" s="181"/>
      <c r="J151" s="181"/>
      <c r="K151" s="181"/>
      <c r="L151" s="183"/>
      <c r="M151" s="181"/>
      <c r="N151" s="198"/>
      <c r="O151" s="198"/>
      <c r="P151" s="181"/>
      <c r="Q151" s="181"/>
      <c r="R151" s="181"/>
      <c r="S151" s="181"/>
      <c r="T151" s="181"/>
      <c r="U151" s="198"/>
      <c r="V151" s="198"/>
      <c r="W151" s="183"/>
      <c r="X151" s="181"/>
      <c r="Y151" s="181"/>
      <c r="Z151" s="181"/>
      <c r="AA151" s="181"/>
      <c r="AB151" s="198"/>
      <c r="AC151" s="198"/>
      <c r="AD151" s="181"/>
      <c r="AE151" s="181"/>
      <c r="AF151" s="181"/>
      <c r="AG151" s="181"/>
      <c r="AH151" s="181"/>
      <c r="AI151" s="97"/>
      <c r="AJ151" s="174">
        <f t="shared" ref="AJ151:AJ154" si="7">SUM(D151:AH151)</f>
        <v>0</v>
      </c>
    </row>
    <row r="152" spans="2:36" hidden="1" outlineLevel="1" x14ac:dyDescent="0.25">
      <c r="B152" s="151"/>
      <c r="C152" s="1" t="s">
        <v>2</v>
      </c>
      <c r="D152" s="182"/>
      <c r="E152" s="182"/>
      <c r="F152" s="182"/>
      <c r="G152" s="198"/>
      <c r="H152" s="198"/>
      <c r="I152" s="182"/>
      <c r="J152" s="182"/>
      <c r="K152" s="182"/>
      <c r="L152" s="183"/>
      <c r="M152" s="182"/>
      <c r="N152" s="198"/>
      <c r="O152" s="198"/>
      <c r="P152" s="182"/>
      <c r="Q152" s="182"/>
      <c r="R152" s="182"/>
      <c r="S152" s="182"/>
      <c r="T152" s="182"/>
      <c r="U152" s="198"/>
      <c r="V152" s="198"/>
      <c r="W152" s="183"/>
      <c r="X152" s="182"/>
      <c r="Y152" s="182"/>
      <c r="Z152" s="182"/>
      <c r="AA152" s="182"/>
      <c r="AB152" s="198"/>
      <c r="AC152" s="198"/>
      <c r="AD152" s="182"/>
      <c r="AE152" s="182"/>
      <c r="AF152" s="182"/>
      <c r="AG152" s="182"/>
      <c r="AH152" s="182"/>
      <c r="AI152" s="97"/>
      <c r="AJ152" s="175">
        <f t="shared" si="7"/>
        <v>0</v>
      </c>
    </row>
    <row r="153" spans="2:36" hidden="1" outlineLevel="1" x14ac:dyDescent="0.25">
      <c r="B153" s="151"/>
      <c r="C153" s="54" t="s">
        <v>77</v>
      </c>
      <c r="D153" s="183"/>
      <c r="E153" s="183"/>
      <c r="F153" s="183"/>
      <c r="G153" s="198"/>
      <c r="H153" s="198"/>
      <c r="I153" s="183"/>
      <c r="J153" s="183"/>
      <c r="K153" s="183"/>
      <c r="L153" s="183"/>
      <c r="M153" s="183"/>
      <c r="N153" s="198"/>
      <c r="O153" s="198"/>
      <c r="P153" s="183"/>
      <c r="Q153" s="183"/>
      <c r="R153" s="183"/>
      <c r="S153" s="183"/>
      <c r="T153" s="183"/>
      <c r="U153" s="198"/>
      <c r="V153" s="198"/>
      <c r="W153" s="183"/>
      <c r="X153" s="183"/>
      <c r="Y153" s="183"/>
      <c r="Z153" s="183"/>
      <c r="AA153" s="183"/>
      <c r="AB153" s="198"/>
      <c r="AC153" s="198"/>
      <c r="AD153" s="183"/>
      <c r="AE153" s="183"/>
      <c r="AF153" s="183"/>
      <c r="AG153" s="183"/>
      <c r="AH153" s="183"/>
      <c r="AI153" s="97"/>
      <c r="AJ153" s="176">
        <f t="shared" si="7"/>
        <v>0</v>
      </c>
    </row>
    <row r="154" spans="2:36" ht="15.75" hidden="1" outlineLevel="1" thickBot="1" x14ac:dyDescent="0.3">
      <c r="B154" s="151"/>
      <c r="C154" s="9" t="s">
        <v>3</v>
      </c>
      <c r="D154" s="184"/>
      <c r="E154" s="184"/>
      <c r="F154" s="184"/>
      <c r="G154" s="199"/>
      <c r="H154" s="199"/>
      <c r="I154" s="184"/>
      <c r="J154" s="184"/>
      <c r="K154" s="184"/>
      <c r="L154" s="183"/>
      <c r="M154" s="184"/>
      <c r="N154" s="199"/>
      <c r="O154" s="199"/>
      <c r="P154" s="184"/>
      <c r="Q154" s="184"/>
      <c r="R154" s="184"/>
      <c r="S154" s="184"/>
      <c r="T154" s="184"/>
      <c r="U154" s="199"/>
      <c r="V154" s="199"/>
      <c r="W154" s="183"/>
      <c r="X154" s="184"/>
      <c r="Y154" s="184"/>
      <c r="Z154" s="184"/>
      <c r="AA154" s="184"/>
      <c r="AB154" s="199"/>
      <c r="AC154" s="199"/>
      <c r="AD154" s="184"/>
      <c r="AE154" s="184"/>
      <c r="AF154" s="184"/>
      <c r="AG154" s="184"/>
      <c r="AH154" s="184"/>
      <c r="AI154" s="186"/>
      <c r="AJ154" s="177">
        <f t="shared" si="7"/>
        <v>0</v>
      </c>
    </row>
    <row r="155" spans="2:36" ht="16.5" collapsed="1" thickTop="1" thickBot="1" x14ac:dyDescent="0.3">
      <c r="B155" s="149" t="str">
        <f>'Hours Scheduled'!B34</f>
        <v>Leo Wijnands</v>
      </c>
      <c r="C155" t="s">
        <v>0</v>
      </c>
      <c r="D155" s="180"/>
      <c r="E155" s="180"/>
      <c r="F155" s="180"/>
      <c r="G155" s="198"/>
      <c r="H155" s="198"/>
      <c r="I155" s="180"/>
      <c r="J155" s="180"/>
      <c r="K155" s="180"/>
      <c r="L155" s="183"/>
      <c r="M155" s="180">
        <v>8</v>
      </c>
      <c r="N155" s="198"/>
      <c r="O155" s="198"/>
      <c r="P155" s="180"/>
      <c r="Q155" s="180"/>
      <c r="R155" s="180"/>
      <c r="S155" s="180"/>
      <c r="T155" s="180"/>
      <c r="U155" s="198"/>
      <c r="V155" s="198"/>
      <c r="W155" s="183"/>
      <c r="X155" s="180"/>
      <c r="Y155" s="180"/>
      <c r="Z155" s="180"/>
      <c r="AA155" s="180"/>
      <c r="AB155" s="198"/>
      <c r="AC155" s="198"/>
      <c r="AD155" s="180"/>
      <c r="AE155" s="180"/>
      <c r="AF155" s="180"/>
      <c r="AG155" s="180"/>
      <c r="AH155" s="180"/>
      <c r="AI155" s="97"/>
      <c r="AJ155" s="172">
        <f>SUM(D155:AH155)</f>
        <v>8</v>
      </c>
    </row>
    <row r="156" spans="2:36" ht="15.75" hidden="1" outlineLevel="1" thickTop="1" x14ac:dyDescent="0.25">
      <c r="B156" s="150"/>
      <c r="C156" s="1" t="s">
        <v>1</v>
      </c>
      <c r="D156" s="181"/>
      <c r="E156" s="181"/>
      <c r="F156" s="181"/>
      <c r="G156" s="198"/>
      <c r="H156" s="198"/>
      <c r="I156" s="181"/>
      <c r="J156" s="181"/>
      <c r="K156" s="181"/>
      <c r="L156" s="183"/>
      <c r="M156" s="181"/>
      <c r="N156" s="198"/>
      <c r="O156" s="198"/>
      <c r="P156" s="181"/>
      <c r="Q156" s="181"/>
      <c r="R156" s="181"/>
      <c r="S156" s="181"/>
      <c r="T156" s="181"/>
      <c r="U156" s="198"/>
      <c r="V156" s="198"/>
      <c r="W156" s="183"/>
      <c r="X156" s="181"/>
      <c r="Y156" s="181"/>
      <c r="Z156" s="181"/>
      <c r="AA156" s="181"/>
      <c r="AB156" s="198"/>
      <c r="AC156" s="198"/>
      <c r="AD156" s="181"/>
      <c r="AE156" s="181"/>
      <c r="AF156" s="181"/>
      <c r="AG156" s="181"/>
      <c r="AH156" s="181"/>
      <c r="AI156" s="97"/>
      <c r="AJ156" s="174">
        <f t="shared" ref="AJ156:AJ159" si="8">SUM(D156:AH156)</f>
        <v>0</v>
      </c>
    </row>
    <row r="157" spans="2:36" hidden="1" outlineLevel="1" x14ac:dyDescent="0.25">
      <c r="B157" s="151"/>
      <c r="C157" s="1" t="s">
        <v>2</v>
      </c>
      <c r="D157" s="182"/>
      <c r="E157" s="182"/>
      <c r="F157" s="182"/>
      <c r="G157" s="198"/>
      <c r="H157" s="198"/>
      <c r="I157" s="182"/>
      <c r="J157" s="182"/>
      <c r="K157" s="182"/>
      <c r="L157" s="183"/>
      <c r="M157" s="182"/>
      <c r="N157" s="198"/>
      <c r="O157" s="198"/>
      <c r="P157" s="182"/>
      <c r="Q157" s="182"/>
      <c r="R157" s="182"/>
      <c r="S157" s="182"/>
      <c r="T157" s="182"/>
      <c r="U157" s="198"/>
      <c r="V157" s="198"/>
      <c r="W157" s="183"/>
      <c r="X157" s="182"/>
      <c r="Y157" s="182"/>
      <c r="Z157" s="182"/>
      <c r="AA157" s="182"/>
      <c r="AB157" s="198"/>
      <c r="AC157" s="198"/>
      <c r="AD157" s="182"/>
      <c r="AE157" s="182"/>
      <c r="AF157" s="182"/>
      <c r="AG157" s="182"/>
      <c r="AH157" s="182"/>
      <c r="AI157" s="97"/>
      <c r="AJ157" s="175">
        <f t="shared" si="8"/>
        <v>0</v>
      </c>
    </row>
    <row r="158" spans="2:36" hidden="1" outlineLevel="1" x14ac:dyDescent="0.25">
      <c r="B158" s="151"/>
      <c r="C158" s="54" t="s">
        <v>77</v>
      </c>
      <c r="D158" s="183"/>
      <c r="E158" s="183"/>
      <c r="F158" s="183"/>
      <c r="G158" s="198"/>
      <c r="H158" s="198"/>
      <c r="I158" s="183"/>
      <c r="J158" s="183"/>
      <c r="K158" s="183"/>
      <c r="L158" s="183"/>
      <c r="M158" s="183"/>
      <c r="N158" s="198"/>
      <c r="O158" s="198"/>
      <c r="P158" s="183"/>
      <c r="Q158" s="183"/>
      <c r="R158" s="183"/>
      <c r="S158" s="183"/>
      <c r="T158" s="183"/>
      <c r="U158" s="198"/>
      <c r="V158" s="198"/>
      <c r="W158" s="183"/>
      <c r="X158" s="183"/>
      <c r="Y158" s="183"/>
      <c r="Z158" s="183"/>
      <c r="AA158" s="183"/>
      <c r="AB158" s="198"/>
      <c r="AC158" s="198"/>
      <c r="AD158" s="183"/>
      <c r="AE158" s="183"/>
      <c r="AF158" s="183"/>
      <c r="AG158" s="183"/>
      <c r="AH158" s="183"/>
      <c r="AI158" s="97"/>
      <c r="AJ158" s="176">
        <f t="shared" si="8"/>
        <v>0</v>
      </c>
    </row>
    <row r="159" spans="2:36" ht="15.75" hidden="1" outlineLevel="1" thickBot="1" x14ac:dyDescent="0.3">
      <c r="B159" s="151"/>
      <c r="C159" s="9" t="s">
        <v>3</v>
      </c>
      <c r="D159" s="184"/>
      <c r="E159" s="184"/>
      <c r="F159" s="184"/>
      <c r="G159" s="199"/>
      <c r="H159" s="199"/>
      <c r="I159" s="184"/>
      <c r="J159" s="184"/>
      <c r="K159" s="184"/>
      <c r="L159" s="183"/>
      <c r="M159" s="184"/>
      <c r="N159" s="199"/>
      <c r="O159" s="199"/>
      <c r="P159" s="184"/>
      <c r="Q159" s="184"/>
      <c r="R159" s="184"/>
      <c r="S159" s="184"/>
      <c r="T159" s="184"/>
      <c r="U159" s="199"/>
      <c r="V159" s="199"/>
      <c r="W159" s="183"/>
      <c r="X159" s="184"/>
      <c r="Y159" s="184"/>
      <c r="Z159" s="184"/>
      <c r="AA159" s="184"/>
      <c r="AB159" s="199"/>
      <c r="AC159" s="199"/>
      <c r="AD159" s="184"/>
      <c r="AE159" s="184"/>
      <c r="AF159" s="184"/>
      <c r="AG159" s="184"/>
      <c r="AH159" s="184"/>
      <c r="AI159" s="186"/>
      <c r="AJ159" s="177">
        <f t="shared" si="8"/>
        <v>0</v>
      </c>
    </row>
    <row r="160" spans="2:36" ht="16.5" collapsed="1" thickTop="1" thickBot="1" x14ac:dyDescent="0.3">
      <c r="B160" s="149" t="str">
        <f>'Hours Scheduled'!B35</f>
        <v>Danny Ummels</v>
      </c>
      <c r="C160" t="s">
        <v>0</v>
      </c>
      <c r="D160" s="180"/>
      <c r="E160" s="180"/>
      <c r="F160" s="180"/>
      <c r="G160" s="198"/>
      <c r="H160" s="198"/>
      <c r="I160" s="180"/>
      <c r="J160" s="180">
        <v>8</v>
      </c>
      <c r="K160" s="180">
        <v>8</v>
      </c>
      <c r="L160" s="183"/>
      <c r="M160" s="180">
        <v>8</v>
      </c>
      <c r="N160" s="198"/>
      <c r="O160" s="198"/>
      <c r="P160" s="180"/>
      <c r="Q160" s="180"/>
      <c r="R160" s="180"/>
      <c r="S160" s="180"/>
      <c r="T160" s="180"/>
      <c r="U160" s="198"/>
      <c r="V160" s="198"/>
      <c r="W160" s="183"/>
      <c r="X160" s="180"/>
      <c r="Y160" s="180"/>
      <c r="Z160" s="180">
        <v>0</v>
      </c>
      <c r="AA160" s="180">
        <v>0</v>
      </c>
      <c r="AB160" s="198"/>
      <c r="AC160" s="198"/>
      <c r="AD160" s="180">
        <v>0</v>
      </c>
      <c r="AE160" s="180">
        <v>0</v>
      </c>
      <c r="AF160" s="180">
        <v>0</v>
      </c>
      <c r="AG160" s="180"/>
      <c r="AH160" s="180"/>
      <c r="AI160" s="97"/>
      <c r="AJ160" s="172">
        <f>SUM(D160:AH160)</f>
        <v>24</v>
      </c>
    </row>
    <row r="161" spans="2:36" ht="15.75" hidden="1" outlineLevel="1" thickTop="1" x14ac:dyDescent="0.25">
      <c r="B161" s="150"/>
      <c r="C161" s="1" t="s">
        <v>1</v>
      </c>
      <c r="D161" s="181"/>
      <c r="E161" s="181"/>
      <c r="F161" s="181"/>
      <c r="G161" s="198"/>
      <c r="H161" s="198"/>
      <c r="I161" s="181"/>
      <c r="J161" s="181"/>
      <c r="K161" s="181"/>
      <c r="L161" s="183"/>
      <c r="M161" s="181"/>
      <c r="N161" s="198"/>
      <c r="O161" s="198"/>
      <c r="P161" s="181"/>
      <c r="Q161" s="181"/>
      <c r="R161" s="181"/>
      <c r="S161" s="181"/>
      <c r="T161" s="181"/>
      <c r="U161" s="198"/>
      <c r="V161" s="198"/>
      <c r="W161" s="183"/>
      <c r="X161" s="181"/>
      <c r="Y161" s="181">
        <v>8</v>
      </c>
      <c r="Z161" s="181">
        <v>8</v>
      </c>
      <c r="AA161" s="181">
        <v>8</v>
      </c>
      <c r="AB161" s="198"/>
      <c r="AC161" s="198"/>
      <c r="AD161" s="181">
        <v>8</v>
      </c>
      <c r="AE161" s="181">
        <v>8</v>
      </c>
      <c r="AF161" s="181">
        <v>8</v>
      </c>
      <c r="AG161" s="181"/>
      <c r="AH161" s="181"/>
      <c r="AI161" s="97"/>
      <c r="AJ161" s="174">
        <f t="shared" ref="AJ161:AJ164" si="9">SUM(D161:AH161)</f>
        <v>48</v>
      </c>
    </row>
    <row r="162" spans="2:36" hidden="1" outlineLevel="1" x14ac:dyDescent="0.25">
      <c r="B162" s="151"/>
      <c r="C162" s="1" t="s">
        <v>2</v>
      </c>
      <c r="D162" s="182"/>
      <c r="E162" s="182"/>
      <c r="F162" s="182"/>
      <c r="G162" s="198"/>
      <c r="H162" s="198"/>
      <c r="I162" s="182"/>
      <c r="J162" s="182"/>
      <c r="K162" s="182"/>
      <c r="L162" s="183"/>
      <c r="M162" s="182"/>
      <c r="N162" s="198"/>
      <c r="O162" s="198"/>
      <c r="P162" s="182"/>
      <c r="Q162" s="182"/>
      <c r="R162" s="182"/>
      <c r="S162" s="182"/>
      <c r="T162" s="182"/>
      <c r="U162" s="198"/>
      <c r="V162" s="198"/>
      <c r="W162" s="183"/>
      <c r="X162" s="182"/>
      <c r="Y162" s="182"/>
      <c r="Z162" s="182"/>
      <c r="AA162" s="182"/>
      <c r="AB162" s="198"/>
      <c r="AC162" s="198"/>
      <c r="AD162" s="182"/>
      <c r="AE162" s="182"/>
      <c r="AF162" s="182"/>
      <c r="AG162" s="182"/>
      <c r="AH162" s="182"/>
      <c r="AI162" s="97"/>
      <c r="AJ162" s="175">
        <f t="shared" si="9"/>
        <v>0</v>
      </c>
    </row>
    <row r="163" spans="2:36" hidden="1" outlineLevel="1" x14ac:dyDescent="0.25">
      <c r="B163" s="151"/>
      <c r="C163" s="54" t="s">
        <v>77</v>
      </c>
      <c r="D163" s="183"/>
      <c r="E163" s="183"/>
      <c r="F163" s="183"/>
      <c r="G163" s="198"/>
      <c r="H163" s="198"/>
      <c r="I163" s="183"/>
      <c r="J163" s="183"/>
      <c r="K163" s="183"/>
      <c r="L163" s="183"/>
      <c r="M163" s="183"/>
      <c r="N163" s="198"/>
      <c r="O163" s="198"/>
      <c r="P163" s="183"/>
      <c r="Q163" s="183"/>
      <c r="R163" s="183"/>
      <c r="S163" s="183"/>
      <c r="T163" s="183"/>
      <c r="U163" s="198"/>
      <c r="V163" s="198"/>
      <c r="W163" s="183"/>
      <c r="X163" s="183"/>
      <c r="Y163" s="183"/>
      <c r="Z163" s="183"/>
      <c r="AA163" s="183"/>
      <c r="AB163" s="198"/>
      <c r="AC163" s="198"/>
      <c r="AD163" s="183"/>
      <c r="AE163" s="183"/>
      <c r="AF163" s="183"/>
      <c r="AG163" s="183"/>
      <c r="AH163" s="183"/>
      <c r="AI163" s="97"/>
      <c r="AJ163" s="176">
        <f t="shared" si="9"/>
        <v>0</v>
      </c>
    </row>
    <row r="164" spans="2:36" ht="15.75" hidden="1" outlineLevel="1" thickBot="1" x14ac:dyDescent="0.3">
      <c r="B164" s="151"/>
      <c r="C164" s="9" t="s">
        <v>3</v>
      </c>
      <c r="D164" s="184"/>
      <c r="E164" s="184"/>
      <c r="F164" s="184"/>
      <c r="G164" s="199"/>
      <c r="H164" s="199"/>
      <c r="I164" s="184"/>
      <c r="J164" s="184"/>
      <c r="K164" s="184"/>
      <c r="L164" s="183"/>
      <c r="M164" s="184"/>
      <c r="N164" s="199"/>
      <c r="O164" s="199"/>
      <c r="P164" s="184"/>
      <c r="Q164" s="184"/>
      <c r="R164" s="184"/>
      <c r="S164" s="184"/>
      <c r="T164" s="184"/>
      <c r="U164" s="199"/>
      <c r="V164" s="199"/>
      <c r="W164" s="183"/>
      <c r="X164" s="184"/>
      <c r="Y164" s="184"/>
      <c r="Z164" s="184"/>
      <c r="AA164" s="184"/>
      <c r="AB164" s="199"/>
      <c r="AC164" s="199"/>
      <c r="AD164" s="184"/>
      <c r="AE164" s="184"/>
      <c r="AF164" s="184"/>
      <c r="AG164" s="184"/>
      <c r="AH164" s="184"/>
      <c r="AI164" s="186"/>
      <c r="AJ164" s="177">
        <f t="shared" si="9"/>
        <v>0</v>
      </c>
    </row>
    <row r="165" spans="2:36" ht="15.75" collapsed="1" thickTop="1" x14ac:dyDescent="0.25">
      <c r="B165"/>
    </row>
    <row r="166" spans="2:36" x14ac:dyDescent="0.25">
      <c r="B166"/>
    </row>
    <row r="167" spans="2:36" x14ac:dyDescent="0.25">
      <c r="B167"/>
    </row>
    <row r="168" spans="2:36" x14ac:dyDescent="0.25">
      <c r="B168"/>
    </row>
    <row r="169" spans="2:36" x14ac:dyDescent="0.25">
      <c r="B169"/>
    </row>
    <row r="170" spans="2:36" x14ac:dyDescent="0.25">
      <c r="B170"/>
    </row>
    <row r="171" spans="2:36" x14ac:dyDescent="0.25">
      <c r="B171"/>
    </row>
    <row r="172" spans="2:36" x14ac:dyDescent="0.25">
      <c r="B172"/>
    </row>
    <row r="173" spans="2:36" x14ac:dyDescent="0.25">
      <c r="B173"/>
    </row>
  </sheetData>
  <autoFilter ref="A4:AJ164"/>
  <customSheetViews>
    <customSheetView guid="{98CBC5BF-8C89-48A4-860E-9C56014CD200}" scale="90" showGridLines="0" showAutoFilter="1" hiddenRows="1" topLeftCell="A2">
      <pane ySplit="2" topLeftCell="A30" activePane="bottomLeft" state="frozenSplit"/>
      <selection pane="bottomLeft" activeCell="AG115" sqref="AG115"/>
      <pageMargins left="0.7" right="0.7" top="0.75" bottom="0.75" header="0.3" footer="0.3"/>
      <pageSetup paperSize="9" orientation="portrait" horizontalDpi="1200" r:id="rId1"/>
      <autoFilter ref="A4:AJ164"/>
    </customSheetView>
    <customSheetView guid="{1BC25061-32D5-45DE-83F9-EFA3A1092E03}" scale="90" showGridLines="0" showAutoFilter="1" hiddenRows="1" topLeftCell="A2">
      <pane ySplit="3" topLeftCell="A5" activePane="bottomLeft" state="frozenSplit"/>
      <selection pane="bottomLeft" activeCell="M95" sqref="M95"/>
      <pageMargins left="0.7" right="0.7" top="0.75" bottom="0.75" header="0.3" footer="0.3"/>
      <pageSetup paperSize="9" orientation="portrait" horizontalDpi="1200" r:id="rId2"/>
      <autoFilter ref="A4:AJ145"/>
    </customSheetView>
    <customSheetView guid="{CF917189-7AB9-4E55-816F-ACFC7FA45C05}" scale="90" showGridLines="0" showAutoFilter="1" hiddenRows="1" topLeftCell="A2">
      <pane ySplit="2" topLeftCell="A5" activePane="bottomLeft" state="frozenSplit"/>
      <selection pane="bottomLeft" activeCell="M95" sqref="M95"/>
      <pageMargins left="0.7" right="0.7" top="0.75" bottom="0.75" header="0.3" footer="0.3"/>
      <pageSetup paperSize="9" orientation="portrait" horizontalDpi="1200" r:id="rId3"/>
      <autoFilter ref="A4:AJ145"/>
    </customSheetView>
    <customSheetView guid="{4155806E-C0D0-4CC9-9B31-04245B7DD4C8}" showGridLines="0" showAutoFilter="1" hiddenRows="1" topLeftCell="A2">
      <pane ySplit="3" topLeftCell="A5" activePane="bottomLeft" state="frozenSplit"/>
      <selection pane="bottomLeft" activeCell="AH70" sqref="AH70"/>
      <pageMargins left="0.7" right="0.7" top="0.75" bottom="0.75" header="0.3" footer="0.3"/>
      <pageSetup paperSize="9" orientation="portrait" horizontalDpi="1200" r:id="rId4"/>
      <autoFilter ref="A4:AJ145"/>
    </customSheetView>
    <customSheetView guid="{1587CBCC-2CC7-4525-8A49-E261AB2E1606}" scale="90" showGridLines="0" showAutoFilter="1" hiddenRows="1" topLeftCell="A2">
      <pane ySplit="2" topLeftCell="A4" activePane="bottomLeft" state="frozenSplit"/>
      <selection pane="bottomLeft" activeCell="T125" sqref="T125"/>
      <pageMargins left="0.7" right="0.7" top="0.75" bottom="0.75" header="0.3" footer="0.3"/>
      <pageSetup paperSize="9" orientation="portrait" horizontalDpi="1200" r:id="rId5"/>
      <autoFilter ref="A4:AJ164"/>
    </customSheetView>
    <customSheetView guid="{C5D9000A-81ED-4920-B6AF-4B234775AEC9}" scale="90" showGridLines="0" showAutoFilter="1" hiddenRows="1" topLeftCell="A2">
      <pane ySplit="2" topLeftCell="A5" activePane="bottomLeft" state="frozenSplit"/>
      <selection pane="bottomLeft" activeCell="M95" sqref="M95"/>
      <pageMargins left="0.7" right="0.7" top="0.75" bottom="0.75" header="0.3" footer="0.3"/>
      <pageSetup paperSize="9" orientation="portrait" horizontalDpi="1200" r:id="rId6"/>
      <autoFilter ref="A4:AJ164"/>
    </customSheetView>
  </customSheetViews>
  <conditionalFormatting sqref="D3:AH3">
    <cfRule type="expression" dxfId="51" priority="11">
      <formula>WEEKDAY(D3:AH3)=1</formula>
    </cfRule>
    <cfRule type="expression" dxfId="50" priority="12">
      <formula>WEEKDAY(D3:AH3)=7</formula>
    </cfRule>
  </conditionalFormatting>
  <conditionalFormatting sqref="A5:A140">
    <cfRule type="cellIs" dxfId="49" priority="10" operator="equal">
      <formula>"08:00/16:30"</formula>
    </cfRule>
  </conditionalFormatting>
  <conditionalFormatting sqref="A5:A10 A15:A140">
    <cfRule type="cellIs" dxfId="48" priority="9" operator="equal">
      <formula>"09:30/18:00"</formula>
    </cfRule>
  </conditionalFormatting>
  <dataValidations count="2">
    <dataValidation type="list" allowBlank="1" showInputMessage="1" sqref="A140 A115 A120 A125 A130 A135 A5 A10 A15 A20 A25 A30 A35 A40 A50 A55 A60 A65 A70 A75 A80 A85 A90 A95:A110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" right="0.7" top="0.75" bottom="0.75" header="0.3" footer="0.3"/>
  <pageSetup paperSize="9" orientation="portrait" horizontalDpi="1200" r:id="rId7"/>
  <legacyDrawing r:id="rId8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filterMode="1">
    <tabColor rgb="FFCCFFCC"/>
  </sheetPr>
  <dimension ref="A1:AJ172"/>
  <sheetViews>
    <sheetView showGridLines="0" topLeftCell="A2" zoomScale="90" zoomScaleNormal="90" workbookViewId="0">
      <pane ySplit="2" topLeftCell="A4" activePane="bottomLeft" state="frozenSplit"/>
      <selection activeCell="A2" sqref="A2"/>
      <selection pane="bottomLeft" activeCell="AL85" sqref="AL85"/>
    </sheetView>
  </sheetViews>
  <sheetFormatPr defaultRowHeight="15" outlineLevelRow="1" x14ac:dyDescent="0.25"/>
  <cols>
    <col min="1" max="1" width="5.140625" bestFit="1" customWidth="1"/>
    <col min="2" max="2" width="17.42578125" style="152" bestFit="1" customWidth="1"/>
    <col min="3" max="3" width="11.5703125" bestFit="1" customWidth="1"/>
    <col min="4" max="9" width="3.42578125" bestFit="1" customWidth="1"/>
    <col min="10" max="10" width="4.42578125" bestFit="1" customWidth="1"/>
    <col min="11" max="22" width="3.42578125" bestFit="1" customWidth="1"/>
    <col min="23" max="23" width="4.42578125" bestFit="1" customWidth="1"/>
    <col min="24" max="28" width="3.42578125" bestFit="1" customWidth="1"/>
    <col min="29" max="29" width="4.42578125" bestFit="1" customWidth="1"/>
    <col min="30" max="33" width="3.42578125" bestFit="1" customWidth="1"/>
    <col min="34" max="34" width="3.28515625" bestFit="1" customWidth="1"/>
    <col min="35" max="35" width="3.7109375" customWidth="1"/>
    <col min="36" max="36" width="4.140625" bestFit="1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x14ac:dyDescent="0.25">
      <c r="B2" s="153" t="s">
        <v>12</v>
      </c>
    </row>
    <row r="3" spans="1:36" ht="102" customHeight="1" x14ac:dyDescent="0.25">
      <c r="A3" t="s">
        <v>163</v>
      </c>
      <c r="B3" s="152" t="s">
        <v>4</v>
      </c>
      <c r="D3" s="78">
        <f>DATE(Title!$F$12,6,D1)</f>
        <v>41426</v>
      </c>
      <c r="E3" s="78">
        <f>DATE(Title!$F$12,6,E1)</f>
        <v>41427</v>
      </c>
      <c r="F3" s="78">
        <f>DATE(Title!$F$12,6,F1)</f>
        <v>41428</v>
      </c>
      <c r="G3" s="78">
        <f>DATE(Title!$F$12,6,G1)</f>
        <v>41429</v>
      </c>
      <c r="H3" s="78">
        <f>DATE(Title!$F$12,6,H1)</f>
        <v>41430</v>
      </c>
      <c r="I3" s="78">
        <f>DATE(Title!$F$12,6,I1)</f>
        <v>41431</v>
      </c>
      <c r="J3" s="78">
        <f>DATE(Title!$F$12,6,J1)</f>
        <v>41432</v>
      </c>
      <c r="K3" s="78">
        <f>DATE(Title!$F$12,6,K1)</f>
        <v>41433</v>
      </c>
      <c r="L3" s="78">
        <f>DATE(Title!$F$12,6,L1)</f>
        <v>41434</v>
      </c>
      <c r="M3" s="78">
        <f>DATE(Title!$F$12,6,M1)</f>
        <v>41435</v>
      </c>
      <c r="N3" s="78">
        <f>DATE(Title!$F$12,6,N1)</f>
        <v>41436</v>
      </c>
      <c r="O3" s="78">
        <f>DATE(Title!$F$12,6,O1)</f>
        <v>41437</v>
      </c>
      <c r="P3" s="78">
        <f>DATE(Title!$F$12,6,P1)</f>
        <v>41438</v>
      </c>
      <c r="Q3" s="78">
        <f>DATE(Title!$F$12,6,Q1)</f>
        <v>41439</v>
      </c>
      <c r="R3" s="78">
        <f>DATE(Title!$F$12,6,R1)</f>
        <v>41440</v>
      </c>
      <c r="S3" s="78">
        <f>DATE(Title!$F$12,6,S1)</f>
        <v>41441</v>
      </c>
      <c r="T3" s="78">
        <f>DATE(Title!$F$12,6,T1)</f>
        <v>41442</v>
      </c>
      <c r="U3" s="78">
        <f>DATE(Title!$F$12,6,U1)</f>
        <v>41443</v>
      </c>
      <c r="V3" s="78">
        <f>DATE(Title!$F$12,6,V1)</f>
        <v>41444</v>
      </c>
      <c r="W3" s="78">
        <f>DATE(Title!$F$12,6,W1)</f>
        <v>41445</v>
      </c>
      <c r="X3" s="78">
        <f>DATE(Title!$F$12,6,X1)</f>
        <v>41446</v>
      </c>
      <c r="Y3" s="78">
        <f>DATE(Title!$F$12,6,Y1)</f>
        <v>41447</v>
      </c>
      <c r="Z3" s="78">
        <f>DATE(Title!$F$12,6,Z1)</f>
        <v>41448</v>
      </c>
      <c r="AA3" s="78">
        <f>DATE(Title!$F$12,6,AA1)</f>
        <v>41449</v>
      </c>
      <c r="AB3" s="78">
        <f>DATE(Title!$F$12,6,AB1)</f>
        <v>41450</v>
      </c>
      <c r="AC3" s="78">
        <f>DATE(Title!$F$12,6,AC1)</f>
        <v>41451</v>
      </c>
      <c r="AD3" s="78">
        <f>DATE(Title!$F$12,6,AD1)</f>
        <v>41452</v>
      </c>
      <c r="AE3" s="78">
        <f>DATE(Title!$F$12,6,AE1)</f>
        <v>41453</v>
      </c>
      <c r="AF3" s="78">
        <f>DATE(Title!$F$12,6,AF1)</f>
        <v>41454</v>
      </c>
      <c r="AG3" s="78">
        <f>DATE(Title!$F$12,6,AG1)</f>
        <v>41455</v>
      </c>
      <c r="AH3" s="78"/>
      <c r="AJ3" s="6" t="s">
        <v>5</v>
      </c>
    </row>
    <row r="5" spans="1:36" ht="15.75" thickBot="1" x14ac:dyDescent="0.3">
      <c r="B5" s="149" t="str">
        <f>'Hours Scheduled'!B4</f>
        <v>Barry Berendhuysen</v>
      </c>
      <c r="C5" t="s">
        <v>0</v>
      </c>
      <c r="D5" s="204"/>
      <c r="E5" s="204"/>
      <c r="F5" s="64"/>
      <c r="G5" s="64"/>
      <c r="H5" s="64"/>
      <c r="I5" s="2">
        <v>0</v>
      </c>
      <c r="J5" s="2">
        <v>0</v>
      </c>
      <c r="K5" s="204"/>
      <c r="L5" s="204"/>
      <c r="M5" s="64"/>
      <c r="N5" s="64"/>
      <c r="O5" s="64"/>
      <c r="P5" s="64"/>
      <c r="Q5" s="64"/>
      <c r="R5" s="204"/>
      <c r="S5" s="204"/>
      <c r="T5" s="64"/>
      <c r="U5" s="64"/>
      <c r="V5" s="64"/>
      <c r="W5" s="64"/>
      <c r="X5" s="213">
        <v>8</v>
      </c>
      <c r="Y5" s="204"/>
      <c r="Z5" s="204"/>
      <c r="AA5" s="64"/>
      <c r="AB5" s="64"/>
      <c r="AC5" s="64"/>
      <c r="AD5" s="64"/>
      <c r="AE5" s="64"/>
      <c r="AF5" s="204"/>
      <c r="AG5" s="204"/>
      <c r="AH5" s="64"/>
      <c r="AJ5" s="64">
        <f t="shared" ref="AJ5:AJ36" si="0">SUM(D5:AH5)</f>
        <v>8</v>
      </c>
    </row>
    <row r="6" spans="1:36" ht="15.75" hidden="1" outlineLevel="1" thickTop="1" x14ac:dyDescent="0.25">
      <c r="B6" s="150"/>
      <c r="C6" s="1" t="s">
        <v>1</v>
      </c>
      <c r="D6" s="200"/>
      <c r="E6" s="200"/>
      <c r="F6" s="3"/>
      <c r="G6" s="3"/>
      <c r="H6" s="3"/>
      <c r="I6" s="3"/>
      <c r="J6" s="3"/>
      <c r="K6" s="200"/>
      <c r="L6" s="200"/>
      <c r="M6" s="3"/>
      <c r="N6" s="3"/>
      <c r="O6" s="3"/>
      <c r="P6" s="3"/>
      <c r="Q6" s="3"/>
      <c r="R6" s="200"/>
      <c r="S6" s="200"/>
      <c r="T6" s="3"/>
      <c r="U6" s="3"/>
      <c r="V6" s="3"/>
      <c r="W6" s="3"/>
      <c r="X6" s="3"/>
      <c r="Y6" s="200"/>
      <c r="Z6" s="200"/>
      <c r="AA6" s="3"/>
      <c r="AB6" s="3"/>
      <c r="AC6" s="3"/>
      <c r="AD6" s="3"/>
      <c r="AE6" s="3"/>
      <c r="AF6" s="200"/>
      <c r="AG6" s="200"/>
      <c r="AH6" s="3"/>
      <c r="AJ6" s="70">
        <f t="shared" si="0"/>
        <v>0</v>
      </c>
    </row>
    <row r="7" spans="1:36" ht="15.75" hidden="1" outlineLevel="1" thickTop="1" x14ac:dyDescent="0.25">
      <c r="B7" s="151"/>
      <c r="C7" s="1" t="s">
        <v>2</v>
      </c>
      <c r="D7" s="200"/>
      <c r="E7" s="200"/>
      <c r="F7" s="4"/>
      <c r="G7" s="4"/>
      <c r="H7" s="4"/>
      <c r="I7" s="4"/>
      <c r="J7" s="4"/>
      <c r="K7" s="200"/>
      <c r="L7" s="200"/>
      <c r="M7" s="4"/>
      <c r="N7" s="4"/>
      <c r="O7" s="4"/>
      <c r="P7" s="4"/>
      <c r="Q7" s="4"/>
      <c r="R7" s="200"/>
      <c r="S7" s="200"/>
      <c r="T7" s="4"/>
      <c r="U7" s="4"/>
      <c r="V7" s="4"/>
      <c r="W7" s="4"/>
      <c r="X7" s="4"/>
      <c r="Y7" s="200"/>
      <c r="Z7" s="200"/>
      <c r="AA7" s="4"/>
      <c r="AB7" s="4"/>
      <c r="AC7" s="4"/>
      <c r="AD7" s="4"/>
      <c r="AE7" s="4"/>
      <c r="AF7" s="200"/>
      <c r="AG7" s="200"/>
      <c r="AH7" s="4"/>
      <c r="AJ7" s="71">
        <f t="shared" si="0"/>
        <v>0</v>
      </c>
    </row>
    <row r="8" spans="1:36" ht="15.75" hidden="1" outlineLevel="1" thickTop="1" x14ac:dyDescent="0.25">
      <c r="B8" s="151"/>
      <c r="C8" s="54" t="s">
        <v>77</v>
      </c>
      <c r="D8" s="200"/>
      <c r="E8" s="200"/>
      <c r="F8" s="5"/>
      <c r="G8" s="5"/>
      <c r="H8" s="5"/>
      <c r="I8" s="5"/>
      <c r="J8" s="5"/>
      <c r="K8" s="200"/>
      <c r="L8" s="200"/>
      <c r="M8" s="5"/>
      <c r="N8" s="5"/>
      <c r="O8" s="5"/>
      <c r="P8" s="5"/>
      <c r="Q8" s="5"/>
      <c r="R8" s="200"/>
      <c r="S8" s="200"/>
      <c r="T8" s="5"/>
      <c r="U8" s="5"/>
      <c r="V8" s="5"/>
      <c r="W8" s="5"/>
      <c r="X8" s="5"/>
      <c r="Y8" s="200"/>
      <c r="Z8" s="200"/>
      <c r="AA8" s="5"/>
      <c r="AB8" s="5"/>
      <c r="AC8" s="5"/>
      <c r="AD8" s="5"/>
      <c r="AE8" s="5"/>
      <c r="AF8" s="200"/>
      <c r="AG8" s="200"/>
      <c r="AH8" s="5"/>
      <c r="AJ8" s="72">
        <f t="shared" si="0"/>
        <v>0</v>
      </c>
    </row>
    <row r="9" spans="1:36" ht="16.5" hidden="1" outlineLevel="1" collapsed="1" thickTop="1" thickBot="1" x14ac:dyDescent="0.3">
      <c r="B9" s="151"/>
      <c r="C9" s="9" t="s">
        <v>3</v>
      </c>
      <c r="D9" s="201"/>
      <c r="E9" s="201"/>
      <c r="F9" s="8"/>
      <c r="G9" s="8"/>
      <c r="H9" s="8"/>
      <c r="I9" s="8"/>
      <c r="J9" s="8"/>
      <c r="K9" s="201"/>
      <c r="L9" s="201"/>
      <c r="M9" s="8"/>
      <c r="N9" s="8"/>
      <c r="O9" s="8"/>
      <c r="P9" s="8"/>
      <c r="Q9" s="8"/>
      <c r="R9" s="201"/>
      <c r="S9" s="201"/>
      <c r="T9" s="8"/>
      <c r="U9" s="8"/>
      <c r="V9" s="8"/>
      <c r="W9" s="8"/>
      <c r="X9" s="8"/>
      <c r="Y9" s="201"/>
      <c r="Z9" s="201"/>
      <c r="AA9" s="8"/>
      <c r="AB9" s="8"/>
      <c r="AC9" s="8"/>
      <c r="AD9" s="8"/>
      <c r="AE9" s="8"/>
      <c r="AF9" s="201"/>
      <c r="AG9" s="201"/>
      <c r="AH9" s="8"/>
      <c r="AI9" s="7"/>
      <c r="AJ9" s="69">
        <f t="shared" si="0"/>
        <v>0</v>
      </c>
    </row>
    <row r="10" spans="1:36" ht="16.5" hidden="1" collapsed="1" thickTop="1" thickBot="1" x14ac:dyDescent="0.3">
      <c r="B10" s="253" t="str">
        <f>'Hours Scheduled'!B5</f>
        <v>Bas Boermans</v>
      </c>
      <c r="C10" t="s">
        <v>0</v>
      </c>
      <c r="D10" s="200"/>
      <c r="E10" s="200"/>
      <c r="F10" s="2"/>
      <c r="G10" s="2"/>
      <c r="H10" s="2"/>
      <c r="I10" s="2"/>
      <c r="J10" s="2"/>
      <c r="K10" s="200"/>
      <c r="L10" s="200"/>
      <c r="M10" s="2"/>
      <c r="N10" s="2"/>
      <c r="O10" s="2"/>
      <c r="P10" s="2"/>
      <c r="Q10" s="2"/>
      <c r="R10" s="200"/>
      <c r="S10" s="200"/>
      <c r="T10" s="2"/>
      <c r="U10" s="2"/>
      <c r="V10" s="2"/>
      <c r="W10" s="2"/>
      <c r="X10" s="2"/>
      <c r="Y10" s="200"/>
      <c r="Z10" s="200"/>
      <c r="AA10" s="2"/>
      <c r="AB10" s="2"/>
      <c r="AC10" s="2"/>
      <c r="AD10" s="2"/>
      <c r="AE10" s="2"/>
      <c r="AF10" s="200"/>
      <c r="AG10" s="200"/>
      <c r="AH10" s="2"/>
      <c r="AJ10" s="64">
        <f t="shared" si="0"/>
        <v>0</v>
      </c>
    </row>
    <row r="11" spans="1:36" ht="15.75" hidden="1" outlineLevel="1" thickTop="1" x14ac:dyDescent="0.25">
      <c r="B11" s="150"/>
      <c r="C11" s="1" t="s">
        <v>1</v>
      </c>
      <c r="D11" s="200"/>
      <c r="E11" s="200"/>
      <c r="F11" s="3"/>
      <c r="G11" s="3"/>
      <c r="H11" s="3"/>
      <c r="I11" s="3"/>
      <c r="J11" s="3"/>
      <c r="K11" s="200"/>
      <c r="L11" s="200"/>
      <c r="M11" s="3"/>
      <c r="N11" s="3"/>
      <c r="O11" s="3"/>
      <c r="P11" s="3"/>
      <c r="Q11" s="3"/>
      <c r="R11" s="200"/>
      <c r="S11" s="200"/>
      <c r="T11" s="3"/>
      <c r="U11" s="3"/>
      <c r="V11" s="3"/>
      <c r="W11" s="3"/>
      <c r="X11" s="3"/>
      <c r="Y11" s="200"/>
      <c r="Z11" s="200"/>
      <c r="AA11" s="3"/>
      <c r="AB11" s="3"/>
      <c r="AC11" s="3"/>
      <c r="AD11" s="3"/>
      <c r="AE11" s="3"/>
      <c r="AF11" s="200"/>
      <c r="AG11" s="200"/>
      <c r="AH11" s="3"/>
      <c r="AJ11" s="70">
        <f t="shared" si="0"/>
        <v>0</v>
      </c>
    </row>
    <row r="12" spans="1:36" ht="15.75" hidden="1" outlineLevel="1" thickTop="1" x14ac:dyDescent="0.25">
      <c r="B12" s="151"/>
      <c r="C12" s="1" t="s">
        <v>2</v>
      </c>
      <c r="D12" s="200"/>
      <c r="E12" s="200"/>
      <c r="F12" s="4"/>
      <c r="G12" s="4"/>
      <c r="H12" s="4"/>
      <c r="I12" s="4"/>
      <c r="J12" s="4"/>
      <c r="K12" s="200"/>
      <c r="L12" s="200"/>
      <c r="M12" s="4"/>
      <c r="N12" s="4"/>
      <c r="O12" s="4"/>
      <c r="P12" s="4"/>
      <c r="Q12" s="4"/>
      <c r="R12" s="200"/>
      <c r="S12" s="200"/>
      <c r="T12" s="4"/>
      <c r="U12" s="4"/>
      <c r="V12" s="4"/>
      <c r="W12" s="4"/>
      <c r="X12" s="4"/>
      <c r="Y12" s="200"/>
      <c r="Z12" s="200"/>
      <c r="AA12" s="4"/>
      <c r="AB12" s="4"/>
      <c r="AC12" s="4"/>
      <c r="AD12" s="4"/>
      <c r="AE12" s="4"/>
      <c r="AF12" s="200"/>
      <c r="AG12" s="200"/>
      <c r="AH12" s="4"/>
      <c r="AJ12" s="71">
        <f t="shared" si="0"/>
        <v>0</v>
      </c>
    </row>
    <row r="13" spans="1:36" ht="15.75" hidden="1" outlineLevel="1" thickTop="1" x14ac:dyDescent="0.25">
      <c r="B13" s="151"/>
      <c r="C13" s="54" t="s">
        <v>77</v>
      </c>
      <c r="D13" s="200"/>
      <c r="E13" s="200"/>
      <c r="F13" s="5"/>
      <c r="G13" s="5"/>
      <c r="H13" s="5"/>
      <c r="I13" s="5"/>
      <c r="J13" s="5"/>
      <c r="K13" s="200"/>
      <c r="L13" s="200"/>
      <c r="M13" s="5"/>
      <c r="N13" s="5"/>
      <c r="O13" s="5"/>
      <c r="P13" s="5"/>
      <c r="Q13" s="5"/>
      <c r="R13" s="200"/>
      <c r="S13" s="200"/>
      <c r="T13" s="5"/>
      <c r="U13" s="5"/>
      <c r="V13" s="5"/>
      <c r="W13" s="5"/>
      <c r="X13" s="5"/>
      <c r="Y13" s="200"/>
      <c r="Z13" s="200"/>
      <c r="AA13" s="5"/>
      <c r="AB13" s="5"/>
      <c r="AC13" s="5"/>
      <c r="AD13" s="5"/>
      <c r="AE13" s="5"/>
      <c r="AF13" s="200"/>
      <c r="AG13" s="200"/>
      <c r="AH13" s="5"/>
      <c r="AJ13" s="72">
        <f t="shared" si="0"/>
        <v>0</v>
      </c>
    </row>
    <row r="14" spans="1:36" ht="16.5" hidden="1" outlineLevel="1" collapsed="1" thickTop="1" thickBot="1" x14ac:dyDescent="0.3">
      <c r="B14" s="151"/>
      <c r="C14" s="9" t="s">
        <v>3</v>
      </c>
      <c r="D14" s="201"/>
      <c r="E14" s="201"/>
      <c r="F14" s="8"/>
      <c r="G14" s="8"/>
      <c r="H14" s="8"/>
      <c r="I14" s="8"/>
      <c r="J14" s="8"/>
      <c r="K14" s="201"/>
      <c r="L14" s="201"/>
      <c r="M14" s="8"/>
      <c r="N14" s="8"/>
      <c r="O14" s="8"/>
      <c r="P14" s="8"/>
      <c r="Q14" s="8"/>
      <c r="R14" s="201"/>
      <c r="S14" s="201"/>
      <c r="T14" s="8"/>
      <c r="U14" s="8"/>
      <c r="V14" s="8"/>
      <c r="W14" s="8"/>
      <c r="X14" s="8"/>
      <c r="Y14" s="201"/>
      <c r="Z14" s="201"/>
      <c r="AA14" s="8"/>
      <c r="AB14" s="8"/>
      <c r="AC14" s="8"/>
      <c r="AD14" s="8"/>
      <c r="AE14" s="8"/>
      <c r="AF14" s="201"/>
      <c r="AG14" s="201"/>
      <c r="AH14" s="8"/>
      <c r="AI14" s="7"/>
      <c r="AJ14" s="69">
        <f t="shared" si="0"/>
        <v>0</v>
      </c>
    </row>
    <row r="15" spans="1:36" ht="16.5" hidden="1" collapsed="1" thickTop="1" thickBot="1" x14ac:dyDescent="0.3">
      <c r="B15" s="253" t="str">
        <f>'Hours Scheduled'!B6</f>
        <v>Bastiaan Franssen</v>
      </c>
      <c r="C15" t="s">
        <v>0</v>
      </c>
      <c r="D15" s="200"/>
      <c r="E15" s="200"/>
      <c r="F15" s="2"/>
      <c r="G15" s="2"/>
      <c r="H15" s="2"/>
      <c r="I15" s="2"/>
      <c r="J15" s="2"/>
      <c r="K15" s="200"/>
      <c r="L15" s="200"/>
      <c r="M15" s="2"/>
      <c r="N15" s="2"/>
      <c r="O15" s="2"/>
      <c r="P15" s="2"/>
      <c r="Q15" s="2"/>
      <c r="R15" s="200"/>
      <c r="S15" s="200"/>
      <c r="T15" s="2"/>
      <c r="U15" s="2"/>
      <c r="V15" s="2"/>
      <c r="W15" s="2"/>
      <c r="X15" s="2"/>
      <c r="Y15" s="200"/>
      <c r="Z15" s="200"/>
      <c r="AA15" s="2"/>
      <c r="AB15" s="2"/>
      <c r="AC15" s="2"/>
      <c r="AD15" s="2"/>
      <c r="AE15" s="2"/>
      <c r="AF15" s="200"/>
      <c r="AG15" s="200"/>
      <c r="AH15" s="2"/>
      <c r="AJ15" s="64">
        <f t="shared" si="0"/>
        <v>0</v>
      </c>
    </row>
    <row r="16" spans="1:36" ht="15.75" hidden="1" outlineLevel="1" thickTop="1" x14ac:dyDescent="0.25">
      <c r="B16" s="150"/>
      <c r="C16" s="1" t="s">
        <v>1</v>
      </c>
      <c r="D16" s="200"/>
      <c r="E16" s="200"/>
      <c r="F16" s="3"/>
      <c r="G16" s="3"/>
      <c r="H16" s="3"/>
      <c r="I16" s="3"/>
      <c r="J16" s="3"/>
      <c r="K16" s="200"/>
      <c r="L16" s="200"/>
      <c r="M16" s="3"/>
      <c r="N16" s="3"/>
      <c r="O16" s="3"/>
      <c r="P16" s="3"/>
      <c r="Q16" s="3"/>
      <c r="R16" s="200"/>
      <c r="S16" s="200"/>
      <c r="T16" s="3"/>
      <c r="U16" s="3"/>
      <c r="V16" s="3"/>
      <c r="W16" s="3"/>
      <c r="X16" s="3"/>
      <c r="Y16" s="200"/>
      <c r="Z16" s="200"/>
      <c r="AA16" s="3"/>
      <c r="AB16" s="3"/>
      <c r="AC16" s="3"/>
      <c r="AD16" s="3"/>
      <c r="AE16" s="3"/>
      <c r="AF16" s="200"/>
      <c r="AG16" s="200"/>
      <c r="AH16" s="3"/>
      <c r="AJ16" s="70">
        <f t="shared" si="0"/>
        <v>0</v>
      </c>
    </row>
    <row r="17" spans="2:36" ht="15.75" hidden="1" outlineLevel="1" thickTop="1" x14ac:dyDescent="0.25">
      <c r="B17" s="151"/>
      <c r="C17" s="1" t="s">
        <v>2</v>
      </c>
      <c r="D17" s="200"/>
      <c r="E17" s="200"/>
      <c r="F17" s="4"/>
      <c r="G17" s="4"/>
      <c r="H17" s="4"/>
      <c r="I17" s="4"/>
      <c r="J17" s="4"/>
      <c r="K17" s="200"/>
      <c r="L17" s="200"/>
      <c r="M17" s="4"/>
      <c r="N17" s="4"/>
      <c r="O17" s="4"/>
      <c r="P17" s="4"/>
      <c r="Q17" s="4"/>
      <c r="R17" s="200"/>
      <c r="S17" s="200"/>
      <c r="T17" s="4"/>
      <c r="U17" s="4"/>
      <c r="V17" s="4"/>
      <c r="W17" s="4"/>
      <c r="X17" s="4"/>
      <c r="Y17" s="200"/>
      <c r="Z17" s="200"/>
      <c r="AA17" s="4"/>
      <c r="AB17" s="4"/>
      <c r="AC17" s="4"/>
      <c r="AD17" s="4"/>
      <c r="AE17" s="4"/>
      <c r="AF17" s="200"/>
      <c r="AG17" s="200"/>
      <c r="AH17" s="4"/>
      <c r="AJ17" s="71">
        <f t="shared" si="0"/>
        <v>0</v>
      </c>
    </row>
    <row r="18" spans="2:36" ht="15.75" hidden="1" outlineLevel="1" thickTop="1" x14ac:dyDescent="0.25">
      <c r="B18" s="151"/>
      <c r="C18" s="54" t="s">
        <v>77</v>
      </c>
      <c r="D18" s="200"/>
      <c r="E18" s="200"/>
      <c r="F18" s="5"/>
      <c r="G18" s="5"/>
      <c r="H18" s="5"/>
      <c r="I18" s="5"/>
      <c r="J18" s="5"/>
      <c r="K18" s="200"/>
      <c r="L18" s="200"/>
      <c r="M18" s="5"/>
      <c r="N18" s="5"/>
      <c r="O18" s="5"/>
      <c r="P18" s="5"/>
      <c r="Q18" s="5"/>
      <c r="R18" s="200"/>
      <c r="S18" s="200"/>
      <c r="T18" s="5"/>
      <c r="U18" s="5"/>
      <c r="V18" s="5"/>
      <c r="W18" s="5"/>
      <c r="X18" s="5"/>
      <c r="Y18" s="200"/>
      <c r="Z18" s="200"/>
      <c r="AA18" s="5"/>
      <c r="AB18" s="5"/>
      <c r="AC18" s="5"/>
      <c r="AD18" s="5"/>
      <c r="AE18" s="5"/>
      <c r="AF18" s="200"/>
      <c r="AG18" s="200"/>
      <c r="AH18" s="5"/>
      <c r="AJ18" s="72">
        <f t="shared" si="0"/>
        <v>0</v>
      </c>
    </row>
    <row r="19" spans="2:36" ht="16.5" hidden="1" outlineLevel="1" collapsed="1" thickTop="1" thickBot="1" x14ac:dyDescent="0.3">
      <c r="B19" s="151"/>
      <c r="C19" s="9" t="s">
        <v>3</v>
      </c>
      <c r="D19" s="201"/>
      <c r="E19" s="201"/>
      <c r="F19" s="8"/>
      <c r="G19" s="8"/>
      <c r="H19" s="8"/>
      <c r="I19" s="8"/>
      <c r="J19" s="8"/>
      <c r="K19" s="201"/>
      <c r="L19" s="201"/>
      <c r="M19" s="8"/>
      <c r="N19" s="8"/>
      <c r="O19" s="8"/>
      <c r="P19" s="8"/>
      <c r="Q19" s="8"/>
      <c r="R19" s="201"/>
      <c r="S19" s="201"/>
      <c r="T19" s="8"/>
      <c r="U19" s="8"/>
      <c r="V19" s="8"/>
      <c r="W19" s="8"/>
      <c r="X19" s="8"/>
      <c r="Y19" s="201"/>
      <c r="Z19" s="201"/>
      <c r="AA19" s="8"/>
      <c r="AB19" s="8"/>
      <c r="AC19" s="8"/>
      <c r="AD19" s="8"/>
      <c r="AE19" s="8"/>
      <c r="AF19" s="201"/>
      <c r="AG19" s="201"/>
      <c r="AH19" s="8"/>
      <c r="AI19" s="7"/>
      <c r="AJ19" s="69">
        <f t="shared" si="0"/>
        <v>0</v>
      </c>
    </row>
    <row r="20" spans="2:36" ht="16.5" collapsed="1" thickTop="1" thickBot="1" x14ac:dyDescent="0.3">
      <c r="B20" s="149" t="str">
        <f>'Hours Scheduled'!B7</f>
        <v>Bjorn Haagen</v>
      </c>
      <c r="C20" s="46" t="s">
        <v>0</v>
      </c>
      <c r="D20" s="200"/>
      <c r="E20" s="200"/>
      <c r="F20" s="2"/>
      <c r="G20" s="2"/>
      <c r="H20" s="2"/>
      <c r="I20" s="2"/>
      <c r="J20" s="2">
        <v>4</v>
      </c>
      <c r="K20" s="200"/>
      <c r="L20" s="200"/>
      <c r="M20" s="2"/>
      <c r="N20" s="2"/>
      <c r="O20" s="2"/>
      <c r="P20" s="2"/>
      <c r="Q20" s="2"/>
      <c r="R20" s="200"/>
      <c r="S20" s="200"/>
      <c r="T20" s="2"/>
      <c r="U20" s="2">
        <v>8</v>
      </c>
      <c r="V20" s="2"/>
      <c r="W20" s="2"/>
      <c r="X20" s="2"/>
      <c r="Y20" s="200"/>
      <c r="Z20" s="200"/>
      <c r="AA20" s="2"/>
      <c r="AB20" s="2"/>
      <c r="AC20" s="2"/>
      <c r="AD20" s="2"/>
      <c r="AE20" s="2"/>
      <c r="AF20" s="200"/>
      <c r="AG20" s="200"/>
      <c r="AH20" s="2"/>
      <c r="AI20" s="46"/>
      <c r="AJ20" s="64">
        <f t="shared" si="0"/>
        <v>12</v>
      </c>
    </row>
    <row r="21" spans="2:36" ht="15.75" hidden="1" outlineLevel="1" thickTop="1" x14ac:dyDescent="0.25">
      <c r="B21" s="150"/>
      <c r="C21" s="1" t="s">
        <v>1</v>
      </c>
      <c r="D21" s="200"/>
      <c r="E21" s="200"/>
      <c r="F21" s="3"/>
      <c r="G21" s="3"/>
      <c r="H21" s="3"/>
      <c r="I21" s="3"/>
      <c r="J21" s="3"/>
      <c r="K21" s="200"/>
      <c r="L21" s="200"/>
      <c r="M21" s="3"/>
      <c r="N21" s="3"/>
      <c r="O21" s="3"/>
      <c r="P21" s="3"/>
      <c r="Q21" s="3"/>
      <c r="R21" s="200"/>
      <c r="S21" s="200"/>
      <c r="T21" s="3"/>
      <c r="U21" s="3"/>
      <c r="V21" s="3"/>
      <c r="W21" s="3"/>
      <c r="X21" s="3"/>
      <c r="Y21" s="200"/>
      <c r="Z21" s="200"/>
      <c r="AA21" s="3"/>
      <c r="AB21" s="3"/>
      <c r="AC21" s="3"/>
      <c r="AD21" s="3"/>
      <c r="AE21" s="3"/>
      <c r="AF21" s="200"/>
      <c r="AG21" s="200"/>
      <c r="AH21" s="3"/>
      <c r="AJ21" s="70">
        <f t="shared" si="0"/>
        <v>0</v>
      </c>
    </row>
    <row r="22" spans="2:36" ht="15.75" hidden="1" outlineLevel="1" thickTop="1" x14ac:dyDescent="0.25">
      <c r="B22" s="151"/>
      <c r="C22" s="1" t="s">
        <v>2</v>
      </c>
      <c r="D22" s="200"/>
      <c r="E22" s="200"/>
      <c r="F22" s="4"/>
      <c r="G22" s="4"/>
      <c r="H22" s="4"/>
      <c r="I22" s="4"/>
      <c r="J22" s="4"/>
      <c r="K22" s="200"/>
      <c r="L22" s="200"/>
      <c r="M22" s="4"/>
      <c r="N22" s="4"/>
      <c r="O22" s="4"/>
      <c r="P22" s="4"/>
      <c r="Q22" s="4"/>
      <c r="R22" s="200"/>
      <c r="S22" s="200"/>
      <c r="T22" s="4"/>
      <c r="U22" s="4"/>
      <c r="V22" s="4"/>
      <c r="W22" s="4"/>
      <c r="X22" s="4"/>
      <c r="Y22" s="200"/>
      <c r="Z22" s="200"/>
      <c r="AA22" s="4"/>
      <c r="AB22" s="4"/>
      <c r="AC22" s="4"/>
      <c r="AD22" s="4"/>
      <c r="AE22" s="4"/>
      <c r="AF22" s="200"/>
      <c r="AG22" s="200"/>
      <c r="AH22" s="4"/>
      <c r="AJ22" s="71">
        <f t="shared" si="0"/>
        <v>0</v>
      </c>
    </row>
    <row r="23" spans="2:36" ht="15.75" hidden="1" outlineLevel="1" thickTop="1" x14ac:dyDescent="0.25">
      <c r="B23" s="151"/>
      <c r="C23" s="54" t="s">
        <v>77</v>
      </c>
      <c r="D23" s="200"/>
      <c r="E23" s="200"/>
      <c r="F23" s="5"/>
      <c r="G23" s="5"/>
      <c r="H23" s="5"/>
      <c r="I23" s="5"/>
      <c r="J23" s="5"/>
      <c r="K23" s="200"/>
      <c r="L23" s="200"/>
      <c r="M23" s="5"/>
      <c r="N23" s="5"/>
      <c r="O23" s="5"/>
      <c r="P23" s="5"/>
      <c r="Q23" s="5"/>
      <c r="R23" s="200"/>
      <c r="S23" s="200"/>
      <c r="T23" s="5"/>
      <c r="U23" s="5"/>
      <c r="V23" s="5"/>
      <c r="W23" s="5"/>
      <c r="X23" s="5"/>
      <c r="Y23" s="200"/>
      <c r="Z23" s="200"/>
      <c r="AA23" s="5"/>
      <c r="AB23" s="5"/>
      <c r="AC23" s="5"/>
      <c r="AD23" s="5"/>
      <c r="AE23" s="5"/>
      <c r="AF23" s="200"/>
      <c r="AG23" s="200"/>
      <c r="AH23" s="5"/>
      <c r="AJ23" s="72">
        <f t="shared" si="0"/>
        <v>0</v>
      </c>
    </row>
    <row r="24" spans="2:36" ht="16.5" hidden="1" outlineLevel="1" collapsed="1" thickTop="1" thickBot="1" x14ac:dyDescent="0.3">
      <c r="B24" s="151"/>
      <c r="C24" s="9" t="s">
        <v>3</v>
      </c>
      <c r="D24" s="201"/>
      <c r="E24" s="201"/>
      <c r="F24" s="8"/>
      <c r="G24" s="8"/>
      <c r="H24" s="8"/>
      <c r="I24" s="8"/>
      <c r="J24" s="8"/>
      <c r="K24" s="201"/>
      <c r="L24" s="201"/>
      <c r="M24" s="8"/>
      <c r="N24" s="8"/>
      <c r="O24" s="8"/>
      <c r="P24" s="8"/>
      <c r="Q24" s="8"/>
      <c r="R24" s="201"/>
      <c r="S24" s="201"/>
      <c r="T24" s="8"/>
      <c r="U24" s="8"/>
      <c r="V24" s="8"/>
      <c r="W24" s="8"/>
      <c r="X24" s="8"/>
      <c r="Y24" s="201"/>
      <c r="Z24" s="201"/>
      <c r="AA24" s="8"/>
      <c r="AB24" s="8"/>
      <c r="AC24" s="8"/>
      <c r="AD24" s="8"/>
      <c r="AE24" s="8"/>
      <c r="AF24" s="201"/>
      <c r="AG24" s="201"/>
      <c r="AH24" s="8"/>
      <c r="AI24" s="7"/>
      <c r="AJ24" s="69">
        <f t="shared" si="0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200"/>
      <c r="E25" s="200"/>
      <c r="F25" s="2">
        <v>8</v>
      </c>
      <c r="G25" s="2">
        <v>8</v>
      </c>
      <c r="H25" s="2">
        <v>8</v>
      </c>
      <c r="I25" s="2">
        <v>8</v>
      </c>
      <c r="J25" s="2">
        <v>8</v>
      </c>
      <c r="K25" s="200"/>
      <c r="L25" s="200"/>
      <c r="M25" s="2">
        <v>8</v>
      </c>
      <c r="N25" s="2">
        <v>8</v>
      </c>
      <c r="O25" s="2">
        <v>8</v>
      </c>
      <c r="P25" s="2"/>
      <c r="Q25" s="2"/>
      <c r="R25" s="200"/>
      <c r="S25" s="200"/>
      <c r="T25" s="2"/>
      <c r="U25" s="2"/>
      <c r="V25" s="2"/>
      <c r="W25" s="2">
        <v>8</v>
      </c>
      <c r="X25" s="2"/>
      <c r="Y25" s="200"/>
      <c r="Z25" s="200"/>
      <c r="AA25" s="2"/>
      <c r="AB25" s="2"/>
      <c r="AC25" s="2">
        <v>8</v>
      </c>
      <c r="AD25" s="2">
        <v>8</v>
      </c>
      <c r="AE25" s="2"/>
      <c r="AF25" s="200"/>
      <c r="AG25" s="200"/>
      <c r="AH25" s="2"/>
      <c r="AJ25" s="64">
        <f t="shared" si="0"/>
        <v>88</v>
      </c>
    </row>
    <row r="26" spans="2:36" ht="15.75" hidden="1" outlineLevel="1" thickTop="1" x14ac:dyDescent="0.25">
      <c r="B26" s="150"/>
      <c r="C26" s="1" t="s">
        <v>1</v>
      </c>
      <c r="D26" s="200"/>
      <c r="E26" s="200"/>
      <c r="F26" s="3"/>
      <c r="G26" s="3"/>
      <c r="H26" s="3"/>
      <c r="I26" s="3"/>
      <c r="J26" s="3"/>
      <c r="K26" s="200"/>
      <c r="L26" s="200"/>
      <c r="M26" s="3"/>
      <c r="N26" s="3"/>
      <c r="O26" s="3"/>
      <c r="P26" s="3"/>
      <c r="Q26" s="3"/>
      <c r="R26" s="200"/>
      <c r="S26" s="200"/>
      <c r="T26" s="3"/>
      <c r="U26" s="3"/>
      <c r="V26" s="3"/>
      <c r="W26" s="3"/>
      <c r="X26" s="3"/>
      <c r="Y26" s="200"/>
      <c r="Z26" s="200"/>
      <c r="AA26" s="3"/>
      <c r="AB26" s="3"/>
      <c r="AC26" s="3"/>
      <c r="AD26" s="3"/>
      <c r="AE26" s="3"/>
      <c r="AF26" s="200"/>
      <c r="AG26" s="200"/>
      <c r="AH26" s="3"/>
      <c r="AJ26" s="70">
        <f t="shared" si="0"/>
        <v>0</v>
      </c>
    </row>
    <row r="27" spans="2:36" ht="15.75" hidden="1" outlineLevel="1" thickTop="1" x14ac:dyDescent="0.25">
      <c r="B27" s="151"/>
      <c r="C27" s="1" t="s">
        <v>2</v>
      </c>
      <c r="D27" s="200"/>
      <c r="E27" s="200"/>
      <c r="F27" s="4"/>
      <c r="G27" s="4"/>
      <c r="H27" s="4"/>
      <c r="I27" s="4"/>
      <c r="J27" s="4"/>
      <c r="K27" s="200"/>
      <c r="L27" s="200"/>
      <c r="M27" s="4"/>
      <c r="N27" s="4"/>
      <c r="O27" s="4"/>
      <c r="P27" s="4"/>
      <c r="Q27" s="4"/>
      <c r="R27" s="200"/>
      <c r="S27" s="200"/>
      <c r="T27" s="4"/>
      <c r="U27" s="4"/>
      <c r="V27" s="4"/>
      <c r="W27" s="4"/>
      <c r="X27" s="4"/>
      <c r="Y27" s="200"/>
      <c r="Z27" s="200"/>
      <c r="AA27" s="4"/>
      <c r="AB27" s="4"/>
      <c r="AC27" s="4"/>
      <c r="AD27" s="4"/>
      <c r="AE27" s="4"/>
      <c r="AF27" s="200"/>
      <c r="AG27" s="200"/>
      <c r="AH27" s="4"/>
      <c r="AJ27" s="71">
        <f t="shared" si="0"/>
        <v>0</v>
      </c>
    </row>
    <row r="28" spans="2:36" ht="15.75" hidden="1" outlineLevel="1" thickTop="1" x14ac:dyDescent="0.25">
      <c r="B28" s="151"/>
      <c r="C28" s="54" t="s">
        <v>77</v>
      </c>
      <c r="D28" s="200"/>
      <c r="E28" s="200"/>
      <c r="F28" s="5"/>
      <c r="G28" s="5"/>
      <c r="H28" s="5"/>
      <c r="I28" s="5"/>
      <c r="J28" s="5"/>
      <c r="K28" s="200"/>
      <c r="L28" s="200"/>
      <c r="M28" s="5"/>
      <c r="N28" s="5"/>
      <c r="O28" s="5"/>
      <c r="P28" s="5"/>
      <c r="Q28" s="5"/>
      <c r="R28" s="200"/>
      <c r="S28" s="200"/>
      <c r="T28" s="5"/>
      <c r="U28" s="5"/>
      <c r="V28" s="5"/>
      <c r="W28" s="5"/>
      <c r="X28" s="5"/>
      <c r="Y28" s="200"/>
      <c r="Z28" s="200"/>
      <c r="AA28" s="5"/>
      <c r="AB28" s="5"/>
      <c r="AC28" s="5"/>
      <c r="AD28" s="5"/>
      <c r="AE28" s="5"/>
      <c r="AF28" s="200"/>
      <c r="AG28" s="200"/>
      <c r="AH28" s="5"/>
      <c r="AJ28" s="72">
        <f t="shared" si="0"/>
        <v>0</v>
      </c>
    </row>
    <row r="29" spans="2:36" ht="16.5" hidden="1" outlineLevel="1" collapsed="1" thickTop="1" thickBot="1" x14ac:dyDescent="0.3">
      <c r="B29" s="151"/>
      <c r="C29" s="9" t="s">
        <v>3</v>
      </c>
      <c r="D29" s="201"/>
      <c r="E29" s="201"/>
      <c r="F29" s="8"/>
      <c r="G29" s="8"/>
      <c r="H29" s="8"/>
      <c r="I29" s="8"/>
      <c r="J29" s="8"/>
      <c r="K29" s="201"/>
      <c r="L29" s="201"/>
      <c r="M29" s="8"/>
      <c r="N29" s="8"/>
      <c r="O29" s="8"/>
      <c r="P29" s="8"/>
      <c r="Q29" s="8"/>
      <c r="R29" s="201"/>
      <c r="S29" s="201"/>
      <c r="T29" s="8"/>
      <c r="U29" s="8"/>
      <c r="V29" s="8"/>
      <c r="W29" s="8"/>
      <c r="X29" s="8"/>
      <c r="Y29" s="201"/>
      <c r="Z29" s="201"/>
      <c r="AA29" s="8"/>
      <c r="AB29" s="8"/>
      <c r="AC29" s="8"/>
      <c r="AD29" s="8"/>
      <c r="AE29" s="8"/>
      <c r="AF29" s="201"/>
      <c r="AG29" s="201"/>
      <c r="AH29" s="8"/>
      <c r="AI29" s="7"/>
      <c r="AJ29" s="69">
        <f t="shared" si="0"/>
        <v>0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200"/>
      <c r="E30" s="200"/>
      <c r="F30" s="2"/>
      <c r="G30" s="2"/>
      <c r="H30" s="2"/>
      <c r="I30" s="2"/>
      <c r="J30" s="2">
        <v>8</v>
      </c>
      <c r="K30" s="200"/>
      <c r="L30" s="200"/>
      <c r="M30" s="2"/>
      <c r="N30" s="2"/>
      <c r="O30" s="2"/>
      <c r="P30" s="2"/>
      <c r="Q30" s="2"/>
      <c r="R30" s="200"/>
      <c r="S30" s="200"/>
      <c r="T30" s="2">
        <v>8</v>
      </c>
      <c r="U30" s="2"/>
      <c r="V30" s="2">
        <v>4</v>
      </c>
      <c r="W30" s="2"/>
      <c r="X30" s="2"/>
      <c r="Y30" s="200"/>
      <c r="Z30" s="200"/>
      <c r="AA30" s="2"/>
      <c r="AB30" s="2"/>
      <c r="AC30" s="2"/>
      <c r="AD30" s="2">
        <v>4</v>
      </c>
      <c r="AE30" s="2"/>
      <c r="AF30" s="200"/>
      <c r="AG30" s="200"/>
      <c r="AH30" s="2"/>
      <c r="AJ30" s="64">
        <f t="shared" si="0"/>
        <v>24</v>
      </c>
    </row>
    <row r="31" spans="2:36" ht="15.75" hidden="1" outlineLevel="1" thickTop="1" x14ac:dyDescent="0.25">
      <c r="B31" s="150"/>
      <c r="C31" s="1" t="s">
        <v>1</v>
      </c>
      <c r="D31" s="200"/>
      <c r="E31" s="200"/>
      <c r="F31" s="3"/>
      <c r="G31" s="3"/>
      <c r="H31" s="3"/>
      <c r="I31" s="3"/>
      <c r="J31" s="3"/>
      <c r="K31" s="200"/>
      <c r="L31" s="200"/>
      <c r="M31" s="3"/>
      <c r="N31" s="3"/>
      <c r="O31" s="3"/>
      <c r="P31" s="3"/>
      <c r="Q31" s="3"/>
      <c r="R31" s="200"/>
      <c r="S31" s="200"/>
      <c r="T31" s="3"/>
      <c r="U31" s="3"/>
      <c r="V31" s="3"/>
      <c r="W31" s="3"/>
      <c r="X31" s="3"/>
      <c r="Y31" s="200"/>
      <c r="Z31" s="200"/>
      <c r="AA31" s="3"/>
      <c r="AB31" s="3"/>
      <c r="AC31" s="3"/>
      <c r="AD31" s="3"/>
      <c r="AE31" s="3"/>
      <c r="AF31" s="200"/>
      <c r="AG31" s="200"/>
      <c r="AH31" s="3"/>
      <c r="AJ31" s="70">
        <f t="shared" si="0"/>
        <v>0</v>
      </c>
    </row>
    <row r="32" spans="2:36" ht="15.75" hidden="1" outlineLevel="1" thickTop="1" x14ac:dyDescent="0.25">
      <c r="B32" s="151"/>
      <c r="C32" s="1" t="s">
        <v>2</v>
      </c>
      <c r="D32" s="200"/>
      <c r="E32" s="200"/>
      <c r="F32" s="4"/>
      <c r="G32" s="4"/>
      <c r="H32" s="4"/>
      <c r="I32" s="4"/>
      <c r="J32" s="4"/>
      <c r="K32" s="200"/>
      <c r="L32" s="200"/>
      <c r="M32" s="4"/>
      <c r="N32" s="4"/>
      <c r="O32" s="4"/>
      <c r="P32" s="4"/>
      <c r="Q32" s="4"/>
      <c r="R32" s="200"/>
      <c r="S32" s="200"/>
      <c r="T32" s="4"/>
      <c r="U32" s="4"/>
      <c r="V32" s="4"/>
      <c r="W32" s="4"/>
      <c r="X32" s="4"/>
      <c r="Y32" s="200"/>
      <c r="Z32" s="200"/>
      <c r="AA32" s="4"/>
      <c r="AB32" s="4"/>
      <c r="AC32" s="4"/>
      <c r="AD32" s="4"/>
      <c r="AE32" s="4"/>
      <c r="AF32" s="200"/>
      <c r="AG32" s="200"/>
      <c r="AH32" s="4"/>
      <c r="AJ32" s="71">
        <f t="shared" si="0"/>
        <v>0</v>
      </c>
    </row>
    <row r="33" spans="2:36" ht="15.75" hidden="1" outlineLevel="1" thickTop="1" x14ac:dyDescent="0.25">
      <c r="B33" s="151"/>
      <c r="C33" s="54" t="s">
        <v>77</v>
      </c>
      <c r="D33" s="200"/>
      <c r="E33" s="200"/>
      <c r="F33" s="5"/>
      <c r="G33" s="5"/>
      <c r="H33" s="5"/>
      <c r="I33" s="5"/>
      <c r="J33" s="5"/>
      <c r="K33" s="200"/>
      <c r="L33" s="200"/>
      <c r="M33" s="5"/>
      <c r="N33" s="5"/>
      <c r="O33" s="5"/>
      <c r="P33" s="5"/>
      <c r="Q33" s="5"/>
      <c r="R33" s="200"/>
      <c r="S33" s="200"/>
      <c r="T33" s="5"/>
      <c r="U33" s="5"/>
      <c r="V33" s="5"/>
      <c r="W33" s="5"/>
      <c r="X33" s="5"/>
      <c r="Y33" s="200"/>
      <c r="Z33" s="200"/>
      <c r="AA33" s="5"/>
      <c r="AB33" s="5"/>
      <c r="AC33" s="5"/>
      <c r="AD33" s="5"/>
      <c r="AE33" s="5"/>
      <c r="AF33" s="200"/>
      <c r="AG33" s="200"/>
      <c r="AH33" s="5"/>
      <c r="AJ33" s="72">
        <f t="shared" si="0"/>
        <v>0</v>
      </c>
    </row>
    <row r="34" spans="2:36" ht="16.5" hidden="1" outlineLevel="1" thickTop="1" thickBot="1" x14ac:dyDescent="0.3">
      <c r="B34" s="151"/>
      <c r="C34" s="9" t="s">
        <v>3</v>
      </c>
      <c r="D34" s="201"/>
      <c r="E34" s="201"/>
      <c r="F34" s="8"/>
      <c r="G34" s="8"/>
      <c r="H34" s="8"/>
      <c r="I34" s="8"/>
      <c r="J34" s="8"/>
      <c r="K34" s="201"/>
      <c r="L34" s="201"/>
      <c r="M34" s="8"/>
      <c r="N34" s="8"/>
      <c r="O34" s="8"/>
      <c r="P34" s="8"/>
      <c r="Q34" s="8"/>
      <c r="R34" s="201"/>
      <c r="S34" s="201"/>
      <c r="T34" s="8"/>
      <c r="U34" s="8"/>
      <c r="V34" s="8"/>
      <c r="W34" s="8"/>
      <c r="X34" s="8"/>
      <c r="Y34" s="201"/>
      <c r="Z34" s="201"/>
      <c r="AA34" s="8"/>
      <c r="AB34" s="8"/>
      <c r="AC34" s="8"/>
      <c r="AD34" s="8"/>
      <c r="AE34" s="8"/>
      <c r="AF34" s="201"/>
      <c r="AG34" s="201"/>
      <c r="AH34" s="8"/>
      <c r="AI34" s="7"/>
      <c r="AJ34" s="69">
        <f t="shared" si="0"/>
        <v>0</v>
      </c>
    </row>
    <row r="35" spans="2:36" ht="16.5" hidden="1" collapsed="1" thickTop="1" thickBot="1" x14ac:dyDescent="0.3">
      <c r="B35" s="253" t="str">
        <f>'Hours Scheduled'!B10</f>
        <v>Dennis van 't Hul</v>
      </c>
      <c r="C35" t="s">
        <v>0</v>
      </c>
      <c r="D35" s="200"/>
      <c r="E35" s="200"/>
      <c r="F35" s="2"/>
      <c r="G35" s="2"/>
      <c r="H35" s="2"/>
      <c r="I35" s="2"/>
      <c r="J35" s="2"/>
      <c r="K35" s="200"/>
      <c r="L35" s="200"/>
      <c r="M35" s="2"/>
      <c r="N35" s="2"/>
      <c r="O35" s="2"/>
      <c r="P35" s="2"/>
      <c r="Q35" s="2"/>
      <c r="R35" s="200"/>
      <c r="S35" s="200"/>
      <c r="T35" s="2"/>
      <c r="U35" s="2"/>
      <c r="V35" s="2"/>
      <c r="W35" s="2"/>
      <c r="X35" s="2"/>
      <c r="Y35" s="200"/>
      <c r="Z35" s="200"/>
      <c r="AA35" s="2"/>
      <c r="AB35" s="2"/>
      <c r="AC35" s="2"/>
      <c r="AD35" s="2"/>
      <c r="AE35" s="2"/>
      <c r="AF35" s="200"/>
      <c r="AG35" s="200"/>
      <c r="AH35" s="2"/>
      <c r="AJ35" s="64">
        <f t="shared" si="0"/>
        <v>0</v>
      </c>
    </row>
    <row r="36" spans="2:36" ht="15.75" hidden="1" outlineLevel="1" thickTop="1" x14ac:dyDescent="0.25">
      <c r="B36" s="150"/>
      <c r="C36" s="1" t="s">
        <v>1</v>
      </c>
      <c r="D36" s="200"/>
      <c r="E36" s="200"/>
      <c r="F36" s="3"/>
      <c r="G36" s="3"/>
      <c r="H36" s="3"/>
      <c r="I36" s="3"/>
      <c r="J36" s="3"/>
      <c r="K36" s="200"/>
      <c r="L36" s="200"/>
      <c r="M36" s="3"/>
      <c r="N36" s="3"/>
      <c r="O36" s="3"/>
      <c r="P36" s="3"/>
      <c r="Q36" s="3"/>
      <c r="R36" s="200"/>
      <c r="S36" s="200"/>
      <c r="T36" s="3"/>
      <c r="U36" s="3"/>
      <c r="V36" s="3"/>
      <c r="W36" s="3"/>
      <c r="X36" s="3"/>
      <c r="Y36" s="200"/>
      <c r="Z36" s="200"/>
      <c r="AA36" s="3"/>
      <c r="AB36" s="3"/>
      <c r="AC36" s="3"/>
      <c r="AD36" s="3"/>
      <c r="AE36" s="3"/>
      <c r="AF36" s="200"/>
      <c r="AG36" s="200"/>
      <c r="AH36" s="3"/>
      <c r="AJ36" s="70">
        <f t="shared" si="0"/>
        <v>0</v>
      </c>
    </row>
    <row r="37" spans="2:36" ht="15.75" hidden="1" outlineLevel="1" thickTop="1" x14ac:dyDescent="0.25">
      <c r="B37" s="151"/>
      <c r="C37" s="1" t="s">
        <v>2</v>
      </c>
      <c r="D37" s="200"/>
      <c r="E37" s="200"/>
      <c r="F37" s="4"/>
      <c r="G37" s="4"/>
      <c r="H37" s="4"/>
      <c r="I37" s="4"/>
      <c r="J37" s="4"/>
      <c r="K37" s="200"/>
      <c r="L37" s="200"/>
      <c r="M37" s="4"/>
      <c r="N37" s="4"/>
      <c r="O37" s="4"/>
      <c r="P37" s="4"/>
      <c r="Q37" s="4"/>
      <c r="R37" s="200"/>
      <c r="S37" s="200"/>
      <c r="T37" s="4"/>
      <c r="U37" s="4"/>
      <c r="V37" s="4"/>
      <c r="W37" s="4"/>
      <c r="X37" s="4"/>
      <c r="Y37" s="200"/>
      <c r="Z37" s="200"/>
      <c r="AA37" s="4"/>
      <c r="AB37" s="4"/>
      <c r="AC37" s="4"/>
      <c r="AD37" s="4"/>
      <c r="AE37" s="4"/>
      <c r="AF37" s="200"/>
      <c r="AG37" s="200"/>
      <c r="AH37" s="4"/>
      <c r="AJ37" s="71">
        <f t="shared" ref="AJ37:AJ58" si="1">SUM(D37:AH37)</f>
        <v>0</v>
      </c>
    </row>
    <row r="38" spans="2:36" ht="15.75" hidden="1" outlineLevel="1" thickTop="1" x14ac:dyDescent="0.25">
      <c r="B38" s="151"/>
      <c r="C38" s="54" t="s">
        <v>77</v>
      </c>
      <c r="D38" s="200"/>
      <c r="E38" s="200"/>
      <c r="F38" s="5"/>
      <c r="G38" s="5"/>
      <c r="H38" s="5"/>
      <c r="I38" s="5"/>
      <c r="J38" s="5"/>
      <c r="K38" s="200"/>
      <c r="L38" s="200"/>
      <c r="M38" s="5"/>
      <c r="N38" s="5"/>
      <c r="O38" s="5"/>
      <c r="P38" s="5"/>
      <c r="Q38" s="5"/>
      <c r="R38" s="200"/>
      <c r="S38" s="200"/>
      <c r="T38" s="5"/>
      <c r="U38" s="5"/>
      <c r="V38" s="5"/>
      <c r="W38" s="5"/>
      <c r="X38" s="5"/>
      <c r="Y38" s="200"/>
      <c r="Z38" s="200"/>
      <c r="AA38" s="5"/>
      <c r="AB38" s="5"/>
      <c r="AC38" s="5"/>
      <c r="AD38" s="5"/>
      <c r="AE38" s="5"/>
      <c r="AF38" s="200"/>
      <c r="AG38" s="200"/>
      <c r="AH38" s="5"/>
      <c r="AJ38" s="72">
        <f t="shared" si="1"/>
        <v>0</v>
      </c>
    </row>
    <row r="39" spans="2:36" ht="16.5" hidden="1" outlineLevel="1" thickTop="1" thickBot="1" x14ac:dyDescent="0.3">
      <c r="B39" s="151"/>
      <c r="C39" s="9" t="s">
        <v>3</v>
      </c>
      <c r="D39" s="201"/>
      <c r="E39" s="201"/>
      <c r="F39" s="8"/>
      <c r="G39" s="8"/>
      <c r="H39" s="8"/>
      <c r="I39" s="8"/>
      <c r="J39" s="8"/>
      <c r="K39" s="201"/>
      <c r="L39" s="201"/>
      <c r="M39" s="8"/>
      <c r="N39" s="8"/>
      <c r="O39" s="8"/>
      <c r="P39" s="8"/>
      <c r="Q39" s="8"/>
      <c r="R39" s="201"/>
      <c r="S39" s="201"/>
      <c r="T39" s="8"/>
      <c r="U39" s="8"/>
      <c r="V39" s="8"/>
      <c r="W39" s="8"/>
      <c r="X39" s="8"/>
      <c r="Y39" s="201"/>
      <c r="Z39" s="201"/>
      <c r="AA39" s="8"/>
      <c r="AB39" s="8"/>
      <c r="AC39" s="8"/>
      <c r="AD39" s="8"/>
      <c r="AE39" s="8"/>
      <c r="AF39" s="201"/>
      <c r="AG39" s="201"/>
      <c r="AH39" s="8"/>
      <c r="AI39" s="7"/>
      <c r="AJ39" s="69">
        <f t="shared" si="1"/>
        <v>0</v>
      </c>
    </row>
    <row r="40" spans="2:36" ht="16.5" collapsed="1" thickTop="1" thickBot="1" x14ac:dyDescent="0.3">
      <c r="B40" s="149" t="str">
        <f>'Hours Scheduled'!B11</f>
        <v>Dominique Daemen</v>
      </c>
      <c r="C40" s="46" t="s">
        <v>0</v>
      </c>
      <c r="D40" s="200"/>
      <c r="E40" s="200"/>
      <c r="F40" s="2">
        <v>4</v>
      </c>
      <c r="G40" s="2"/>
      <c r="H40" s="2"/>
      <c r="I40" s="2"/>
      <c r="J40" s="2"/>
      <c r="K40" s="200"/>
      <c r="L40" s="200"/>
      <c r="M40" s="2"/>
      <c r="N40" s="2"/>
      <c r="O40" s="2"/>
      <c r="P40" s="2"/>
      <c r="Q40" s="2"/>
      <c r="R40" s="200"/>
      <c r="S40" s="200"/>
      <c r="T40" s="2"/>
      <c r="U40" s="2"/>
      <c r="V40" s="2"/>
      <c r="W40" s="2"/>
      <c r="X40" s="2"/>
      <c r="Y40" s="200"/>
      <c r="Z40" s="200"/>
      <c r="AA40" s="2"/>
      <c r="AB40" s="2"/>
      <c r="AC40" s="2"/>
      <c r="AD40" s="2"/>
      <c r="AE40" s="2"/>
      <c r="AF40" s="200"/>
      <c r="AG40" s="200"/>
      <c r="AH40" s="2"/>
      <c r="AI40" s="46"/>
      <c r="AJ40" s="64">
        <f t="shared" si="1"/>
        <v>4</v>
      </c>
    </row>
    <row r="41" spans="2:36" ht="15.75" hidden="1" outlineLevel="1" thickTop="1" x14ac:dyDescent="0.25">
      <c r="B41" s="150"/>
      <c r="C41" s="1" t="s">
        <v>1</v>
      </c>
      <c r="D41" s="200"/>
      <c r="E41" s="200"/>
      <c r="F41" s="3"/>
      <c r="G41" s="3"/>
      <c r="H41" s="3"/>
      <c r="I41" s="3"/>
      <c r="J41" s="3"/>
      <c r="K41" s="200"/>
      <c r="L41" s="200"/>
      <c r="M41" s="3"/>
      <c r="N41" s="3"/>
      <c r="O41" s="3"/>
      <c r="P41" s="3"/>
      <c r="Q41" s="3"/>
      <c r="R41" s="200"/>
      <c r="S41" s="200"/>
      <c r="T41" s="3"/>
      <c r="U41" s="3"/>
      <c r="V41" s="3"/>
      <c r="W41" s="3"/>
      <c r="X41" s="3"/>
      <c r="Y41" s="200"/>
      <c r="Z41" s="200"/>
      <c r="AA41" s="3"/>
      <c r="AB41" s="3"/>
      <c r="AC41" s="3"/>
      <c r="AD41" s="3"/>
      <c r="AE41" s="3"/>
      <c r="AF41" s="200"/>
      <c r="AG41" s="200"/>
      <c r="AH41" s="3"/>
      <c r="AJ41" s="70">
        <f t="shared" si="1"/>
        <v>0</v>
      </c>
    </row>
    <row r="42" spans="2:36" ht="15.75" hidden="1" outlineLevel="1" thickTop="1" x14ac:dyDescent="0.25">
      <c r="B42" s="151"/>
      <c r="C42" s="1" t="s">
        <v>2</v>
      </c>
      <c r="D42" s="200"/>
      <c r="E42" s="200"/>
      <c r="F42" s="4"/>
      <c r="G42" s="4"/>
      <c r="H42" s="4"/>
      <c r="I42" s="4"/>
      <c r="J42" s="4"/>
      <c r="K42" s="200"/>
      <c r="L42" s="200"/>
      <c r="M42" s="4"/>
      <c r="N42" s="4"/>
      <c r="O42" s="4"/>
      <c r="P42" s="4"/>
      <c r="Q42" s="4"/>
      <c r="R42" s="200"/>
      <c r="S42" s="200"/>
      <c r="T42" s="4"/>
      <c r="U42" s="4"/>
      <c r="V42" s="4"/>
      <c r="W42" s="4"/>
      <c r="X42" s="4"/>
      <c r="Y42" s="200"/>
      <c r="Z42" s="200"/>
      <c r="AA42" s="4"/>
      <c r="AB42" s="4"/>
      <c r="AC42" s="4"/>
      <c r="AD42" s="4"/>
      <c r="AE42" s="4"/>
      <c r="AF42" s="200"/>
      <c r="AG42" s="200"/>
      <c r="AH42" s="4"/>
      <c r="AJ42" s="71">
        <f t="shared" si="1"/>
        <v>0</v>
      </c>
    </row>
    <row r="43" spans="2:36" ht="15.75" hidden="1" outlineLevel="1" thickTop="1" x14ac:dyDescent="0.25">
      <c r="B43" s="151"/>
      <c r="C43" s="54" t="s">
        <v>77</v>
      </c>
      <c r="D43" s="200"/>
      <c r="E43" s="200"/>
      <c r="F43" s="5"/>
      <c r="G43" s="5"/>
      <c r="H43" s="5"/>
      <c r="I43" s="5"/>
      <c r="J43" s="5"/>
      <c r="K43" s="200"/>
      <c r="L43" s="200"/>
      <c r="M43" s="5"/>
      <c r="N43" s="5"/>
      <c r="O43" s="5"/>
      <c r="P43" s="5"/>
      <c r="Q43" s="5"/>
      <c r="R43" s="200"/>
      <c r="S43" s="200"/>
      <c r="T43" s="5"/>
      <c r="U43" s="5"/>
      <c r="V43" s="5"/>
      <c r="W43" s="5"/>
      <c r="X43" s="5"/>
      <c r="Y43" s="200"/>
      <c r="Z43" s="200"/>
      <c r="AA43" s="5"/>
      <c r="AB43" s="5"/>
      <c r="AC43" s="5"/>
      <c r="AD43" s="5"/>
      <c r="AE43" s="5"/>
      <c r="AF43" s="200"/>
      <c r="AG43" s="200"/>
      <c r="AH43" s="5"/>
      <c r="AJ43" s="72">
        <f t="shared" si="1"/>
        <v>0</v>
      </c>
    </row>
    <row r="44" spans="2:36" ht="16.5" hidden="1" outlineLevel="1" thickTop="1" thickBot="1" x14ac:dyDescent="0.3">
      <c r="B44" s="151"/>
      <c r="C44" s="9" t="s">
        <v>3</v>
      </c>
      <c r="D44" s="201"/>
      <c r="E44" s="201"/>
      <c r="F44" s="8"/>
      <c r="G44" s="8"/>
      <c r="H44" s="8"/>
      <c r="I44" s="8"/>
      <c r="J44" s="8"/>
      <c r="K44" s="201"/>
      <c r="L44" s="201"/>
      <c r="M44" s="8"/>
      <c r="N44" s="8"/>
      <c r="O44" s="8"/>
      <c r="P44" s="8"/>
      <c r="Q44" s="8"/>
      <c r="R44" s="201"/>
      <c r="S44" s="201"/>
      <c r="T44" s="8"/>
      <c r="U44" s="8"/>
      <c r="V44" s="8"/>
      <c r="W44" s="8"/>
      <c r="X44" s="8"/>
      <c r="Y44" s="201"/>
      <c r="Z44" s="201"/>
      <c r="AA44" s="8"/>
      <c r="AB44" s="8"/>
      <c r="AC44" s="8"/>
      <c r="AD44" s="8"/>
      <c r="AE44" s="8"/>
      <c r="AF44" s="201"/>
      <c r="AG44" s="201"/>
      <c r="AH44" s="8"/>
      <c r="AI44" s="7"/>
      <c r="AJ44" s="69">
        <f t="shared" si="1"/>
        <v>0</v>
      </c>
    </row>
    <row r="45" spans="2:36" ht="16.5" collapsed="1" thickTop="1" thickBot="1" x14ac:dyDescent="0.3">
      <c r="B45" s="149" t="str">
        <f>'Hours Scheduled'!B12</f>
        <v>Erwin Deckers</v>
      </c>
      <c r="C45" s="46" t="s">
        <v>0</v>
      </c>
      <c r="D45" s="200"/>
      <c r="E45" s="200"/>
      <c r="F45" s="2"/>
      <c r="G45" s="2"/>
      <c r="H45" s="2"/>
      <c r="I45" s="2"/>
      <c r="J45" s="64">
        <v>2.5</v>
      </c>
      <c r="K45" s="200"/>
      <c r="L45" s="200"/>
      <c r="M45" s="2"/>
      <c r="N45" s="2"/>
      <c r="O45" s="2"/>
      <c r="P45" s="2"/>
      <c r="Q45" s="2"/>
      <c r="R45" s="200"/>
      <c r="S45" s="200"/>
      <c r="T45" s="2">
        <v>8</v>
      </c>
      <c r="U45" s="2"/>
      <c r="V45" s="2"/>
      <c r="W45" s="2"/>
      <c r="X45" s="2">
        <v>0</v>
      </c>
      <c r="Y45" s="200"/>
      <c r="Z45" s="200"/>
      <c r="AA45" s="2">
        <v>8</v>
      </c>
      <c r="AB45" s="2"/>
      <c r="AC45" s="2"/>
      <c r="AD45" s="2"/>
      <c r="AE45" s="2"/>
      <c r="AF45" s="200"/>
      <c r="AG45" s="200"/>
      <c r="AH45" s="2"/>
      <c r="AI45" s="46"/>
      <c r="AJ45" s="64">
        <f t="shared" si="1"/>
        <v>18.5</v>
      </c>
    </row>
    <row r="46" spans="2:36" ht="15.75" hidden="1" outlineLevel="1" thickTop="1" x14ac:dyDescent="0.25">
      <c r="B46" s="150"/>
      <c r="C46" s="1" t="s">
        <v>1</v>
      </c>
      <c r="D46" s="200"/>
      <c r="E46" s="200"/>
      <c r="F46" s="3"/>
      <c r="G46" s="3"/>
      <c r="H46" s="3"/>
      <c r="I46" s="3"/>
      <c r="J46" s="3"/>
      <c r="K46" s="200"/>
      <c r="L46" s="200"/>
      <c r="M46" s="3"/>
      <c r="N46" s="3"/>
      <c r="O46" s="3"/>
      <c r="P46" s="3"/>
      <c r="Q46" s="3"/>
      <c r="R46" s="200"/>
      <c r="S46" s="200"/>
      <c r="T46" s="3"/>
      <c r="U46" s="3"/>
      <c r="V46" s="3"/>
      <c r="W46" s="3"/>
      <c r="X46" s="3"/>
      <c r="Y46" s="200"/>
      <c r="Z46" s="200"/>
      <c r="AA46" s="3"/>
      <c r="AB46" s="3"/>
      <c r="AC46" s="3"/>
      <c r="AD46" s="3"/>
      <c r="AE46" s="3"/>
      <c r="AF46" s="200"/>
      <c r="AG46" s="200"/>
      <c r="AH46" s="3"/>
      <c r="AJ46" s="70">
        <f t="shared" si="1"/>
        <v>0</v>
      </c>
    </row>
    <row r="47" spans="2:36" ht="15.75" hidden="1" outlineLevel="1" thickTop="1" x14ac:dyDescent="0.25">
      <c r="B47" s="151"/>
      <c r="C47" s="1" t="s">
        <v>2</v>
      </c>
      <c r="D47" s="200"/>
      <c r="E47" s="200"/>
      <c r="F47" s="4"/>
      <c r="G47" s="4"/>
      <c r="H47" s="4"/>
      <c r="I47" s="4"/>
      <c r="J47" s="4"/>
      <c r="K47" s="200"/>
      <c r="L47" s="200"/>
      <c r="M47" s="4"/>
      <c r="N47" s="4"/>
      <c r="O47" s="4"/>
      <c r="P47" s="4"/>
      <c r="Q47" s="4"/>
      <c r="R47" s="200"/>
      <c r="S47" s="200"/>
      <c r="T47" s="4"/>
      <c r="U47" s="4"/>
      <c r="V47" s="4"/>
      <c r="W47" s="4"/>
      <c r="X47" s="4"/>
      <c r="Y47" s="200"/>
      <c r="Z47" s="200"/>
      <c r="AA47" s="4"/>
      <c r="AB47" s="4"/>
      <c r="AC47" s="4"/>
      <c r="AD47" s="4"/>
      <c r="AE47" s="4"/>
      <c r="AF47" s="200"/>
      <c r="AG47" s="200"/>
      <c r="AH47" s="4"/>
      <c r="AJ47" s="71">
        <f t="shared" si="1"/>
        <v>0</v>
      </c>
    </row>
    <row r="48" spans="2:36" ht="15.75" hidden="1" outlineLevel="1" thickTop="1" x14ac:dyDescent="0.25">
      <c r="B48" s="151"/>
      <c r="C48" s="54" t="s">
        <v>77</v>
      </c>
      <c r="D48" s="200"/>
      <c r="E48" s="200"/>
      <c r="F48" s="5"/>
      <c r="G48" s="5"/>
      <c r="H48" s="5"/>
      <c r="I48" s="5"/>
      <c r="J48" s="5"/>
      <c r="K48" s="200"/>
      <c r="L48" s="200"/>
      <c r="M48" s="5"/>
      <c r="N48" s="5"/>
      <c r="O48" s="5"/>
      <c r="P48" s="5"/>
      <c r="Q48" s="5"/>
      <c r="R48" s="200"/>
      <c r="S48" s="200"/>
      <c r="T48" s="5"/>
      <c r="U48" s="5"/>
      <c r="V48" s="5"/>
      <c r="W48" s="5"/>
      <c r="X48" s="5"/>
      <c r="Y48" s="200"/>
      <c r="Z48" s="200"/>
      <c r="AA48" s="5"/>
      <c r="AB48" s="5"/>
      <c r="AC48" s="5"/>
      <c r="AD48" s="5"/>
      <c r="AE48" s="5"/>
      <c r="AF48" s="200"/>
      <c r="AG48" s="200"/>
      <c r="AH48" s="5"/>
      <c r="AJ48" s="72">
        <f t="shared" si="1"/>
        <v>0</v>
      </c>
    </row>
    <row r="49" spans="2:36" ht="16.5" hidden="1" outlineLevel="1" thickTop="1" thickBot="1" x14ac:dyDescent="0.3">
      <c r="B49" s="151"/>
      <c r="C49" s="9" t="s">
        <v>3</v>
      </c>
      <c r="D49" s="201"/>
      <c r="E49" s="201"/>
      <c r="F49" s="8"/>
      <c r="G49" s="8"/>
      <c r="H49" s="8"/>
      <c r="I49" s="8"/>
      <c r="J49" s="8"/>
      <c r="K49" s="201"/>
      <c r="L49" s="201"/>
      <c r="M49" s="8"/>
      <c r="N49" s="8"/>
      <c r="O49" s="8"/>
      <c r="P49" s="8"/>
      <c r="Q49" s="8"/>
      <c r="R49" s="201"/>
      <c r="S49" s="201"/>
      <c r="T49" s="8"/>
      <c r="U49" s="8"/>
      <c r="V49" s="8"/>
      <c r="W49" s="8"/>
      <c r="X49" s="69">
        <v>0.2</v>
      </c>
      <c r="Y49" s="201"/>
      <c r="Z49" s="201"/>
      <c r="AA49" s="8"/>
      <c r="AB49" s="8"/>
      <c r="AC49" s="8"/>
      <c r="AD49" s="8"/>
      <c r="AE49" s="8"/>
      <c r="AF49" s="201"/>
      <c r="AG49" s="201"/>
      <c r="AH49" s="8"/>
      <c r="AI49" s="7"/>
      <c r="AJ49" s="69">
        <f t="shared" si="1"/>
        <v>0.2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200"/>
      <c r="E50" s="200"/>
      <c r="F50" s="2"/>
      <c r="G50" s="2"/>
      <c r="H50" s="2"/>
      <c r="I50" s="2"/>
      <c r="J50" s="2"/>
      <c r="K50" s="200"/>
      <c r="L50" s="200"/>
      <c r="M50" s="2">
        <v>0</v>
      </c>
      <c r="N50" s="2">
        <v>0</v>
      </c>
      <c r="O50" s="2"/>
      <c r="P50" s="2"/>
      <c r="Q50" s="2"/>
      <c r="R50" s="200"/>
      <c r="S50" s="200"/>
      <c r="T50" s="2"/>
      <c r="U50" s="2">
        <v>4</v>
      </c>
      <c r="V50" s="2"/>
      <c r="W50" s="2"/>
      <c r="X50" s="2"/>
      <c r="Y50" s="200"/>
      <c r="Z50" s="200"/>
      <c r="AA50" s="2"/>
      <c r="AB50" s="2"/>
      <c r="AC50" s="2"/>
      <c r="AD50" s="2"/>
      <c r="AE50" s="2">
        <v>2</v>
      </c>
      <c r="AF50" s="200"/>
      <c r="AG50" s="200"/>
      <c r="AH50" s="2"/>
      <c r="AJ50" s="64">
        <f t="shared" si="1"/>
        <v>6</v>
      </c>
    </row>
    <row r="51" spans="2:36" ht="15.75" hidden="1" outlineLevel="1" thickTop="1" x14ac:dyDescent="0.25">
      <c r="B51" s="150"/>
      <c r="C51" s="1" t="s">
        <v>1</v>
      </c>
      <c r="D51" s="200"/>
      <c r="E51" s="200"/>
      <c r="F51" s="3"/>
      <c r="G51" s="3"/>
      <c r="H51" s="3"/>
      <c r="I51" s="3"/>
      <c r="J51" s="3"/>
      <c r="K51" s="200"/>
      <c r="L51" s="200"/>
      <c r="M51" s="3">
        <v>8</v>
      </c>
      <c r="N51" s="3">
        <v>8</v>
      </c>
      <c r="O51" s="3"/>
      <c r="P51" s="3"/>
      <c r="Q51" s="3"/>
      <c r="R51" s="200"/>
      <c r="S51" s="200"/>
      <c r="T51" s="3"/>
      <c r="U51" s="3"/>
      <c r="V51" s="3"/>
      <c r="W51" s="3"/>
      <c r="X51" s="3"/>
      <c r="Y51" s="200"/>
      <c r="Z51" s="200"/>
      <c r="AA51" s="3"/>
      <c r="AB51" s="3"/>
      <c r="AC51" s="3"/>
      <c r="AD51" s="3"/>
      <c r="AE51" s="3"/>
      <c r="AF51" s="200"/>
      <c r="AG51" s="200"/>
      <c r="AH51" s="3"/>
      <c r="AJ51" s="70">
        <f t="shared" si="1"/>
        <v>16</v>
      </c>
    </row>
    <row r="52" spans="2:36" ht="15.75" hidden="1" outlineLevel="1" thickTop="1" x14ac:dyDescent="0.25">
      <c r="B52" s="151"/>
      <c r="C52" s="1" t="s">
        <v>2</v>
      </c>
      <c r="D52" s="200"/>
      <c r="E52" s="200"/>
      <c r="F52" s="4"/>
      <c r="G52" s="4"/>
      <c r="H52" s="4"/>
      <c r="I52" s="4"/>
      <c r="J52" s="4"/>
      <c r="K52" s="200"/>
      <c r="L52" s="200"/>
      <c r="M52" s="4"/>
      <c r="N52" s="4"/>
      <c r="O52" s="4"/>
      <c r="P52" s="4"/>
      <c r="Q52" s="4"/>
      <c r="R52" s="200"/>
      <c r="S52" s="200"/>
      <c r="T52" s="4"/>
      <c r="U52" s="4"/>
      <c r="V52" s="4"/>
      <c r="W52" s="4"/>
      <c r="X52" s="4"/>
      <c r="Y52" s="200"/>
      <c r="Z52" s="200"/>
      <c r="AA52" s="4"/>
      <c r="AB52" s="4"/>
      <c r="AC52" s="4"/>
      <c r="AD52" s="4"/>
      <c r="AE52" s="4"/>
      <c r="AF52" s="200"/>
      <c r="AG52" s="200"/>
      <c r="AH52" s="4"/>
      <c r="AJ52" s="71">
        <f t="shared" si="1"/>
        <v>0</v>
      </c>
    </row>
    <row r="53" spans="2:36" ht="15.75" hidden="1" outlineLevel="1" thickTop="1" x14ac:dyDescent="0.25">
      <c r="B53" s="151"/>
      <c r="C53" s="54" t="s">
        <v>77</v>
      </c>
      <c r="D53" s="200"/>
      <c r="E53" s="200"/>
      <c r="F53" s="5"/>
      <c r="G53" s="5"/>
      <c r="H53" s="5"/>
      <c r="I53" s="5"/>
      <c r="J53" s="5"/>
      <c r="K53" s="200"/>
      <c r="L53" s="200"/>
      <c r="M53" s="5"/>
      <c r="N53" s="5"/>
      <c r="O53" s="5"/>
      <c r="P53" s="5"/>
      <c r="Q53" s="5"/>
      <c r="R53" s="200"/>
      <c r="S53" s="200"/>
      <c r="T53" s="5"/>
      <c r="U53" s="5"/>
      <c r="V53" s="5"/>
      <c r="W53" s="5"/>
      <c r="X53" s="5"/>
      <c r="Y53" s="200"/>
      <c r="Z53" s="200"/>
      <c r="AA53" s="5"/>
      <c r="AB53" s="5"/>
      <c r="AC53" s="5"/>
      <c r="AD53" s="5"/>
      <c r="AE53" s="5"/>
      <c r="AF53" s="200"/>
      <c r="AG53" s="200"/>
      <c r="AH53" s="5"/>
      <c r="AJ53" s="72">
        <f t="shared" si="1"/>
        <v>0</v>
      </c>
    </row>
    <row r="54" spans="2:36" ht="16.5" hidden="1" outlineLevel="1" thickTop="1" thickBot="1" x14ac:dyDescent="0.3">
      <c r="B54" s="151"/>
      <c r="C54" s="9" t="s">
        <v>3</v>
      </c>
      <c r="D54" s="201"/>
      <c r="E54" s="201"/>
      <c r="F54" s="8"/>
      <c r="G54" s="8"/>
      <c r="H54" s="8"/>
      <c r="I54" s="8"/>
      <c r="J54" s="8"/>
      <c r="K54" s="201"/>
      <c r="L54" s="201"/>
      <c r="M54" s="8"/>
      <c r="N54" s="8"/>
      <c r="O54" s="8"/>
      <c r="P54" s="8"/>
      <c r="Q54" s="8"/>
      <c r="R54" s="201"/>
      <c r="S54" s="201"/>
      <c r="T54" s="8"/>
      <c r="U54" s="8"/>
      <c r="V54" s="8"/>
      <c r="W54" s="8"/>
      <c r="X54" s="8"/>
      <c r="Y54" s="201"/>
      <c r="Z54" s="201"/>
      <c r="AA54" s="8"/>
      <c r="AB54" s="8"/>
      <c r="AC54" s="8"/>
      <c r="AD54" s="8"/>
      <c r="AE54" s="8"/>
      <c r="AF54" s="201"/>
      <c r="AG54" s="201"/>
      <c r="AH54" s="8"/>
      <c r="AI54" s="7"/>
      <c r="AJ54" s="69">
        <f t="shared" si="1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200"/>
      <c r="E55" s="200"/>
      <c r="F55" s="2"/>
      <c r="G55" s="2"/>
      <c r="H55" s="2"/>
      <c r="I55" s="2"/>
      <c r="J55" s="2"/>
      <c r="K55" s="200"/>
      <c r="L55" s="200"/>
      <c r="M55" s="2"/>
      <c r="N55" s="2"/>
      <c r="O55" s="2"/>
      <c r="P55" s="2"/>
      <c r="Q55" s="2"/>
      <c r="R55" s="200"/>
      <c r="S55" s="200"/>
      <c r="T55" s="2">
        <v>4</v>
      </c>
      <c r="U55" s="2"/>
      <c r="V55" s="2"/>
      <c r="W55" s="2"/>
      <c r="X55" s="2"/>
      <c r="Y55" s="200"/>
      <c r="Z55" s="200"/>
      <c r="AA55" s="2"/>
      <c r="AB55" s="2"/>
      <c r="AC55" s="2"/>
      <c r="AD55" s="2">
        <v>4</v>
      </c>
      <c r="AE55" s="2"/>
      <c r="AF55" s="200"/>
      <c r="AG55" s="200"/>
      <c r="AH55" s="2"/>
      <c r="AJ55" s="64">
        <f t="shared" si="1"/>
        <v>8</v>
      </c>
    </row>
    <row r="56" spans="2:36" ht="15.75" hidden="1" outlineLevel="1" thickTop="1" x14ac:dyDescent="0.25">
      <c r="B56" s="150"/>
      <c r="C56" s="1" t="s">
        <v>1</v>
      </c>
      <c r="D56" s="200"/>
      <c r="E56" s="200"/>
      <c r="F56" s="3"/>
      <c r="G56" s="3"/>
      <c r="H56" s="3"/>
      <c r="I56" s="3"/>
      <c r="J56" s="3"/>
      <c r="K56" s="200"/>
      <c r="L56" s="200"/>
      <c r="M56" s="3"/>
      <c r="N56" s="3"/>
      <c r="O56" s="3"/>
      <c r="P56" s="3"/>
      <c r="Q56" s="3"/>
      <c r="R56" s="200"/>
      <c r="S56" s="200"/>
      <c r="T56" s="3"/>
      <c r="U56" s="3"/>
      <c r="V56" s="3"/>
      <c r="W56" s="3"/>
      <c r="X56" s="3"/>
      <c r="Y56" s="200"/>
      <c r="Z56" s="200"/>
      <c r="AA56" s="3"/>
      <c r="AB56" s="3"/>
      <c r="AC56" s="3"/>
      <c r="AD56" s="3"/>
      <c r="AE56" s="3"/>
      <c r="AF56" s="200"/>
      <c r="AG56" s="200"/>
      <c r="AH56" s="3"/>
      <c r="AJ56" s="70">
        <f t="shared" si="1"/>
        <v>0</v>
      </c>
    </row>
    <row r="57" spans="2:36" ht="15.75" hidden="1" outlineLevel="1" thickTop="1" x14ac:dyDescent="0.25">
      <c r="B57" s="151"/>
      <c r="C57" s="1" t="s">
        <v>2</v>
      </c>
      <c r="D57" s="200"/>
      <c r="E57" s="200"/>
      <c r="F57" s="4"/>
      <c r="G57" s="4"/>
      <c r="H57" s="4"/>
      <c r="I57" s="4"/>
      <c r="J57" s="4"/>
      <c r="K57" s="200"/>
      <c r="L57" s="200"/>
      <c r="M57" s="4"/>
      <c r="N57" s="4"/>
      <c r="O57" s="4"/>
      <c r="P57" s="4"/>
      <c r="Q57" s="4"/>
      <c r="R57" s="200"/>
      <c r="S57" s="200"/>
      <c r="T57" s="4"/>
      <c r="U57" s="4"/>
      <c r="V57" s="4"/>
      <c r="W57" s="4"/>
      <c r="X57" s="4"/>
      <c r="Y57" s="200"/>
      <c r="Z57" s="200"/>
      <c r="AA57" s="4"/>
      <c r="AB57" s="4"/>
      <c r="AC57" s="4"/>
      <c r="AD57" s="4"/>
      <c r="AE57" s="4"/>
      <c r="AF57" s="200"/>
      <c r="AG57" s="200"/>
      <c r="AH57" s="4"/>
      <c r="AJ57" s="71">
        <f t="shared" si="1"/>
        <v>0</v>
      </c>
    </row>
    <row r="58" spans="2:36" ht="15.75" hidden="1" outlineLevel="1" thickTop="1" x14ac:dyDescent="0.25">
      <c r="B58" s="151"/>
      <c r="C58" s="54" t="s">
        <v>77</v>
      </c>
      <c r="D58" s="200"/>
      <c r="E58" s="200"/>
      <c r="F58" s="5"/>
      <c r="G58" s="5"/>
      <c r="H58" s="5"/>
      <c r="I58" s="5"/>
      <c r="J58" s="5"/>
      <c r="K58" s="200"/>
      <c r="L58" s="200"/>
      <c r="M58" s="5"/>
      <c r="N58" s="5"/>
      <c r="O58" s="5"/>
      <c r="P58" s="5"/>
      <c r="Q58" s="5"/>
      <c r="R58" s="200"/>
      <c r="S58" s="200"/>
      <c r="T58" s="5"/>
      <c r="U58" s="5"/>
      <c r="V58" s="5"/>
      <c r="W58" s="5"/>
      <c r="X58" s="5"/>
      <c r="Y58" s="200"/>
      <c r="Z58" s="200"/>
      <c r="AA58" s="5"/>
      <c r="AB58" s="5"/>
      <c r="AC58" s="5"/>
      <c r="AD58" s="5"/>
      <c r="AE58" s="5"/>
      <c r="AF58" s="200"/>
      <c r="AG58" s="200"/>
      <c r="AH58" s="5"/>
      <c r="AJ58" s="72">
        <f t="shared" si="1"/>
        <v>0</v>
      </c>
    </row>
    <row r="59" spans="2:36" ht="16.5" hidden="1" outlineLevel="1" thickTop="1" thickBot="1" x14ac:dyDescent="0.3">
      <c r="B59" s="151"/>
      <c r="C59" s="9" t="s">
        <v>3</v>
      </c>
      <c r="D59" s="201"/>
      <c r="E59" s="201"/>
      <c r="F59" s="8"/>
      <c r="G59" s="8"/>
      <c r="H59" s="8"/>
      <c r="I59" s="8"/>
      <c r="J59" s="8"/>
      <c r="K59" s="201"/>
      <c r="L59" s="201"/>
      <c r="M59" s="8"/>
      <c r="N59" s="8"/>
      <c r="O59" s="8"/>
      <c r="P59" s="8"/>
      <c r="Q59" s="8"/>
      <c r="R59" s="201"/>
      <c r="S59" s="201"/>
      <c r="T59" s="8"/>
      <c r="U59" s="8"/>
      <c r="V59" s="8"/>
      <c r="W59" s="8"/>
      <c r="X59" s="8"/>
      <c r="Y59" s="201"/>
      <c r="Z59" s="201"/>
      <c r="AA59" s="8"/>
      <c r="AB59" s="8"/>
      <c r="AC59" s="8"/>
      <c r="AD59" s="8"/>
      <c r="AE59" s="8"/>
      <c r="AF59" s="201"/>
      <c r="AG59" s="201"/>
      <c r="AH59" s="8"/>
      <c r="AI59" s="7"/>
      <c r="AJ59" s="69">
        <f t="shared" ref="AJ59:AJ85" si="2">SUM(D59:AH59)</f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200"/>
      <c r="E60" s="200"/>
      <c r="F60" s="2"/>
      <c r="G60" s="2"/>
      <c r="H60" s="2"/>
      <c r="I60" s="2"/>
      <c r="J60" s="2"/>
      <c r="K60" s="200"/>
      <c r="L60" s="200"/>
      <c r="M60" s="2"/>
      <c r="N60" s="2"/>
      <c r="O60" s="2"/>
      <c r="P60" s="2"/>
      <c r="Q60" s="2"/>
      <c r="R60" s="200"/>
      <c r="S60" s="200"/>
      <c r="T60" s="2"/>
      <c r="U60" s="2"/>
      <c r="V60" s="2"/>
      <c r="W60" s="2"/>
      <c r="X60" s="2">
        <v>8</v>
      </c>
      <c r="Y60" s="200"/>
      <c r="Z60" s="200"/>
      <c r="AA60" s="2"/>
      <c r="AB60" s="2"/>
      <c r="AC60" s="2"/>
      <c r="AD60" s="2"/>
      <c r="AE60" s="2"/>
      <c r="AF60" s="200"/>
      <c r="AG60" s="200"/>
      <c r="AH60" s="2"/>
      <c r="AJ60" s="64">
        <f t="shared" si="2"/>
        <v>8</v>
      </c>
    </row>
    <row r="61" spans="2:36" ht="15.75" hidden="1" outlineLevel="1" thickTop="1" x14ac:dyDescent="0.25">
      <c r="B61" s="150"/>
      <c r="C61" s="1" t="s">
        <v>1</v>
      </c>
      <c r="D61" s="200"/>
      <c r="E61" s="200"/>
      <c r="F61" s="3"/>
      <c r="G61" s="3"/>
      <c r="H61" s="3"/>
      <c r="I61" s="3"/>
      <c r="J61" s="3"/>
      <c r="K61" s="200"/>
      <c r="L61" s="200"/>
      <c r="M61" s="3"/>
      <c r="N61" s="3"/>
      <c r="O61" s="3"/>
      <c r="P61" s="3"/>
      <c r="Q61" s="3"/>
      <c r="R61" s="200"/>
      <c r="S61" s="200"/>
      <c r="T61" s="3"/>
      <c r="U61" s="3"/>
      <c r="V61" s="3"/>
      <c r="W61" s="3"/>
      <c r="X61" s="3"/>
      <c r="Y61" s="200"/>
      <c r="Z61" s="200"/>
      <c r="AA61" s="3"/>
      <c r="AB61" s="3"/>
      <c r="AC61" s="3"/>
      <c r="AD61" s="3"/>
      <c r="AE61" s="3"/>
      <c r="AF61" s="200"/>
      <c r="AG61" s="200"/>
      <c r="AH61" s="3"/>
      <c r="AJ61" s="70">
        <f t="shared" si="2"/>
        <v>0</v>
      </c>
    </row>
    <row r="62" spans="2:36" ht="15.75" hidden="1" outlineLevel="1" thickTop="1" x14ac:dyDescent="0.25">
      <c r="B62" s="151"/>
      <c r="C62" s="1" t="s">
        <v>2</v>
      </c>
      <c r="D62" s="200"/>
      <c r="E62" s="200"/>
      <c r="F62" s="4"/>
      <c r="G62" s="4"/>
      <c r="H62" s="4"/>
      <c r="I62" s="4"/>
      <c r="J62" s="4"/>
      <c r="K62" s="200"/>
      <c r="L62" s="200"/>
      <c r="M62" s="4"/>
      <c r="N62" s="4"/>
      <c r="O62" s="4"/>
      <c r="P62" s="4"/>
      <c r="Q62" s="4"/>
      <c r="R62" s="200"/>
      <c r="S62" s="200"/>
      <c r="T62" s="4"/>
      <c r="U62" s="4"/>
      <c r="V62" s="4"/>
      <c r="W62" s="4"/>
      <c r="X62" s="4"/>
      <c r="Y62" s="200"/>
      <c r="Z62" s="200"/>
      <c r="AA62" s="4"/>
      <c r="AB62" s="4"/>
      <c r="AC62" s="4"/>
      <c r="AD62" s="4"/>
      <c r="AE62" s="4"/>
      <c r="AF62" s="200"/>
      <c r="AG62" s="200"/>
      <c r="AH62" s="4"/>
      <c r="AJ62" s="71">
        <f t="shared" si="2"/>
        <v>0</v>
      </c>
    </row>
    <row r="63" spans="2:36" ht="15.75" hidden="1" outlineLevel="1" thickTop="1" x14ac:dyDescent="0.25">
      <c r="B63" s="151"/>
      <c r="C63" s="54" t="s">
        <v>77</v>
      </c>
      <c r="D63" s="200"/>
      <c r="E63" s="200"/>
      <c r="F63" s="5"/>
      <c r="G63" s="5"/>
      <c r="H63" s="5"/>
      <c r="I63" s="5"/>
      <c r="J63" s="5"/>
      <c r="K63" s="200"/>
      <c r="L63" s="200"/>
      <c r="M63" s="5"/>
      <c r="N63" s="5"/>
      <c r="O63" s="5"/>
      <c r="P63" s="5"/>
      <c r="Q63" s="5"/>
      <c r="R63" s="200"/>
      <c r="S63" s="200"/>
      <c r="T63" s="5"/>
      <c r="U63" s="5"/>
      <c r="V63" s="5"/>
      <c r="W63" s="5"/>
      <c r="X63" s="5"/>
      <c r="Y63" s="200"/>
      <c r="Z63" s="200"/>
      <c r="AA63" s="5"/>
      <c r="AB63" s="5"/>
      <c r="AC63" s="5"/>
      <c r="AD63" s="5"/>
      <c r="AE63" s="5"/>
      <c r="AF63" s="200"/>
      <c r="AG63" s="200"/>
      <c r="AH63" s="5"/>
      <c r="AJ63" s="72">
        <f t="shared" si="2"/>
        <v>0</v>
      </c>
    </row>
    <row r="64" spans="2:36" ht="16.5" hidden="1" outlineLevel="1" thickTop="1" thickBot="1" x14ac:dyDescent="0.3">
      <c r="B64" s="151"/>
      <c r="C64" s="9" t="s">
        <v>3</v>
      </c>
      <c r="D64" s="201"/>
      <c r="E64" s="201"/>
      <c r="F64" s="8"/>
      <c r="G64" s="8"/>
      <c r="H64" s="8"/>
      <c r="I64" s="8"/>
      <c r="J64" s="8"/>
      <c r="K64" s="201"/>
      <c r="L64" s="201"/>
      <c r="M64" s="8"/>
      <c r="N64" s="8"/>
      <c r="O64" s="8"/>
      <c r="P64" s="8"/>
      <c r="Q64" s="8"/>
      <c r="R64" s="201"/>
      <c r="S64" s="201"/>
      <c r="T64" s="8"/>
      <c r="U64" s="8"/>
      <c r="V64" s="8"/>
      <c r="W64" s="8"/>
      <c r="X64" s="8"/>
      <c r="Y64" s="201"/>
      <c r="Z64" s="201"/>
      <c r="AA64" s="8"/>
      <c r="AB64" s="8"/>
      <c r="AC64" s="8"/>
      <c r="AD64" s="8"/>
      <c r="AE64" s="8"/>
      <c r="AF64" s="201"/>
      <c r="AG64" s="201"/>
      <c r="AH64" s="8"/>
      <c r="AI64" s="7"/>
      <c r="AJ64" s="69">
        <f t="shared" si="2"/>
        <v>0</v>
      </c>
    </row>
    <row r="65" spans="2:36" ht="16.5" hidden="1" collapsed="1" thickTop="1" thickBot="1" x14ac:dyDescent="0.3">
      <c r="B65" s="253" t="str">
        <f>'Hours Scheduled'!B16</f>
        <v>Jim van der Weijden</v>
      </c>
      <c r="C65" t="s">
        <v>0</v>
      </c>
      <c r="D65" s="200"/>
      <c r="E65" s="200"/>
      <c r="F65" s="2"/>
      <c r="G65" s="2"/>
      <c r="H65" s="2"/>
      <c r="I65" s="2"/>
      <c r="J65" s="2"/>
      <c r="K65" s="200"/>
      <c r="L65" s="200"/>
      <c r="M65" s="2"/>
      <c r="N65" s="2"/>
      <c r="O65" s="2"/>
      <c r="P65" s="2"/>
      <c r="Q65" s="2"/>
      <c r="R65" s="200"/>
      <c r="S65" s="200"/>
      <c r="T65" s="2"/>
      <c r="U65" s="2"/>
      <c r="V65" s="2"/>
      <c r="W65" s="2"/>
      <c r="X65" s="2"/>
      <c r="Y65" s="200"/>
      <c r="Z65" s="200"/>
      <c r="AA65" s="2"/>
      <c r="AB65" s="2"/>
      <c r="AC65" s="2"/>
      <c r="AD65" s="2"/>
      <c r="AE65" s="2"/>
      <c r="AF65" s="200"/>
      <c r="AG65" s="200"/>
      <c r="AH65" s="2"/>
      <c r="AJ65" s="64">
        <f t="shared" si="2"/>
        <v>0</v>
      </c>
    </row>
    <row r="66" spans="2:36" ht="15.75" hidden="1" outlineLevel="1" thickTop="1" x14ac:dyDescent="0.25">
      <c r="B66" s="150"/>
      <c r="C66" s="1" t="s">
        <v>1</v>
      </c>
      <c r="D66" s="200"/>
      <c r="E66" s="200"/>
      <c r="F66" s="3"/>
      <c r="G66" s="3"/>
      <c r="H66" s="3"/>
      <c r="I66" s="3"/>
      <c r="J66" s="3"/>
      <c r="K66" s="200"/>
      <c r="L66" s="200"/>
      <c r="M66" s="3"/>
      <c r="N66" s="3"/>
      <c r="O66" s="3"/>
      <c r="P66" s="3"/>
      <c r="Q66" s="3"/>
      <c r="R66" s="200"/>
      <c r="S66" s="200"/>
      <c r="T66" s="3"/>
      <c r="U66" s="3"/>
      <c r="V66" s="3"/>
      <c r="W66" s="3"/>
      <c r="X66" s="3"/>
      <c r="Y66" s="200"/>
      <c r="Z66" s="200"/>
      <c r="AA66" s="3"/>
      <c r="AB66" s="3"/>
      <c r="AC66" s="3"/>
      <c r="AD66" s="3"/>
      <c r="AE66" s="3"/>
      <c r="AF66" s="200"/>
      <c r="AG66" s="200"/>
      <c r="AH66" s="3"/>
      <c r="AJ66" s="70">
        <f t="shared" si="2"/>
        <v>0</v>
      </c>
    </row>
    <row r="67" spans="2:36" ht="15.75" hidden="1" outlineLevel="1" thickTop="1" x14ac:dyDescent="0.25">
      <c r="B67" s="151"/>
      <c r="C67" s="1" t="s">
        <v>2</v>
      </c>
      <c r="D67" s="200"/>
      <c r="E67" s="200"/>
      <c r="F67" s="4"/>
      <c r="G67" s="4"/>
      <c r="H67" s="4"/>
      <c r="I67" s="4"/>
      <c r="J67" s="4"/>
      <c r="K67" s="200"/>
      <c r="L67" s="200"/>
      <c r="M67" s="4"/>
      <c r="N67" s="4"/>
      <c r="O67" s="4"/>
      <c r="P67" s="4"/>
      <c r="Q67" s="4"/>
      <c r="R67" s="200"/>
      <c r="S67" s="200"/>
      <c r="T67" s="4"/>
      <c r="U67" s="4"/>
      <c r="V67" s="4"/>
      <c r="W67" s="4"/>
      <c r="X67" s="4"/>
      <c r="Y67" s="200"/>
      <c r="Z67" s="200"/>
      <c r="AA67" s="4"/>
      <c r="AB67" s="4"/>
      <c r="AC67" s="4"/>
      <c r="AD67" s="4"/>
      <c r="AE67" s="4"/>
      <c r="AF67" s="200"/>
      <c r="AG67" s="200"/>
      <c r="AH67" s="4"/>
      <c r="AJ67" s="71">
        <f t="shared" si="2"/>
        <v>0</v>
      </c>
    </row>
    <row r="68" spans="2:36" ht="15.75" hidden="1" outlineLevel="1" thickTop="1" x14ac:dyDescent="0.25">
      <c r="B68" s="151"/>
      <c r="C68" s="54" t="s">
        <v>77</v>
      </c>
      <c r="D68" s="200"/>
      <c r="E68" s="200"/>
      <c r="F68" s="5"/>
      <c r="G68" s="5"/>
      <c r="H68" s="5"/>
      <c r="I68" s="5"/>
      <c r="J68" s="5"/>
      <c r="K68" s="200"/>
      <c r="L68" s="200"/>
      <c r="M68" s="5"/>
      <c r="N68" s="5"/>
      <c r="O68" s="5"/>
      <c r="P68" s="5"/>
      <c r="Q68" s="5"/>
      <c r="R68" s="200"/>
      <c r="S68" s="200"/>
      <c r="T68" s="5"/>
      <c r="U68" s="5"/>
      <c r="V68" s="5"/>
      <c r="W68" s="5"/>
      <c r="X68" s="5"/>
      <c r="Y68" s="200"/>
      <c r="Z68" s="200"/>
      <c r="AA68" s="5"/>
      <c r="AB68" s="5"/>
      <c r="AC68" s="5"/>
      <c r="AD68" s="5"/>
      <c r="AE68" s="5"/>
      <c r="AF68" s="200"/>
      <c r="AG68" s="200"/>
      <c r="AH68" s="5"/>
      <c r="AJ68" s="72">
        <f t="shared" si="2"/>
        <v>0</v>
      </c>
    </row>
    <row r="69" spans="2:36" ht="16.5" hidden="1" outlineLevel="1" thickTop="1" thickBot="1" x14ac:dyDescent="0.3">
      <c r="B69" s="151"/>
      <c r="C69" s="9" t="s">
        <v>3</v>
      </c>
      <c r="D69" s="201"/>
      <c r="E69" s="201"/>
      <c r="F69" s="8"/>
      <c r="G69" s="8"/>
      <c r="H69" s="8"/>
      <c r="I69" s="8"/>
      <c r="J69" s="8"/>
      <c r="K69" s="201"/>
      <c r="L69" s="201"/>
      <c r="M69" s="8"/>
      <c r="N69" s="8"/>
      <c r="O69" s="8"/>
      <c r="P69" s="8"/>
      <c r="Q69" s="8"/>
      <c r="R69" s="201"/>
      <c r="S69" s="201"/>
      <c r="T69" s="8"/>
      <c r="U69" s="8"/>
      <c r="V69" s="8"/>
      <c r="W69" s="8"/>
      <c r="X69" s="8"/>
      <c r="Y69" s="201"/>
      <c r="Z69" s="201"/>
      <c r="AA69" s="8"/>
      <c r="AB69" s="8"/>
      <c r="AC69" s="8"/>
      <c r="AD69" s="8"/>
      <c r="AE69" s="8"/>
      <c r="AF69" s="201"/>
      <c r="AG69" s="201"/>
      <c r="AH69" s="8"/>
      <c r="AI69" s="7"/>
      <c r="AJ69" s="69">
        <f t="shared" si="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200"/>
      <c r="E70" s="200"/>
      <c r="F70" s="2"/>
      <c r="G70" s="2"/>
      <c r="H70" s="2"/>
      <c r="I70" s="2"/>
      <c r="J70" s="2"/>
      <c r="K70" s="200"/>
      <c r="L70" s="200"/>
      <c r="M70" s="2"/>
      <c r="N70" s="2">
        <v>0</v>
      </c>
      <c r="O70" s="2"/>
      <c r="P70" s="2"/>
      <c r="Q70" s="2"/>
      <c r="R70" s="200"/>
      <c r="S70" s="200"/>
      <c r="T70" s="2"/>
      <c r="U70" s="2"/>
      <c r="V70" s="2"/>
      <c r="W70" s="2"/>
      <c r="X70" s="2"/>
      <c r="Y70" s="200"/>
      <c r="Z70" s="200"/>
      <c r="AA70" s="2"/>
      <c r="AB70" s="2">
        <v>0</v>
      </c>
      <c r="AC70" s="2"/>
      <c r="AD70" s="2"/>
      <c r="AE70" s="2"/>
      <c r="AF70" s="200"/>
      <c r="AG70" s="200"/>
      <c r="AH70" s="2"/>
      <c r="AJ70" s="64">
        <f t="shared" si="2"/>
        <v>0</v>
      </c>
    </row>
    <row r="71" spans="2:36" ht="15.75" hidden="1" outlineLevel="1" thickTop="1" x14ac:dyDescent="0.25">
      <c r="B71" s="150"/>
      <c r="C71" s="1" t="s">
        <v>1</v>
      </c>
      <c r="D71" s="200"/>
      <c r="E71" s="200"/>
      <c r="F71" s="3"/>
      <c r="G71" s="3"/>
      <c r="H71" s="3"/>
      <c r="I71" s="3"/>
      <c r="J71" s="3"/>
      <c r="K71" s="200"/>
      <c r="L71" s="200"/>
      <c r="M71" s="3"/>
      <c r="N71" s="3"/>
      <c r="O71" s="3"/>
      <c r="P71" s="3"/>
      <c r="Q71" s="3"/>
      <c r="R71" s="200"/>
      <c r="S71" s="200"/>
      <c r="T71" s="3"/>
      <c r="U71" s="3"/>
      <c r="V71" s="3"/>
      <c r="W71" s="3"/>
      <c r="X71" s="3"/>
      <c r="Y71" s="200"/>
      <c r="Z71" s="200"/>
      <c r="AA71" s="3"/>
      <c r="AB71" s="3"/>
      <c r="AC71" s="3"/>
      <c r="AD71" s="3"/>
      <c r="AE71" s="3"/>
      <c r="AF71" s="200"/>
      <c r="AG71" s="200"/>
      <c r="AH71" s="3"/>
      <c r="AJ71" s="70">
        <f t="shared" si="2"/>
        <v>0</v>
      </c>
    </row>
    <row r="72" spans="2:36" ht="15.75" hidden="1" outlineLevel="1" thickTop="1" x14ac:dyDescent="0.25">
      <c r="B72" s="151"/>
      <c r="C72" s="1" t="s">
        <v>2</v>
      </c>
      <c r="D72" s="200"/>
      <c r="E72" s="200"/>
      <c r="F72" s="4"/>
      <c r="G72" s="4"/>
      <c r="H72" s="4"/>
      <c r="I72" s="4"/>
      <c r="J72" s="4"/>
      <c r="K72" s="200"/>
      <c r="L72" s="200"/>
      <c r="M72" s="4"/>
      <c r="N72" s="4"/>
      <c r="O72" s="4"/>
      <c r="P72" s="4"/>
      <c r="Q72" s="4"/>
      <c r="R72" s="200"/>
      <c r="S72" s="200"/>
      <c r="T72" s="4"/>
      <c r="U72" s="4"/>
      <c r="V72" s="4"/>
      <c r="W72" s="4"/>
      <c r="X72" s="4"/>
      <c r="Y72" s="200"/>
      <c r="Z72" s="200"/>
      <c r="AA72" s="4"/>
      <c r="AB72" s="4"/>
      <c r="AC72" s="4"/>
      <c r="AD72" s="4"/>
      <c r="AE72" s="4"/>
      <c r="AF72" s="200"/>
      <c r="AG72" s="200"/>
      <c r="AH72" s="4"/>
      <c r="AJ72" s="71">
        <f t="shared" si="2"/>
        <v>0</v>
      </c>
    </row>
    <row r="73" spans="2:36" ht="15.75" hidden="1" outlineLevel="1" thickTop="1" x14ac:dyDescent="0.25">
      <c r="B73" s="151"/>
      <c r="C73" s="54" t="s">
        <v>77</v>
      </c>
      <c r="D73" s="200"/>
      <c r="E73" s="200"/>
      <c r="F73" s="5"/>
      <c r="G73" s="5"/>
      <c r="H73" s="5"/>
      <c r="I73" s="5"/>
      <c r="J73" s="5"/>
      <c r="K73" s="200"/>
      <c r="L73" s="200"/>
      <c r="M73" s="5"/>
      <c r="N73" s="5"/>
      <c r="O73" s="5"/>
      <c r="P73" s="5"/>
      <c r="Q73" s="5"/>
      <c r="R73" s="200"/>
      <c r="S73" s="200"/>
      <c r="T73" s="5"/>
      <c r="U73" s="5"/>
      <c r="V73" s="5"/>
      <c r="W73" s="5"/>
      <c r="X73" s="5"/>
      <c r="Y73" s="200"/>
      <c r="Z73" s="200"/>
      <c r="AA73" s="5"/>
      <c r="AB73" s="5"/>
      <c r="AC73" s="5"/>
      <c r="AD73" s="5"/>
      <c r="AE73" s="5"/>
      <c r="AF73" s="200"/>
      <c r="AG73" s="200"/>
      <c r="AH73" s="5"/>
      <c r="AJ73" s="72">
        <f t="shared" si="2"/>
        <v>0</v>
      </c>
    </row>
    <row r="74" spans="2:36" ht="16.5" hidden="1" outlineLevel="1" thickTop="1" thickBot="1" x14ac:dyDescent="0.3">
      <c r="B74" s="151"/>
      <c r="C74" s="9" t="s">
        <v>3</v>
      </c>
      <c r="D74" s="201"/>
      <c r="E74" s="201"/>
      <c r="F74" s="8"/>
      <c r="G74" s="8"/>
      <c r="H74" s="8"/>
      <c r="I74" s="8"/>
      <c r="J74" s="8"/>
      <c r="K74" s="201"/>
      <c r="L74" s="201"/>
      <c r="M74" s="8"/>
      <c r="N74" s="8"/>
      <c r="O74" s="8"/>
      <c r="P74" s="8"/>
      <c r="Q74" s="8"/>
      <c r="R74" s="201"/>
      <c r="S74" s="201"/>
      <c r="T74" s="8"/>
      <c r="U74" s="8"/>
      <c r="V74" s="8"/>
      <c r="W74" s="8"/>
      <c r="X74" s="8"/>
      <c r="Y74" s="201"/>
      <c r="Z74" s="201"/>
      <c r="AA74" s="8"/>
      <c r="AB74" s="8"/>
      <c r="AC74" s="8"/>
      <c r="AD74" s="8"/>
      <c r="AE74" s="8"/>
      <c r="AF74" s="201"/>
      <c r="AG74" s="201"/>
      <c r="AH74" s="8"/>
      <c r="AI74" s="7"/>
      <c r="AJ74" s="69">
        <f t="shared" si="2"/>
        <v>0</v>
      </c>
    </row>
    <row r="75" spans="2:36" ht="16.5" hidden="1" collapsed="1" thickTop="1" thickBot="1" x14ac:dyDescent="0.3">
      <c r="B75" s="149" t="str">
        <f>'Hours Scheduled'!B18</f>
        <v>Kevin Ploum</v>
      </c>
      <c r="C75" s="46" t="s">
        <v>0</v>
      </c>
      <c r="D75" s="200"/>
      <c r="E75" s="200"/>
      <c r="F75" s="2"/>
      <c r="G75" s="2"/>
      <c r="H75" s="2"/>
      <c r="I75" s="2"/>
      <c r="J75" s="2"/>
      <c r="K75" s="200"/>
      <c r="L75" s="200"/>
      <c r="M75" s="2"/>
      <c r="N75" s="2"/>
      <c r="O75" s="2"/>
      <c r="P75" s="2"/>
      <c r="Q75" s="2"/>
      <c r="R75" s="200"/>
      <c r="S75" s="200"/>
      <c r="T75" s="2"/>
      <c r="U75" s="2"/>
      <c r="V75" s="2"/>
      <c r="W75" s="2"/>
      <c r="X75" s="2"/>
      <c r="Y75" s="200"/>
      <c r="Z75" s="200"/>
      <c r="AA75" s="2"/>
      <c r="AB75" s="2"/>
      <c r="AC75" s="2"/>
      <c r="AD75" s="2"/>
      <c r="AE75" s="2"/>
      <c r="AF75" s="200"/>
      <c r="AG75" s="200"/>
      <c r="AH75" s="2"/>
      <c r="AI75" s="46"/>
      <c r="AJ75" s="64">
        <f t="shared" si="2"/>
        <v>0</v>
      </c>
    </row>
    <row r="76" spans="2:36" ht="15.75" hidden="1" outlineLevel="1" thickTop="1" x14ac:dyDescent="0.25">
      <c r="B76" s="150"/>
      <c r="C76" s="1" t="s">
        <v>1</v>
      </c>
      <c r="D76" s="200"/>
      <c r="E76" s="200"/>
      <c r="F76" s="3"/>
      <c r="G76" s="3"/>
      <c r="H76" s="3"/>
      <c r="I76" s="3"/>
      <c r="J76" s="3"/>
      <c r="K76" s="200"/>
      <c r="L76" s="200"/>
      <c r="M76" s="3"/>
      <c r="N76" s="3"/>
      <c r="O76" s="3"/>
      <c r="P76" s="3"/>
      <c r="Q76" s="3"/>
      <c r="R76" s="200"/>
      <c r="S76" s="200"/>
      <c r="T76" s="3"/>
      <c r="U76" s="3"/>
      <c r="V76" s="3"/>
      <c r="W76" s="3"/>
      <c r="X76" s="3"/>
      <c r="Y76" s="200"/>
      <c r="Z76" s="200"/>
      <c r="AA76" s="3"/>
      <c r="AB76" s="3"/>
      <c r="AC76" s="3"/>
      <c r="AD76" s="3"/>
      <c r="AE76" s="3"/>
      <c r="AF76" s="200"/>
      <c r="AG76" s="200"/>
      <c r="AH76" s="3"/>
      <c r="AJ76" s="70">
        <f t="shared" si="2"/>
        <v>0</v>
      </c>
    </row>
    <row r="77" spans="2:36" ht="15.75" hidden="1" outlineLevel="1" thickTop="1" x14ac:dyDescent="0.25">
      <c r="B77" s="151"/>
      <c r="C77" s="1" t="s">
        <v>2</v>
      </c>
      <c r="D77" s="200"/>
      <c r="E77" s="200"/>
      <c r="F77" s="4"/>
      <c r="G77" s="4"/>
      <c r="H77" s="4"/>
      <c r="I77" s="4"/>
      <c r="J77" s="4"/>
      <c r="K77" s="200"/>
      <c r="L77" s="200"/>
      <c r="M77" s="4"/>
      <c r="N77" s="4"/>
      <c r="O77" s="4"/>
      <c r="P77" s="4"/>
      <c r="Q77" s="4"/>
      <c r="R77" s="200"/>
      <c r="S77" s="200"/>
      <c r="T77" s="4"/>
      <c r="U77" s="4"/>
      <c r="V77" s="4"/>
      <c r="W77" s="4"/>
      <c r="X77" s="4"/>
      <c r="Y77" s="200"/>
      <c r="Z77" s="200"/>
      <c r="AA77" s="4"/>
      <c r="AB77" s="4"/>
      <c r="AC77" s="4"/>
      <c r="AD77" s="4"/>
      <c r="AE77" s="4"/>
      <c r="AF77" s="200"/>
      <c r="AG77" s="200"/>
      <c r="AH77" s="4"/>
      <c r="AJ77" s="71">
        <f t="shared" si="2"/>
        <v>0</v>
      </c>
    </row>
    <row r="78" spans="2:36" ht="15.75" hidden="1" outlineLevel="1" thickTop="1" x14ac:dyDescent="0.25">
      <c r="B78" s="151"/>
      <c r="C78" s="54" t="s">
        <v>77</v>
      </c>
      <c r="D78" s="200"/>
      <c r="E78" s="200"/>
      <c r="F78" s="5"/>
      <c r="G78" s="5"/>
      <c r="H78" s="5"/>
      <c r="I78" s="5"/>
      <c r="J78" s="5"/>
      <c r="K78" s="200"/>
      <c r="L78" s="200"/>
      <c r="M78" s="5"/>
      <c r="N78" s="5"/>
      <c r="O78" s="5"/>
      <c r="P78" s="5"/>
      <c r="Q78" s="5"/>
      <c r="R78" s="200"/>
      <c r="S78" s="200"/>
      <c r="T78" s="5"/>
      <c r="U78" s="5"/>
      <c r="V78" s="5"/>
      <c r="W78" s="5"/>
      <c r="X78" s="5"/>
      <c r="Y78" s="200"/>
      <c r="Z78" s="200"/>
      <c r="AA78" s="5"/>
      <c r="AB78" s="5"/>
      <c r="AC78" s="5"/>
      <c r="AD78" s="5"/>
      <c r="AE78" s="5"/>
      <c r="AF78" s="200"/>
      <c r="AG78" s="200"/>
      <c r="AH78" s="5"/>
      <c r="AJ78" s="72">
        <f t="shared" si="2"/>
        <v>0</v>
      </c>
    </row>
    <row r="79" spans="2:36" ht="16.5" hidden="1" outlineLevel="1" thickTop="1" thickBot="1" x14ac:dyDescent="0.3">
      <c r="B79" s="151"/>
      <c r="C79" s="9" t="s">
        <v>3</v>
      </c>
      <c r="D79" s="201"/>
      <c r="E79" s="201"/>
      <c r="F79" s="8"/>
      <c r="G79" s="8"/>
      <c r="H79" s="8"/>
      <c r="I79" s="8"/>
      <c r="J79" s="8"/>
      <c r="K79" s="201"/>
      <c r="L79" s="201"/>
      <c r="M79" s="8"/>
      <c r="N79" s="8"/>
      <c r="O79" s="8"/>
      <c r="P79" s="8"/>
      <c r="Q79" s="8"/>
      <c r="R79" s="201"/>
      <c r="S79" s="201"/>
      <c r="T79" s="8"/>
      <c r="U79" s="8"/>
      <c r="V79" s="8"/>
      <c r="W79" s="8"/>
      <c r="X79" s="8"/>
      <c r="Y79" s="201"/>
      <c r="Z79" s="201"/>
      <c r="AA79" s="8"/>
      <c r="AB79" s="8"/>
      <c r="AC79" s="8"/>
      <c r="AD79" s="8"/>
      <c r="AE79" s="8"/>
      <c r="AF79" s="201"/>
      <c r="AG79" s="201"/>
      <c r="AH79" s="8"/>
      <c r="AI79" s="7"/>
      <c r="AJ79" s="69">
        <f t="shared" si="2"/>
        <v>0</v>
      </c>
    </row>
    <row r="80" spans="2:36" ht="16.5" hidden="1" customHeight="1" collapsed="1" thickTop="1" thickBot="1" x14ac:dyDescent="0.3">
      <c r="B80" s="253" t="str">
        <f>'Hours Scheduled'!B19</f>
        <v>Loek Moling</v>
      </c>
      <c r="C80" t="s">
        <v>0</v>
      </c>
      <c r="D80" s="200"/>
      <c r="E80" s="200"/>
      <c r="F80" s="2"/>
      <c r="G80" s="2"/>
      <c r="H80" s="2"/>
      <c r="I80" s="2"/>
      <c r="J80" s="2"/>
      <c r="K80" s="200"/>
      <c r="L80" s="200"/>
      <c r="M80" s="2"/>
      <c r="N80" s="2"/>
      <c r="O80" s="2"/>
      <c r="P80" s="2"/>
      <c r="Q80" s="2"/>
      <c r="R80" s="200"/>
      <c r="S80" s="200"/>
      <c r="T80" s="2"/>
      <c r="U80" s="2"/>
      <c r="V80" s="2"/>
      <c r="W80" s="2"/>
      <c r="X80" s="2"/>
      <c r="Y80" s="200"/>
      <c r="Z80" s="200"/>
      <c r="AA80" s="2"/>
      <c r="AB80" s="2"/>
      <c r="AC80" s="2"/>
      <c r="AD80" s="2"/>
      <c r="AE80" s="2"/>
      <c r="AF80" s="200"/>
      <c r="AG80" s="200"/>
      <c r="AH80" s="2"/>
      <c r="AJ80" s="64">
        <f t="shared" si="2"/>
        <v>0</v>
      </c>
    </row>
    <row r="81" spans="2:36" ht="15.75" hidden="1" outlineLevel="1" thickTop="1" x14ac:dyDescent="0.25">
      <c r="B81" s="150"/>
      <c r="C81" s="1" t="s">
        <v>1</v>
      </c>
      <c r="D81" s="200"/>
      <c r="E81" s="200"/>
      <c r="F81" s="3"/>
      <c r="G81" s="3"/>
      <c r="H81" s="3"/>
      <c r="I81" s="3"/>
      <c r="J81" s="3"/>
      <c r="K81" s="200"/>
      <c r="L81" s="200"/>
      <c r="M81" s="3"/>
      <c r="N81" s="3"/>
      <c r="O81" s="3"/>
      <c r="P81" s="3"/>
      <c r="Q81" s="3"/>
      <c r="R81" s="200"/>
      <c r="S81" s="200"/>
      <c r="T81" s="3"/>
      <c r="U81" s="3"/>
      <c r="V81" s="3"/>
      <c r="W81" s="3"/>
      <c r="X81" s="3"/>
      <c r="Y81" s="200"/>
      <c r="Z81" s="200"/>
      <c r="AA81" s="3"/>
      <c r="AB81" s="3"/>
      <c r="AC81" s="3"/>
      <c r="AD81" s="3"/>
      <c r="AE81" s="3"/>
      <c r="AF81" s="200"/>
      <c r="AG81" s="200"/>
      <c r="AH81" s="3"/>
      <c r="AJ81" s="70">
        <f t="shared" si="2"/>
        <v>0</v>
      </c>
    </row>
    <row r="82" spans="2:36" ht="15.75" hidden="1" outlineLevel="1" thickTop="1" x14ac:dyDescent="0.25">
      <c r="B82" s="151"/>
      <c r="C82" s="1" t="s">
        <v>2</v>
      </c>
      <c r="D82" s="200"/>
      <c r="E82" s="200"/>
      <c r="F82" s="4"/>
      <c r="G82" s="4"/>
      <c r="H82" s="4"/>
      <c r="I82" s="4"/>
      <c r="J82" s="4"/>
      <c r="K82" s="200"/>
      <c r="L82" s="200"/>
      <c r="M82" s="4"/>
      <c r="N82" s="4"/>
      <c r="O82" s="4"/>
      <c r="P82" s="4"/>
      <c r="Q82" s="4"/>
      <c r="R82" s="200"/>
      <c r="S82" s="200"/>
      <c r="T82" s="4"/>
      <c r="U82" s="4"/>
      <c r="V82" s="4"/>
      <c r="W82" s="4"/>
      <c r="X82" s="4"/>
      <c r="Y82" s="200"/>
      <c r="Z82" s="200"/>
      <c r="AA82" s="4"/>
      <c r="AB82" s="4"/>
      <c r="AC82" s="4"/>
      <c r="AD82" s="4"/>
      <c r="AE82" s="4"/>
      <c r="AF82" s="200"/>
      <c r="AG82" s="200"/>
      <c r="AH82" s="4"/>
      <c r="AJ82" s="71">
        <f t="shared" si="2"/>
        <v>0</v>
      </c>
    </row>
    <row r="83" spans="2:36" ht="15.75" hidden="1" outlineLevel="1" thickTop="1" x14ac:dyDescent="0.25">
      <c r="B83" s="151"/>
      <c r="C83" s="54" t="s">
        <v>77</v>
      </c>
      <c r="D83" s="200"/>
      <c r="E83" s="200"/>
      <c r="F83" s="5"/>
      <c r="G83" s="5"/>
      <c r="H83" s="5"/>
      <c r="I83" s="5"/>
      <c r="J83" s="5"/>
      <c r="K83" s="200"/>
      <c r="L83" s="200"/>
      <c r="M83" s="5"/>
      <c r="N83" s="5"/>
      <c r="O83" s="5"/>
      <c r="P83" s="5"/>
      <c r="Q83" s="5"/>
      <c r="R83" s="200"/>
      <c r="S83" s="200"/>
      <c r="T83" s="5"/>
      <c r="U83" s="5"/>
      <c r="V83" s="5"/>
      <c r="W83" s="5"/>
      <c r="X83" s="5"/>
      <c r="Y83" s="200"/>
      <c r="Z83" s="200"/>
      <c r="AA83" s="5"/>
      <c r="AB83" s="5"/>
      <c r="AC83" s="5"/>
      <c r="AD83" s="5"/>
      <c r="AE83" s="5"/>
      <c r="AF83" s="200"/>
      <c r="AG83" s="200"/>
      <c r="AH83" s="5"/>
      <c r="AJ83" s="72">
        <f t="shared" si="2"/>
        <v>0</v>
      </c>
    </row>
    <row r="84" spans="2:36" ht="16.5" hidden="1" outlineLevel="1" thickTop="1" thickBot="1" x14ac:dyDescent="0.3">
      <c r="B84" s="151"/>
      <c r="C84" s="9" t="s">
        <v>3</v>
      </c>
      <c r="D84" s="201"/>
      <c r="E84" s="201"/>
      <c r="F84" s="8"/>
      <c r="G84" s="8"/>
      <c r="H84" s="8"/>
      <c r="I84" s="8"/>
      <c r="J84" s="8"/>
      <c r="K84" s="201"/>
      <c r="L84" s="201"/>
      <c r="M84" s="8"/>
      <c r="N84" s="8"/>
      <c r="O84" s="8"/>
      <c r="P84" s="8"/>
      <c r="Q84" s="8"/>
      <c r="R84" s="201"/>
      <c r="S84" s="201"/>
      <c r="T84" s="8"/>
      <c r="U84" s="8"/>
      <c r="V84" s="8"/>
      <c r="W84" s="8"/>
      <c r="X84" s="8"/>
      <c r="Y84" s="201"/>
      <c r="Z84" s="201"/>
      <c r="AA84" s="8"/>
      <c r="AB84" s="8"/>
      <c r="AC84" s="8"/>
      <c r="AD84" s="8"/>
      <c r="AE84" s="8"/>
      <c r="AF84" s="201"/>
      <c r="AG84" s="201"/>
      <c r="AH84" s="8"/>
      <c r="AI84" s="7"/>
      <c r="AJ84" s="69">
        <f t="shared" si="2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200"/>
      <c r="E85" s="200"/>
      <c r="F85" s="2"/>
      <c r="G85" s="2"/>
      <c r="H85" s="2"/>
      <c r="I85" s="2"/>
      <c r="J85" s="2">
        <v>8</v>
      </c>
      <c r="K85" s="200"/>
      <c r="L85" s="200"/>
      <c r="M85" s="2"/>
      <c r="N85" s="2"/>
      <c r="O85" s="2"/>
      <c r="P85" s="2"/>
      <c r="Q85" s="2"/>
      <c r="R85" s="200"/>
      <c r="S85" s="200"/>
      <c r="T85" s="2"/>
      <c r="U85" s="2"/>
      <c r="V85" s="2"/>
      <c r="W85" s="2"/>
      <c r="X85" s="2">
        <v>0</v>
      </c>
      <c r="Y85" s="200"/>
      <c r="Z85" s="200"/>
      <c r="AA85" s="2"/>
      <c r="AB85" s="2">
        <v>4</v>
      </c>
      <c r="AC85" s="2"/>
      <c r="AD85" s="2">
        <v>4</v>
      </c>
      <c r="AE85" s="2">
        <v>8</v>
      </c>
      <c r="AF85" s="200"/>
      <c r="AG85" s="200"/>
      <c r="AH85" s="2"/>
      <c r="AJ85" s="64">
        <f t="shared" si="2"/>
        <v>24</v>
      </c>
    </row>
    <row r="86" spans="2:36" ht="15.75" hidden="1" outlineLevel="1" thickTop="1" x14ac:dyDescent="0.25">
      <c r="B86" s="150"/>
      <c r="C86" s="1" t="s">
        <v>1</v>
      </c>
      <c r="D86" s="200"/>
      <c r="E86" s="200"/>
      <c r="F86" s="3"/>
      <c r="G86" s="3"/>
      <c r="H86" s="3"/>
      <c r="I86" s="3"/>
      <c r="J86" s="3"/>
      <c r="K86" s="200"/>
      <c r="L86" s="200"/>
      <c r="M86" s="3"/>
      <c r="N86" s="3"/>
      <c r="O86" s="3"/>
      <c r="P86" s="3"/>
      <c r="Q86" s="3"/>
      <c r="R86" s="200"/>
      <c r="S86" s="200"/>
      <c r="T86" s="3"/>
      <c r="U86" s="3"/>
      <c r="V86" s="3"/>
      <c r="W86" s="3"/>
      <c r="X86" s="3"/>
      <c r="Y86" s="200"/>
      <c r="Z86" s="200"/>
      <c r="AA86" s="3"/>
      <c r="AB86" s="3"/>
      <c r="AC86" s="3"/>
      <c r="AD86" s="3"/>
      <c r="AE86" s="3"/>
      <c r="AF86" s="200"/>
      <c r="AG86" s="200"/>
      <c r="AH86" s="3"/>
      <c r="AJ86" s="70">
        <f t="shared" ref="AJ86:AJ117" si="3">SUM(D86:AH86)</f>
        <v>0</v>
      </c>
    </row>
    <row r="87" spans="2:36" ht="15.75" hidden="1" outlineLevel="1" thickTop="1" x14ac:dyDescent="0.25">
      <c r="B87" s="151"/>
      <c r="C87" s="1" t="s">
        <v>2</v>
      </c>
      <c r="D87" s="200"/>
      <c r="E87" s="200"/>
      <c r="F87" s="4"/>
      <c r="G87" s="4"/>
      <c r="H87" s="4"/>
      <c r="I87" s="4"/>
      <c r="J87" s="4"/>
      <c r="K87" s="200"/>
      <c r="L87" s="200"/>
      <c r="M87" s="4"/>
      <c r="N87" s="4"/>
      <c r="O87" s="4"/>
      <c r="P87" s="4"/>
      <c r="Q87" s="4"/>
      <c r="R87" s="200"/>
      <c r="S87" s="200"/>
      <c r="T87" s="4"/>
      <c r="U87" s="4"/>
      <c r="V87" s="4"/>
      <c r="W87" s="4"/>
      <c r="X87" s="4"/>
      <c r="Y87" s="200"/>
      <c r="Z87" s="200"/>
      <c r="AA87" s="4"/>
      <c r="AB87" s="4"/>
      <c r="AC87" s="4"/>
      <c r="AD87" s="4"/>
      <c r="AE87" s="4"/>
      <c r="AF87" s="200"/>
      <c r="AG87" s="200"/>
      <c r="AH87" s="4"/>
      <c r="AJ87" s="71">
        <f t="shared" si="3"/>
        <v>0</v>
      </c>
    </row>
    <row r="88" spans="2:36" ht="15.75" hidden="1" outlineLevel="1" thickTop="1" x14ac:dyDescent="0.25">
      <c r="B88" s="151"/>
      <c r="C88" s="54" t="s">
        <v>77</v>
      </c>
      <c r="D88" s="200"/>
      <c r="E88" s="200"/>
      <c r="F88" s="5"/>
      <c r="G88" s="5"/>
      <c r="H88" s="5"/>
      <c r="I88" s="5"/>
      <c r="J88" s="5"/>
      <c r="K88" s="200"/>
      <c r="L88" s="200"/>
      <c r="M88" s="5"/>
      <c r="N88" s="5"/>
      <c r="O88" s="5"/>
      <c r="P88" s="5"/>
      <c r="Q88" s="5"/>
      <c r="R88" s="200"/>
      <c r="S88" s="200"/>
      <c r="T88" s="5"/>
      <c r="U88" s="5"/>
      <c r="V88" s="5"/>
      <c r="W88" s="5"/>
      <c r="X88" s="5"/>
      <c r="Y88" s="200"/>
      <c r="Z88" s="200"/>
      <c r="AA88" s="5"/>
      <c r="AB88" s="5"/>
      <c r="AC88" s="5"/>
      <c r="AD88" s="5"/>
      <c r="AE88" s="5"/>
      <c r="AF88" s="200"/>
      <c r="AG88" s="200"/>
      <c r="AH88" s="5"/>
      <c r="AJ88" s="72">
        <f t="shared" si="3"/>
        <v>0</v>
      </c>
    </row>
    <row r="89" spans="2:36" ht="16.5" hidden="1" outlineLevel="1" thickTop="1" thickBot="1" x14ac:dyDescent="0.3">
      <c r="B89" s="151"/>
      <c r="C89" s="9" t="s">
        <v>3</v>
      </c>
      <c r="D89" s="201"/>
      <c r="E89" s="201"/>
      <c r="F89" s="8"/>
      <c r="G89" s="8"/>
      <c r="H89" s="8"/>
      <c r="I89" s="8"/>
      <c r="J89" s="8"/>
      <c r="K89" s="201"/>
      <c r="L89" s="201"/>
      <c r="M89" s="8"/>
      <c r="N89" s="8"/>
      <c r="O89" s="8"/>
      <c r="P89" s="8"/>
      <c r="Q89" s="8"/>
      <c r="R89" s="201"/>
      <c r="S89" s="201"/>
      <c r="T89" s="8"/>
      <c r="U89" s="8"/>
      <c r="V89" s="8"/>
      <c r="W89" s="8"/>
      <c r="X89" s="8"/>
      <c r="Y89" s="201"/>
      <c r="Z89" s="201"/>
      <c r="AA89" s="8"/>
      <c r="AB89" s="8"/>
      <c r="AC89" s="8"/>
      <c r="AD89" s="8"/>
      <c r="AE89" s="8"/>
      <c r="AF89" s="201"/>
      <c r="AG89" s="201"/>
      <c r="AH89" s="8"/>
      <c r="AI89" s="7"/>
      <c r="AJ89" s="69">
        <f t="shared" si="3"/>
        <v>0</v>
      </c>
    </row>
    <row r="90" spans="2:36" ht="16.5" hidden="1" customHeight="1" collapsed="1" thickTop="1" thickBot="1" x14ac:dyDescent="0.3">
      <c r="B90" s="253" t="str">
        <f>'Hours Scheduled'!B21</f>
        <v>Manuel Sperti</v>
      </c>
      <c r="C90" t="s">
        <v>0</v>
      </c>
      <c r="D90" s="231"/>
      <c r="E90" s="231"/>
      <c r="F90" s="213"/>
      <c r="G90" s="213"/>
      <c r="H90" s="213"/>
      <c r="I90" s="213"/>
      <c r="J90" s="213"/>
      <c r="K90" s="231"/>
      <c r="L90" s="231"/>
      <c r="M90" s="213"/>
      <c r="N90" s="213"/>
      <c r="O90" s="213"/>
      <c r="P90" s="213"/>
      <c r="Q90" s="213"/>
      <c r="R90" s="231"/>
      <c r="S90" s="231"/>
      <c r="T90" s="213"/>
      <c r="U90" s="213"/>
      <c r="V90" s="213"/>
      <c r="W90" s="213"/>
      <c r="X90" s="213"/>
      <c r="Y90" s="231"/>
      <c r="Z90" s="231"/>
      <c r="AA90" s="213"/>
      <c r="AB90" s="213"/>
      <c r="AC90" s="213"/>
      <c r="AD90" s="213"/>
      <c r="AE90" s="213"/>
      <c r="AF90" s="231"/>
      <c r="AG90" s="231"/>
      <c r="AH90" s="213"/>
      <c r="AJ90" s="64">
        <f t="shared" si="3"/>
        <v>0</v>
      </c>
    </row>
    <row r="91" spans="2:36" ht="15.75" hidden="1" outlineLevel="1" thickTop="1" x14ac:dyDescent="0.25">
      <c r="B91" s="150"/>
      <c r="C91" s="1" t="s">
        <v>1</v>
      </c>
      <c r="D91" s="200"/>
      <c r="E91" s="200"/>
      <c r="F91" s="3"/>
      <c r="G91" s="3"/>
      <c r="H91" s="3"/>
      <c r="I91" s="3"/>
      <c r="J91" s="3"/>
      <c r="K91" s="200"/>
      <c r="L91" s="200"/>
      <c r="M91" s="3"/>
      <c r="N91" s="3"/>
      <c r="O91" s="3"/>
      <c r="P91" s="3"/>
      <c r="Q91" s="3"/>
      <c r="R91" s="200"/>
      <c r="S91" s="200"/>
      <c r="T91" s="3"/>
      <c r="U91" s="3"/>
      <c r="V91" s="3"/>
      <c r="W91" s="3"/>
      <c r="X91" s="3"/>
      <c r="Y91" s="200"/>
      <c r="Z91" s="200"/>
      <c r="AA91" s="3"/>
      <c r="AB91" s="3"/>
      <c r="AC91" s="3"/>
      <c r="AD91" s="3"/>
      <c r="AE91" s="3"/>
      <c r="AF91" s="200"/>
      <c r="AG91" s="200"/>
      <c r="AH91" s="3"/>
      <c r="AJ91" s="70">
        <f t="shared" si="3"/>
        <v>0</v>
      </c>
    </row>
    <row r="92" spans="2:36" ht="15.75" hidden="1" outlineLevel="1" thickTop="1" x14ac:dyDescent="0.25">
      <c r="B92" s="151"/>
      <c r="C92" s="1" t="s">
        <v>2</v>
      </c>
      <c r="D92" s="204"/>
      <c r="E92" s="204"/>
      <c r="F92" s="71"/>
      <c r="G92" s="71"/>
      <c r="H92" s="71"/>
      <c r="I92" s="71"/>
      <c r="J92" s="71"/>
      <c r="K92" s="204"/>
      <c r="L92" s="204"/>
      <c r="M92" s="71"/>
      <c r="N92" s="71"/>
      <c r="O92" s="71"/>
      <c r="P92" s="71"/>
      <c r="Q92" s="71"/>
      <c r="R92" s="204"/>
      <c r="S92" s="204"/>
      <c r="T92" s="71"/>
      <c r="U92" s="71"/>
      <c r="V92" s="71"/>
      <c r="W92" s="71"/>
      <c r="X92" s="71"/>
      <c r="Y92" s="204"/>
      <c r="Z92" s="204"/>
      <c r="AA92" s="71"/>
      <c r="AB92" s="71"/>
      <c r="AC92" s="71"/>
      <c r="AD92" s="71"/>
      <c r="AE92" s="71"/>
      <c r="AF92" s="204"/>
      <c r="AG92" s="204"/>
      <c r="AH92" s="71"/>
      <c r="AJ92" s="71">
        <f t="shared" si="3"/>
        <v>0</v>
      </c>
    </row>
    <row r="93" spans="2:36" ht="15.75" hidden="1" outlineLevel="1" thickTop="1" x14ac:dyDescent="0.25">
      <c r="B93" s="151"/>
      <c r="C93" s="54" t="s">
        <v>77</v>
      </c>
      <c r="D93" s="200"/>
      <c r="E93" s="200"/>
      <c r="F93" s="5"/>
      <c r="G93" s="5"/>
      <c r="H93" s="5"/>
      <c r="I93" s="5"/>
      <c r="J93" s="5"/>
      <c r="K93" s="200"/>
      <c r="L93" s="200"/>
      <c r="M93" s="5"/>
      <c r="N93" s="5"/>
      <c r="O93" s="5"/>
      <c r="P93" s="5"/>
      <c r="Q93" s="5"/>
      <c r="R93" s="200"/>
      <c r="S93" s="200"/>
      <c r="T93" s="5"/>
      <c r="U93" s="5"/>
      <c r="V93" s="5"/>
      <c r="W93" s="5"/>
      <c r="X93" s="5"/>
      <c r="Y93" s="200"/>
      <c r="Z93" s="200"/>
      <c r="AA93" s="5"/>
      <c r="AB93" s="5"/>
      <c r="AC93" s="5"/>
      <c r="AD93" s="5"/>
      <c r="AE93" s="5"/>
      <c r="AF93" s="200"/>
      <c r="AG93" s="200"/>
      <c r="AH93" s="5"/>
      <c r="AJ93" s="72">
        <f t="shared" si="3"/>
        <v>0</v>
      </c>
    </row>
    <row r="94" spans="2:36" ht="16.5" hidden="1" outlineLevel="1" thickTop="1" thickBot="1" x14ac:dyDescent="0.3">
      <c r="B94" s="151"/>
      <c r="C94" s="9" t="s">
        <v>3</v>
      </c>
      <c r="D94" s="201"/>
      <c r="E94" s="201"/>
      <c r="F94" s="8"/>
      <c r="G94" s="8"/>
      <c r="H94" s="8"/>
      <c r="I94" s="8"/>
      <c r="J94" s="8"/>
      <c r="K94" s="201"/>
      <c r="L94" s="201"/>
      <c r="M94" s="8"/>
      <c r="N94" s="8"/>
      <c r="O94" s="8"/>
      <c r="P94" s="8"/>
      <c r="Q94" s="8"/>
      <c r="R94" s="201"/>
      <c r="S94" s="201"/>
      <c r="T94" s="8"/>
      <c r="U94" s="8"/>
      <c r="V94" s="8"/>
      <c r="W94" s="8"/>
      <c r="X94" s="8"/>
      <c r="Y94" s="201"/>
      <c r="Z94" s="201"/>
      <c r="AA94" s="8"/>
      <c r="AB94" s="8"/>
      <c r="AC94" s="8"/>
      <c r="AD94" s="8"/>
      <c r="AE94" s="8"/>
      <c r="AF94" s="201"/>
      <c r="AG94" s="201"/>
      <c r="AH94" s="8"/>
      <c r="AI94" s="7"/>
      <c r="AJ94" s="69">
        <f t="shared" si="3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200"/>
      <c r="E95" s="200"/>
      <c r="F95" s="2"/>
      <c r="G95" s="2"/>
      <c r="H95" s="2"/>
      <c r="I95" s="2"/>
      <c r="J95" s="64">
        <v>3.5</v>
      </c>
      <c r="K95" s="200"/>
      <c r="L95" s="200"/>
      <c r="M95" s="2"/>
      <c r="N95" s="2">
        <v>1</v>
      </c>
      <c r="O95" s="2"/>
      <c r="P95" s="2"/>
      <c r="Q95" s="2">
        <v>8</v>
      </c>
      <c r="R95" s="200"/>
      <c r="S95" s="200"/>
      <c r="T95" s="2"/>
      <c r="U95" s="2"/>
      <c r="V95" s="2">
        <v>4</v>
      </c>
      <c r="W95" s="2">
        <v>0</v>
      </c>
      <c r="X95" s="2"/>
      <c r="Y95" s="200"/>
      <c r="Z95" s="200"/>
      <c r="AA95" s="2">
        <v>0</v>
      </c>
      <c r="AB95" s="2">
        <v>0</v>
      </c>
      <c r="AC95" s="2"/>
      <c r="AD95" s="2"/>
      <c r="AE95" s="2"/>
      <c r="AF95" s="200"/>
      <c r="AG95" s="200"/>
      <c r="AH95" s="2"/>
      <c r="AJ95" s="64">
        <f t="shared" si="3"/>
        <v>16.5</v>
      </c>
    </row>
    <row r="96" spans="2:36" ht="15.75" hidden="1" outlineLevel="1" thickTop="1" x14ac:dyDescent="0.25">
      <c r="B96" s="150"/>
      <c r="C96" s="1" t="s">
        <v>1</v>
      </c>
      <c r="D96" s="200"/>
      <c r="E96" s="200"/>
      <c r="F96" s="3"/>
      <c r="G96" s="3"/>
      <c r="H96" s="3"/>
      <c r="I96" s="3"/>
      <c r="J96" s="3"/>
      <c r="K96" s="200"/>
      <c r="L96" s="200"/>
      <c r="M96" s="3"/>
      <c r="N96" s="3"/>
      <c r="O96" s="3"/>
      <c r="P96" s="3"/>
      <c r="Q96" s="3"/>
      <c r="R96" s="200"/>
      <c r="S96" s="200"/>
      <c r="T96" s="3"/>
      <c r="U96" s="3"/>
      <c r="V96" s="3"/>
      <c r="W96" s="3"/>
      <c r="X96" s="3"/>
      <c r="Y96" s="200"/>
      <c r="Z96" s="200"/>
      <c r="AA96" s="3">
        <v>8</v>
      </c>
      <c r="AB96" s="3">
        <v>8</v>
      </c>
      <c r="AC96" s="3"/>
      <c r="AD96" s="3"/>
      <c r="AE96" s="3"/>
      <c r="AF96" s="200"/>
      <c r="AG96" s="200"/>
      <c r="AH96" s="3"/>
      <c r="AJ96" s="70">
        <f t="shared" si="3"/>
        <v>16</v>
      </c>
    </row>
    <row r="97" spans="2:36" ht="15.75" hidden="1" outlineLevel="1" thickTop="1" x14ac:dyDescent="0.25">
      <c r="B97" s="151"/>
      <c r="C97" s="1" t="s">
        <v>2</v>
      </c>
      <c r="D97" s="200"/>
      <c r="E97" s="200"/>
      <c r="F97" s="4"/>
      <c r="G97" s="4"/>
      <c r="H97" s="4"/>
      <c r="I97" s="4"/>
      <c r="J97" s="4"/>
      <c r="K97" s="200"/>
      <c r="L97" s="200"/>
      <c r="M97" s="4"/>
      <c r="N97" s="4"/>
      <c r="O97" s="4"/>
      <c r="P97" s="4"/>
      <c r="Q97" s="4"/>
      <c r="R97" s="200"/>
      <c r="S97" s="200"/>
      <c r="T97" s="4"/>
      <c r="U97" s="4"/>
      <c r="V97" s="4"/>
      <c r="W97" s="4"/>
      <c r="X97" s="4"/>
      <c r="Y97" s="200"/>
      <c r="Z97" s="200"/>
      <c r="AA97" s="4"/>
      <c r="AB97" s="4"/>
      <c r="AC97" s="4"/>
      <c r="AD97" s="4"/>
      <c r="AE97" s="4"/>
      <c r="AF97" s="200"/>
      <c r="AG97" s="200"/>
      <c r="AH97" s="4"/>
      <c r="AJ97" s="71">
        <f t="shared" si="3"/>
        <v>0</v>
      </c>
    </row>
    <row r="98" spans="2:36" ht="15.75" hidden="1" outlineLevel="1" thickTop="1" x14ac:dyDescent="0.25">
      <c r="B98" s="151"/>
      <c r="C98" s="54" t="s">
        <v>77</v>
      </c>
      <c r="D98" s="200"/>
      <c r="E98" s="200"/>
      <c r="F98" s="5"/>
      <c r="G98" s="5"/>
      <c r="H98" s="5"/>
      <c r="I98" s="5"/>
      <c r="J98" s="5"/>
      <c r="K98" s="200"/>
      <c r="L98" s="200"/>
      <c r="M98" s="5"/>
      <c r="N98" s="5"/>
      <c r="O98" s="5"/>
      <c r="P98" s="5"/>
      <c r="Q98" s="5"/>
      <c r="R98" s="200"/>
      <c r="S98" s="200"/>
      <c r="T98" s="5"/>
      <c r="U98" s="5"/>
      <c r="V98" s="5"/>
      <c r="W98" s="5"/>
      <c r="X98" s="5"/>
      <c r="Y98" s="200"/>
      <c r="Z98" s="200"/>
      <c r="AA98" s="5"/>
      <c r="AB98" s="5"/>
      <c r="AC98" s="5"/>
      <c r="AD98" s="5"/>
      <c r="AE98" s="5"/>
      <c r="AF98" s="200"/>
      <c r="AG98" s="200"/>
      <c r="AH98" s="5"/>
      <c r="AJ98" s="72">
        <f t="shared" si="3"/>
        <v>0</v>
      </c>
    </row>
    <row r="99" spans="2:36" ht="16.5" hidden="1" outlineLevel="1" thickTop="1" thickBot="1" x14ac:dyDescent="0.3">
      <c r="B99" s="151"/>
      <c r="C99" s="9" t="s">
        <v>3</v>
      </c>
      <c r="D99" s="201"/>
      <c r="E99" s="201"/>
      <c r="F99" s="8"/>
      <c r="G99" s="8"/>
      <c r="H99" s="8"/>
      <c r="I99" s="8"/>
      <c r="J99" s="8"/>
      <c r="K99" s="201"/>
      <c r="L99" s="201"/>
      <c r="M99" s="8"/>
      <c r="N99" s="8"/>
      <c r="O99" s="8"/>
      <c r="P99" s="8"/>
      <c r="Q99" s="8"/>
      <c r="R99" s="201"/>
      <c r="S99" s="201"/>
      <c r="T99" s="8"/>
      <c r="U99" s="8"/>
      <c r="V99" s="8"/>
      <c r="W99" s="8"/>
      <c r="X99" s="8"/>
      <c r="Y99" s="201"/>
      <c r="Z99" s="201"/>
      <c r="AA99" s="8"/>
      <c r="AB99" s="8"/>
      <c r="AC99" s="8"/>
      <c r="AD99" s="8"/>
      <c r="AE99" s="69">
        <v>0.2</v>
      </c>
      <c r="AF99" s="201"/>
      <c r="AG99" s="201"/>
      <c r="AH99" s="8"/>
      <c r="AI99" s="7"/>
      <c r="AJ99" s="69">
        <f t="shared" si="3"/>
        <v>0.2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200"/>
      <c r="E100" s="200"/>
      <c r="F100" s="2"/>
      <c r="G100" s="2"/>
      <c r="H100" s="2"/>
      <c r="I100" s="2"/>
      <c r="J100" s="2"/>
      <c r="K100" s="200"/>
      <c r="L100" s="200"/>
      <c r="M100" s="2"/>
      <c r="N100" s="2"/>
      <c r="O100" s="2"/>
      <c r="P100" s="2">
        <v>4</v>
      </c>
      <c r="Q100" s="2"/>
      <c r="R100" s="200"/>
      <c r="S100" s="200"/>
      <c r="T100" s="2"/>
      <c r="U100" s="2">
        <v>2</v>
      </c>
      <c r="V100" s="2"/>
      <c r="W100" s="2"/>
      <c r="X100" s="2"/>
      <c r="Y100" s="200"/>
      <c r="Z100" s="200"/>
      <c r="AA100" s="2"/>
      <c r="AB100" s="2"/>
      <c r="AC100" s="2"/>
      <c r="AD100" s="2"/>
      <c r="AE100" s="2"/>
      <c r="AF100" s="200"/>
      <c r="AG100" s="200"/>
      <c r="AH100" s="2"/>
      <c r="AJ100" s="64">
        <f t="shared" si="3"/>
        <v>6</v>
      </c>
    </row>
    <row r="101" spans="2:36" ht="15.75" hidden="1" outlineLevel="1" thickTop="1" x14ac:dyDescent="0.25">
      <c r="B101" s="150"/>
      <c r="C101" s="1" t="s">
        <v>1</v>
      </c>
      <c r="D101" s="200"/>
      <c r="E101" s="200"/>
      <c r="F101" s="3"/>
      <c r="G101" s="3"/>
      <c r="H101" s="3"/>
      <c r="I101" s="3"/>
      <c r="J101" s="3"/>
      <c r="K101" s="200"/>
      <c r="L101" s="200"/>
      <c r="M101" s="3"/>
      <c r="N101" s="3"/>
      <c r="O101" s="3"/>
      <c r="P101" s="3"/>
      <c r="Q101" s="3"/>
      <c r="R101" s="200"/>
      <c r="S101" s="200"/>
      <c r="T101" s="3"/>
      <c r="U101" s="3"/>
      <c r="V101" s="3"/>
      <c r="W101" s="3"/>
      <c r="X101" s="3"/>
      <c r="Y101" s="200"/>
      <c r="Z101" s="200"/>
      <c r="AA101" s="3"/>
      <c r="AB101" s="3"/>
      <c r="AC101" s="3"/>
      <c r="AD101" s="3"/>
      <c r="AE101" s="3"/>
      <c r="AF101" s="200"/>
      <c r="AG101" s="200"/>
      <c r="AH101" s="3"/>
      <c r="AJ101" s="70">
        <f t="shared" si="3"/>
        <v>0</v>
      </c>
    </row>
    <row r="102" spans="2:36" ht="15.75" hidden="1" outlineLevel="1" thickTop="1" x14ac:dyDescent="0.25">
      <c r="B102" s="151"/>
      <c r="C102" s="1" t="s">
        <v>2</v>
      </c>
      <c r="D102" s="200"/>
      <c r="E102" s="200"/>
      <c r="F102" s="4"/>
      <c r="G102" s="4"/>
      <c r="H102" s="4"/>
      <c r="I102" s="4"/>
      <c r="J102" s="4"/>
      <c r="K102" s="200"/>
      <c r="L102" s="200"/>
      <c r="M102" s="4"/>
      <c r="N102" s="4"/>
      <c r="O102" s="4"/>
      <c r="P102" s="4"/>
      <c r="Q102" s="4"/>
      <c r="R102" s="200"/>
      <c r="S102" s="200"/>
      <c r="T102" s="4"/>
      <c r="U102" s="4"/>
      <c r="V102" s="4"/>
      <c r="W102" s="4"/>
      <c r="X102" s="4"/>
      <c r="Y102" s="200"/>
      <c r="Z102" s="200"/>
      <c r="AA102" s="4"/>
      <c r="AB102" s="4"/>
      <c r="AC102" s="4"/>
      <c r="AD102" s="4"/>
      <c r="AE102" s="4"/>
      <c r="AF102" s="200"/>
      <c r="AG102" s="200"/>
      <c r="AH102" s="4"/>
      <c r="AJ102" s="71">
        <f t="shared" si="3"/>
        <v>0</v>
      </c>
    </row>
    <row r="103" spans="2:36" ht="15.75" hidden="1" outlineLevel="1" thickTop="1" x14ac:dyDescent="0.25">
      <c r="B103" s="151"/>
      <c r="C103" s="54" t="s">
        <v>77</v>
      </c>
      <c r="D103" s="200"/>
      <c r="E103" s="200"/>
      <c r="F103" s="5"/>
      <c r="G103" s="5"/>
      <c r="H103" s="5"/>
      <c r="I103" s="5"/>
      <c r="J103" s="5"/>
      <c r="K103" s="200"/>
      <c r="L103" s="200"/>
      <c r="M103" s="5"/>
      <c r="N103" s="5"/>
      <c r="O103" s="5"/>
      <c r="P103" s="5"/>
      <c r="Q103" s="5"/>
      <c r="R103" s="200"/>
      <c r="S103" s="200"/>
      <c r="T103" s="5"/>
      <c r="U103" s="5"/>
      <c r="V103" s="5"/>
      <c r="W103" s="5"/>
      <c r="X103" s="5"/>
      <c r="Y103" s="200"/>
      <c r="Z103" s="200"/>
      <c r="AA103" s="5"/>
      <c r="AB103" s="5"/>
      <c r="AC103" s="5"/>
      <c r="AD103" s="5"/>
      <c r="AE103" s="5"/>
      <c r="AF103" s="200"/>
      <c r="AG103" s="200"/>
      <c r="AH103" s="5"/>
      <c r="AJ103" s="72">
        <f t="shared" si="3"/>
        <v>0</v>
      </c>
    </row>
    <row r="104" spans="2:36" ht="16.5" hidden="1" outlineLevel="1" thickTop="1" thickBot="1" x14ac:dyDescent="0.3">
      <c r="B104" s="151"/>
      <c r="C104" s="9" t="s">
        <v>3</v>
      </c>
      <c r="D104" s="201"/>
      <c r="E104" s="201"/>
      <c r="F104" s="8"/>
      <c r="G104" s="8"/>
      <c r="H104" s="8"/>
      <c r="I104" s="8"/>
      <c r="J104" s="8"/>
      <c r="K104" s="201"/>
      <c r="L104" s="201"/>
      <c r="M104" s="8"/>
      <c r="N104" s="8"/>
      <c r="O104" s="8"/>
      <c r="P104" s="8"/>
      <c r="Q104" s="8"/>
      <c r="R104" s="201"/>
      <c r="S104" s="201"/>
      <c r="T104" s="8"/>
      <c r="U104" s="8"/>
      <c r="V104" s="8"/>
      <c r="W104" s="8"/>
      <c r="X104" s="8"/>
      <c r="Y104" s="201"/>
      <c r="Z104" s="201"/>
      <c r="AA104" s="8"/>
      <c r="AB104" s="8"/>
      <c r="AC104" s="8"/>
      <c r="AD104" s="8"/>
      <c r="AE104" s="8"/>
      <c r="AF104" s="201"/>
      <c r="AG104" s="201"/>
      <c r="AH104" s="8"/>
      <c r="AI104" s="7"/>
      <c r="AJ104" s="69">
        <f t="shared" si="3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200"/>
      <c r="E105" s="200"/>
      <c r="F105" s="2"/>
      <c r="G105" s="2"/>
      <c r="H105" s="2"/>
      <c r="I105" s="2">
        <v>4</v>
      </c>
      <c r="J105" s="2"/>
      <c r="K105" s="200"/>
      <c r="L105" s="200"/>
      <c r="M105" s="2"/>
      <c r="N105" s="2"/>
      <c r="O105" s="2"/>
      <c r="P105" s="2"/>
      <c r="Q105" s="2"/>
      <c r="R105" s="200"/>
      <c r="S105" s="200"/>
      <c r="T105" s="2"/>
      <c r="U105" s="2"/>
      <c r="V105" s="2"/>
      <c r="W105" s="2"/>
      <c r="X105" s="2"/>
      <c r="Y105" s="200"/>
      <c r="Z105" s="200"/>
      <c r="AA105" s="2"/>
      <c r="AB105" s="2"/>
      <c r="AC105" s="2">
        <v>1</v>
      </c>
      <c r="AD105" s="2"/>
      <c r="AE105" s="2"/>
      <c r="AF105" s="200"/>
      <c r="AG105" s="200"/>
      <c r="AH105" s="2"/>
      <c r="AJ105" s="64">
        <f t="shared" si="3"/>
        <v>5</v>
      </c>
    </row>
    <row r="106" spans="2:36" ht="15.75" hidden="1" outlineLevel="1" thickTop="1" x14ac:dyDescent="0.25">
      <c r="B106" s="150"/>
      <c r="C106" s="1" t="s">
        <v>1</v>
      </c>
      <c r="D106" s="200"/>
      <c r="E106" s="200"/>
      <c r="F106" s="3"/>
      <c r="G106" s="3"/>
      <c r="H106" s="3"/>
      <c r="I106" s="3"/>
      <c r="J106" s="3"/>
      <c r="K106" s="200"/>
      <c r="L106" s="200"/>
      <c r="M106" s="3"/>
      <c r="N106" s="3"/>
      <c r="O106" s="3"/>
      <c r="P106" s="3"/>
      <c r="Q106" s="3"/>
      <c r="R106" s="200"/>
      <c r="S106" s="200"/>
      <c r="T106" s="3"/>
      <c r="U106" s="3"/>
      <c r="V106" s="3"/>
      <c r="W106" s="3"/>
      <c r="X106" s="3"/>
      <c r="Y106" s="200"/>
      <c r="Z106" s="200"/>
      <c r="AA106" s="3"/>
      <c r="AB106" s="3"/>
      <c r="AC106" s="3"/>
      <c r="AD106" s="3"/>
      <c r="AE106" s="3"/>
      <c r="AF106" s="200"/>
      <c r="AG106" s="200"/>
      <c r="AH106" s="3"/>
      <c r="AJ106" s="70">
        <f t="shared" si="3"/>
        <v>0</v>
      </c>
    </row>
    <row r="107" spans="2:36" ht="15.75" hidden="1" outlineLevel="1" thickTop="1" x14ac:dyDescent="0.25">
      <c r="B107" s="151"/>
      <c r="C107" s="1" t="s">
        <v>2</v>
      </c>
      <c r="D107" s="200"/>
      <c r="E107" s="200"/>
      <c r="F107" s="4"/>
      <c r="G107" s="4"/>
      <c r="H107" s="4"/>
      <c r="I107" s="4"/>
      <c r="J107" s="4"/>
      <c r="K107" s="200"/>
      <c r="L107" s="200"/>
      <c r="M107" s="4"/>
      <c r="N107" s="4"/>
      <c r="O107" s="4"/>
      <c r="P107" s="4"/>
      <c r="Q107" s="4"/>
      <c r="R107" s="200"/>
      <c r="S107" s="200"/>
      <c r="T107" s="4"/>
      <c r="U107" s="4"/>
      <c r="V107" s="4"/>
      <c r="W107" s="4"/>
      <c r="X107" s="4"/>
      <c r="Y107" s="200"/>
      <c r="Z107" s="200"/>
      <c r="AA107" s="4"/>
      <c r="AB107" s="4"/>
      <c r="AC107" s="4"/>
      <c r="AD107" s="4"/>
      <c r="AE107" s="4"/>
      <c r="AF107" s="200"/>
      <c r="AG107" s="200"/>
      <c r="AH107" s="4"/>
      <c r="AJ107" s="71">
        <f t="shared" si="3"/>
        <v>0</v>
      </c>
    </row>
    <row r="108" spans="2:36" ht="15.75" hidden="1" outlineLevel="1" thickTop="1" x14ac:dyDescent="0.25">
      <c r="B108" s="151"/>
      <c r="C108" s="54" t="s">
        <v>77</v>
      </c>
      <c r="D108" s="200"/>
      <c r="E108" s="200"/>
      <c r="F108" s="5"/>
      <c r="G108" s="5"/>
      <c r="H108" s="5"/>
      <c r="I108" s="5"/>
      <c r="J108" s="5"/>
      <c r="K108" s="200"/>
      <c r="L108" s="200"/>
      <c r="M108" s="5"/>
      <c r="N108" s="5"/>
      <c r="O108" s="5"/>
      <c r="P108" s="5"/>
      <c r="Q108" s="5"/>
      <c r="R108" s="200"/>
      <c r="S108" s="200"/>
      <c r="T108" s="5"/>
      <c r="U108" s="5"/>
      <c r="V108" s="5"/>
      <c r="W108" s="5"/>
      <c r="X108" s="5"/>
      <c r="Y108" s="200"/>
      <c r="Z108" s="200"/>
      <c r="AA108" s="5"/>
      <c r="AB108" s="5"/>
      <c r="AC108" s="5"/>
      <c r="AD108" s="5"/>
      <c r="AE108" s="5"/>
      <c r="AF108" s="200"/>
      <c r="AG108" s="200"/>
      <c r="AH108" s="5"/>
      <c r="AJ108" s="72">
        <f t="shared" si="3"/>
        <v>0</v>
      </c>
    </row>
    <row r="109" spans="2:36" ht="16.5" hidden="1" outlineLevel="1" thickTop="1" thickBot="1" x14ac:dyDescent="0.3">
      <c r="B109" s="151"/>
      <c r="C109" s="9" t="s">
        <v>3</v>
      </c>
      <c r="D109" s="201"/>
      <c r="E109" s="201"/>
      <c r="F109" s="8"/>
      <c r="G109" s="8"/>
      <c r="H109" s="8"/>
      <c r="I109" s="8"/>
      <c r="J109" s="8"/>
      <c r="K109" s="201"/>
      <c r="L109" s="201"/>
      <c r="M109" s="8"/>
      <c r="N109" s="8"/>
      <c r="O109" s="8"/>
      <c r="P109" s="8"/>
      <c r="Q109" s="8"/>
      <c r="R109" s="201"/>
      <c r="S109" s="201"/>
      <c r="T109" s="8"/>
      <c r="U109" s="8"/>
      <c r="V109" s="8"/>
      <c r="W109" s="8"/>
      <c r="X109" s="8"/>
      <c r="Y109" s="201"/>
      <c r="Z109" s="201"/>
      <c r="AA109" s="8"/>
      <c r="AB109" s="8"/>
      <c r="AC109" s="8"/>
      <c r="AD109" s="8"/>
      <c r="AE109" s="8"/>
      <c r="AF109" s="201"/>
      <c r="AG109" s="201"/>
      <c r="AH109" s="8"/>
      <c r="AI109" s="7"/>
      <c r="AJ109" s="69">
        <f t="shared" si="3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200"/>
      <c r="E110" s="200"/>
      <c r="F110" s="2"/>
      <c r="G110" s="2"/>
      <c r="H110" s="2"/>
      <c r="I110" s="2"/>
      <c r="J110" s="64">
        <v>3.5</v>
      </c>
      <c r="K110" s="200"/>
      <c r="L110" s="200"/>
      <c r="M110" s="2">
        <v>0</v>
      </c>
      <c r="N110" s="2">
        <v>0</v>
      </c>
      <c r="O110" s="2"/>
      <c r="P110" s="2"/>
      <c r="Q110" s="2"/>
      <c r="R110" s="200"/>
      <c r="S110" s="200"/>
      <c r="T110" s="2"/>
      <c r="U110" s="2"/>
      <c r="V110" s="2">
        <v>0</v>
      </c>
      <c r="W110" s="2"/>
      <c r="X110" s="2">
        <v>0</v>
      </c>
      <c r="Y110" s="200"/>
      <c r="Z110" s="200"/>
      <c r="AA110" s="2">
        <v>8</v>
      </c>
      <c r="AB110" s="2">
        <v>8</v>
      </c>
      <c r="AC110" s="2">
        <v>8</v>
      </c>
      <c r="AD110" s="2">
        <v>8</v>
      </c>
      <c r="AE110" s="2">
        <v>8</v>
      </c>
      <c r="AF110" s="200"/>
      <c r="AG110" s="200"/>
      <c r="AH110" s="2"/>
      <c r="AJ110" s="64">
        <f t="shared" si="3"/>
        <v>43.5</v>
      </c>
    </row>
    <row r="111" spans="2:36" ht="15.75" hidden="1" outlineLevel="1" thickTop="1" x14ac:dyDescent="0.25">
      <c r="B111" s="150"/>
      <c r="C111" s="1" t="s">
        <v>1</v>
      </c>
      <c r="D111" s="200"/>
      <c r="E111" s="200"/>
      <c r="F111" s="3"/>
      <c r="G111" s="3"/>
      <c r="H111" s="3"/>
      <c r="I111" s="3"/>
      <c r="J111" s="3"/>
      <c r="K111" s="200"/>
      <c r="L111" s="200"/>
      <c r="M111" s="3">
        <v>8</v>
      </c>
      <c r="N111" s="3">
        <v>8</v>
      </c>
      <c r="O111" s="3"/>
      <c r="P111" s="3"/>
      <c r="Q111" s="3"/>
      <c r="R111" s="200"/>
      <c r="S111" s="200"/>
      <c r="T111" s="3"/>
      <c r="U111" s="3"/>
      <c r="V111" s="3"/>
      <c r="W111" s="3"/>
      <c r="X111" s="3"/>
      <c r="Y111" s="200"/>
      <c r="Z111" s="200"/>
      <c r="AA111" s="3"/>
      <c r="AB111" s="3"/>
      <c r="AC111" s="3"/>
      <c r="AD111" s="3"/>
      <c r="AE111" s="3"/>
      <c r="AF111" s="200"/>
      <c r="AG111" s="200"/>
      <c r="AH111" s="3"/>
      <c r="AJ111" s="70">
        <f t="shared" si="3"/>
        <v>16</v>
      </c>
    </row>
    <row r="112" spans="2:36" ht="15.75" hidden="1" outlineLevel="1" thickTop="1" x14ac:dyDescent="0.25">
      <c r="B112" s="151"/>
      <c r="C112" s="1" t="s">
        <v>2</v>
      </c>
      <c r="D112" s="200"/>
      <c r="E112" s="200"/>
      <c r="F112" s="4"/>
      <c r="G112" s="4"/>
      <c r="H112" s="4"/>
      <c r="I112" s="4"/>
      <c r="J112" s="4"/>
      <c r="K112" s="200"/>
      <c r="L112" s="200"/>
      <c r="M112" s="4"/>
      <c r="N112" s="4"/>
      <c r="O112" s="4"/>
      <c r="P112" s="4"/>
      <c r="Q112" s="4"/>
      <c r="R112" s="200"/>
      <c r="S112" s="200"/>
      <c r="T112" s="4"/>
      <c r="U112" s="4"/>
      <c r="V112" s="4"/>
      <c r="W112" s="4"/>
      <c r="X112" s="4"/>
      <c r="Y112" s="200"/>
      <c r="Z112" s="200"/>
      <c r="AA112" s="4"/>
      <c r="AB112" s="4"/>
      <c r="AC112" s="4"/>
      <c r="AD112" s="4"/>
      <c r="AE112" s="4"/>
      <c r="AF112" s="200"/>
      <c r="AG112" s="200"/>
      <c r="AH112" s="4"/>
      <c r="AJ112" s="71">
        <f t="shared" si="3"/>
        <v>0</v>
      </c>
    </row>
    <row r="113" spans="2:36" ht="15.75" hidden="1" outlineLevel="1" thickTop="1" x14ac:dyDescent="0.25">
      <c r="B113" s="151"/>
      <c r="C113" s="54" t="s">
        <v>77</v>
      </c>
      <c r="D113" s="200"/>
      <c r="E113" s="200"/>
      <c r="F113" s="5"/>
      <c r="G113" s="5"/>
      <c r="H113" s="5"/>
      <c r="I113" s="5"/>
      <c r="J113" s="5"/>
      <c r="K113" s="200"/>
      <c r="L113" s="200"/>
      <c r="M113" s="5"/>
      <c r="N113" s="5"/>
      <c r="O113" s="5"/>
      <c r="P113" s="5"/>
      <c r="Q113" s="5"/>
      <c r="R113" s="200"/>
      <c r="S113" s="200"/>
      <c r="T113" s="5"/>
      <c r="U113" s="5"/>
      <c r="V113" s="5"/>
      <c r="W113" s="5"/>
      <c r="X113" s="5"/>
      <c r="Y113" s="200"/>
      <c r="Z113" s="200"/>
      <c r="AA113" s="5"/>
      <c r="AB113" s="5"/>
      <c r="AC113" s="5"/>
      <c r="AD113" s="5"/>
      <c r="AE113" s="5"/>
      <c r="AF113" s="200"/>
      <c r="AG113" s="200"/>
      <c r="AH113" s="5"/>
      <c r="AJ113" s="72">
        <f t="shared" si="3"/>
        <v>0</v>
      </c>
    </row>
    <row r="114" spans="2:36" ht="16.5" hidden="1" outlineLevel="1" thickTop="1" thickBot="1" x14ac:dyDescent="0.3">
      <c r="B114" s="151"/>
      <c r="C114" s="9" t="s">
        <v>3</v>
      </c>
      <c r="D114" s="201"/>
      <c r="E114" s="201"/>
      <c r="F114" s="8"/>
      <c r="G114" s="8"/>
      <c r="H114" s="8"/>
      <c r="I114" s="8"/>
      <c r="J114" s="8"/>
      <c r="K114" s="201"/>
      <c r="L114" s="201"/>
      <c r="M114" s="8"/>
      <c r="N114" s="8"/>
      <c r="O114" s="8"/>
      <c r="P114" s="8"/>
      <c r="Q114" s="8"/>
      <c r="R114" s="201"/>
      <c r="S114" s="201"/>
      <c r="T114" s="8"/>
      <c r="U114" s="8"/>
      <c r="V114" s="8"/>
      <c r="W114" s="8"/>
      <c r="X114" s="8"/>
      <c r="Y114" s="201"/>
      <c r="Z114" s="201"/>
      <c r="AA114" s="8"/>
      <c r="AB114" s="8"/>
      <c r="AC114" s="8"/>
      <c r="AD114" s="8"/>
      <c r="AE114" s="8"/>
      <c r="AF114" s="201"/>
      <c r="AG114" s="201"/>
      <c r="AH114" s="8"/>
      <c r="AI114" s="7"/>
      <c r="AJ114" s="69">
        <f t="shared" si="3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200"/>
      <c r="E115" s="200"/>
      <c r="F115" s="2">
        <v>0</v>
      </c>
      <c r="G115" s="2"/>
      <c r="H115" s="2"/>
      <c r="I115" s="2"/>
      <c r="J115" s="2"/>
      <c r="K115" s="200"/>
      <c r="L115" s="200"/>
      <c r="M115" s="2"/>
      <c r="N115" s="2"/>
      <c r="O115" s="2"/>
      <c r="P115" s="2">
        <v>4</v>
      </c>
      <c r="Q115" s="2"/>
      <c r="R115" s="200"/>
      <c r="S115" s="200"/>
      <c r="T115" s="2"/>
      <c r="U115" s="2"/>
      <c r="V115" s="2"/>
      <c r="W115" s="2"/>
      <c r="X115" s="2"/>
      <c r="Y115" s="200"/>
      <c r="Z115" s="200"/>
      <c r="AA115" s="2"/>
      <c r="AB115" s="2"/>
      <c r="AC115" s="2"/>
      <c r="AD115" s="2"/>
      <c r="AE115" s="2"/>
      <c r="AF115" s="200"/>
      <c r="AG115" s="200"/>
      <c r="AH115" s="2"/>
      <c r="AJ115" s="64">
        <f t="shared" si="3"/>
        <v>4</v>
      </c>
    </row>
    <row r="116" spans="2:36" ht="15.75" hidden="1" outlineLevel="1" thickTop="1" x14ac:dyDescent="0.25">
      <c r="B116" s="150"/>
      <c r="C116" s="1" t="s">
        <v>1</v>
      </c>
      <c r="D116" s="200"/>
      <c r="E116" s="200"/>
      <c r="F116" s="3">
        <v>8</v>
      </c>
      <c r="G116" s="3"/>
      <c r="H116" s="3"/>
      <c r="I116" s="3"/>
      <c r="J116" s="3"/>
      <c r="K116" s="200"/>
      <c r="L116" s="200"/>
      <c r="M116" s="3"/>
      <c r="N116" s="3"/>
      <c r="O116" s="3"/>
      <c r="P116" s="3"/>
      <c r="Q116" s="3"/>
      <c r="R116" s="200"/>
      <c r="S116" s="200"/>
      <c r="T116" s="3"/>
      <c r="U116" s="3"/>
      <c r="V116" s="3"/>
      <c r="W116" s="3"/>
      <c r="X116" s="3"/>
      <c r="Y116" s="200"/>
      <c r="Z116" s="200"/>
      <c r="AA116" s="3"/>
      <c r="AB116" s="3"/>
      <c r="AC116" s="3"/>
      <c r="AD116" s="3"/>
      <c r="AE116" s="3"/>
      <c r="AF116" s="200"/>
      <c r="AG116" s="200"/>
      <c r="AH116" s="3"/>
      <c r="AJ116" s="70">
        <f t="shared" si="3"/>
        <v>8</v>
      </c>
    </row>
    <row r="117" spans="2:36" ht="15.75" hidden="1" outlineLevel="1" thickTop="1" x14ac:dyDescent="0.25">
      <c r="B117" s="151"/>
      <c r="C117" s="1" t="s">
        <v>2</v>
      </c>
      <c r="D117" s="200"/>
      <c r="E117" s="200"/>
      <c r="F117" s="4"/>
      <c r="G117" s="4"/>
      <c r="H117" s="4"/>
      <c r="I117" s="4"/>
      <c r="J117" s="4"/>
      <c r="K117" s="200"/>
      <c r="L117" s="200"/>
      <c r="M117" s="4"/>
      <c r="N117" s="4"/>
      <c r="O117" s="4"/>
      <c r="P117" s="4"/>
      <c r="Q117" s="4"/>
      <c r="R117" s="200"/>
      <c r="S117" s="200"/>
      <c r="T117" s="4"/>
      <c r="U117" s="4"/>
      <c r="V117" s="4"/>
      <c r="W117" s="4"/>
      <c r="X117" s="4"/>
      <c r="Y117" s="200"/>
      <c r="Z117" s="200"/>
      <c r="AA117" s="4"/>
      <c r="AB117" s="4"/>
      <c r="AC117" s="4"/>
      <c r="AD117" s="4"/>
      <c r="AE117" s="4"/>
      <c r="AF117" s="200"/>
      <c r="AG117" s="200"/>
      <c r="AH117" s="4"/>
      <c r="AJ117" s="71">
        <f t="shared" si="3"/>
        <v>0</v>
      </c>
    </row>
    <row r="118" spans="2:36" ht="15.75" hidden="1" outlineLevel="1" thickTop="1" x14ac:dyDescent="0.25">
      <c r="B118" s="151"/>
      <c r="C118" s="54" t="s">
        <v>77</v>
      </c>
      <c r="D118" s="200"/>
      <c r="E118" s="200"/>
      <c r="F118" s="5"/>
      <c r="G118" s="5"/>
      <c r="H118" s="5"/>
      <c r="I118" s="5"/>
      <c r="J118" s="5"/>
      <c r="K118" s="200"/>
      <c r="L118" s="200"/>
      <c r="M118" s="5"/>
      <c r="N118" s="5"/>
      <c r="O118" s="5"/>
      <c r="P118" s="5"/>
      <c r="Q118" s="5"/>
      <c r="R118" s="200"/>
      <c r="S118" s="200"/>
      <c r="T118" s="5"/>
      <c r="U118" s="5"/>
      <c r="V118" s="5"/>
      <c r="W118" s="5"/>
      <c r="X118" s="5"/>
      <c r="Y118" s="200"/>
      <c r="Z118" s="200"/>
      <c r="AA118" s="5"/>
      <c r="AB118" s="5"/>
      <c r="AC118" s="5"/>
      <c r="AD118" s="5"/>
      <c r="AE118" s="5"/>
      <c r="AF118" s="200"/>
      <c r="AG118" s="200"/>
      <c r="AH118" s="5"/>
      <c r="AJ118" s="72">
        <f t="shared" ref="AJ118:AJ139" si="4">SUM(D118:AH118)</f>
        <v>0</v>
      </c>
    </row>
    <row r="119" spans="2:36" ht="16.5" hidden="1" outlineLevel="1" thickTop="1" thickBot="1" x14ac:dyDescent="0.3">
      <c r="B119" s="151"/>
      <c r="C119" s="9" t="s">
        <v>3</v>
      </c>
      <c r="D119" s="201"/>
      <c r="E119" s="201"/>
      <c r="F119" s="8"/>
      <c r="G119" s="8"/>
      <c r="H119" s="8"/>
      <c r="I119" s="8"/>
      <c r="J119" s="8"/>
      <c r="K119" s="201"/>
      <c r="L119" s="201"/>
      <c r="M119" s="8"/>
      <c r="N119" s="8"/>
      <c r="O119" s="8"/>
      <c r="P119" s="8"/>
      <c r="Q119" s="8"/>
      <c r="R119" s="201"/>
      <c r="S119" s="201"/>
      <c r="T119" s="8"/>
      <c r="U119" s="8"/>
      <c r="V119" s="8"/>
      <c r="W119" s="8"/>
      <c r="X119" s="8"/>
      <c r="Y119" s="201"/>
      <c r="Z119" s="201"/>
      <c r="AA119" s="8"/>
      <c r="AB119" s="8"/>
      <c r="AC119" s="8"/>
      <c r="AD119" s="8"/>
      <c r="AE119" s="8"/>
      <c r="AF119" s="201"/>
      <c r="AG119" s="201"/>
      <c r="AH119" s="8"/>
      <c r="AI119" s="7"/>
      <c r="AJ119" s="69">
        <f t="shared" si="4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200"/>
      <c r="E120" s="200"/>
      <c r="F120" s="2"/>
      <c r="G120" s="2"/>
      <c r="H120" s="2">
        <v>0</v>
      </c>
      <c r="I120" s="2">
        <v>0</v>
      </c>
      <c r="J120" s="2"/>
      <c r="K120" s="200"/>
      <c r="L120" s="200"/>
      <c r="M120" s="2"/>
      <c r="N120" s="2">
        <v>0</v>
      </c>
      <c r="O120" s="2"/>
      <c r="P120" s="2">
        <v>0</v>
      </c>
      <c r="Q120" s="2">
        <v>3</v>
      </c>
      <c r="R120" s="200"/>
      <c r="S120" s="200"/>
      <c r="T120" s="2"/>
      <c r="U120" s="2"/>
      <c r="V120" s="2"/>
      <c r="W120" s="2"/>
      <c r="X120" s="2"/>
      <c r="Y120" s="200"/>
      <c r="Z120" s="200"/>
      <c r="AA120" s="2"/>
      <c r="AB120" s="2">
        <v>0</v>
      </c>
      <c r="AC120" s="2"/>
      <c r="AD120" s="2"/>
      <c r="AE120" s="2">
        <v>8</v>
      </c>
      <c r="AF120" s="200"/>
      <c r="AG120" s="200"/>
      <c r="AH120" s="2"/>
      <c r="AJ120" s="64">
        <f t="shared" si="4"/>
        <v>11</v>
      </c>
    </row>
    <row r="121" spans="2:36" ht="15.75" hidden="1" outlineLevel="1" thickTop="1" x14ac:dyDescent="0.25">
      <c r="B121" s="150"/>
      <c r="C121" s="1" t="s">
        <v>1</v>
      </c>
      <c r="D121" s="200"/>
      <c r="E121" s="200"/>
      <c r="F121" s="3"/>
      <c r="G121" s="3"/>
      <c r="H121" s="3"/>
      <c r="I121" s="3"/>
      <c r="J121" s="3"/>
      <c r="K121" s="200"/>
      <c r="L121" s="200"/>
      <c r="M121" s="3"/>
      <c r="N121" s="3">
        <v>8</v>
      </c>
      <c r="O121" s="3"/>
      <c r="P121" s="3"/>
      <c r="Q121" s="3"/>
      <c r="R121" s="200"/>
      <c r="S121" s="200"/>
      <c r="T121" s="3"/>
      <c r="U121" s="3"/>
      <c r="V121" s="3"/>
      <c r="W121" s="3"/>
      <c r="X121" s="3"/>
      <c r="Y121" s="200"/>
      <c r="Z121" s="200"/>
      <c r="AA121" s="3"/>
      <c r="AB121" s="3"/>
      <c r="AC121" s="3"/>
      <c r="AD121" s="3"/>
      <c r="AE121" s="3"/>
      <c r="AF121" s="200"/>
      <c r="AG121" s="200"/>
      <c r="AH121" s="3"/>
      <c r="AJ121" s="70">
        <f t="shared" si="4"/>
        <v>8</v>
      </c>
    </row>
    <row r="122" spans="2:36" ht="15.75" hidden="1" outlineLevel="1" thickTop="1" x14ac:dyDescent="0.25">
      <c r="B122" s="151"/>
      <c r="C122" s="1" t="s">
        <v>2</v>
      </c>
      <c r="D122" s="200"/>
      <c r="E122" s="200"/>
      <c r="F122" s="4"/>
      <c r="G122" s="4"/>
      <c r="H122" s="4"/>
      <c r="I122" s="4"/>
      <c r="J122" s="4"/>
      <c r="K122" s="200"/>
      <c r="L122" s="200"/>
      <c r="M122" s="4"/>
      <c r="N122" s="4"/>
      <c r="O122" s="4"/>
      <c r="P122" s="4"/>
      <c r="Q122" s="4"/>
      <c r="R122" s="200"/>
      <c r="S122" s="200"/>
      <c r="T122" s="4"/>
      <c r="U122" s="4"/>
      <c r="V122" s="4"/>
      <c r="W122" s="4"/>
      <c r="X122" s="4"/>
      <c r="Y122" s="200"/>
      <c r="Z122" s="200"/>
      <c r="AA122" s="4"/>
      <c r="AB122" s="4"/>
      <c r="AC122" s="4"/>
      <c r="AD122" s="4"/>
      <c r="AE122" s="4"/>
      <c r="AF122" s="200"/>
      <c r="AG122" s="200"/>
      <c r="AH122" s="4"/>
      <c r="AJ122" s="71">
        <f t="shared" si="4"/>
        <v>0</v>
      </c>
    </row>
    <row r="123" spans="2:36" ht="15.75" hidden="1" outlineLevel="1" thickTop="1" x14ac:dyDescent="0.25">
      <c r="B123" s="151"/>
      <c r="C123" s="54" t="s">
        <v>77</v>
      </c>
      <c r="D123" s="200"/>
      <c r="E123" s="200"/>
      <c r="F123" s="5"/>
      <c r="G123" s="5"/>
      <c r="H123" s="5"/>
      <c r="I123" s="5">
        <v>4</v>
      </c>
      <c r="J123" s="5"/>
      <c r="K123" s="200"/>
      <c r="L123" s="200"/>
      <c r="M123" s="5"/>
      <c r="N123" s="5"/>
      <c r="O123" s="5"/>
      <c r="P123" s="5"/>
      <c r="Q123" s="5"/>
      <c r="R123" s="200"/>
      <c r="S123" s="200"/>
      <c r="T123" s="5"/>
      <c r="U123" s="5"/>
      <c r="V123" s="5"/>
      <c r="W123" s="5"/>
      <c r="X123" s="5"/>
      <c r="Y123" s="200"/>
      <c r="Z123" s="200"/>
      <c r="AA123" s="5"/>
      <c r="AB123" s="5"/>
      <c r="AC123" s="5"/>
      <c r="AD123" s="5"/>
      <c r="AE123" s="5"/>
      <c r="AF123" s="200"/>
      <c r="AG123" s="200"/>
      <c r="AH123" s="5"/>
      <c r="AJ123" s="72">
        <f t="shared" si="4"/>
        <v>4</v>
      </c>
    </row>
    <row r="124" spans="2:36" ht="16.5" hidden="1" outlineLevel="1" thickTop="1" thickBot="1" x14ac:dyDescent="0.3">
      <c r="B124" s="151"/>
      <c r="C124" s="9" t="s">
        <v>3</v>
      </c>
      <c r="D124" s="201"/>
      <c r="E124" s="201"/>
      <c r="F124" s="8"/>
      <c r="G124" s="8"/>
      <c r="H124" s="8"/>
      <c r="I124" s="8"/>
      <c r="J124" s="8"/>
      <c r="K124" s="201"/>
      <c r="L124" s="201"/>
      <c r="M124" s="8"/>
      <c r="N124" s="8"/>
      <c r="O124" s="8"/>
      <c r="P124" s="69">
        <v>0.5</v>
      </c>
      <c r="Q124" s="8"/>
      <c r="R124" s="201"/>
      <c r="S124" s="201"/>
      <c r="T124" s="8"/>
      <c r="U124" s="8"/>
      <c r="V124" s="8"/>
      <c r="W124" s="69">
        <v>0.5</v>
      </c>
      <c r="X124" s="8"/>
      <c r="Y124" s="201"/>
      <c r="Z124" s="201"/>
      <c r="AA124" s="8"/>
      <c r="AB124" s="8"/>
      <c r="AC124" s="8"/>
      <c r="AD124" s="8"/>
      <c r="AE124" s="8"/>
      <c r="AF124" s="201"/>
      <c r="AG124" s="201"/>
      <c r="AH124" s="8"/>
      <c r="AI124" s="7"/>
      <c r="AJ124" s="69">
        <f t="shared" si="4"/>
        <v>1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200"/>
      <c r="E125" s="200"/>
      <c r="F125" s="2"/>
      <c r="G125" s="256"/>
      <c r="H125" s="2"/>
      <c r="I125" s="2"/>
      <c r="J125" s="64">
        <v>2.5</v>
      </c>
      <c r="K125" s="200"/>
      <c r="L125" s="200"/>
      <c r="M125" s="2"/>
      <c r="N125" s="2"/>
      <c r="O125" s="2"/>
      <c r="P125" s="2"/>
      <c r="Q125" s="2"/>
      <c r="R125" s="200"/>
      <c r="S125" s="200"/>
      <c r="T125" s="2"/>
      <c r="U125" s="256"/>
      <c r="V125" s="2"/>
      <c r="W125" s="2"/>
      <c r="X125" s="2"/>
      <c r="Y125" s="200"/>
      <c r="Z125" s="200"/>
      <c r="AA125" s="2"/>
      <c r="AB125" s="2"/>
      <c r="AC125" s="2"/>
      <c r="AD125" s="256"/>
      <c r="AE125" s="256"/>
      <c r="AF125" s="200"/>
      <c r="AG125" s="200"/>
      <c r="AH125" s="2"/>
      <c r="AJ125" s="64">
        <f t="shared" si="4"/>
        <v>2.5</v>
      </c>
    </row>
    <row r="126" spans="2:36" ht="15.75" hidden="1" outlineLevel="1" thickTop="1" x14ac:dyDescent="0.25">
      <c r="B126" s="150"/>
      <c r="C126" s="1" t="s">
        <v>1</v>
      </c>
      <c r="D126" s="200"/>
      <c r="E126" s="200"/>
      <c r="F126" s="3"/>
      <c r="G126" s="3"/>
      <c r="H126" s="3"/>
      <c r="I126" s="3"/>
      <c r="J126" s="3"/>
      <c r="K126" s="200"/>
      <c r="L126" s="200"/>
      <c r="M126" s="3"/>
      <c r="N126" s="3"/>
      <c r="O126" s="3"/>
      <c r="P126" s="3"/>
      <c r="Q126" s="3"/>
      <c r="R126" s="200"/>
      <c r="S126" s="200"/>
      <c r="T126" s="3"/>
      <c r="U126" s="3"/>
      <c r="V126" s="3"/>
      <c r="W126" s="3"/>
      <c r="X126" s="3"/>
      <c r="Y126" s="200"/>
      <c r="Z126" s="200"/>
      <c r="AA126" s="3"/>
      <c r="AB126" s="3"/>
      <c r="AC126" s="3"/>
      <c r="AD126" s="3"/>
      <c r="AE126" s="3"/>
      <c r="AF126" s="200"/>
      <c r="AG126" s="200"/>
      <c r="AH126" s="3"/>
      <c r="AJ126" s="70">
        <f t="shared" si="4"/>
        <v>0</v>
      </c>
    </row>
    <row r="127" spans="2:36" ht="15.75" hidden="1" outlineLevel="1" thickTop="1" x14ac:dyDescent="0.25">
      <c r="B127" s="151"/>
      <c r="C127" s="1" t="s">
        <v>2</v>
      </c>
      <c r="D127" s="200"/>
      <c r="E127" s="200"/>
      <c r="F127" s="4"/>
      <c r="G127" s="4"/>
      <c r="H127" s="4"/>
      <c r="I127" s="4"/>
      <c r="J127" s="4"/>
      <c r="K127" s="200"/>
      <c r="L127" s="200"/>
      <c r="M127" s="4"/>
      <c r="N127" s="4"/>
      <c r="O127" s="4"/>
      <c r="P127" s="4"/>
      <c r="Q127" s="4"/>
      <c r="R127" s="200"/>
      <c r="S127" s="200"/>
      <c r="T127" s="4"/>
      <c r="U127" s="4"/>
      <c r="V127" s="4"/>
      <c r="W127" s="4"/>
      <c r="X127" s="4"/>
      <c r="Y127" s="200"/>
      <c r="Z127" s="200"/>
      <c r="AA127" s="4"/>
      <c r="AB127" s="4"/>
      <c r="AC127" s="4"/>
      <c r="AD127" s="4"/>
      <c r="AE127" s="4"/>
      <c r="AF127" s="200"/>
      <c r="AG127" s="200"/>
      <c r="AH127" s="4"/>
      <c r="AJ127" s="71">
        <f t="shared" si="4"/>
        <v>0</v>
      </c>
    </row>
    <row r="128" spans="2:36" ht="15.75" hidden="1" outlineLevel="1" thickTop="1" x14ac:dyDescent="0.25">
      <c r="B128" s="151"/>
      <c r="C128" s="54" t="s">
        <v>77</v>
      </c>
      <c r="D128" s="200"/>
      <c r="E128" s="200"/>
      <c r="F128" s="5"/>
      <c r="G128" s="5"/>
      <c r="H128" s="5"/>
      <c r="I128" s="5"/>
      <c r="J128" s="5"/>
      <c r="K128" s="200"/>
      <c r="L128" s="200"/>
      <c r="M128" s="5"/>
      <c r="N128" s="5"/>
      <c r="O128" s="5"/>
      <c r="P128" s="5"/>
      <c r="Q128" s="5"/>
      <c r="R128" s="200"/>
      <c r="S128" s="200"/>
      <c r="T128" s="5"/>
      <c r="U128" s="5"/>
      <c r="V128" s="5"/>
      <c r="W128" s="5"/>
      <c r="X128" s="5"/>
      <c r="Y128" s="200"/>
      <c r="Z128" s="200"/>
      <c r="AA128" s="5"/>
      <c r="AB128" s="5"/>
      <c r="AC128" s="5"/>
      <c r="AD128" s="5"/>
      <c r="AE128" s="5"/>
      <c r="AF128" s="200"/>
      <c r="AG128" s="200"/>
      <c r="AH128" s="5"/>
      <c r="AJ128" s="72">
        <f t="shared" si="4"/>
        <v>0</v>
      </c>
    </row>
    <row r="129" spans="2:36" ht="16.5" hidden="1" outlineLevel="1" thickTop="1" thickBot="1" x14ac:dyDescent="0.3">
      <c r="B129" s="151"/>
      <c r="C129" s="9" t="s">
        <v>3</v>
      </c>
      <c r="D129" s="201"/>
      <c r="E129" s="201"/>
      <c r="F129" s="8"/>
      <c r="G129" s="8"/>
      <c r="H129" s="8"/>
      <c r="I129" s="8"/>
      <c r="J129" s="8"/>
      <c r="K129" s="201"/>
      <c r="L129" s="201"/>
      <c r="M129" s="8"/>
      <c r="N129" s="8"/>
      <c r="O129" s="8"/>
      <c r="P129" s="8"/>
      <c r="Q129" s="8"/>
      <c r="R129" s="201"/>
      <c r="S129" s="201"/>
      <c r="T129" s="8"/>
      <c r="U129" s="8"/>
      <c r="V129" s="8"/>
      <c r="W129" s="8"/>
      <c r="X129" s="8"/>
      <c r="Y129" s="201"/>
      <c r="Z129" s="201"/>
      <c r="AA129" s="8"/>
      <c r="AB129" s="8"/>
      <c r="AC129" s="8"/>
      <c r="AD129" s="8"/>
      <c r="AE129" s="8"/>
      <c r="AF129" s="201"/>
      <c r="AG129" s="201"/>
      <c r="AH129" s="8"/>
      <c r="AI129" s="7"/>
      <c r="AJ129" s="69">
        <f t="shared" si="4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200"/>
      <c r="E130" s="200"/>
      <c r="F130" s="2"/>
      <c r="G130" s="2"/>
      <c r="H130" s="2"/>
      <c r="I130" s="2"/>
      <c r="J130" s="255">
        <v>0</v>
      </c>
      <c r="K130" s="200"/>
      <c r="L130" s="200"/>
      <c r="M130" s="2"/>
      <c r="N130" s="64">
        <v>2.5</v>
      </c>
      <c r="O130" s="2"/>
      <c r="P130" s="2"/>
      <c r="Q130" s="255">
        <v>0</v>
      </c>
      <c r="R130" s="200"/>
      <c r="S130" s="200"/>
      <c r="T130" s="2"/>
      <c r="U130" s="2"/>
      <c r="V130" s="2"/>
      <c r="W130" s="74">
        <v>2.5</v>
      </c>
      <c r="X130" s="255">
        <v>0</v>
      </c>
      <c r="Y130" s="200"/>
      <c r="Z130" s="200"/>
      <c r="AA130" s="2"/>
      <c r="AB130" s="2"/>
      <c r="AC130" s="64">
        <v>2.5</v>
      </c>
      <c r="AD130" s="2"/>
      <c r="AE130" s="255">
        <v>0</v>
      </c>
      <c r="AF130" s="200"/>
      <c r="AG130" s="200"/>
      <c r="AH130" s="2"/>
      <c r="AJ130" s="64">
        <f t="shared" si="4"/>
        <v>7.5</v>
      </c>
    </row>
    <row r="131" spans="2:36" ht="15.75" hidden="1" outlineLevel="1" thickTop="1" x14ac:dyDescent="0.25">
      <c r="B131" s="150"/>
      <c r="C131" s="1" t="s">
        <v>1</v>
      </c>
      <c r="D131" s="200"/>
      <c r="E131" s="200"/>
      <c r="F131" s="3"/>
      <c r="G131" s="3"/>
      <c r="H131" s="3"/>
      <c r="I131" s="3"/>
      <c r="J131" s="3"/>
      <c r="K131" s="200"/>
      <c r="L131" s="200"/>
      <c r="M131" s="3"/>
      <c r="N131" s="3"/>
      <c r="O131" s="3"/>
      <c r="P131" s="3"/>
      <c r="Q131" s="3"/>
      <c r="R131" s="200"/>
      <c r="S131" s="200"/>
      <c r="T131" s="3"/>
      <c r="U131" s="3"/>
      <c r="V131" s="3"/>
      <c r="W131" s="3"/>
      <c r="X131" s="3"/>
      <c r="Y131" s="200"/>
      <c r="Z131" s="200"/>
      <c r="AA131" s="3"/>
      <c r="AB131" s="3"/>
      <c r="AC131" s="3"/>
      <c r="AD131" s="3"/>
      <c r="AE131" s="3"/>
      <c r="AF131" s="200"/>
      <c r="AG131" s="200"/>
      <c r="AH131" s="3"/>
      <c r="AJ131" s="70">
        <f t="shared" si="4"/>
        <v>0</v>
      </c>
    </row>
    <row r="132" spans="2:36" ht="15.75" hidden="1" outlineLevel="1" thickTop="1" x14ac:dyDescent="0.25">
      <c r="B132" s="151"/>
      <c r="C132" s="1" t="s">
        <v>2</v>
      </c>
      <c r="D132" s="200"/>
      <c r="E132" s="200"/>
      <c r="F132" s="4"/>
      <c r="G132" s="4"/>
      <c r="H132" s="4"/>
      <c r="I132" s="4"/>
      <c r="J132" s="4"/>
      <c r="K132" s="200"/>
      <c r="L132" s="200"/>
      <c r="M132" s="4"/>
      <c r="N132" s="4"/>
      <c r="O132" s="4"/>
      <c r="P132" s="4"/>
      <c r="Q132" s="4"/>
      <c r="R132" s="200"/>
      <c r="S132" s="200"/>
      <c r="T132" s="4"/>
      <c r="U132" s="4"/>
      <c r="V132" s="4"/>
      <c r="W132" s="4"/>
      <c r="X132" s="4"/>
      <c r="Y132" s="200"/>
      <c r="Z132" s="200"/>
      <c r="AA132" s="4"/>
      <c r="AB132" s="4"/>
      <c r="AC132" s="4"/>
      <c r="AD132" s="4"/>
      <c r="AE132" s="4"/>
      <c r="AF132" s="200"/>
      <c r="AG132" s="200"/>
      <c r="AH132" s="4"/>
      <c r="AJ132" s="71">
        <f t="shared" si="4"/>
        <v>0</v>
      </c>
    </row>
    <row r="133" spans="2:36" ht="15.75" hidden="1" outlineLevel="1" thickTop="1" x14ac:dyDescent="0.25">
      <c r="B133" s="151"/>
      <c r="C133" s="54" t="s">
        <v>77</v>
      </c>
      <c r="D133" s="200"/>
      <c r="E133" s="200"/>
      <c r="F133" s="5"/>
      <c r="G133" s="5"/>
      <c r="H133" s="5"/>
      <c r="I133" s="5"/>
      <c r="J133" s="5"/>
      <c r="K133" s="200"/>
      <c r="L133" s="200"/>
      <c r="M133" s="5"/>
      <c r="N133" s="5"/>
      <c r="O133" s="5"/>
      <c r="P133" s="5"/>
      <c r="Q133" s="5"/>
      <c r="R133" s="200"/>
      <c r="S133" s="200"/>
      <c r="T133" s="5"/>
      <c r="U133" s="5"/>
      <c r="V133" s="5"/>
      <c r="W133" s="5"/>
      <c r="X133" s="5"/>
      <c r="Y133" s="200"/>
      <c r="Z133" s="200"/>
      <c r="AA133" s="5"/>
      <c r="AB133" s="5"/>
      <c r="AC133" s="5"/>
      <c r="AD133" s="5"/>
      <c r="AE133" s="5"/>
      <c r="AF133" s="200"/>
      <c r="AG133" s="200"/>
      <c r="AH133" s="5"/>
      <c r="AJ133" s="72">
        <f t="shared" si="4"/>
        <v>0</v>
      </c>
    </row>
    <row r="134" spans="2:36" ht="16.5" hidden="1" outlineLevel="1" thickTop="1" thickBot="1" x14ac:dyDescent="0.3">
      <c r="B134" s="151"/>
      <c r="C134" s="9" t="s">
        <v>3</v>
      </c>
      <c r="D134" s="201"/>
      <c r="E134" s="201"/>
      <c r="F134" s="8"/>
      <c r="G134" s="8"/>
      <c r="H134" s="8"/>
      <c r="I134" s="8"/>
      <c r="J134" s="8"/>
      <c r="K134" s="201"/>
      <c r="L134" s="201"/>
      <c r="M134" s="8"/>
      <c r="N134" s="8"/>
      <c r="O134" s="8"/>
      <c r="P134" s="8"/>
      <c r="Q134" s="8"/>
      <c r="R134" s="201"/>
      <c r="S134" s="201"/>
      <c r="T134" s="8"/>
      <c r="U134" s="8"/>
      <c r="V134" s="8"/>
      <c r="W134" s="8"/>
      <c r="X134" s="8"/>
      <c r="Y134" s="201"/>
      <c r="Z134" s="201"/>
      <c r="AA134" s="8"/>
      <c r="AB134" s="8"/>
      <c r="AC134" s="8"/>
      <c r="AD134" s="8"/>
      <c r="AE134" s="8"/>
      <c r="AF134" s="201"/>
      <c r="AG134" s="201"/>
      <c r="AH134" s="8"/>
      <c r="AI134" s="7"/>
      <c r="AJ134" s="69">
        <f t="shared" si="4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200"/>
      <c r="E135" s="200"/>
      <c r="F135" s="2"/>
      <c r="G135" s="2"/>
      <c r="H135" s="2"/>
      <c r="I135" s="2"/>
      <c r="J135" s="2"/>
      <c r="K135" s="200"/>
      <c r="L135" s="200"/>
      <c r="M135" s="2"/>
      <c r="N135" s="2"/>
      <c r="O135" s="2"/>
      <c r="P135" s="2"/>
      <c r="Q135" s="2">
        <v>8</v>
      </c>
      <c r="R135" s="200"/>
      <c r="S135" s="200"/>
      <c r="T135" s="2"/>
      <c r="U135" s="2">
        <v>4</v>
      </c>
      <c r="V135" s="2"/>
      <c r="W135" s="2">
        <v>0</v>
      </c>
      <c r="X135" s="2">
        <v>0</v>
      </c>
      <c r="Y135" s="200"/>
      <c r="Z135" s="200"/>
      <c r="AA135" s="2"/>
      <c r="AB135" s="2"/>
      <c r="AC135" s="2">
        <v>0</v>
      </c>
      <c r="AD135" s="2"/>
      <c r="AE135" s="2"/>
      <c r="AF135" s="200"/>
      <c r="AG135" s="200"/>
      <c r="AH135" s="2"/>
      <c r="AJ135" s="64">
        <f t="shared" si="4"/>
        <v>12</v>
      </c>
    </row>
    <row r="136" spans="2:36" ht="15.75" hidden="1" outlineLevel="1" thickTop="1" x14ac:dyDescent="0.25">
      <c r="B136" s="150"/>
      <c r="C136" s="1" t="s">
        <v>1</v>
      </c>
      <c r="D136" s="200"/>
      <c r="E136" s="200"/>
      <c r="F136" s="3"/>
      <c r="G136" s="3"/>
      <c r="H136" s="3"/>
      <c r="I136" s="3"/>
      <c r="J136" s="3"/>
      <c r="K136" s="200"/>
      <c r="L136" s="200"/>
      <c r="M136" s="3"/>
      <c r="N136" s="3"/>
      <c r="O136" s="3"/>
      <c r="P136" s="3"/>
      <c r="Q136" s="3"/>
      <c r="R136" s="200"/>
      <c r="S136" s="200"/>
      <c r="T136" s="3"/>
      <c r="U136" s="3"/>
      <c r="V136" s="3"/>
      <c r="W136" s="3">
        <v>8</v>
      </c>
      <c r="X136" s="3">
        <v>8</v>
      </c>
      <c r="Y136" s="200"/>
      <c r="Z136" s="200"/>
      <c r="AA136" s="3"/>
      <c r="AB136" s="3"/>
      <c r="AC136" s="3"/>
      <c r="AD136" s="3"/>
      <c r="AE136" s="3"/>
      <c r="AF136" s="200"/>
      <c r="AG136" s="200"/>
      <c r="AH136" s="3"/>
      <c r="AJ136" s="3">
        <f t="shared" si="4"/>
        <v>16</v>
      </c>
    </row>
    <row r="137" spans="2:36" ht="15.75" hidden="1" outlineLevel="1" thickTop="1" x14ac:dyDescent="0.25">
      <c r="B137" s="151"/>
      <c r="C137" s="1" t="s">
        <v>2</v>
      </c>
      <c r="D137" s="200"/>
      <c r="E137" s="200"/>
      <c r="F137" s="4"/>
      <c r="G137" s="4"/>
      <c r="H137" s="4"/>
      <c r="I137" s="4"/>
      <c r="J137" s="4"/>
      <c r="K137" s="200"/>
      <c r="L137" s="200"/>
      <c r="M137" s="4"/>
      <c r="N137" s="4"/>
      <c r="O137" s="4"/>
      <c r="P137" s="4"/>
      <c r="Q137" s="4"/>
      <c r="R137" s="200"/>
      <c r="S137" s="200"/>
      <c r="T137" s="4"/>
      <c r="U137" s="4"/>
      <c r="V137" s="4"/>
      <c r="W137" s="4"/>
      <c r="X137" s="4"/>
      <c r="Y137" s="200"/>
      <c r="Z137" s="200"/>
      <c r="AA137" s="4"/>
      <c r="AB137" s="4"/>
      <c r="AC137" s="4"/>
      <c r="AD137" s="4"/>
      <c r="AE137" s="4"/>
      <c r="AF137" s="200"/>
      <c r="AG137" s="200"/>
      <c r="AH137" s="4"/>
      <c r="AJ137" s="4">
        <f t="shared" si="4"/>
        <v>0</v>
      </c>
    </row>
    <row r="138" spans="2:36" ht="15.75" hidden="1" outlineLevel="1" thickTop="1" x14ac:dyDescent="0.25">
      <c r="B138" s="151"/>
      <c r="C138" s="54" t="s">
        <v>77</v>
      </c>
      <c r="D138" s="200"/>
      <c r="E138" s="200"/>
      <c r="F138" s="5"/>
      <c r="G138" s="5"/>
      <c r="H138" s="5"/>
      <c r="I138" s="5"/>
      <c r="J138" s="5"/>
      <c r="K138" s="200"/>
      <c r="L138" s="200"/>
      <c r="M138" s="5"/>
      <c r="N138" s="5"/>
      <c r="O138" s="5"/>
      <c r="P138" s="5"/>
      <c r="Q138" s="5"/>
      <c r="R138" s="200"/>
      <c r="S138" s="200"/>
      <c r="T138" s="5"/>
      <c r="U138" s="5"/>
      <c r="V138" s="5"/>
      <c r="W138" s="5"/>
      <c r="X138" s="5"/>
      <c r="Y138" s="200"/>
      <c r="Z138" s="200"/>
      <c r="AA138" s="5"/>
      <c r="AB138" s="5"/>
      <c r="AC138" s="72">
        <v>0.5</v>
      </c>
      <c r="AD138" s="5"/>
      <c r="AE138" s="5"/>
      <c r="AF138" s="200"/>
      <c r="AG138" s="200"/>
      <c r="AH138" s="5"/>
      <c r="AJ138" s="5">
        <f t="shared" si="4"/>
        <v>0.5</v>
      </c>
    </row>
    <row r="139" spans="2:36" ht="16.5" hidden="1" outlineLevel="1" thickTop="1" thickBot="1" x14ac:dyDescent="0.3">
      <c r="B139" s="151"/>
      <c r="C139" s="9" t="s">
        <v>3</v>
      </c>
      <c r="D139" s="201"/>
      <c r="E139" s="201"/>
      <c r="F139" s="8"/>
      <c r="G139" s="8"/>
      <c r="H139" s="8"/>
      <c r="I139" s="8"/>
      <c r="J139" s="8"/>
      <c r="K139" s="201"/>
      <c r="L139" s="201"/>
      <c r="M139" s="8"/>
      <c r="N139" s="8"/>
      <c r="O139" s="8"/>
      <c r="P139" s="8"/>
      <c r="Q139" s="8"/>
      <c r="R139" s="201"/>
      <c r="S139" s="201"/>
      <c r="T139" s="8"/>
      <c r="U139" s="8"/>
      <c r="V139" s="8"/>
      <c r="W139" s="8"/>
      <c r="X139" s="8"/>
      <c r="Y139" s="201"/>
      <c r="Z139" s="201"/>
      <c r="AA139" s="8"/>
      <c r="AB139" s="8"/>
      <c r="AC139" s="8"/>
      <c r="AD139" s="8"/>
      <c r="AE139" s="8"/>
      <c r="AF139" s="201"/>
      <c r="AG139" s="201"/>
      <c r="AH139" s="8"/>
      <c r="AI139" s="7"/>
      <c r="AJ139" s="8">
        <f t="shared" si="4"/>
        <v>0</v>
      </c>
    </row>
    <row r="140" spans="2:36" ht="16.5" hidden="1" customHeight="1" collapsed="1" thickTop="1" thickBot="1" x14ac:dyDescent="0.3">
      <c r="B140" s="253" t="str">
        <f>'Hours Scheduled'!B31</f>
        <v>Thom van Bodegraven</v>
      </c>
      <c r="C140" t="s">
        <v>0</v>
      </c>
      <c r="D140" s="198"/>
      <c r="E140" s="198"/>
      <c r="F140" s="180"/>
      <c r="G140" s="180"/>
      <c r="H140" s="180"/>
      <c r="I140" s="180"/>
      <c r="J140" s="180"/>
      <c r="K140" s="198"/>
      <c r="L140" s="198"/>
      <c r="M140" s="180"/>
      <c r="N140" s="180"/>
      <c r="O140" s="180"/>
      <c r="P140" s="180"/>
      <c r="Q140" s="180"/>
      <c r="R140" s="198"/>
      <c r="S140" s="198"/>
      <c r="T140" s="180"/>
      <c r="U140" s="180"/>
      <c r="V140" s="180"/>
      <c r="W140" s="180"/>
      <c r="X140" s="180"/>
      <c r="Y140" s="198"/>
      <c r="Z140" s="198"/>
      <c r="AA140" s="180"/>
      <c r="AB140" s="180"/>
      <c r="AC140" s="180"/>
      <c r="AD140" s="180"/>
      <c r="AE140" s="180"/>
      <c r="AF140" s="198"/>
      <c r="AG140" s="198"/>
      <c r="AH140" s="180"/>
      <c r="AI140" s="97"/>
      <c r="AJ140" s="172">
        <f>SUM(D140:AH140)</f>
        <v>0</v>
      </c>
    </row>
    <row r="141" spans="2:36" ht="15.75" hidden="1" outlineLevel="1" thickTop="1" x14ac:dyDescent="0.25">
      <c r="B141" s="150"/>
      <c r="C141" s="1" t="s">
        <v>1</v>
      </c>
      <c r="D141" s="198"/>
      <c r="E141" s="198"/>
      <c r="F141" s="181"/>
      <c r="G141" s="181"/>
      <c r="H141" s="181"/>
      <c r="I141" s="181"/>
      <c r="J141" s="181"/>
      <c r="K141" s="198"/>
      <c r="L141" s="198"/>
      <c r="M141" s="181"/>
      <c r="N141" s="181"/>
      <c r="O141" s="181"/>
      <c r="P141" s="181"/>
      <c r="Q141" s="181"/>
      <c r="R141" s="198"/>
      <c r="S141" s="198"/>
      <c r="T141" s="181"/>
      <c r="U141" s="181"/>
      <c r="V141" s="181"/>
      <c r="W141" s="181"/>
      <c r="X141" s="181"/>
      <c r="Y141" s="198"/>
      <c r="Z141" s="198"/>
      <c r="AA141" s="181"/>
      <c r="AB141" s="181"/>
      <c r="AC141" s="181"/>
      <c r="AD141" s="181"/>
      <c r="AE141" s="181"/>
      <c r="AF141" s="198"/>
      <c r="AG141" s="198"/>
      <c r="AH141" s="181"/>
      <c r="AI141" s="97"/>
      <c r="AJ141" s="174">
        <f t="shared" ref="AJ141:AJ144" si="5">SUM(D141:AH141)</f>
        <v>0</v>
      </c>
    </row>
    <row r="142" spans="2:36" ht="15.75" hidden="1" outlineLevel="1" thickTop="1" x14ac:dyDescent="0.25">
      <c r="B142" s="151"/>
      <c r="C142" s="1" t="s">
        <v>2</v>
      </c>
      <c r="D142" s="198"/>
      <c r="E142" s="198"/>
      <c r="F142" s="182"/>
      <c r="G142" s="182"/>
      <c r="H142" s="182"/>
      <c r="I142" s="182"/>
      <c r="J142" s="182"/>
      <c r="K142" s="198"/>
      <c r="L142" s="198"/>
      <c r="M142" s="182"/>
      <c r="N142" s="182"/>
      <c r="O142" s="182"/>
      <c r="P142" s="182"/>
      <c r="Q142" s="182"/>
      <c r="R142" s="198"/>
      <c r="S142" s="198"/>
      <c r="T142" s="182"/>
      <c r="U142" s="182"/>
      <c r="V142" s="182"/>
      <c r="W142" s="182"/>
      <c r="X142" s="182"/>
      <c r="Y142" s="198"/>
      <c r="Z142" s="198"/>
      <c r="AA142" s="182"/>
      <c r="AB142" s="182"/>
      <c r="AC142" s="182"/>
      <c r="AD142" s="182"/>
      <c r="AE142" s="182"/>
      <c r="AF142" s="198"/>
      <c r="AG142" s="198"/>
      <c r="AH142" s="182"/>
      <c r="AI142" s="97"/>
      <c r="AJ142" s="175">
        <f t="shared" si="5"/>
        <v>0</v>
      </c>
    </row>
    <row r="143" spans="2:36" ht="15.75" hidden="1" outlineLevel="1" thickTop="1" x14ac:dyDescent="0.25">
      <c r="B143" s="151"/>
      <c r="C143" s="54" t="s">
        <v>77</v>
      </c>
      <c r="D143" s="198"/>
      <c r="E143" s="198"/>
      <c r="F143" s="183"/>
      <c r="G143" s="183"/>
      <c r="H143" s="183"/>
      <c r="I143" s="183"/>
      <c r="J143" s="183"/>
      <c r="K143" s="198"/>
      <c r="L143" s="198"/>
      <c r="M143" s="183"/>
      <c r="N143" s="183"/>
      <c r="O143" s="183"/>
      <c r="P143" s="183"/>
      <c r="Q143" s="183"/>
      <c r="R143" s="198"/>
      <c r="S143" s="198"/>
      <c r="T143" s="183"/>
      <c r="U143" s="183"/>
      <c r="V143" s="183"/>
      <c r="W143" s="183"/>
      <c r="X143" s="183"/>
      <c r="Y143" s="198"/>
      <c r="Z143" s="198"/>
      <c r="AA143" s="183"/>
      <c r="AB143" s="183"/>
      <c r="AC143" s="183"/>
      <c r="AD143" s="183"/>
      <c r="AE143" s="183"/>
      <c r="AF143" s="198"/>
      <c r="AG143" s="198"/>
      <c r="AH143" s="183"/>
      <c r="AI143" s="97"/>
      <c r="AJ143" s="176">
        <f t="shared" si="5"/>
        <v>0</v>
      </c>
    </row>
    <row r="144" spans="2:36" ht="16.5" hidden="1" outlineLevel="1" thickTop="1" thickBot="1" x14ac:dyDescent="0.3">
      <c r="B144" s="151"/>
      <c r="C144" s="9" t="s">
        <v>3</v>
      </c>
      <c r="D144" s="199"/>
      <c r="E144" s="199"/>
      <c r="F144" s="184"/>
      <c r="G144" s="184"/>
      <c r="H144" s="184"/>
      <c r="I144" s="184"/>
      <c r="J144" s="184"/>
      <c r="K144" s="199"/>
      <c r="L144" s="199"/>
      <c r="M144" s="184"/>
      <c r="N144" s="184"/>
      <c r="O144" s="184"/>
      <c r="P144" s="184"/>
      <c r="Q144" s="184"/>
      <c r="R144" s="199"/>
      <c r="S144" s="199"/>
      <c r="T144" s="184"/>
      <c r="U144" s="184"/>
      <c r="V144" s="184"/>
      <c r="W144" s="184"/>
      <c r="X144" s="184"/>
      <c r="Y144" s="199"/>
      <c r="Z144" s="199"/>
      <c r="AA144" s="184"/>
      <c r="AB144" s="184"/>
      <c r="AC144" s="184"/>
      <c r="AD144" s="184"/>
      <c r="AE144" s="184"/>
      <c r="AF144" s="199"/>
      <c r="AG144" s="199"/>
      <c r="AH144" s="184"/>
      <c r="AI144" s="186"/>
      <c r="AJ144" s="177">
        <f t="shared" si="5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198"/>
      <c r="E145" s="198"/>
      <c r="F145" s="180"/>
      <c r="G145" s="180"/>
      <c r="H145" s="180"/>
      <c r="I145" s="180"/>
      <c r="J145" s="259">
        <v>1</v>
      </c>
      <c r="K145" s="198"/>
      <c r="L145" s="198"/>
      <c r="M145" s="180"/>
      <c r="N145" s="180"/>
      <c r="O145" s="180"/>
      <c r="P145" s="180"/>
      <c r="Q145" s="180"/>
      <c r="R145" s="198"/>
      <c r="S145" s="198"/>
      <c r="T145" s="180"/>
      <c r="U145" s="180"/>
      <c r="V145" s="180"/>
      <c r="W145" s="180"/>
      <c r="X145" s="180">
        <v>4</v>
      </c>
      <c r="Y145" s="198"/>
      <c r="Z145" s="198"/>
      <c r="AA145" s="180">
        <v>8</v>
      </c>
      <c r="AB145" s="180">
        <v>8</v>
      </c>
      <c r="AC145" s="180">
        <v>8</v>
      </c>
      <c r="AD145" s="180">
        <v>8</v>
      </c>
      <c r="AE145" s="180">
        <v>8</v>
      </c>
      <c r="AF145" s="198"/>
      <c r="AG145" s="198"/>
      <c r="AH145" s="180"/>
      <c r="AI145" s="97"/>
      <c r="AJ145" s="172">
        <f>SUM(D145:AH145)</f>
        <v>45</v>
      </c>
    </row>
    <row r="146" spans="2:36" ht="15.75" hidden="1" outlineLevel="1" thickTop="1" x14ac:dyDescent="0.25">
      <c r="B146" s="150"/>
      <c r="C146" s="1" t="s">
        <v>1</v>
      </c>
      <c r="D146" s="198"/>
      <c r="E146" s="198"/>
      <c r="F146" s="181"/>
      <c r="G146" s="181"/>
      <c r="H146" s="181"/>
      <c r="I146" s="181"/>
      <c r="J146" s="181"/>
      <c r="K146" s="198"/>
      <c r="L146" s="198"/>
      <c r="M146" s="181"/>
      <c r="N146" s="181"/>
      <c r="O146" s="181"/>
      <c r="P146" s="181"/>
      <c r="Q146" s="181"/>
      <c r="R146" s="198"/>
      <c r="S146" s="198"/>
      <c r="T146" s="181"/>
      <c r="U146" s="181"/>
      <c r="V146" s="181"/>
      <c r="W146" s="181"/>
      <c r="X146" s="181"/>
      <c r="Y146" s="198"/>
      <c r="Z146" s="198"/>
      <c r="AA146" s="181"/>
      <c r="AB146" s="181"/>
      <c r="AC146" s="181"/>
      <c r="AD146" s="181"/>
      <c r="AE146" s="181"/>
      <c r="AF146" s="198"/>
      <c r="AG146" s="198"/>
      <c r="AH146" s="181"/>
      <c r="AI146" s="97"/>
      <c r="AJ146" s="174">
        <f t="shared" ref="AJ146:AJ149" si="6">SUM(D146:AH146)</f>
        <v>0</v>
      </c>
    </row>
    <row r="147" spans="2:36" ht="15.75" hidden="1" outlineLevel="1" thickTop="1" x14ac:dyDescent="0.25">
      <c r="B147" s="151"/>
      <c r="C147" s="1" t="s">
        <v>2</v>
      </c>
      <c r="D147" s="198"/>
      <c r="E147" s="198"/>
      <c r="F147" s="182"/>
      <c r="G147" s="182"/>
      <c r="H147" s="182"/>
      <c r="I147" s="182"/>
      <c r="J147" s="182"/>
      <c r="K147" s="198"/>
      <c r="L147" s="198"/>
      <c r="M147" s="182"/>
      <c r="N147" s="182"/>
      <c r="O147" s="182"/>
      <c r="P147" s="182"/>
      <c r="Q147" s="182"/>
      <c r="R147" s="198"/>
      <c r="S147" s="198"/>
      <c r="T147" s="182"/>
      <c r="U147" s="182"/>
      <c r="V147" s="182"/>
      <c r="W147" s="182"/>
      <c r="X147" s="182"/>
      <c r="Y147" s="198"/>
      <c r="Z147" s="198"/>
      <c r="AA147" s="182"/>
      <c r="AB147" s="182"/>
      <c r="AC147" s="182"/>
      <c r="AD147" s="182"/>
      <c r="AE147" s="182"/>
      <c r="AF147" s="198"/>
      <c r="AG147" s="198"/>
      <c r="AH147" s="182"/>
      <c r="AI147" s="97"/>
      <c r="AJ147" s="175">
        <f t="shared" si="6"/>
        <v>0</v>
      </c>
    </row>
    <row r="148" spans="2:36" ht="15.75" hidden="1" outlineLevel="1" thickTop="1" x14ac:dyDescent="0.25">
      <c r="B148" s="151"/>
      <c r="C148" s="54" t="s">
        <v>77</v>
      </c>
      <c r="D148" s="198"/>
      <c r="E148" s="198"/>
      <c r="F148" s="183"/>
      <c r="G148" s="183"/>
      <c r="H148" s="183"/>
      <c r="I148" s="183"/>
      <c r="J148" s="183"/>
      <c r="K148" s="198"/>
      <c r="L148" s="198"/>
      <c r="M148" s="183"/>
      <c r="N148" s="183"/>
      <c r="O148" s="183"/>
      <c r="P148" s="183"/>
      <c r="Q148" s="183"/>
      <c r="R148" s="198"/>
      <c r="S148" s="198"/>
      <c r="T148" s="183"/>
      <c r="U148" s="183"/>
      <c r="V148" s="183"/>
      <c r="W148" s="183"/>
      <c r="X148" s="183"/>
      <c r="Y148" s="198"/>
      <c r="Z148" s="198"/>
      <c r="AA148" s="183"/>
      <c r="AB148" s="183"/>
      <c r="AC148" s="183"/>
      <c r="AD148" s="183"/>
      <c r="AE148" s="183"/>
      <c r="AF148" s="198"/>
      <c r="AG148" s="198"/>
      <c r="AH148" s="183"/>
      <c r="AI148" s="97"/>
      <c r="AJ148" s="176">
        <f t="shared" si="6"/>
        <v>0</v>
      </c>
    </row>
    <row r="149" spans="2:36" ht="16.5" hidden="1" outlineLevel="1" thickTop="1" thickBot="1" x14ac:dyDescent="0.3">
      <c r="B149" s="151"/>
      <c r="C149" s="9" t="s">
        <v>3</v>
      </c>
      <c r="D149" s="199"/>
      <c r="E149" s="199"/>
      <c r="F149" s="184"/>
      <c r="G149" s="184"/>
      <c r="H149" s="184"/>
      <c r="I149" s="184"/>
      <c r="J149" s="184"/>
      <c r="K149" s="199"/>
      <c r="L149" s="199"/>
      <c r="M149" s="184"/>
      <c r="N149" s="184"/>
      <c r="O149" s="184"/>
      <c r="P149" s="184"/>
      <c r="Q149" s="184"/>
      <c r="R149" s="199"/>
      <c r="S149" s="199"/>
      <c r="T149" s="184"/>
      <c r="U149" s="184"/>
      <c r="V149" s="184"/>
      <c r="W149" s="184"/>
      <c r="X149" s="184"/>
      <c r="Y149" s="199"/>
      <c r="Z149" s="199"/>
      <c r="AA149" s="184"/>
      <c r="AB149" s="184"/>
      <c r="AC149" s="184"/>
      <c r="AD149" s="184"/>
      <c r="AE149" s="184"/>
      <c r="AF149" s="199"/>
      <c r="AG149" s="199"/>
      <c r="AH149" s="184"/>
      <c r="AI149" s="186"/>
      <c r="AJ149" s="177">
        <f t="shared" si="6"/>
        <v>0</v>
      </c>
    </row>
    <row r="150" spans="2:36" ht="16.5" collapsed="1" thickTop="1" thickBot="1" x14ac:dyDescent="0.3">
      <c r="B150" s="149" t="str">
        <f>'Hours Scheduled'!B33</f>
        <v>Erik Jaspers</v>
      </c>
      <c r="C150" t="s">
        <v>0</v>
      </c>
      <c r="D150" s="198"/>
      <c r="E150" s="198"/>
      <c r="F150" s="180"/>
      <c r="G150" s="180"/>
      <c r="H150" s="180"/>
      <c r="I150" s="180"/>
      <c r="J150" s="180"/>
      <c r="K150" s="198"/>
      <c r="L150" s="198"/>
      <c r="M150" s="180"/>
      <c r="N150" s="180"/>
      <c r="O150" s="180"/>
      <c r="P150" s="180"/>
      <c r="Q150" s="180"/>
      <c r="R150" s="198"/>
      <c r="S150" s="198"/>
      <c r="T150" s="180">
        <v>4</v>
      </c>
      <c r="U150" s="180"/>
      <c r="V150" s="180"/>
      <c r="W150" s="180">
        <v>8</v>
      </c>
      <c r="X150" s="180">
        <v>8</v>
      </c>
      <c r="Y150" s="198"/>
      <c r="Z150" s="198"/>
      <c r="AA150" s="180"/>
      <c r="AB150" s="180"/>
      <c r="AC150" s="180"/>
      <c r="AD150" s="180">
        <v>1</v>
      </c>
      <c r="AE150" s="180"/>
      <c r="AF150" s="198"/>
      <c r="AG150" s="198"/>
      <c r="AH150" s="180"/>
      <c r="AI150" s="97"/>
      <c r="AJ150" s="172">
        <f>SUM(D150:AH150)</f>
        <v>21</v>
      </c>
    </row>
    <row r="151" spans="2:36" ht="15.75" hidden="1" outlineLevel="1" thickTop="1" x14ac:dyDescent="0.25">
      <c r="B151" s="150"/>
      <c r="C151" s="1" t="s">
        <v>1</v>
      </c>
      <c r="D151" s="198"/>
      <c r="E151" s="198"/>
      <c r="F151" s="181"/>
      <c r="G151" s="181"/>
      <c r="H151" s="181"/>
      <c r="I151" s="181"/>
      <c r="J151" s="181"/>
      <c r="K151" s="198"/>
      <c r="L151" s="198"/>
      <c r="M151" s="181"/>
      <c r="N151" s="181"/>
      <c r="O151" s="181"/>
      <c r="P151" s="181"/>
      <c r="Q151" s="181"/>
      <c r="R151" s="198"/>
      <c r="S151" s="198"/>
      <c r="T151" s="181"/>
      <c r="U151" s="181"/>
      <c r="V151" s="181"/>
      <c r="W151" s="181"/>
      <c r="X151" s="181"/>
      <c r="Y151" s="198"/>
      <c r="Z151" s="198"/>
      <c r="AA151" s="181"/>
      <c r="AB151" s="181"/>
      <c r="AC151" s="181"/>
      <c r="AD151" s="181"/>
      <c r="AE151" s="181"/>
      <c r="AF151" s="198"/>
      <c r="AG151" s="198"/>
      <c r="AH151" s="181"/>
      <c r="AI151" s="97"/>
      <c r="AJ151" s="174">
        <f t="shared" ref="AJ151:AJ154" si="7">SUM(D151:AH151)</f>
        <v>0</v>
      </c>
    </row>
    <row r="152" spans="2:36" ht="15.75" hidden="1" outlineLevel="1" thickTop="1" x14ac:dyDescent="0.25">
      <c r="B152" s="151"/>
      <c r="C152" s="1" t="s">
        <v>2</v>
      </c>
      <c r="D152" s="198"/>
      <c r="E152" s="198"/>
      <c r="F152" s="182"/>
      <c r="G152" s="182"/>
      <c r="H152" s="182"/>
      <c r="I152" s="182"/>
      <c r="J152" s="182"/>
      <c r="K152" s="198"/>
      <c r="L152" s="198"/>
      <c r="M152" s="182"/>
      <c r="N152" s="182"/>
      <c r="O152" s="182"/>
      <c r="P152" s="182"/>
      <c r="Q152" s="182"/>
      <c r="R152" s="198"/>
      <c r="S152" s="198"/>
      <c r="T152" s="182"/>
      <c r="U152" s="182"/>
      <c r="V152" s="182"/>
      <c r="W152" s="182"/>
      <c r="X152" s="182"/>
      <c r="Y152" s="198"/>
      <c r="Z152" s="198"/>
      <c r="AA152" s="182"/>
      <c r="AB152" s="182"/>
      <c r="AC152" s="182"/>
      <c r="AD152" s="182"/>
      <c r="AE152" s="182"/>
      <c r="AF152" s="198"/>
      <c r="AG152" s="198"/>
      <c r="AH152" s="182"/>
      <c r="AI152" s="97"/>
      <c r="AJ152" s="175">
        <f t="shared" si="7"/>
        <v>0</v>
      </c>
    </row>
    <row r="153" spans="2:36" ht="15.75" hidden="1" outlineLevel="1" thickTop="1" x14ac:dyDescent="0.25">
      <c r="B153" s="151"/>
      <c r="C153" s="54" t="s">
        <v>77</v>
      </c>
      <c r="D153" s="198"/>
      <c r="E153" s="198"/>
      <c r="F153" s="183"/>
      <c r="G153" s="183"/>
      <c r="H153" s="183"/>
      <c r="I153" s="183"/>
      <c r="J153" s="183"/>
      <c r="K153" s="198"/>
      <c r="L153" s="198"/>
      <c r="M153" s="183"/>
      <c r="N153" s="183"/>
      <c r="O153" s="183"/>
      <c r="P153" s="183"/>
      <c r="Q153" s="183"/>
      <c r="R153" s="198"/>
      <c r="S153" s="198"/>
      <c r="T153" s="183"/>
      <c r="U153" s="183"/>
      <c r="V153" s="183"/>
      <c r="W153" s="183"/>
      <c r="X153" s="183"/>
      <c r="Y153" s="198"/>
      <c r="Z153" s="198"/>
      <c r="AA153" s="183"/>
      <c r="AB153" s="183"/>
      <c r="AC153" s="183"/>
      <c r="AD153" s="183"/>
      <c r="AE153" s="183"/>
      <c r="AF153" s="198"/>
      <c r="AG153" s="198"/>
      <c r="AH153" s="183"/>
      <c r="AI153" s="97"/>
      <c r="AJ153" s="176">
        <f t="shared" si="7"/>
        <v>0</v>
      </c>
    </row>
    <row r="154" spans="2:36" ht="16.5" hidden="1" outlineLevel="1" thickTop="1" thickBot="1" x14ac:dyDescent="0.3">
      <c r="B154" s="151"/>
      <c r="C154" s="9" t="s">
        <v>3</v>
      </c>
      <c r="D154" s="199"/>
      <c r="E154" s="199"/>
      <c r="F154" s="184"/>
      <c r="G154" s="184"/>
      <c r="H154" s="184"/>
      <c r="I154" s="184"/>
      <c r="J154" s="184"/>
      <c r="K154" s="199"/>
      <c r="L154" s="199"/>
      <c r="M154" s="184"/>
      <c r="N154" s="184"/>
      <c r="O154" s="184"/>
      <c r="P154" s="184"/>
      <c r="Q154" s="184"/>
      <c r="R154" s="199"/>
      <c r="S154" s="199"/>
      <c r="T154" s="184"/>
      <c r="U154" s="184"/>
      <c r="V154" s="184"/>
      <c r="W154" s="184"/>
      <c r="X154" s="184"/>
      <c r="Y154" s="199"/>
      <c r="Z154" s="199"/>
      <c r="AA154" s="184"/>
      <c r="AB154" s="184"/>
      <c r="AC154" s="184"/>
      <c r="AD154" s="184"/>
      <c r="AE154" s="184"/>
      <c r="AF154" s="199"/>
      <c r="AG154" s="199"/>
      <c r="AH154" s="184"/>
      <c r="AI154" s="186"/>
      <c r="AJ154" s="177">
        <f t="shared" si="7"/>
        <v>0</v>
      </c>
    </row>
    <row r="155" spans="2:36" ht="16.5" collapsed="1" thickTop="1" thickBot="1" x14ac:dyDescent="0.3">
      <c r="B155" s="149" t="str">
        <f>'Hours Scheduled'!B34</f>
        <v>Leo Wijnands</v>
      </c>
      <c r="C155" t="s">
        <v>0</v>
      </c>
      <c r="D155" s="198"/>
      <c r="E155" s="198"/>
      <c r="F155" s="180"/>
      <c r="G155" s="180"/>
      <c r="H155" s="180"/>
      <c r="I155" s="180"/>
      <c r="J155" s="180">
        <v>8</v>
      </c>
      <c r="K155" s="198"/>
      <c r="L155" s="198"/>
      <c r="M155" s="180"/>
      <c r="N155" s="180"/>
      <c r="O155" s="180"/>
      <c r="P155" s="180"/>
      <c r="Q155" s="180"/>
      <c r="R155" s="198"/>
      <c r="S155" s="198"/>
      <c r="T155" s="180"/>
      <c r="U155" s="180"/>
      <c r="V155" s="2">
        <v>4</v>
      </c>
      <c r="W155" s="180"/>
      <c r="X155" s="180"/>
      <c r="Y155" s="198"/>
      <c r="Z155" s="198"/>
      <c r="AA155" s="180"/>
      <c r="AB155" s="180"/>
      <c r="AC155" s="180"/>
      <c r="AD155" s="180"/>
      <c r="AE155" s="180"/>
      <c r="AF155" s="198"/>
      <c r="AG155" s="198"/>
      <c r="AH155" s="180"/>
      <c r="AI155" s="97"/>
      <c r="AJ155" s="172">
        <f>SUM(D155:AH155)</f>
        <v>12</v>
      </c>
    </row>
    <row r="156" spans="2:36" ht="15.75" hidden="1" outlineLevel="1" thickTop="1" x14ac:dyDescent="0.25">
      <c r="B156" s="150"/>
      <c r="C156" s="1" t="s">
        <v>1</v>
      </c>
      <c r="D156" s="198"/>
      <c r="E156" s="198"/>
      <c r="F156" s="181"/>
      <c r="G156" s="181"/>
      <c r="H156" s="181"/>
      <c r="I156" s="181"/>
      <c r="J156" s="181"/>
      <c r="K156" s="198"/>
      <c r="L156" s="198"/>
      <c r="M156" s="181"/>
      <c r="N156" s="181"/>
      <c r="O156" s="181"/>
      <c r="P156" s="181"/>
      <c r="Q156" s="181"/>
      <c r="R156" s="198"/>
      <c r="S156" s="198"/>
      <c r="T156" s="181"/>
      <c r="U156" s="181"/>
      <c r="V156" s="181"/>
      <c r="W156" s="181"/>
      <c r="X156" s="181"/>
      <c r="Y156" s="198"/>
      <c r="Z156" s="198"/>
      <c r="AA156" s="181"/>
      <c r="AB156" s="181"/>
      <c r="AC156" s="181"/>
      <c r="AD156" s="181"/>
      <c r="AE156" s="181"/>
      <c r="AF156" s="198"/>
      <c r="AG156" s="198"/>
      <c r="AH156" s="181"/>
      <c r="AI156" s="97"/>
      <c r="AJ156" s="174">
        <f t="shared" ref="AJ156:AJ159" si="8">SUM(D156:AH156)</f>
        <v>0</v>
      </c>
    </row>
    <row r="157" spans="2:36" ht="15.75" hidden="1" outlineLevel="1" thickTop="1" x14ac:dyDescent="0.25">
      <c r="B157" s="151"/>
      <c r="C157" s="1" t="s">
        <v>2</v>
      </c>
      <c r="D157" s="198"/>
      <c r="E157" s="198"/>
      <c r="F157" s="182"/>
      <c r="G157" s="182"/>
      <c r="H157" s="182"/>
      <c r="I157" s="182"/>
      <c r="J157" s="182"/>
      <c r="K157" s="198"/>
      <c r="L157" s="198"/>
      <c r="M157" s="182"/>
      <c r="N157" s="182"/>
      <c r="O157" s="182"/>
      <c r="P157" s="182"/>
      <c r="Q157" s="182"/>
      <c r="R157" s="198"/>
      <c r="S157" s="198"/>
      <c r="T157" s="182"/>
      <c r="U157" s="182"/>
      <c r="V157" s="182"/>
      <c r="W157" s="182"/>
      <c r="X157" s="182"/>
      <c r="Y157" s="198"/>
      <c r="Z157" s="198"/>
      <c r="AA157" s="182"/>
      <c r="AB157" s="182"/>
      <c r="AC157" s="182"/>
      <c r="AD157" s="182"/>
      <c r="AE157" s="182"/>
      <c r="AF157" s="198"/>
      <c r="AG157" s="198"/>
      <c r="AH157" s="182"/>
      <c r="AI157" s="97"/>
      <c r="AJ157" s="175">
        <f t="shared" si="8"/>
        <v>0</v>
      </c>
    </row>
    <row r="158" spans="2:36" ht="15.75" hidden="1" outlineLevel="1" thickTop="1" x14ac:dyDescent="0.25">
      <c r="B158" s="151"/>
      <c r="C158" s="54" t="s">
        <v>77</v>
      </c>
      <c r="D158" s="198"/>
      <c r="E158" s="198"/>
      <c r="F158" s="183"/>
      <c r="G158" s="183"/>
      <c r="H158" s="183"/>
      <c r="I158" s="183"/>
      <c r="J158" s="183"/>
      <c r="K158" s="198"/>
      <c r="L158" s="198"/>
      <c r="M158" s="183"/>
      <c r="N158" s="183"/>
      <c r="O158" s="183"/>
      <c r="P158" s="183"/>
      <c r="Q158" s="183"/>
      <c r="R158" s="198"/>
      <c r="S158" s="198"/>
      <c r="T158" s="183"/>
      <c r="U158" s="183"/>
      <c r="V158" s="183"/>
      <c r="W158" s="183"/>
      <c r="X158" s="183"/>
      <c r="Y158" s="198"/>
      <c r="Z158" s="198"/>
      <c r="AA158" s="183"/>
      <c r="AB158" s="183"/>
      <c r="AC158" s="183"/>
      <c r="AD158" s="183"/>
      <c r="AE158" s="183"/>
      <c r="AF158" s="198"/>
      <c r="AG158" s="198"/>
      <c r="AH158" s="183"/>
      <c r="AI158" s="97"/>
      <c r="AJ158" s="176">
        <f t="shared" si="8"/>
        <v>0</v>
      </c>
    </row>
    <row r="159" spans="2:36" ht="16.5" hidden="1" outlineLevel="1" thickTop="1" thickBot="1" x14ac:dyDescent="0.3">
      <c r="B159" s="151"/>
      <c r="C159" s="9" t="s">
        <v>3</v>
      </c>
      <c r="D159" s="199"/>
      <c r="E159" s="199"/>
      <c r="F159" s="184"/>
      <c r="G159" s="184"/>
      <c r="H159" s="184"/>
      <c r="I159" s="184"/>
      <c r="J159" s="184"/>
      <c r="K159" s="199"/>
      <c r="L159" s="199"/>
      <c r="M159" s="184"/>
      <c r="N159" s="184"/>
      <c r="O159" s="184"/>
      <c r="P159" s="184"/>
      <c r="Q159" s="184"/>
      <c r="R159" s="199"/>
      <c r="S159" s="199"/>
      <c r="T159" s="184"/>
      <c r="U159" s="184"/>
      <c r="V159" s="184"/>
      <c r="W159" s="184"/>
      <c r="X159" s="184"/>
      <c r="Y159" s="199"/>
      <c r="Z159" s="199"/>
      <c r="AA159" s="184"/>
      <c r="AB159" s="184"/>
      <c r="AC159" s="184"/>
      <c r="AD159" s="184"/>
      <c r="AE159" s="184"/>
      <c r="AF159" s="199"/>
      <c r="AG159" s="199"/>
      <c r="AH159" s="184"/>
      <c r="AI159" s="186"/>
      <c r="AJ159" s="177">
        <f t="shared" si="8"/>
        <v>0</v>
      </c>
    </row>
    <row r="160" spans="2:36" ht="16.5" collapsed="1" thickTop="1" thickBot="1" x14ac:dyDescent="0.3">
      <c r="B160" s="149" t="str">
        <f>'Hours Scheduled'!B35</f>
        <v>Danny Ummels</v>
      </c>
      <c r="C160" t="s">
        <v>0</v>
      </c>
      <c r="D160" s="198"/>
      <c r="E160" s="198"/>
      <c r="F160" s="180"/>
      <c r="G160" s="180"/>
      <c r="H160" s="180"/>
      <c r="I160" s="180"/>
      <c r="J160" s="180"/>
      <c r="K160" s="198"/>
      <c r="L160" s="198"/>
      <c r="M160" s="180"/>
      <c r="N160" s="180"/>
      <c r="O160" s="180"/>
      <c r="P160" s="180"/>
      <c r="Q160" s="180"/>
      <c r="R160" s="198"/>
      <c r="S160" s="198"/>
      <c r="T160" s="180">
        <v>4</v>
      </c>
      <c r="U160" s="180"/>
      <c r="V160" s="2">
        <v>4</v>
      </c>
      <c r="W160" s="2">
        <v>0</v>
      </c>
      <c r="X160" s="180"/>
      <c r="Y160" s="198"/>
      <c r="Z160" s="198"/>
      <c r="AA160" s="180"/>
      <c r="AB160" s="180"/>
      <c r="AC160" s="180"/>
      <c r="AD160" s="180"/>
      <c r="AE160" s="180"/>
      <c r="AF160" s="198"/>
      <c r="AG160" s="198"/>
      <c r="AH160" s="180"/>
      <c r="AI160" s="97"/>
      <c r="AJ160" s="172">
        <f>SUM(D160:AH160)</f>
        <v>8</v>
      </c>
    </row>
    <row r="161" spans="2:36" ht="15.75" hidden="1" outlineLevel="1" thickTop="1" x14ac:dyDescent="0.25">
      <c r="B161" s="150"/>
      <c r="C161" s="1" t="s">
        <v>1</v>
      </c>
      <c r="D161" s="198"/>
      <c r="E161" s="198"/>
      <c r="F161" s="181"/>
      <c r="G161" s="181"/>
      <c r="H161" s="181"/>
      <c r="I161" s="181"/>
      <c r="J161" s="181"/>
      <c r="K161" s="198"/>
      <c r="L161" s="198"/>
      <c r="M161" s="181"/>
      <c r="N161" s="181"/>
      <c r="O161" s="181"/>
      <c r="P161" s="181"/>
      <c r="Q161" s="181"/>
      <c r="R161" s="198"/>
      <c r="S161" s="198"/>
      <c r="T161" s="181"/>
      <c r="U161" s="181"/>
      <c r="V161" s="181"/>
      <c r="W161" s="181"/>
      <c r="X161" s="181"/>
      <c r="Y161" s="198"/>
      <c r="Z161" s="198"/>
      <c r="AA161" s="181"/>
      <c r="AB161" s="181"/>
      <c r="AC161" s="181"/>
      <c r="AD161" s="181"/>
      <c r="AE161" s="181"/>
      <c r="AF161" s="198"/>
      <c r="AG161" s="198"/>
      <c r="AH161" s="181"/>
      <c r="AI161" s="97"/>
      <c r="AJ161" s="174">
        <f t="shared" ref="AJ161:AJ164" si="9">SUM(D161:AH161)</f>
        <v>0</v>
      </c>
    </row>
    <row r="162" spans="2:36" ht="15.75" hidden="1" outlineLevel="1" thickTop="1" x14ac:dyDescent="0.25">
      <c r="B162" s="151"/>
      <c r="C162" s="1" t="s">
        <v>2</v>
      </c>
      <c r="D162" s="198"/>
      <c r="E162" s="198"/>
      <c r="F162" s="182"/>
      <c r="G162" s="182"/>
      <c r="H162" s="182"/>
      <c r="I162" s="182"/>
      <c r="J162" s="182"/>
      <c r="K162" s="198"/>
      <c r="L162" s="198"/>
      <c r="M162" s="182"/>
      <c r="N162" s="182"/>
      <c r="O162" s="182"/>
      <c r="P162" s="182"/>
      <c r="Q162" s="182"/>
      <c r="R162" s="198"/>
      <c r="S162" s="198"/>
      <c r="T162" s="182"/>
      <c r="U162" s="182"/>
      <c r="V162" s="182"/>
      <c r="W162" s="182"/>
      <c r="X162" s="182"/>
      <c r="Y162" s="198"/>
      <c r="Z162" s="198"/>
      <c r="AA162" s="182"/>
      <c r="AB162" s="182"/>
      <c r="AC162" s="182"/>
      <c r="AD162" s="182"/>
      <c r="AE162" s="182"/>
      <c r="AF162" s="198"/>
      <c r="AG162" s="198"/>
      <c r="AH162" s="182"/>
      <c r="AI162" s="97"/>
      <c r="AJ162" s="175">
        <f t="shared" si="9"/>
        <v>0</v>
      </c>
    </row>
    <row r="163" spans="2:36" ht="15.75" hidden="1" outlineLevel="1" thickTop="1" x14ac:dyDescent="0.25">
      <c r="B163" s="151"/>
      <c r="C163" s="54" t="s">
        <v>77</v>
      </c>
      <c r="D163" s="198"/>
      <c r="E163" s="198"/>
      <c r="F163" s="183"/>
      <c r="G163" s="183"/>
      <c r="H163" s="183"/>
      <c r="I163" s="183"/>
      <c r="J163" s="183"/>
      <c r="K163" s="198"/>
      <c r="L163" s="198"/>
      <c r="M163" s="183"/>
      <c r="N163" s="183"/>
      <c r="O163" s="183"/>
      <c r="P163" s="183"/>
      <c r="Q163" s="183"/>
      <c r="R163" s="198"/>
      <c r="S163" s="198"/>
      <c r="T163" s="183"/>
      <c r="U163" s="183"/>
      <c r="V163" s="183"/>
      <c r="W163" s="183"/>
      <c r="X163" s="183"/>
      <c r="Y163" s="198"/>
      <c r="Z163" s="198"/>
      <c r="AA163" s="183"/>
      <c r="AB163" s="183"/>
      <c r="AC163" s="183"/>
      <c r="AD163" s="183"/>
      <c r="AE163" s="183"/>
      <c r="AF163" s="198"/>
      <c r="AG163" s="198"/>
      <c r="AH163" s="183"/>
      <c r="AI163" s="97"/>
      <c r="AJ163" s="176">
        <f t="shared" si="9"/>
        <v>0</v>
      </c>
    </row>
    <row r="164" spans="2:36" ht="16.5" hidden="1" outlineLevel="1" thickTop="1" thickBot="1" x14ac:dyDescent="0.3">
      <c r="B164" s="151"/>
      <c r="C164" s="9" t="s">
        <v>3</v>
      </c>
      <c r="D164" s="199"/>
      <c r="E164" s="199"/>
      <c r="F164" s="184"/>
      <c r="G164" s="184"/>
      <c r="H164" s="184"/>
      <c r="I164" s="184"/>
      <c r="J164" s="184"/>
      <c r="K164" s="199"/>
      <c r="L164" s="199"/>
      <c r="M164" s="184"/>
      <c r="N164" s="184"/>
      <c r="O164" s="184"/>
      <c r="P164" s="184"/>
      <c r="Q164" s="184"/>
      <c r="R164" s="199"/>
      <c r="S164" s="199"/>
      <c r="T164" s="184"/>
      <c r="U164" s="184"/>
      <c r="V164" s="184"/>
      <c r="W164" s="184"/>
      <c r="X164" s="184"/>
      <c r="Y164" s="199"/>
      <c r="Z164" s="199"/>
      <c r="AA164" s="184"/>
      <c r="AB164" s="184"/>
      <c r="AC164" s="184"/>
      <c r="AD164" s="184"/>
      <c r="AE164" s="184"/>
      <c r="AF164" s="199"/>
      <c r="AG164" s="199"/>
      <c r="AH164" s="184"/>
      <c r="AI164" s="186"/>
      <c r="AJ164" s="177">
        <f t="shared" si="9"/>
        <v>0</v>
      </c>
    </row>
    <row r="165" spans="2:36" ht="15.75" collapsed="1" thickTop="1" x14ac:dyDescent="0.25">
      <c r="B165"/>
    </row>
    <row r="166" spans="2:36" x14ac:dyDescent="0.25">
      <c r="B166"/>
    </row>
    <row r="167" spans="2:36" x14ac:dyDescent="0.25">
      <c r="B167"/>
    </row>
    <row r="168" spans="2:36" x14ac:dyDescent="0.25">
      <c r="B168"/>
    </row>
    <row r="169" spans="2:36" x14ac:dyDescent="0.25">
      <c r="B169"/>
    </row>
    <row r="170" spans="2:36" x14ac:dyDescent="0.25">
      <c r="B170"/>
    </row>
    <row r="171" spans="2:36" x14ac:dyDescent="0.25">
      <c r="B171"/>
    </row>
    <row r="172" spans="2:36" x14ac:dyDescent="0.25">
      <c r="B172"/>
    </row>
  </sheetData>
  <autoFilter ref="B4:AJ164">
    <filterColumn colId="0">
      <filters>
        <filter val="Barry Berendhuysen"/>
        <filter val="Bjorn Haagen"/>
        <filter val="Danny Ummels"/>
        <filter val="Dave Creusen"/>
        <filter val="Davy Smeets"/>
        <filter val="Dominique Daemen"/>
        <filter val="Erik Jaspers"/>
        <filter val="Erwin Deckers"/>
        <filter val="Fred Boekwijt"/>
        <filter val="Frido Meijer"/>
        <filter val="Jean Pierre Knubben"/>
        <filter val="Joop Kiefte"/>
        <filter val="Leo Wijnands"/>
        <filter val="Loode Evers"/>
        <filter val="Marc Linssen"/>
        <filter val="Marco Smeekes"/>
        <filter val="Mark Meijer"/>
        <filter val="Marvin Machelesen"/>
        <filter val="Michael Callemeijn"/>
        <filter val="Niels Lievaart"/>
        <filter val="Patrick Janssen"/>
        <filter val="Patrick Ziesen"/>
        <filter val="Robin Nieuwenhuis"/>
        <filter val="Tiemen Schumacher"/>
      </filters>
    </filterColumn>
  </autoFilter>
  <customSheetViews>
    <customSheetView guid="{98CBC5BF-8C89-48A4-860E-9C56014CD200}" scale="90" showGridLines="0" filter="1" showAutoFilter="1" topLeftCell="A2">
      <pane ySplit="2" topLeftCell="A4" activePane="bottomLeft" state="frozenSplit"/>
      <selection pane="bottomLeft" activeCell="AL85" sqref="AL85"/>
      <pageMargins left="0.7" right="0.7" top="0.75" bottom="0.75" header="0.3" footer="0.3"/>
      <pageSetup paperSize="9" orientation="portrait" horizontalDpi="1200" r:id="rId1"/>
      <autoFilter ref="B4:AJ164">
        <filterColumn colId="0">
          <filters>
            <filter val="Barry Berendhuysen"/>
            <filter val="Bjorn Haagen"/>
            <filter val="Danny Ummels"/>
            <filter val="Dave Creusen"/>
            <filter val="Davy Smeets"/>
            <filter val="Dominique Daemen"/>
            <filter val="Erik Jaspers"/>
            <filter val="Erwin Deckers"/>
            <filter val="Fred Boekwijt"/>
            <filter val="Frido Meijer"/>
            <filter val="Jean Pierre Knubben"/>
            <filter val="Joop Kiefte"/>
            <filter val="Leo Wijnands"/>
            <filter val="Loode Evers"/>
            <filter val="Marc Linssen"/>
            <filter val="Marco Smeekes"/>
            <filter val="Mark Meijer"/>
            <filter val="Marvin Machelesen"/>
            <filter val="Michael Callemeijn"/>
            <filter val="Niels Lievaart"/>
            <filter val="Patrick Janssen"/>
            <filter val="Patrick Ziesen"/>
            <filter val="Robin Nieuwenhuis"/>
            <filter val="Tiemen Schumacher"/>
          </filters>
        </filterColumn>
      </autoFilter>
    </customSheetView>
    <customSheetView guid="{1BC25061-32D5-45DE-83F9-EFA3A1092E03}" scale="90" showGridLines="0" showAutoFilter="1" hiddenRows="1" topLeftCell="A2">
      <pane ySplit="3" topLeftCell="A5" activePane="bottomLeft" state="frozenSplit"/>
      <selection pane="bottomLeft" activeCell="A2" sqref="A2"/>
      <pageMargins left="0.7" right="0.7" top="0.75" bottom="0.75" header="0.3" footer="0.3"/>
      <pageSetup paperSize="9" orientation="portrait" horizontalDpi="1200" r:id="rId2"/>
      <autoFilter ref="B4:AJ145"/>
    </customSheetView>
    <customSheetView guid="{CF917189-7AB9-4E55-816F-ACFC7FA45C05}" scale="90" showGridLines="0" showAutoFilter="1" hiddenRows="1" topLeftCell="A2">
      <pane ySplit="2" topLeftCell="A5" activePane="bottomLeft" state="frozenSplit"/>
      <selection pane="bottomLeft" activeCell="A2" sqref="A2"/>
      <pageMargins left="0.7" right="0.7" top="0.75" bottom="0.75" header="0.3" footer="0.3"/>
      <pageSetup paperSize="9" orientation="portrait" horizontalDpi="1200" r:id="rId3"/>
      <autoFilter ref="B4:AJ145"/>
    </customSheetView>
    <customSheetView guid="{4155806E-C0D0-4CC9-9B31-04245B7DD4C8}" showGridLines="0" showAutoFilter="1" hiddenRows="1" topLeftCell="A2">
      <pane ySplit="7" topLeftCell="A10" activePane="bottomLeft" state="frozenSplit"/>
      <selection pane="bottomLeft" activeCell="W60" sqref="W60"/>
      <pageMargins left="0.7" right="0.7" top="0.75" bottom="0.75" header="0.3" footer="0.3"/>
      <pageSetup paperSize="9" orientation="portrait" horizontalDpi="1200" r:id="rId4"/>
      <autoFilter ref="B4:AJ145"/>
    </customSheetView>
    <customSheetView guid="{1587CBCC-2CC7-4525-8A49-E261AB2E1606}" scale="90" showGridLines="0" filter="1" showAutoFilter="1" topLeftCell="A2">
      <pane ySplit="2" topLeftCell="A4" activePane="bottomLeft" state="frozenSplit"/>
      <selection pane="bottomLeft" activeCell="AD150" sqref="AD150"/>
      <pageMargins left="0.7" right="0.7" top="0.75" bottom="0.75" header="0.3" footer="0.3"/>
      <pageSetup paperSize="9" orientation="portrait" horizontalDpi="1200" r:id="rId5"/>
      <autoFilter ref="B4:AJ164">
        <filterColumn colId="28">
          <customFilters>
            <customFilter operator="notEqual" val=" "/>
          </customFilters>
        </filterColumn>
      </autoFilter>
    </customSheetView>
    <customSheetView guid="{C5D9000A-81ED-4920-B6AF-4B234775AEC9}" scale="90" showGridLines="0" showAutoFilter="1" hiddenRows="1" topLeftCell="A2">
      <pane ySplit="2" topLeftCell="A4" activePane="bottomLeft" state="frozenSplit"/>
      <selection pane="bottomLeft" activeCell="A2" sqref="A2"/>
      <pageMargins left="0.7" right="0.7" top="0.75" bottom="0.75" header="0.3" footer="0.3"/>
      <pageSetup paperSize="9" orientation="portrait" horizontalDpi="1200" r:id="rId6"/>
      <autoFilter ref="B4:AJ164"/>
    </customSheetView>
  </customSheetViews>
  <conditionalFormatting sqref="D3:AG3">
    <cfRule type="expression" dxfId="47" priority="11">
      <formula>WEEKDAY(D3:AH3)=1</formula>
    </cfRule>
    <cfRule type="expression" dxfId="46" priority="12">
      <formula>WEEKDAY(D3:AH3)=7</formula>
    </cfRule>
  </conditionalFormatting>
  <conditionalFormatting sqref="A11:A140">
    <cfRule type="cellIs" dxfId="45" priority="10" operator="equal">
      <formula>"08:00/16:30"</formula>
    </cfRule>
  </conditionalFormatting>
  <conditionalFormatting sqref="A15:A140">
    <cfRule type="cellIs" dxfId="44" priority="9" operator="equal">
      <formula>"09:30/18:00"</formula>
    </cfRule>
  </conditionalFormatting>
  <conditionalFormatting sqref="A5:A10">
    <cfRule type="cellIs" dxfId="43" priority="2" operator="equal">
      <formula>"08:00/16:30"</formula>
    </cfRule>
  </conditionalFormatting>
  <conditionalFormatting sqref="A5:A10">
    <cfRule type="cellIs" dxfId="42" priority="1" operator="equal">
      <formula>"09:30/18:00"</formula>
    </cfRule>
  </conditionalFormatting>
  <dataValidations count="3">
    <dataValidation type="list" allowBlank="1" showInputMessage="1" sqref="A140 A115 A120 A125 A130 A135 A5 A10 A15 A20 A25 A30 A35 A40 A50 A55 A60 A65 A70 A75 A80 A85 A90 A95:A99 A101:A110">
      <formula1>"08:00/16:30,09:00/17:00,09:30/18:00"</formula1>
    </dataValidation>
    <dataValidation type="list" allowBlank="1" showInputMessage="1" sqref="A45">
      <formula1>"08:00/16:30,08:30/17:00,09:30/18:00"</formula1>
    </dataValidation>
    <dataValidation type="list" allowBlank="1" showInputMessage="1" sqref="A100">
      <formula1>"08:00/16:30,08:30/17:00,09:00/17:30,09:30/18:00"</formula1>
    </dataValidation>
  </dataValidations>
  <pageMargins left="0.7" right="0.7" top="0.75" bottom="0.75" header="0.3" footer="0.3"/>
  <pageSetup paperSize="9" orientation="portrait" horizontalDpi="1200" r:id="rId7"/>
  <legacyDrawing r:id="rId8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CCFFCC"/>
    <pageSetUpPr fitToPage="1"/>
  </sheetPr>
  <dimension ref="A1:AJ208"/>
  <sheetViews>
    <sheetView showGridLines="0" tabSelected="1" topLeftCell="A2" zoomScale="90" zoomScaleNormal="90" workbookViewId="0">
      <pane ySplit="2" topLeftCell="A4" activePane="bottomLeft" state="frozenSplit"/>
      <selection activeCell="A2" sqref="A2"/>
      <selection pane="bottomLeft" activeCell="S110" sqref="S110"/>
    </sheetView>
  </sheetViews>
  <sheetFormatPr defaultColWidth="17.7109375" defaultRowHeight="15" outlineLevelRow="1" x14ac:dyDescent="0.25"/>
  <cols>
    <col min="1" max="1" width="12.85546875" bestFit="1" customWidth="1"/>
    <col min="2" max="2" width="17.42578125" style="152" bestFit="1" customWidth="1"/>
    <col min="3" max="3" width="11.5703125" bestFit="1" customWidth="1"/>
    <col min="4" max="34" width="3.42578125" bestFit="1" customWidth="1"/>
    <col min="35" max="35" width="3" customWidth="1"/>
    <col min="36" max="36" width="5.42578125" bestFit="1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x14ac:dyDescent="0.25">
      <c r="B2" s="153" t="s">
        <v>13</v>
      </c>
    </row>
    <row r="3" spans="1:36" ht="98.25" customHeight="1" x14ac:dyDescent="0.25">
      <c r="A3" t="s">
        <v>163</v>
      </c>
      <c r="B3" s="152" t="s">
        <v>4</v>
      </c>
      <c r="D3" s="78">
        <f>DATE(Title!$F$12,7,D1)</f>
        <v>41456</v>
      </c>
      <c r="E3" s="78">
        <f>DATE(Title!$F$12,7,E1)</f>
        <v>41457</v>
      </c>
      <c r="F3" s="78">
        <f>DATE(Title!$F$12,7,F1)</f>
        <v>41458</v>
      </c>
      <c r="G3" s="78">
        <f>DATE(Title!$F$12,7,G1)</f>
        <v>41459</v>
      </c>
      <c r="H3" s="78">
        <f>DATE(Title!$F$12,7,H1)</f>
        <v>41460</v>
      </c>
      <c r="I3" s="78">
        <f>DATE(Title!$F$12,7,I1)</f>
        <v>41461</v>
      </c>
      <c r="J3" s="78">
        <f>DATE(Title!$F$12,7,J1)</f>
        <v>41462</v>
      </c>
      <c r="K3" s="78">
        <f>DATE(Title!$F$12,7,K1)</f>
        <v>41463</v>
      </c>
      <c r="L3" s="78">
        <f>DATE(Title!$F$12,7,L1)</f>
        <v>41464</v>
      </c>
      <c r="M3" s="78">
        <f>DATE(Title!$F$12,7,M1)</f>
        <v>41465</v>
      </c>
      <c r="N3" s="78">
        <f>DATE(Title!$F$12,7,N1)</f>
        <v>41466</v>
      </c>
      <c r="O3" s="78">
        <f>DATE(Title!$F$12,7,O1)</f>
        <v>41467</v>
      </c>
      <c r="P3" s="78">
        <f>DATE(Title!$F$12,7,P1)</f>
        <v>41468</v>
      </c>
      <c r="Q3" s="78">
        <f>DATE(Title!$F$12,7,Q1)</f>
        <v>41469</v>
      </c>
      <c r="R3" s="78">
        <f>DATE(Title!$F$12,7,R1)</f>
        <v>41470</v>
      </c>
      <c r="S3" s="78">
        <f>DATE(Title!$F$12,7,S1)</f>
        <v>41471</v>
      </c>
      <c r="T3" s="78">
        <f>DATE(Title!$F$12,7,T1)</f>
        <v>41472</v>
      </c>
      <c r="U3" s="78">
        <f>DATE(Title!$F$12,7,U1)</f>
        <v>41473</v>
      </c>
      <c r="V3" s="78">
        <f>DATE(Title!$F$12,7,V1)</f>
        <v>41474</v>
      </c>
      <c r="W3" s="78">
        <f>DATE(Title!$F$12,7,W1)</f>
        <v>41475</v>
      </c>
      <c r="X3" s="78">
        <f>DATE(Title!$F$12,7,X1)</f>
        <v>41476</v>
      </c>
      <c r="Y3" s="78">
        <f>DATE(Title!$F$12,7,Y1)</f>
        <v>41477</v>
      </c>
      <c r="Z3" s="78">
        <f>DATE(Title!$F$12,7,Z1)</f>
        <v>41478</v>
      </c>
      <c r="AA3" s="78">
        <f>DATE(Title!$F$12,7,AA1)</f>
        <v>41479</v>
      </c>
      <c r="AB3" s="78">
        <f>DATE(Title!$F$12,7,AB1)</f>
        <v>41480</v>
      </c>
      <c r="AC3" s="78">
        <f>DATE(Title!$F$12,7,AC1)</f>
        <v>41481</v>
      </c>
      <c r="AD3" s="78">
        <f>DATE(Title!$F$12,7,AD1)</f>
        <v>41482</v>
      </c>
      <c r="AE3" s="78">
        <f>DATE(Title!$F$12,7,AE1)</f>
        <v>41483</v>
      </c>
      <c r="AF3" s="78">
        <f>DATE(Title!$F$12,7,AF1)</f>
        <v>41484</v>
      </c>
      <c r="AG3" s="78">
        <f>DATE(Title!$F$12,7,AG1)</f>
        <v>41485</v>
      </c>
      <c r="AH3" s="78">
        <f>DATE(Title!$F$12,7,AH1)</f>
        <v>41486</v>
      </c>
      <c r="AJ3" s="6" t="s">
        <v>5</v>
      </c>
    </row>
    <row r="5" spans="1:36" ht="15.75" thickBot="1" x14ac:dyDescent="0.3">
      <c r="B5" s="149" t="str">
        <f>'Hours Scheduled'!B4</f>
        <v>Barry Berendhuysen</v>
      </c>
      <c r="C5" t="s">
        <v>0</v>
      </c>
      <c r="D5" s="2"/>
      <c r="E5" s="2"/>
      <c r="F5" s="2"/>
      <c r="G5" s="2"/>
      <c r="H5" s="2"/>
      <c r="I5" s="200"/>
      <c r="J5" s="200"/>
      <c r="K5" s="2"/>
      <c r="L5" s="2"/>
      <c r="M5" s="2"/>
      <c r="N5" s="2"/>
      <c r="O5" s="2"/>
      <c r="P5" s="200"/>
      <c r="Q5" s="200"/>
      <c r="R5" s="2">
        <v>4</v>
      </c>
      <c r="S5" s="2"/>
      <c r="T5" s="2"/>
      <c r="U5" s="2"/>
      <c r="V5" s="2"/>
      <c r="W5" s="200"/>
      <c r="X5" s="200"/>
      <c r="Y5" s="2"/>
      <c r="Z5" s="2"/>
      <c r="AA5" s="2"/>
      <c r="AB5" s="2"/>
      <c r="AC5" s="2"/>
      <c r="AD5" s="200"/>
      <c r="AE5" s="200"/>
      <c r="AF5" s="2"/>
      <c r="AG5" s="2"/>
      <c r="AH5" s="2"/>
      <c r="AJ5" s="64">
        <f>SUM(D5:AH5)</f>
        <v>4</v>
      </c>
    </row>
    <row r="6" spans="1:36" ht="15.75" hidden="1" outlineLevel="1" thickTop="1" x14ac:dyDescent="0.25">
      <c r="B6" s="150"/>
      <c r="C6" s="1" t="s">
        <v>1</v>
      </c>
      <c r="D6" s="3"/>
      <c r="E6" s="3"/>
      <c r="F6" s="3"/>
      <c r="G6" s="3"/>
      <c r="H6" s="3"/>
      <c r="I6" s="200"/>
      <c r="J6" s="200"/>
      <c r="K6" s="3"/>
      <c r="L6" s="3"/>
      <c r="M6" s="3"/>
      <c r="N6" s="3"/>
      <c r="O6" s="3"/>
      <c r="P6" s="200"/>
      <c r="Q6" s="200"/>
      <c r="R6" s="3"/>
      <c r="S6" s="3"/>
      <c r="T6" s="3"/>
      <c r="U6" s="3"/>
      <c r="V6" s="3"/>
      <c r="W6" s="200"/>
      <c r="X6" s="200"/>
      <c r="Y6" s="3"/>
      <c r="Z6" s="3"/>
      <c r="AA6" s="3"/>
      <c r="AB6" s="3"/>
      <c r="AC6" s="3"/>
      <c r="AD6" s="200"/>
      <c r="AE6" s="200"/>
      <c r="AF6" s="3"/>
      <c r="AG6" s="3"/>
      <c r="AH6" s="3"/>
      <c r="AJ6" s="70">
        <f t="shared" ref="AJ6:AJ9" si="0">SUM(D6:AH6)</f>
        <v>0</v>
      </c>
    </row>
    <row r="7" spans="1:36" hidden="1" outlineLevel="1" x14ac:dyDescent="0.25">
      <c r="B7" s="151"/>
      <c r="C7" s="1" t="s">
        <v>2</v>
      </c>
      <c r="D7" s="4"/>
      <c r="E7" s="4"/>
      <c r="F7" s="4"/>
      <c r="G7" s="4"/>
      <c r="H7" s="4"/>
      <c r="I7" s="200"/>
      <c r="J7" s="200"/>
      <c r="K7" s="4"/>
      <c r="L7" s="4"/>
      <c r="M7" s="4"/>
      <c r="N7" s="4"/>
      <c r="O7" s="4"/>
      <c r="P7" s="200"/>
      <c r="Q7" s="200"/>
      <c r="R7" s="4"/>
      <c r="S7" s="4"/>
      <c r="T7" s="4"/>
      <c r="U7" s="4"/>
      <c r="V7" s="4"/>
      <c r="W7" s="200"/>
      <c r="X7" s="200"/>
      <c r="Y7" s="4"/>
      <c r="Z7" s="4"/>
      <c r="AA7" s="4"/>
      <c r="AB7" s="4"/>
      <c r="AC7" s="4"/>
      <c r="AD7" s="200"/>
      <c r="AE7" s="200"/>
      <c r="AF7" s="4"/>
      <c r="AG7" s="4"/>
      <c r="AH7" s="4"/>
      <c r="AJ7" s="71">
        <f t="shared" si="0"/>
        <v>0</v>
      </c>
    </row>
    <row r="8" spans="1:36" hidden="1" outlineLevel="1" x14ac:dyDescent="0.25">
      <c r="B8" s="151"/>
      <c r="C8" s="54" t="s">
        <v>77</v>
      </c>
      <c r="D8" s="5"/>
      <c r="E8" s="5"/>
      <c r="F8" s="5"/>
      <c r="G8" s="5"/>
      <c r="H8" s="5"/>
      <c r="I8" s="200"/>
      <c r="J8" s="200"/>
      <c r="K8" s="5"/>
      <c r="L8" s="5"/>
      <c r="M8" s="5"/>
      <c r="N8" s="5"/>
      <c r="O8" s="5"/>
      <c r="P8" s="200"/>
      <c r="Q8" s="200"/>
      <c r="R8" s="5"/>
      <c r="S8" s="5"/>
      <c r="T8" s="5"/>
      <c r="U8" s="5"/>
      <c r="V8" s="5"/>
      <c r="W8" s="200"/>
      <c r="X8" s="200"/>
      <c r="Y8" s="5"/>
      <c r="Z8" s="5"/>
      <c r="AA8" s="5"/>
      <c r="AB8" s="5"/>
      <c r="AC8" s="5"/>
      <c r="AD8" s="200"/>
      <c r="AE8" s="200"/>
      <c r="AF8" s="5"/>
      <c r="AG8" s="5"/>
      <c r="AH8" s="5"/>
      <c r="AJ8" s="72">
        <f t="shared" si="0"/>
        <v>0</v>
      </c>
    </row>
    <row r="9" spans="1:36" ht="15.75" hidden="1" outlineLevel="1" thickBot="1" x14ac:dyDescent="0.3">
      <c r="B9" s="151"/>
      <c r="C9" s="9" t="s">
        <v>3</v>
      </c>
      <c r="D9" s="8"/>
      <c r="E9" s="8"/>
      <c r="F9" s="8"/>
      <c r="G9" s="8"/>
      <c r="H9" s="8"/>
      <c r="I9" s="201"/>
      <c r="J9" s="201"/>
      <c r="K9" s="8"/>
      <c r="L9" s="8"/>
      <c r="M9" s="8"/>
      <c r="N9" s="8"/>
      <c r="O9" s="8"/>
      <c r="P9" s="201"/>
      <c r="Q9" s="201"/>
      <c r="R9" s="8"/>
      <c r="S9" s="8"/>
      <c r="T9" s="8"/>
      <c r="U9" s="8"/>
      <c r="V9" s="8"/>
      <c r="W9" s="201"/>
      <c r="X9" s="201"/>
      <c r="Y9" s="8"/>
      <c r="Z9" s="8"/>
      <c r="AA9" s="8"/>
      <c r="AB9" s="8"/>
      <c r="AC9" s="8"/>
      <c r="AD9" s="201"/>
      <c r="AE9" s="201"/>
      <c r="AF9" s="8"/>
      <c r="AG9" s="8"/>
      <c r="AH9" s="8"/>
      <c r="AI9" s="7"/>
      <c r="AJ9" s="69">
        <f t="shared" si="0"/>
        <v>0</v>
      </c>
    </row>
    <row r="10" spans="1:36" ht="16.5" collapsed="1" thickTop="1" thickBot="1" x14ac:dyDescent="0.3">
      <c r="B10" s="253" t="str">
        <f>'Hours Scheduled'!B5</f>
        <v>Bas Boermans</v>
      </c>
      <c r="C10" t="s">
        <v>0</v>
      </c>
      <c r="D10" s="2"/>
      <c r="E10" s="2"/>
      <c r="F10" s="2"/>
      <c r="G10" s="2"/>
      <c r="H10" s="2"/>
      <c r="I10" s="200"/>
      <c r="J10" s="200"/>
      <c r="K10" s="2"/>
      <c r="L10" s="2"/>
      <c r="M10" s="2"/>
      <c r="N10" s="2"/>
      <c r="O10" s="2"/>
      <c r="P10" s="200"/>
      <c r="Q10" s="200"/>
      <c r="R10" s="2"/>
      <c r="S10" s="2"/>
      <c r="T10" s="2"/>
      <c r="U10" s="2"/>
      <c r="V10" s="2"/>
      <c r="W10" s="200"/>
      <c r="X10" s="200"/>
      <c r="Y10" s="2"/>
      <c r="Z10" s="2"/>
      <c r="AA10" s="2"/>
      <c r="AB10" s="2"/>
      <c r="AC10" s="2"/>
      <c r="AD10" s="200"/>
      <c r="AE10" s="200"/>
      <c r="AF10" s="2"/>
      <c r="AG10" s="2"/>
      <c r="AH10" s="2"/>
      <c r="AJ10" s="64">
        <f>SUM(D10:AH10)</f>
        <v>0</v>
      </c>
    </row>
    <row r="11" spans="1:36" ht="15.75" hidden="1" outlineLevel="1" thickTop="1" x14ac:dyDescent="0.25">
      <c r="B11" s="150"/>
      <c r="C11" s="1" t="s">
        <v>1</v>
      </c>
      <c r="D11" s="3"/>
      <c r="E11" s="3"/>
      <c r="F11" s="3"/>
      <c r="G11" s="3"/>
      <c r="H11" s="3"/>
      <c r="I11" s="200"/>
      <c r="J11" s="200"/>
      <c r="K11" s="3"/>
      <c r="L11" s="3"/>
      <c r="M11" s="3"/>
      <c r="N11" s="3"/>
      <c r="O11" s="3"/>
      <c r="P11" s="200"/>
      <c r="Q11" s="200"/>
      <c r="R11" s="3"/>
      <c r="S11" s="3"/>
      <c r="T11" s="3"/>
      <c r="U11" s="3"/>
      <c r="V11" s="3"/>
      <c r="W11" s="200"/>
      <c r="X11" s="200"/>
      <c r="Y11" s="3"/>
      <c r="Z11" s="3"/>
      <c r="AA11" s="3"/>
      <c r="AB11" s="3"/>
      <c r="AC11" s="3"/>
      <c r="AD11" s="200"/>
      <c r="AE11" s="200"/>
      <c r="AF11" s="3"/>
      <c r="AG11" s="3"/>
      <c r="AH11" s="3"/>
      <c r="AJ11" s="70">
        <f t="shared" ref="AJ11:AJ14" si="1">SUM(D11:AH11)</f>
        <v>0</v>
      </c>
    </row>
    <row r="12" spans="1:36" hidden="1" outlineLevel="1" x14ac:dyDescent="0.25">
      <c r="B12" s="151"/>
      <c r="C12" s="1" t="s">
        <v>2</v>
      </c>
      <c r="D12" s="4"/>
      <c r="E12" s="4"/>
      <c r="F12" s="4"/>
      <c r="G12" s="4"/>
      <c r="H12" s="4"/>
      <c r="I12" s="200"/>
      <c r="J12" s="200"/>
      <c r="K12" s="4"/>
      <c r="L12" s="4"/>
      <c r="M12" s="4"/>
      <c r="N12" s="4"/>
      <c r="O12" s="4"/>
      <c r="P12" s="200"/>
      <c r="Q12" s="200"/>
      <c r="R12" s="4"/>
      <c r="S12" s="4"/>
      <c r="T12" s="4"/>
      <c r="U12" s="4"/>
      <c r="V12" s="4"/>
      <c r="W12" s="200"/>
      <c r="X12" s="200"/>
      <c r="Y12" s="4"/>
      <c r="Z12" s="4"/>
      <c r="AA12" s="4"/>
      <c r="AB12" s="4"/>
      <c r="AC12" s="4"/>
      <c r="AD12" s="200"/>
      <c r="AE12" s="200"/>
      <c r="AF12" s="4"/>
      <c r="AG12" s="4"/>
      <c r="AH12" s="4"/>
      <c r="AJ12" s="71">
        <f t="shared" si="1"/>
        <v>0</v>
      </c>
    </row>
    <row r="13" spans="1:36" hidden="1" outlineLevel="1" x14ac:dyDescent="0.25">
      <c r="B13" s="151"/>
      <c r="C13" s="54" t="s">
        <v>77</v>
      </c>
      <c r="D13" s="5"/>
      <c r="E13" s="5"/>
      <c r="F13" s="5"/>
      <c r="G13" s="5"/>
      <c r="H13" s="5"/>
      <c r="I13" s="200"/>
      <c r="J13" s="200"/>
      <c r="K13" s="5"/>
      <c r="L13" s="5"/>
      <c r="M13" s="5"/>
      <c r="N13" s="5"/>
      <c r="O13" s="5"/>
      <c r="P13" s="200"/>
      <c r="Q13" s="200"/>
      <c r="R13" s="5"/>
      <c r="S13" s="5"/>
      <c r="T13" s="5"/>
      <c r="U13" s="5"/>
      <c r="V13" s="5"/>
      <c r="W13" s="200"/>
      <c r="X13" s="200"/>
      <c r="Y13" s="5"/>
      <c r="Z13" s="5"/>
      <c r="AA13" s="5"/>
      <c r="AB13" s="5"/>
      <c r="AC13" s="5"/>
      <c r="AD13" s="200"/>
      <c r="AE13" s="200"/>
      <c r="AF13" s="5"/>
      <c r="AG13" s="5"/>
      <c r="AH13" s="5"/>
      <c r="AJ13" s="72">
        <f t="shared" si="1"/>
        <v>0</v>
      </c>
    </row>
    <row r="14" spans="1:36" ht="15.75" hidden="1" outlineLevel="1" thickBot="1" x14ac:dyDescent="0.3">
      <c r="B14" s="151"/>
      <c r="C14" s="9" t="s">
        <v>3</v>
      </c>
      <c r="D14" s="8"/>
      <c r="E14" s="8"/>
      <c r="F14" s="8"/>
      <c r="G14" s="8"/>
      <c r="H14" s="8"/>
      <c r="I14" s="201"/>
      <c r="J14" s="201"/>
      <c r="K14" s="8"/>
      <c r="L14" s="8"/>
      <c r="M14" s="8"/>
      <c r="N14" s="8"/>
      <c r="O14" s="8"/>
      <c r="P14" s="201"/>
      <c r="Q14" s="201"/>
      <c r="R14" s="8"/>
      <c r="S14" s="8"/>
      <c r="T14" s="8"/>
      <c r="U14" s="8"/>
      <c r="V14" s="8"/>
      <c r="W14" s="201"/>
      <c r="X14" s="201"/>
      <c r="Y14" s="8"/>
      <c r="Z14" s="8"/>
      <c r="AA14" s="8"/>
      <c r="AB14" s="8"/>
      <c r="AC14" s="8"/>
      <c r="AD14" s="201"/>
      <c r="AE14" s="201"/>
      <c r="AF14" s="8"/>
      <c r="AG14" s="8"/>
      <c r="AH14" s="8"/>
      <c r="AI14" s="7"/>
      <c r="AJ14" s="69">
        <f t="shared" si="1"/>
        <v>0</v>
      </c>
    </row>
    <row r="15" spans="1:36" ht="16.5" collapsed="1" thickTop="1" thickBot="1" x14ac:dyDescent="0.3">
      <c r="B15" s="253" t="str">
        <f>'Hours Scheduled'!B6</f>
        <v>Bastiaan Franssen</v>
      </c>
      <c r="C15" t="s">
        <v>0</v>
      </c>
      <c r="D15" s="2"/>
      <c r="E15" s="2"/>
      <c r="F15" s="2"/>
      <c r="G15" s="2"/>
      <c r="H15" s="2"/>
      <c r="I15" s="200"/>
      <c r="J15" s="200"/>
      <c r="K15" s="2"/>
      <c r="L15" s="2"/>
      <c r="M15" s="2"/>
      <c r="N15" s="2"/>
      <c r="O15" s="2"/>
      <c r="P15" s="200"/>
      <c r="Q15" s="200"/>
      <c r="R15" s="2"/>
      <c r="S15" s="2"/>
      <c r="T15" s="2"/>
      <c r="U15" s="2"/>
      <c r="V15" s="2"/>
      <c r="W15" s="200"/>
      <c r="X15" s="200"/>
      <c r="Y15" s="2"/>
      <c r="Z15" s="2"/>
      <c r="AA15" s="2"/>
      <c r="AB15" s="2"/>
      <c r="AC15" s="2"/>
      <c r="AD15" s="200"/>
      <c r="AE15" s="200"/>
      <c r="AF15" s="2"/>
      <c r="AG15" s="2"/>
      <c r="AH15" s="2"/>
      <c r="AJ15" s="64">
        <f>SUM(D15:AH15)</f>
        <v>0</v>
      </c>
    </row>
    <row r="16" spans="1:36" ht="15.75" hidden="1" outlineLevel="1" thickTop="1" x14ac:dyDescent="0.25">
      <c r="B16" s="150"/>
      <c r="C16" s="1" t="s">
        <v>1</v>
      </c>
      <c r="D16" s="3"/>
      <c r="E16" s="3"/>
      <c r="F16" s="3"/>
      <c r="G16" s="3"/>
      <c r="H16" s="3"/>
      <c r="I16" s="200"/>
      <c r="J16" s="200"/>
      <c r="K16" s="3"/>
      <c r="L16" s="3"/>
      <c r="M16" s="3"/>
      <c r="N16" s="3"/>
      <c r="O16" s="3"/>
      <c r="P16" s="200"/>
      <c r="Q16" s="200"/>
      <c r="R16" s="3"/>
      <c r="S16" s="3"/>
      <c r="T16" s="3"/>
      <c r="U16" s="3"/>
      <c r="V16" s="3"/>
      <c r="W16" s="200"/>
      <c r="X16" s="200"/>
      <c r="Y16" s="3"/>
      <c r="Z16" s="3"/>
      <c r="AA16" s="3"/>
      <c r="AB16" s="3"/>
      <c r="AC16" s="3"/>
      <c r="AD16" s="200"/>
      <c r="AE16" s="200"/>
      <c r="AF16" s="3"/>
      <c r="AG16" s="3"/>
      <c r="AH16" s="3"/>
      <c r="AJ16" s="70">
        <f t="shared" ref="AJ16:AJ19" si="2">SUM(D16:AH16)</f>
        <v>0</v>
      </c>
    </row>
    <row r="17" spans="2:36" hidden="1" outlineLevel="1" x14ac:dyDescent="0.25">
      <c r="B17" s="151"/>
      <c r="C17" s="1" t="s">
        <v>2</v>
      </c>
      <c r="D17" s="4"/>
      <c r="E17" s="4"/>
      <c r="F17" s="4"/>
      <c r="G17" s="4"/>
      <c r="H17" s="4"/>
      <c r="I17" s="200"/>
      <c r="J17" s="200"/>
      <c r="K17" s="4"/>
      <c r="L17" s="4"/>
      <c r="M17" s="4"/>
      <c r="N17" s="4"/>
      <c r="O17" s="4"/>
      <c r="P17" s="200"/>
      <c r="Q17" s="200"/>
      <c r="R17" s="4"/>
      <c r="S17" s="4"/>
      <c r="T17" s="4"/>
      <c r="U17" s="4"/>
      <c r="V17" s="4"/>
      <c r="W17" s="200"/>
      <c r="X17" s="200"/>
      <c r="Y17" s="4"/>
      <c r="Z17" s="4"/>
      <c r="AA17" s="4"/>
      <c r="AB17" s="4"/>
      <c r="AC17" s="4"/>
      <c r="AD17" s="200"/>
      <c r="AE17" s="200"/>
      <c r="AF17" s="4"/>
      <c r="AG17" s="4"/>
      <c r="AH17" s="4"/>
      <c r="AJ17" s="71">
        <f t="shared" si="2"/>
        <v>0</v>
      </c>
    </row>
    <row r="18" spans="2:36" hidden="1" outlineLevel="1" x14ac:dyDescent="0.25">
      <c r="B18" s="151"/>
      <c r="C18" s="54" t="s">
        <v>77</v>
      </c>
      <c r="D18" s="5"/>
      <c r="E18" s="5"/>
      <c r="F18" s="5"/>
      <c r="G18" s="5"/>
      <c r="H18" s="5"/>
      <c r="I18" s="200"/>
      <c r="J18" s="200"/>
      <c r="K18" s="5"/>
      <c r="L18" s="5"/>
      <c r="M18" s="5"/>
      <c r="N18" s="5"/>
      <c r="O18" s="5"/>
      <c r="P18" s="200"/>
      <c r="Q18" s="200"/>
      <c r="R18" s="5"/>
      <c r="S18" s="5"/>
      <c r="T18" s="5"/>
      <c r="U18" s="5"/>
      <c r="V18" s="5"/>
      <c r="W18" s="200"/>
      <c r="X18" s="200"/>
      <c r="Y18" s="5"/>
      <c r="Z18" s="5"/>
      <c r="AA18" s="5"/>
      <c r="AB18" s="5"/>
      <c r="AC18" s="5"/>
      <c r="AD18" s="200"/>
      <c r="AE18" s="200"/>
      <c r="AF18" s="5"/>
      <c r="AG18" s="5"/>
      <c r="AH18" s="5"/>
      <c r="AJ18" s="72">
        <f t="shared" si="2"/>
        <v>0</v>
      </c>
    </row>
    <row r="19" spans="2:36" ht="15.75" hidden="1" outlineLevel="1" thickBot="1" x14ac:dyDescent="0.3">
      <c r="B19" s="151"/>
      <c r="C19" s="9" t="s">
        <v>3</v>
      </c>
      <c r="D19" s="8"/>
      <c r="E19" s="8"/>
      <c r="F19" s="8"/>
      <c r="G19" s="8"/>
      <c r="H19" s="8"/>
      <c r="I19" s="201"/>
      <c r="J19" s="201"/>
      <c r="K19" s="8"/>
      <c r="L19" s="8"/>
      <c r="M19" s="8"/>
      <c r="N19" s="8"/>
      <c r="O19" s="8"/>
      <c r="P19" s="201"/>
      <c r="Q19" s="201"/>
      <c r="R19" s="8"/>
      <c r="S19" s="8"/>
      <c r="T19" s="8"/>
      <c r="U19" s="8"/>
      <c r="V19" s="8"/>
      <c r="W19" s="201"/>
      <c r="X19" s="201"/>
      <c r="Y19" s="8"/>
      <c r="Z19" s="8"/>
      <c r="AA19" s="8"/>
      <c r="AB19" s="8"/>
      <c r="AC19" s="8"/>
      <c r="AD19" s="201"/>
      <c r="AE19" s="201"/>
      <c r="AF19" s="8"/>
      <c r="AG19" s="8"/>
      <c r="AH19" s="8"/>
      <c r="AI19" s="7"/>
      <c r="AJ19" s="69">
        <f t="shared" si="2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2"/>
      <c r="E20" s="2"/>
      <c r="F20" s="2"/>
      <c r="G20" s="2"/>
      <c r="H20" s="2"/>
      <c r="I20" s="200"/>
      <c r="J20" s="200"/>
      <c r="K20" s="2"/>
      <c r="L20" s="2">
        <v>4</v>
      </c>
      <c r="M20" s="2">
        <v>8</v>
      </c>
      <c r="N20" s="2"/>
      <c r="O20" s="2"/>
      <c r="P20" s="200"/>
      <c r="Q20" s="200"/>
      <c r="R20" s="2"/>
      <c r="S20" s="2"/>
      <c r="T20" s="2"/>
      <c r="U20" s="2"/>
      <c r="V20" s="2"/>
      <c r="W20" s="200"/>
      <c r="X20" s="200"/>
      <c r="Y20" s="2"/>
      <c r="Z20" s="2"/>
      <c r="AA20" s="2"/>
      <c r="AB20" s="2"/>
      <c r="AC20" s="2"/>
      <c r="AD20" s="200"/>
      <c r="AE20" s="200"/>
      <c r="AF20" s="2"/>
      <c r="AG20" s="2"/>
      <c r="AH20" s="2"/>
      <c r="AJ20" s="64">
        <f>SUM(D20:AH20)</f>
        <v>12</v>
      </c>
    </row>
    <row r="21" spans="2:36" ht="15.75" hidden="1" outlineLevel="1" thickTop="1" x14ac:dyDescent="0.25">
      <c r="B21" s="150"/>
      <c r="C21" s="1" t="s">
        <v>1</v>
      </c>
      <c r="D21" s="3"/>
      <c r="E21" s="3"/>
      <c r="F21" s="3"/>
      <c r="G21" s="3"/>
      <c r="H21" s="3"/>
      <c r="I21" s="200"/>
      <c r="J21" s="200"/>
      <c r="K21" s="3"/>
      <c r="L21" s="3"/>
      <c r="M21" s="3"/>
      <c r="N21" s="3"/>
      <c r="O21" s="3"/>
      <c r="P21" s="200"/>
      <c r="Q21" s="200"/>
      <c r="R21" s="3"/>
      <c r="S21" s="3"/>
      <c r="T21" s="3"/>
      <c r="U21" s="3"/>
      <c r="V21" s="3"/>
      <c r="W21" s="200"/>
      <c r="X21" s="200"/>
      <c r="Y21" s="3"/>
      <c r="Z21" s="3"/>
      <c r="AA21" s="3"/>
      <c r="AB21" s="3"/>
      <c r="AC21" s="3"/>
      <c r="AD21" s="200"/>
      <c r="AE21" s="200"/>
      <c r="AF21" s="3"/>
      <c r="AG21" s="3"/>
      <c r="AH21" s="3"/>
      <c r="AJ21" s="70">
        <f t="shared" ref="AJ21:AJ24" si="3">SUM(D21:AH21)</f>
        <v>0</v>
      </c>
    </row>
    <row r="22" spans="2:36" hidden="1" outlineLevel="1" x14ac:dyDescent="0.25">
      <c r="B22" s="151"/>
      <c r="C22" s="1" t="s">
        <v>2</v>
      </c>
      <c r="D22" s="4"/>
      <c r="E22" s="4"/>
      <c r="F22" s="4"/>
      <c r="G22" s="4"/>
      <c r="H22" s="4"/>
      <c r="I22" s="200"/>
      <c r="J22" s="200"/>
      <c r="K22" s="4"/>
      <c r="L22" s="4"/>
      <c r="M22" s="4"/>
      <c r="N22" s="4"/>
      <c r="O22" s="4"/>
      <c r="P22" s="200"/>
      <c r="Q22" s="200"/>
      <c r="R22" s="4"/>
      <c r="S22" s="4"/>
      <c r="T22" s="4"/>
      <c r="U22" s="4"/>
      <c r="V22" s="4"/>
      <c r="W22" s="200"/>
      <c r="X22" s="200"/>
      <c r="Y22" s="4"/>
      <c r="Z22" s="4"/>
      <c r="AA22" s="4"/>
      <c r="AB22" s="4"/>
      <c r="AC22" s="4"/>
      <c r="AD22" s="200"/>
      <c r="AE22" s="200"/>
      <c r="AF22" s="4"/>
      <c r="AG22" s="4"/>
      <c r="AH22" s="4"/>
      <c r="AJ22" s="71">
        <f t="shared" si="3"/>
        <v>0</v>
      </c>
    </row>
    <row r="23" spans="2:36" hidden="1" outlineLevel="1" x14ac:dyDescent="0.25">
      <c r="B23" s="151"/>
      <c r="C23" s="54" t="s">
        <v>77</v>
      </c>
      <c r="D23" s="5"/>
      <c r="E23" s="5"/>
      <c r="F23" s="5"/>
      <c r="G23" s="5"/>
      <c r="H23" s="5"/>
      <c r="I23" s="200"/>
      <c r="J23" s="200"/>
      <c r="K23" s="5"/>
      <c r="L23" s="5"/>
      <c r="M23" s="5"/>
      <c r="N23" s="5"/>
      <c r="O23" s="5"/>
      <c r="P23" s="200"/>
      <c r="Q23" s="200"/>
      <c r="R23" s="5"/>
      <c r="S23" s="5"/>
      <c r="T23" s="5"/>
      <c r="U23" s="5"/>
      <c r="V23" s="5"/>
      <c r="W23" s="200"/>
      <c r="X23" s="200"/>
      <c r="Y23" s="5"/>
      <c r="Z23" s="5"/>
      <c r="AA23" s="5"/>
      <c r="AB23" s="5"/>
      <c r="AC23" s="5"/>
      <c r="AD23" s="200"/>
      <c r="AE23" s="200"/>
      <c r="AF23" s="5"/>
      <c r="AG23" s="5"/>
      <c r="AH23" s="5"/>
      <c r="AJ23" s="72">
        <f t="shared" si="3"/>
        <v>0</v>
      </c>
    </row>
    <row r="24" spans="2:36" ht="15.75" hidden="1" outlineLevel="1" thickBot="1" x14ac:dyDescent="0.3">
      <c r="B24" s="151"/>
      <c r="C24" s="9" t="s">
        <v>3</v>
      </c>
      <c r="D24" s="8"/>
      <c r="E24" s="8"/>
      <c r="F24" s="8"/>
      <c r="G24" s="8"/>
      <c r="H24" s="8"/>
      <c r="I24" s="201"/>
      <c r="J24" s="201"/>
      <c r="K24" s="8"/>
      <c r="L24" s="8"/>
      <c r="M24" s="8"/>
      <c r="N24" s="8"/>
      <c r="O24" s="8"/>
      <c r="P24" s="201"/>
      <c r="Q24" s="201"/>
      <c r="R24" s="8"/>
      <c r="S24" s="8"/>
      <c r="T24" s="8"/>
      <c r="U24" s="8"/>
      <c r="V24" s="8"/>
      <c r="W24" s="201"/>
      <c r="X24" s="201"/>
      <c r="Y24" s="8"/>
      <c r="Z24" s="8"/>
      <c r="AA24" s="8"/>
      <c r="AB24" s="8"/>
      <c r="AC24" s="8"/>
      <c r="AD24" s="201"/>
      <c r="AE24" s="201"/>
      <c r="AF24" s="8"/>
      <c r="AG24" s="8"/>
      <c r="AH24" s="8"/>
      <c r="AI24" s="7"/>
      <c r="AJ24" s="69">
        <f t="shared" si="3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2">
        <v>4</v>
      </c>
      <c r="E25" s="2"/>
      <c r="F25" s="2"/>
      <c r="G25" s="2">
        <v>2</v>
      </c>
      <c r="H25" s="2">
        <v>8</v>
      </c>
      <c r="I25" s="200"/>
      <c r="J25" s="200"/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00"/>
      <c r="Q25" s="200"/>
      <c r="R25" s="2"/>
      <c r="S25" s="2"/>
      <c r="T25" s="2"/>
      <c r="U25" s="2"/>
      <c r="V25" s="2">
        <v>8</v>
      </c>
      <c r="W25" s="200"/>
      <c r="X25" s="200"/>
      <c r="Y25" s="2"/>
      <c r="Z25" s="2"/>
      <c r="AA25" s="2"/>
      <c r="AB25" s="2"/>
      <c r="AC25" s="2"/>
      <c r="AD25" s="200"/>
      <c r="AE25" s="200"/>
      <c r="AF25" s="2"/>
      <c r="AG25" s="2"/>
      <c r="AH25" s="2"/>
      <c r="AJ25" s="64">
        <f>SUM(D25:AH25)</f>
        <v>32</v>
      </c>
    </row>
    <row r="26" spans="2:36" ht="15.75" hidden="1" outlineLevel="1" thickTop="1" x14ac:dyDescent="0.25">
      <c r="B26" s="150"/>
      <c r="C26" s="1" t="s">
        <v>1</v>
      </c>
      <c r="D26" s="3"/>
      <c r="E26" s="3"/>
      <c r="F26" s="3"/>
      <c r="G26" s="3"/>
      <c r="H26" s="3"/>
      <c r="I26" s="200"/>
      <c r="J26" s="200"/>
      <c r="K26" s="3"/>
      <c r="L26" s="3"/>
      <c r="M26" s="3"/>
      <c r="N26" s="3"/>
      <c r="O26" s="3"/>
      <c r="P26" s="200"/>
      <c r="Q26" s="200"/>
      <c r="R26" s="3"/>
      <c r="S26" s="3"/>
      <c r="T26" s="3"/>
      <c r="U26" s="3"/>
      <c r="V26" s="3"/>
      <c r="W26" s="200"/>
      <c r="X26" s="200"/>
      <c r="Y26" s="3"/>
      <c r="Z26" s="3"/>
      <c r="AA26" s="3"/>
      <c r="AB26" s="3"/>
      <c r="AC26" s="3"/>
      <c r="AD26" s="200"/>
      <c r="AE26" s="200"/>
      <c r="AF26" s="3"/>
      <c r="AG26" s="3"/>
      <c r="AH26" s="3"/>
      <c r="AJ26" s="70">
        <f t="shared" ref="AJ26:AJ29" si="4">SUM(D26:AH26)</f>
        <v>0</v>
      </c>
    </row>
    <row r="27" spans="2:36" hidden="1" outlineLevel="1" x14ac:dyDescent="0.25">
      <c r="B27" s="151"/>
      <c r="C27" s="1" t="s">
        <v>2</v>
      </c>
      <c r="D27" s="4"/>
      <c r="E27" s="4"/>
      <c r="F27" s="4"/>
      <c r="G27" s="4"/>
      <c r="H27" s="4"/>
      <c r="I27" s="200"/>
      <c r="J27" s="200"/>
      <c r="K27" s="4"/>
      <c r="L27" s="4"/>
      <c r="M27" s="4"/>
      <c r="N27" s="4"/>
      <c r="O27" s="4"/>
      <c r="P27" s="200"/>
      <c r="Q27" s="200"/>
      <c r="R27" s="4"/>
      <c r="S27" s="4"/>
      <c r="T27" s="4"/>
      <c r="U27" s="4"/>
      <c r="V27" s="4"/>
      <c r="W27" s="200"/>
      <c r="X27" s="200"/>
      <c r="Y27" s="4"/>
      <c r="Z27" s="4"/>
      <c r="AA27" s="4"/>
      <c r="AB27" s="4"/>
      <c r="AC27" s="4"/>
      <c r="AD27" s="200"/>
      <c r="AE27" s="200"/>
      <c r="AF27" s="4"/>
      <c r="AG27" s="4"/>
      <c r="AH27" s="4"/>
      <c r="AJ27" s="71">
        <f t="shared" si="4"/>
        <v>0</v>
      </c>
    </row>
    <row r="28" spans="2:36" hidden="1" outlineLevel="1" x14ac:dyDescent="0.25">
      <c r="B28" s="151"/>
      <c r="C28" s="54" t="s">
        <v>77</v>
      </c>
      <c r="D28" s="5"/>
      <c r="E28" s="5"/>
      <c r="F28" s="5"/>
      <c r="G28" s="5"/>
      <c r="H28" s="5"/>
      <c r="I28" s="200"/>
      <c r="J28" s="200"/>
      <c r="K28" s="5"/>
      <c r="L28" s="5"/>
      <c r="M28" s="5"/>
      <c r="N28" s="5"/>
      <c r="O28" s="5"/>
      <c r="P28" s="200"/>
      <c r="Q28" s="200"/>
      <c r="R28" s="5"/>
      <c r="S28" s="5"/>
      <c r="T28" s="5"/>
      <c r="U28" s="5"/>
      <c r="V28" s="5"/>
      <c r="W28" s="200"/>
      <c r="X28" s="200"/>
      <c r="Y28" s="5"/>
      <c r="Z28" s="5"/>
      <c r="AA28" s="5"/>
      <c r="AB28" s="5"/>
      <c r="AC28" s="5"/>
      <c r="AD28" s="200"/>
      <c r="AE28" s="200"/>
      <c r="AF28" s="5"/>
      <c r="AG28" s="5"/>
      <c r="AH28" s="5"/>
      <c r="AJ28" s="72">
        <f t="shared" si="4"/>
        <v>0</v>
      </c>
    </row>
    <row r="29" spans="2:36" ht="15.75" hidden="1" outlineLevel="1" thickBot="1" x14ac:dyDescent="0.3">
      <c r="B29" s="151"/>
      <c r="C29" s="9" t="s">
        <v>3</v>
      </c>
      <c r="D29" s="8"/>
      <c r="E29" s="8"/>
      <c r="F29" s="8"/>
      <c r="G29" s="8"/>
      <c r="H29" s="8"/>
      <c r="I29" s="201"/>
      <c r="J29" s="201"/>
      <c r="K29" s="8"/>
      <c r="L29" s="8"/>
      <c r="M29" s="8"/>
      <c r="N29" s="8"/>
      <c r="O29" s="8"/>
      <c r="P29" s="201"/>
      <c r="Q29" s="201"/>
      <c r="R29" s="8"/>
      <c r="S29" s="8"/>
      <c r="T29" s="8"/>
      <c r="U29" s="8"/>
      <c r="V29" s="8"/>
      <c r="W29" s="201"/>
      <c r="X29" s="201"/>
      <c r="Y29" s="8"/>
      <c r="Z29" s="8"/>
      <c r="AA29" s="8"/>
      <c r="AB29" s="8"/>
      <c r="AC29" s="8"/>
      <c r="AD29" s="201"/>
      <c r="AE29" s="201"/>
      <c r="AF29" s="8"/>
      <c r="AG29" s="8"/>
      <c r="AH29" s="8"/>
      <c r="AI29" s="7"/>
      <c r="AJ29" s="69">
        <f t="shared" si="4"/>
        <v>0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2">
        <v>8</v>
      </c>
      <c r="E30" s="2">
        <v>8</v>
      </c>
      <c r="F30" s="2">
        <v>8</v>
      </c>
      <c r="G30" s="2"/>
      <c r="H30" s="2"/>
      <c r="I30" s="200"/>
      <c r="J30" s="200"/>
      <c r="K30" s="2"/>
      <c r="L30" s="2"/>
      <c r="M30" s="2"/>
      <c r="N30" s="2"/>
      <c r="O30" s="2"/>
      <c r="P30" s="200"/>
      <c r="Q30" s="200"/>
      <c r="R30" s="2"/>
      <c r="S30" s="2"/>
      <c r="T30" s="2"/>
      <c r="U30" s="2"/>
      <c r="V30" s="2"/>
      <c r="W30" s="200"/>
      <c r="X30" s="200"/>
      <c r="Y30" s="2"/>
      <c r="Z30" s="2"/>
      <c r="AA30" s="2"/>
      <c r="AB30" s="2"/>
      <c r="AC30" s="2"/>
      <c r="AD30" s="200"/>
      <c r="AE30" s="200"/>
      <c r="AF30" s="2"/>
      <c r="AG30" s="2"/>
      <c r="AH30" s="2"/>
      <c r="AJ30" s="64">
        <f>SUM(D30:AH30)</f>
        <v>24</v>
      </c>
    </row>
    <row r="31" spans="2:36" ht="15.75" hidden="1" outlineLevel="1" thickTop="1" x14ac:dyDescent="0.25">
      <c r="B31" s="150"/>
      <c r="C31" s="1" t="s">
        <v>1</v>
      </c>
      <c r="D31" s="3"/>
      <c r="E31" s="3"/>
      <c r="F31" s="3"/>
      <c r="G31" s="3"/>
      <c r="H31" s="3"/>
      <c r="I31" s="200"/>
      <c r="J31" s="200"/>
      <c r="K31" s="3"/>
      <c r="L31" s="3"/>
      <c r="M31" s="3"/>
      <c r="N31" s="3"/>
      <c r="O31" s="3"/>
      <c r="P31" s="200"/>
      <c r="Q31" s="200"/>
      <c r="R31" s="3"/>
      <c r="S31" s="3"/>
      <c r="T31" s="3"/>
      <c r="U31" s="3"/>
      <c r="V31" s="3"/>
      <c r="W31" s="200"/>
      <c r="X31" s="200"/>
      <c r="Y31" s="3"/>
      <c r="Z31" s="3"/>
      <c r="AA31" s="3"/>
      <c r="AB31" s="3"/>
      <c r="AC31" s="3"/>
      <c r="AD31" s="200"/>
      <c r="AE31" s="200"/>
      <c r="AF31" s="3"/>
      <c r="AG31" s="3"/>
      <c r="AH31" s="3"/>
      <c r="AJ31" s="70">
        <f t="shared" ref="AJ31:AJ34" si="5">SUM(D31:AH31)</f>
        <v>0</v>
      </c>
    </row>
    <row r="32" spans="2:36" hidden="1" outlineLevel="1" x14ac:dyDescent="0.25">
      <c r="B32" s="151"/>
      <c r="C32" s="1" t="s">
        <v>2</v>
      </c>
      <c r="D32" s="4"/>
      <c r="E32" s="4"/>
      <c r="F32" s="4"/>
      <c r="G32" s="4"/>
      <c r="H32" s="4"/>
      <c r="I32" s="200"/>
      <c r="J32" s="200"/>
      <c r="K32" s="4"/>
      <c r="L32" s="4"/>
      <c r="M32" s="4"/>
      <c r="N32" s="4"/>
      <c r="O32" s="4"/>
      <c r="P32" s="200"/>
      <c r="Q32" s="200"/>
      <c r="R32" s="4"/>
      <c r="S32" s="4"/>
      <c r="T32" s="4"/>
      <c r="U32" s="4"/>
      <c r="V32" s="4"/>
      <c r="W32" s="200"/>
      <c r="X32" s="200"/>
      <c r="Y32" s="4"/>
      <c r="Z32" s="4"/>
      <c r="AA32" s="4"/>
      <c r="AB32" s="4"/>
      <c r="AC32" s="4"/>
      <c r="AD32" s="200"/>
      <c r="AE32" s="200"/>
      <c r="AF32" s="4"/>
      <c r="AG32" s="4"/>
      <c r="AH32" s="4"/>
      <c r="AJ32" s="71">
        <f t="shared" si="5"/>
        <v>0</v>
      </c>
    </row>
    <row r="33" spans="2:36" hidden="1" outlineLevel="1" x14ac:dyDescent="0.25">
      <c r="B33" s="151"/>
      <c r="C33" s="54" t="s">
        <v>77</v>
      </c>
      <c r="D33" s="5"/>
      <c r="E33" s="5"/>
      <c r="F33" s="5"/>
      <c r="G33" s="5"/>
      <c r="H33" s="5"/>
      <c r="I33" s="200"/>
      <c r="J33" s="200"/>
      <c r="K33" s="5"/>
      <c r="L33" s="5"/>
      <c r="M33" s="5"/>
      <c r="N33" s="5"/>
      <c r="O33" s="5"/>
      <c r="P33" s="200"/>
      <c r="Q33" s="200"/>
      <c r="R33" s="5"/>
      <c r="S33" s="5"/>
      <c r="T33" s="5"/>
      <c r="U33" s="5"/>
      <c r="V33" s="5"/>
      <c r="W33" s="200"/>
      <c r="X33" s="200"/>
      <c r="Y33" s="5"/>
      <c r="Z33" s="5"/>
      <c r="AA33" s="5"/>
      <c r="AB33" s="5"/>
      <c r="AC33" s="5"/>
      <c r="AD33" s="200"/>
      <c r="AE33" s="200"/>
      <c r="AF33" s="5"/>
      <c r="AG33" s="5"/>
      <c r="AH33" s="5"/>
      <c r="AJ33" s="72">
        <f t="shared" si="5"/>
        <v>0</v>
      </c>
    </row>
    <row r="34" spans="2:36" ht="15.75" hidden="1" outlineLevel="1" thickBot="1" x14ac:dyDescent="0.3">
      <c r="B34" s="151"/>
      <c r="C34" s="9" t="s">
        <v>3</v>
      </c>
      <c r="D34" s="8"/>
      <c r="E34" s="8"/>
      <c r="F34" s="8"/>
      <c r="G34" s="8"/>
      <c r="H34" s="8"/>
      <c r="I34" s="201"/>
      <c r="J34" s="201"/>
      <c r="K34" s="8"/>
      <c r="L34" s="8"/>
      <c r="M34" s="8"/>
      <c r="N34" s="8"/>
      <c r="O34" s="8"/>
      <c r="P34" s="201"/>
      <c r="Q34" s="201"/>
      <c r="R34" s="8"/>
      <c r="S34" s="8"/>
      <c r="T34" s="8"/>
      <c r="U34" s="8"/>
      <c r="V34" s="8"/>
      <c r="W34" s="201"/>
      <c r="X34" s="201"/>
      <c r="Y34" s="8"/>
      <c r="Z34" s="8"/>
      <c r="AA34" s="8"/>
      <c r="AB34" s="8"/>
      <c r="AC34" s="8"/>
      <c r="AD34" s="201"/>
      <c r="AE34" s="201"/>
      <c r="AF34" s="8"/>
      <c r="AG34" s="8"/>
      <c r="AH34" s="8"/>
      <c r="AI34" s="7"/>
      <c r="AJ34" s="69">
        <f t="shared" si="5"/>
        <v>0</v>
      </c>
    </row>
    <row r="35" spans="2:36" ht="16.5" collapsed="1" thickTop="1" thickBot="1" x14ac:dyDescent="0.3">
      <c r="B35" s="253" t="str">
        <f>'Hours Scheduled'!B10</f>
        <v>Dennis van 't Hul</v>
      </c>
      <c r="C35" t="s">
        <v>0</v>
      </c>
      <c r="D35" s="2"/>
      <c r="E35" s="2"/>
      <c r="F35" s="2"/>
      <c r="G35" s="2"/>
      <c r="H35" s="2"/>
      <c r="I35" s="200"/>
      <c r="J35" s="200"/>
      <c r="K35" s="2"/>
      <c r="L35" s="2"/>
      <c r="M35" s="2"/>
      <c r="N35" s="2"/>
      <c r="O35" s="2"/>
      <c r="P35" s="200"/>
      <c r="Q35" s="200"/>
      <c r="R35" s="2"/>
      <c r="S35" s="2"/>
      <c r="T35" s="2"/>
      <c r="U35" s="2"/>
      <c r="V35" s="2"/>
      <c r="W35" s="200"/>
      <c r="X35" s="200"/>
      <c r="Y35" s="2"/>
      <c r="Z35" s="2"/>
      <c r="AA35" s="2"/>
      <c r="AB35" s="2"/>
      <c r="AC35" s="2"/>
      <c r="AD35" s="200"/>
      <c r="AE35" s="200"/>
      <c r="AF35" s="2"/>
      <c r="AG35" s="2"/>
      <c r="AH35" s="2"/>
      <c r="AJ35" s="64">
        <f>SUM(D35:AH35)</f>
        <v>0</v>
      </c>
    </row>
    <row r="36" spans="2:36" ht="15.75" hidden="1" outlineLevel="1" thickTop="1" x14ac:dyDescent="0.25">
      <c r="B36" s="150"/>
      <c r="C36" s="1" t="s">
        <v>1</v>
      </c>
      <c r="D36" s="3"/>
      <c r="E36" s="3"/>
      <c r="F36" s="3"/>
      <c r="G36" s="3"/>
      <c r="H36" s="3"/>
      <c r="I36" s="200"/>
      <c r="J36" s="200"/>
      <c r="K36" s="3"/>
      <c r="L36" s="3"/>
      <c r="M36" s="3"/>
      <c r="N36" s="3"/>
      <c r="O36" s="3"/>
      <c r="P36" s="200"/>
      <c r="Q36" s="200"/>
      <c r="R36" s="3"/>
      <c r="S36" s="3"/>
      <c r="T36" s="3"/>
      <c r="U36" s="3"/>
      <c r="V36" s="3"/>
      <c r="W36" s="200"/>
      <c r="X36" s="200"/>
      <c r="Y36" s="3"/>
      <c r="Z36" s="3"/>
      <c r="AA36" s="3"/>
      <c r="AB36" s="3"/>
      <c r="AC36" s="3"/>
      <c r="AD36" s="200"/>
      <c r="AE36" s="200"/>
      <c r="AF36" s="3"/>
      <c r="AG36" s="3"/>
      <c r="AH36" s="3"/>
      <c r="AJ36" s="70">
        <f t="shared" ref="AJ36:AJ39" si="6">SUM(D36:AH36)</f>
        <v>0</v>
      </c>
    </row>
    <row r="37" spans="2:36" hidden="1" outlineLevel="1" x14ac:dyDescent="0.25">
      <c r="B37" s="151"/>
      <c r="C37" s="1" t="s">
        <v>2</v>
      </c>
      <c r="D37" s="4"/>
      <c r="E37" s="4"/>
      <c r="F37" s="4"/>
      <c r="G37" s="4"/>
      <c r="H37" s="4"/>
      <c r="I37" s="200"/>
      <c r="J37" s="200"/>
      <c r="K37" s="4"/>
      <c r="L37" s="4"/>
      <c r="M37" s="4"/>
      <c r="N37" s="4"/>
      <c r="O37" s="4"/>
      <c r="P37" s="200"/>
      <c r="Q37" s="200"/>
      <c r="R37" s="4"/>
      <c r="S37" s="4"/>
      <c r="T37" s="4"/>
      <c r="U37" s="4"/>
      <c r="V37" s="4"/>
      <c r="W37" s="200"/>
      <c r="X37" s="200"/>
      <c r="Y37" s="4"/>
      <c r="Z37" s="4"/>
      <c r="AA37" s="4"/>
      <c r="AB37" s="4"/>
      <c r="AC37" s="4"/>
      <c r="AD37" s="200"/>
      <c r="AE37" s="200"/>
      <c r="AF37" s="4"/>
      <c r="AG37" s="4"/>
      <c r="AH37" s="4"/>
      <c r="AJ37" s="71">
        <f t="shared" si="6"/>
        <v>0</v>
      </c>
    </row>
    <row r="38" spans="2:36" hidden="1" outlineLevel="1" x14ac:dyDescent="0.25">
      <c r="B38" s="151"/>
      <c r="C38" s="54" t="s">
        <v>77</v>
      </c>
      <c r="D38" s="5"/>
      <c r="E38" s="5"/>
      <c r="F38" s="5"/>
      <c r="G38" s="5"/>
      <c r="H38" s="5"/>
      <c r="I38" s="200"/>
      <c r="J38" s="200"/>
      <c r="K38" s="5"/>
      <c r="L38" s="5"/>
      <c r="M38" s="5"/>
      <c r="N38" s="5"/>
      <c r="O38" s="5"/>
      <c r="P38" s="200"/>
      <c r="Q38" s="200"/>
      <c r="R38" s="5"/>
      <c r="S38" s="5"/>
      <c r="T38" s="5"/>
      <c r="U38" s="5"/>
      <c r="V38" s="5"/>
      <c r="W38" s="200"/>
      <c r="X38" s="200"/>
      <c r="Y38" s="5"/>
      <c r="Z38" s="5"/>
      <c r="AA38" s="5"/>
      <c r="AB38" s="5"/>
      <c r="AC38" s="5"/>
      <c r="AD38" s="200"/>
      <c r="AE38" s="200"/>
      <c r="AF38" s="5"/>
      <c r="AG38" s="5"/>
      <c r="AH38" s="5"/>
      <c r="AJ38" s="72">
        <f t="shared" si="6"/>
        <v>0</v>
      </c>
    </row>
    <row r="39" spans="2:36" ht="15.75" hidden="1" outlineLevel="1" thickBot="1" x14ac:dyDescent="0.3">
      <c r="B39" s="151"/>
      <c r="C39" s="9" t="s">
        <v>3</v>
      </c>
      <c r="D39" s="8"/>
      <c r="E39" s="8"/>
      <c r="F39" s="8"/>
      <c r="G39" s="8"/>
      <c r="H39" s="8"/>
      <c r="I39" s="201"/>
      <c r="J39" s="201"/>
      <c r="K39" s="8"/>
      <c r="L39" s="8"/>
      <c r="M39" s="8"/>
      <c r="N39" s="8"/>
      <c r="O39" s="8"/>
      <c r="P39" s="201"/>
      <c r="Q39" s="201"/>
      <c r="R39" s="8"/>
      <c r="S39" s="8"/>
      <c r="T39" s="8"/>
      <c r="U39" s="8"/>
      <c r="V39" s="8"/>
      <c r="W39" s="201"/>
      <c r="X39" s="201"/>
      <c r="Y39" s="8"/>
      <c r="Z39" s="8"/>
      <c r="AA39" s="8"/>
      <c r="AB39" s="8"/>
      <c r="AC39" s="8"/>
      <c r="AD39" s="201"/>
      <c r="AE39" s="201"/>
      <c r="AF39" s="8"/>
      <c r="AG39" s="8"/>
      <c r="AH39" s="8"/>
      <c r="AI39" s="7"/>
      <c r="AJ39" s="69">
        <f t="shared" si="6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2"/>
      <c r="E40" s="2"/>
      <c r="F40" s="2">
        <v>8</v>
      </c>
      <c r="G40" s="2"/>
      <c r="H40" s="2"/>
      <c r="I40" s="200"/>
      <c r="J40" s="200"/>
      <c r="K40" s="2"/>
      <c r="L40" s="2"/>
      <c r="M40" s="2"/>
      <c r="N40" s="2"/>
      <c r="O40" s="2"/>
      <c r="P40" s="200"/>
      <c r="Q40" s="200"/>
      <c r="R40" s="2">
        <v>8</v>
      </c>
      <c r="S40" s="2"/>
      <c r="T40" s="2"/>
      <c r="U40" s="2"/>
      <c r="V40" s="2"/>
      <c r="W40" s="200"/>
      <c r="X40" s="200"/>
      <c r="Y40" s="2"/>
      <c r="Z40" s="2"/>
      <c r="AA40" s="2"/>
      <c r="AB40" s="2"/>
      <c r="AC40" s="2"/>
      <c r="AD40" s="200"/>
      <c r="AE40" s="200"/>
      <c r="AF40" s="2"/>
      <c r="AG40" s="2"/>
      <c r="AH40" s="2"/>
      <c r="AJ40" s="64">
        <f>SUM(D40:AH40)</f>
        <v>16</v>
      </c>
    </row>
    <row r="41" spans="2:36" ht="15.75" hidden="1" outlineLevel="1" thickTop="1" x14ac:dyDescent="0.25">
      <c r="B41" s="150"/>
      <c r="C41" s="1" t="s">
        <v>1</v>
      </c>
      <c r="D41" s="3"/>
      <c r="E41" s="3"/>
      <c r="F41" s="3"/>
      <c r="G41" s="3"/>
      <c r="H41" s="3"/>
      <c r="I41" s="200"/>
      <c r="J41" s="200"/>
      <c r="K41" s="3"/>
      <c r="L41" s="3"/>
      <c r="M41" s="3"/>
      <c r="N41" s="3"/>
      <c r="O41" s="3"/>
      <c r="P41" s="200"/>
      <c r="Q41" s="200"/>
      <c r="R41" s="3"/>
      <c r="S41" s="3"/>
      <c r="T41" s="3"/>
      <c r="U41" s="3"/>
      <c r="V41" s="3"/>
      <c r="W41" s="200"/>
      <c r="X41" s="200"/>
      <c r="Y41" s="3"/>
      <c r="Z41" s="3"/>
      <c r="AA41" s="3"/>
      <c r="AB41" s="3"/>
      <c r="AC41" s="3"/>
      <c r="AD41" s="200"/>
      <c r="AE41" s="200"/>
      <c r="AF41" s="3"/>
      <c r="AG41" s="3"/>
      <c r="AH41" s="3"/>
      <c r="AJ41" s="70">
        <f t="shared" ref="AJ41:AJ44" si="7">SUM(D41:AH41)</f>
        <v>0</v>
      </c>
    </row>
    <row r="42" spans="2:36" hidden="1" outlineLevel="1" x14ac:dyDescent="0.25">
      <c r="B42" s="151"/>
      <c r="C42" s="1" t="s">
        <v>2</v>
      </c>
      <c r="D42" s="4"/>
      <c r="E42" s="4"/>
      <c r="F42" s="4"/>
      <c r="G42" s="4"/>
      <c r="H42" s="4"/>
      <c r="I42" s="200"/>
      <c r="J42" s="200"/>
      <c r="K42" s="4"/>
      <c r="L42" s="4"/>
      <c r="M42" s="4"/>
      <c r="N42" s="4"/>
      <c r="O42" s="4"/>
      <c r="P42" s="200"/>
      <c r="Q42" s="200"/>
      <c r="R42" s="4"/>
      <c r="S42" s="4"/>
      <c r="T42" s="4"/>
      <c r="U42" s="4"/>
      <c r="V42" s="4"/>
      <c r="W42" s="200"/>
      <c r="X42" s="200"/>
      <c r="Y42" s="4"/>
      <c r="Z42" s="4"/>
      <c r="AA42" s="4"/>
      <c r="AB42" s="4"/>
      <c r="AC42" s="4"/>
      <c r="AD42" s="200"/>
      <c r="AE42" s="200"/>
      <c r="AF42" s="4"/>
      <c r="AG42" s="4"/>
      <c r="AH42" s="4"/>
      <c r="AJ42" s="71">
        <f t="shared" si="7"/>
        <v>0</v>
      </c>
    </row>
    <row r="43" spans="2:36" hidden="1" outlineLevel="1" x14ac:dyDescent="0.25">
      <c r="B43" s="151"/>
      <c r="C43" s="54" t="s">
        <v>77</v>
      </c>
      <c r="D43" s="5"/>
      <c r="E43" s="5"/>
      <c r="F43" s="5"/>
      <c r="G43" s="5"/>
      <c r="H43" s="5"/>
      <c r="I43" s="200"/>
      <c r="J43" s="200"/>
      <c r="K43" s="5"/>
      <c r="L43" s="5"/>
      <c r="M43" s="5"/>
      <c r="N43" s="5"/>
      <c r="O43" s="5"/>
      <c r="P43" s="200"/>
      <c r="Q43" s="200"/>
      <c r="R43" s="5"/>
      <c r="S43" s="5"/>
      <c r="T43" s="5"/>
      <c r="U43" s="5"/>
      <c r="V43" s="5"/>
      <c r="W43" s="200"/>
      <c r="X43" s="200"/>
      <c r="Y43" s="5"/>
      <c r="Z43" s="5"/>
      <c r="AA43" s="5"/>
      <c r="AB43" s="5"/>
      <c r="AC43" s="5"/>
      <c r="AD43" s="200"/>
      <c r="AE43" s="200"/>
      <c r="AF43" s="5"/>
      <c r="AG43" s="5"/>
      <c r="AH43" s="5"/>
      <c r="AJ43" s="72">
        <f t="shared" si="7"/>
        <v>0</v>
      </c>
    </row>
    <row r="44" spans="2:36" ht="15.75" hidden="1" outlineLevel="1" thickBot="1" x14ac:dyDescent="0.3">
      <c r="B44" s="151"/>
      <c r="C44" s="9" t="s">
        <v>3</v>
      </c>
      <c r="D44" s="8"/>
      <c r="E44" s="8"/>
      <c r="F44" s="8"/>
      <c r="G44" s="8"/>
      <c r="H44" s="8"/>
      <c r="I44" s="201"/>
      <c r="J44" s="201"/>
      <c r="K44" s="8"/>
      <c r="L44" s="8"/>
      <c r="M44" s="8"/>
      <c r="N44" s="8"/>
      <c r="O44" s="8"/>
      <c r="P44" s="201"/>
      <c r="Q44" s="201"/>
      <c r="R44" s="8"/>
      <c r="S44" s="8"/>
      <c r="T44" s="8"/>
      <c r="U44" s="8"/>
      <c r="V44" s="8"/>
      <c r="W44" s="201"/>
      <c r="X44" s="201"/>
      <c r="Y44" s="8"/>
      <c r="Z44" s="8"/>
      <c r="AA44" s="8"/>
      <c r="AB44" s="8"/>
      <c r="AC44" s="8"/>
      <c r="AD44" s="201"/>
      <c r="AE44" s="201"/>
      <c r="AF44" s="8"/>
      <c r="AG44" s="8"/>
      <c r="AH44" s="8"/>
      <c r="AI44" s="7"/>
      <c r="AJ44" s="69">
        <f t="shared" si="7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2"/>
      <c r="E45" s="2"/>
      <c r="F45" s="2"/>
      <c r="G45" s="2"/>
      <c r="H45" s="2"/>
      <c r="I45" s="200"/>
      <c r="J45" s="200"/>
      <c r="K45" s="2">
        <v>0</v>
      </c>
      <c r="L45" s="2"/>
      <c r="M45" s="2"/>
      <c r="N45" s="2"/>
      <c r="O45" s="2"/>
      <c r="P45" s="200"/>
      <c r="Q45" s="200"/>
      <c r="R45" s="2"/>
      <c r="S45" s="2"/>
      <c r="T45" s="2"/>
      <c r="U45" s="2"/>
      <c r="V45" s="2"/>
      <c r="W45" s="200"/>
      <c r="X45" s="200"/>
      <c r="Y45" s="2"/>
      <c r="Z45" s="2"/>
      <c r="AA45" s="2"/>
      <c r="AB45" s="2"/>
      <c r="AC45" s="2"/>
      <c r="AD45" s="200"/>
      <c r="AE45" s="200"/>
      <c r="AF45" s="2"/>
      <c r="AG45" s="2"/>
      <c r="AH45" s="2"/>
      <c r="AJ45" s="64">
        <f>SUM(D45:AH45)</f>
        <v>0</v>
      </c>
    </row>
    <row r="46" spans="2:36" ht="15.75" hidden="1" outlineLevel="1" thickTop="1" x14ac:dyDescent="0.25">
      <c r="B46" s="150"/>
      <c r="C46" s="1" t="s">
        <v>1</v>
      </c>
      <c r="D46" s="3"/>
      <c r="E46" s="3"/>
      <c r="F46" s="3"/>
      <c r="G46" s="3"/>
      <c r="H46" s="3"/>
      <c r="I46" s="200"/>
      <c r="J46" s="200"/>
      <c r="K46" s="3"/>
      <c r="L46" s="3"/>
      <c r="M46" s="3"/>
      <c r="N46" s="3"/>
      <c r="O46" s="3"/>
      <c r="P46" s="200"/>
      <c r="Q46" s="200"/>
      <c r="R46" s="3"/>
      <c r="S46" s="3"/>
      <c r="T46" s="3"/>
      <c r="U46" s="3"/>
      <c r="V46" s="3"/>
      <c r="W46" s="200"/>
      <c r="X46" s="200"/>
      <c r="Y46" s="3"/>
      <c r="Z46" s="3"/>
      <c r="AA46" s="3"/>
      <c r="AB46" s="3"/>
      <c r="AC46" s="3"/>
      <c r="AD46" s="200"/>
      <c r="AE46" s="200"/>
      <c r="AF46" s="3"/>
      <c r="AG46" s="3"/>
      <c r="AH46" s="3"/>
      <c r="AJ46" s="70">
        <f t="shared" ref="AJ46:AJ49" si="8">SUM(D46:AH46)</f>
        <v>0</v>
      </c>
    </row>
    <row r="47" spans="2:36" hidden="1" outlineLevel="1" x14ac:dyDescent="0.25">
      <c r="B47" s="151"/>
      <c r="C47" s="1" t="s">
        <v>2</v>
      </c>
      <c r="D47" s="4"/>
      <c r="E47" s="4"/>
      <c r="F47" s="4"/>
      <c r="G47" s="4"/>
      <c r="H47" s="4"/>
      <c r="I47" s="200"/>
      <c r="J47" s="200"/>
      <c r="K47" s="4"/>
      <c r="L47" s="4"/>
      <c r="M47" s="4"/>
      <c r="N47" s="4"/>
      <c r="O47" s="4"/>
      <c r="P47" s="200"/>
      <c r="Q47" s="200"/>
      <c r="R47" s="4"/>
      <c r="S47" s="4"/>
      <c r="T47" s="4"/>
      <c r="U47" s="4"/>
      <c r="V47" s="4"/>
      <c r="W47" s="200"/>
      <c r="X47" s="200"/>
      <c r="Y47" s="4"/>
      <c r="Z47" s="4"/>
      <c r="AA47" s="4"/>
      <c r="AB47" s="4"/>
      <c r="AC47" s="4"/>
      <c r="AD47" s="200"/>
      <c r="AE47" s="200"/>
      <c r="AF47" s="4"/>
      <c r="AG47" s="4"/>
      <c r="AH47" s="4"/>
      <c r="AJ47" s="71">
        <f t="shared" si="8"/>
        <v>0</v>
      </c>
    </row>
    <row r="48" spans="2:36" hidden="1" outlineLevel="1" x14ac:dyDescent="0.25">
      <c r="B48" s="151"/>
      <c r="C48" s="54" t="s">
        <v>77</v>
      </c>
      <c r="D48" s="5"/>
      <c r="E48" s="5"/>
      <c r="F48" s="5"/>
      <c r="G48" s="5"/>
      <c r="H48" s="5"/>
      <c r="I48" s="200"/>
      <c r="J48" s="200"/>
      <c r="K48" s="5"/>
      <c r="L48" s="5"/>
      <c r="M48" s="5"/>
      <c r="N48" s="5"/>
      <c r="O48" s="5"/>
      <c r="P48" s="200"/>
      <c r="Q48" s="200"/>
      <c r="R48" s="5"/>
      <c r="S48" s="5"/>
      <c r="T48" s="5"/>
      <c r="U48" s="5"/>
      <c r="V48" s="5"/>
      <c r="W48" s="200"/>
      <c r="X48" s="200"/>
      <c r="Y48" s="5"/>
      <c r="Z48" s="5"/>
      <c r="AA48" s="5"/>
      <c r="AB48" s="5"/>
      <c r="AC48" s="5"/>
      <c r="AD48" s="200"/>
      <c r="AE48" s="200"/>
      <c r="AF48" s="5"/>
      <c r="AG48" s="5"/>
      <c r="AH48" s="5"/>
      <c r="AJ48" s="72">
        <f t="shared" si="8"/>
        <v>0</v>
      </c>
    </row>
    <row r="49" spans="2:36" ht="15.75" hidden="1" outlineLevel="1" thickBot="1" x14ac:dyDescent="0.3">
      <c r="B49" s="151"/>
      <c r="C49" s="9" t="s">
        <v>3</v>
      </c>
      <c r="D49" s="8"/>
      <c r="E49" s="8"/>
      <c r="F49" s="8"/>
      <c r="G49" s="8"/>
      <c r="H49" s="8"/>
      <c r="I49" s="201"/>
      <c r="J49" s="201"/>
      <c r="K49" s="8"/>
      <c r="L49" s="8"/>
      <c r="M49" s="8"/>
      <c r="N49" s="8"/>
      <c r="O49" s="8"/>
      <c r="P49" s="201"/>
      <c r="Q49" s="201"/>
      <c r="R49" s="8"/>
      <c r="S49" s="8"/>
      <c r="T49" s="8"/>
      <c r="U49" s="8"/>
      <c r="V49" s="8"/>
      <c r="W49" s="201"/>
      <c r="X49" s="201"/>
      <c r="Y49" s="8"/>
      <c r="Z49" s="8"/>
      <c r="AA49" s="8"/>
      <c r="AB49" s="8"/>
      <c r="AC49" s="8"/>
      <c r="AD49" s="201"/>
      <c r="AE49" s="201"/>
      <c r="AF49" s="8"/>
      <c r="AG49" s="8"/>
      <c r="AH49" s="8"/>
      <c r="AI49" s="7"/>
      <c r="AJ49" s="69">
        <f t="shared" si="8"/>
        <v>0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2"/>
      <c r="E50" s="2"/>
      <c r="F50" s="2"/>
      <c r="G50" s="2"/>
      <c r="H50" s="2"/>
      <c r="I50" s="200"/>
      <c r="J50" s="200"/>
      <c r="K50" s="2"/>
      <c r="L50" s="2"/>
      <c r="M50" s="2"/>
      <c r="N50" s="2"/>
      <c r="O50" s="2"/>
      <c r="P50" s="200"/>
      <c r="Q50" s="200"/>
      <c r="R50" s="2">
        <v>8</v>
      </c>
      <c r="S50" s="2">
        <v>8</v>
      </c>
      <c r="T50" s="2">
        <v>8</v>
      </c>
      <c r="U50" s="2">
        <v>8</v>
      </c>
      <c r="V50" s="2">
        <v>8</v>
      </c>
      <c r="W50" s="200"/>
      <c r="X50" s="200"/>
      <c r="Y50" s="2">
        <v>8</v>
      </c>
      <c r="Z50" s="2">
        <v>8</v>
      </c>
      <c r="AA50" s="2">
        <v>8</v>
      </c>
      <c r="AB50" s="2">
        <v>8</v>
      </c>
      <c r="AC50" s="2">
        <v>8</v>
      </c>
      <c r="AD50" s="200"/>
      <c r="AE50" s="200"/>
      <c r="AF50" s="2">
        <v>8</v>
      </c>
      <c r="AG50" s="2">
        <v>8</v>
      </c>
      <c r="AH50" s="2">
        <v>8</v>
      </c>
      <c r="AJ50" s="64">
        <f>SUM(D50:AH50)</f>
        <v>104</v>
      </c>
    </row>
    <row r="51" spans="2:36" ht="15.75" hidden="1" outlineLevel="1" thickTop="1" x14ac:dyDescent="0.25">
      <c r="B51" s="150"/>
      <c r="C51" s="1" t="s">
        <v>1</v>
      </c>
      <c r="D51" s="3"/>
      <c r="E51" s="3"/>
      <c r="F51" s="3"/>
      <c r="G51" s="3"/>
      <c r="H51" s="3"/>
      <c r="I51" s="200"/>
      <c r="J51" s="200"/>
      <c r="K51" s="3"/>
      <c r="L51" s="3"/>
      <c r="M51" s="3"/>
      <c r="N51" s="3"/>
      <c r="O51" s="3"/>
      <c r="P51" s="200"/>
      <c r="Q51" s="200"/>
      <c r="R51" s="3"/>
      <c r="S51" s="3"/>
      <c r="T51" s="3"/>
      <c r="U51" s="3"/>
      <c r="V51" s="3"/>
      <c r="W51" s="200"/>
      <c r="X51" s="200"/>
      <c r="Y51" s="3"/>
      <c r="Z51" s="3"/>
      <c r="AA51" s="3"/>
      <c r="AB51" s="3"/>
      <c r="AC51" s="3"/>
      <c r="AD51" s="200"/>
      <c r="AE51" s="200"/>
      <c r="AF51" s="3"/>
      <c r="AG51" s="3"/>
      <c r="AH51" s="3"/>
      <c r="AJ51" s="70">
        <f t="shared" ref="AJ51:AJ54" si="9">SUM(D51:AH51)</f>
        <v>0</v>
      </c>
    </row>
    <row r="52" spans="2:36" hidden="1" outlineLevel="1" x14ac:dyDescent="0.25">
      <c r="B52" s="151"/>
      <c r="C52" s="1" t="s">
        <v>2</v>
      </c>
      <c r="D52" s="4"/>
      <c r="E52" s="4"/>
      <c r="F52" s="4"/>
      <c r="G52" s="4"/>
      <c r="H52" s="4"/>
      <c r="I52" s="200"/>
      <c r="J52" s="200"/>
      <c r="K52" s="4"/>
      <c r="L52" s="4"/>
      <c r="M52" s="4"/>
      <c r="N52" s="4"/>
      <c r="O52" s="4"/>
      <c r="P52" s="200"/>
      <c r="Q52" s="200"/>
      <c r="R52" s="4"/>
      <c r="S52" s="4"/>
      <c r="T52" s="4"/>
      <c r="U52" s="4"/>
      <c r="V52" s="4"/>
      <c r="W52" s="200"/>
      <c r="X52" s="200"/>
      <c r="Y52" s="4"/>
      <c r="Z52" s="4"/>
      <c r="AA52" s="4"/>
      <c r="AB52" s="4"/>
      <c r="AC52" s="4"/>
      <c r="AD52" s="200"/>
      <c r="AE52" s="200"/>
      <c r="AF52" s="4"/>
      <c r="AG52" s="4"/>
      <c r="AH52" s="4"/>
      <c r="AJ52" s="71">
        <f t="shared" si="9"/>
        <v>0</v>
      </c>
    </row>
    <row r="53" spans="2:36" hidden="1" outlineLevel="1" x14ac:dyDescent="0.25">
      <c r="B53" s="151"/>
      <c r="C53" s="54" t="s">
        <v>77</v>
      </c>
      <c r="D53" s="5"/>
      <c r="E53" s="5"/>
      <c r="F53" s="5"/>
      <c r="G53" s="5"/>
      <c r="H53" s="5"/>
      <c r="I53" s="200"/>
      <c r="J53" s="200"/>
      <c r="K53" s="5"/>
      <c r="L53" s="5"/>
      <c r="M53" s="5"/>
      <c r="N53" s="5"/>
      <c r="O53" s="5"/>
      <c r="P53" s="200"/>
      <c r="Q53" s="200"/>
      <c r="R53" s="5"/>
      <c r="S53" s="5"/>
      <c r="T53" s="5"/>
      <c r="U53" s="5"/>
      <c r="V53" s="5"/>
      <c r="W53" s="200"/>
      <c r="X53" s="200"/>
      <c r="Y53" s="5"/>
      <c r="Z53" s="5"/>
      <c r="AA53" s="5"/>
      <c r="AB53" s="5"/>
      <c r="AC53" s="5"/>
      <c r="AD53" s="200"/>
      <c r="AE53" s="200"/>
      <c r="AF53" s="5"/>
      <c r="AG53" s="5"/>
      <c r="AH53" s="5"/>
      <c r="AJ53" s="72">
        <f t="shared" si="9"/>
        <v>0</v>
      </c>
    </row>
    <row r="54" spans="2:36" ht="15.75" hidden="1" outlineLevel="1" thickBot="1" x14ac:dyDescent="0.3">
      <c r="B54" s="151"/>
      <c r="C54" s="9" t="s">
        <v>3</v>
      </c>
      <c r="D54" s="8"/>
      <c r="E54" s="8"/>
      <c r="F54" s="8"/>
      <c r="G54" s="8"/>
      <c r="H54" s="8"/>
      <c r="I54" s="201"/>
      <c r="J54" s="201"/>
      <c r="K54" s="8"/>
      <c r="L54" s="8"/>
      <c r="M54" s="8"/>
      <c r="N54" s="8"/>
      <c r="O54" s="8"/>
      <c r="P54" s="201"/>
      <c r="Q54" s="201"/>
      <c r="R54" s="8"/>
      <c r="S54" s="8"/>
      <c r="T54" s="8"/>
      <c r="U54" s="8"/>
      <c r="V54" s="8"/>
      <c r="W54" s="201"/>
      <c r="X54" s="201"/>
      <c r="Y54" s="8"/>
      <c r="Z54" s="8"/>
      <c r="AA54" s="8"/>
      <c r="AB54" s="8"/>
      <c r="AC54" s="8"/>
      <c r="AD54" s="201"/>
      <c r="AE54" s="201"/>
      <c r="AF54" s="8"/>
      <c r="AG54" s="8"/>
      <c r="AH54" s="8"/>
      <c r="AI54" s="7"/>
      <c r="AJ54" s="69">
        <f t="shared" si="9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2"/>
      <c r="E55" s="2"/>
      <c r="F55" s="2"/>
      <c r="G55" s="2"/>
      <c r="H55" s="2"/>
      <c r="I55" s="200"/>
      <c r="J55" s="200"/>
      <c r="K55" s="2"/>
      <c r="L55" s="2"/>
      <c r="M55" s="2"/>
      <c r="N55" s="2"/>
      <c r="O55" s="2"/>
      <c r="P55" s="200"/>
      <c r="Q55" s="200"/>
      <c r="R55" s="2"/>
      <c r="S55" s="2"/>
      <c r="T55" s="2"/>
      <c r="U55" s="2"/>
      <c r="V55" s="2"/>
      <c r="W55" s="200"/>
      <c r="X55" s="200"/>
      <c r="Y55" s="2"/>
      <c r="Z55" s="2"/>
      <c r="AA55" s="2">
        <v>0</v>
      </c>
      <c r="AB55" s="2">
        <v>0</v>
      </c>
      <c r="AC55" s="2">
        <v>0</v>
      </c>
      <c r="AD55" s="200"/>
      <c r="AE55" s="200"/>
      <c r="AF55" s="2">
        <v>8</v>
      </c>
      <c r="AG55" s="2">
        <v>8</v>
      </c>
      <c r="AH55" s="2">
        <v>8</v>
      </c>
      <c r="AJ55" s="64">
        <f>SUM(D55:AH55)</f>
        <v>24</v>
      </c>
    </row>
    <row r="56" spans="2:36" ht="15.75" hidden="1" outlineLevel="1" thickTop="1" x14ac:dyDescent="0.25">
      <c r="B56" s="150"/>
      <c r="C56" s="1" t="s">
        <v>1</v>
      </c>
      <c r="D56" s="3"/>
      <c r="E56" s="3"/>
      <c r="F56" s="3"/>
      <c r="G56" s="3"/>
      <c r="H56" s="3"/>
      <c r="I56" s="200"/>
      <c r="J56" s="200"/>
      <c r="K56" s="3"/>
      <c r="L56" s="3"/>
      <c r="M56" s="3"/>
      <c r="N56" s="3"/>
      <c r="O56" s="3"/>
      <c r="P56" s="200"/>
      <c r="Q56" s="200"/>
      <c r="R56" s="3"/>
      <c r="S56" s="3"/>
      <c r="T56" s="3"/>
      <c r="U56" s="3"/>
      <c r="V56" s="3"/>
      <c r="W56" s="200"/>
      <c r="X56" s="200"/>
      <c r="Y56" s="3"/>
      <c r="Z56" s="3"/>
      <c r="AA56" s="3"/>
      <c r="AB56" s="3"/>
      <c r="AC56" s="3"/>
      <c r="AD56" s="200"/>
      <c r="AE56" s="200"/>
      <c r="AF56" s="3"/>
      <c r="AG56" s="3"/>
      <c r="AH56" s="3"/>
      <c r="AJ56" s="70">
        <f t="shared" ref="AJ56:AJ59" si="10">SUM(D56:AH56)</f>
        <v>0</v>
      </c>
    </row>
    <row r="57" spans="2:36" hidden="1" outlineLevel="1" x14ac:dyDescent="0.25">
      <c r="B57" s="151"/>
      <c r="C57" s="1" t="s">
        <v>2</v>
      </c>
      <c r="D57" s="4"/>
      <c r="E57" s="4"/>
      <c r="F57" s="4"/>
      <c r="G57" s="4"/>
      <c r="H57" s="4"/>
      <c r="I57" s="200"/>
      <c r="J57" s="200"/>
      <c r="K57" s="4"/>
      <c r="L57" s="4"/>
      <c r="M57" s="4"/>
      <c r="N57" s="4"/>
      <c r="O57" s="4"/>
      <c r="P57" s="200"/>
      <c r="Q57" s="200"/>
      <c r="R57" s="4"/>
      <c r="S57" s="4"/>
      <c r="T57" s="4"/>
      <c r="U57" s="4"/>
      <c r="V57" s="4"/>
      <c r="W57" s="200"/>
      <c r="X57" s="200"/>
      <c r="Y57" s="4"/>
      <c r="Z57" s="4"/>
      <c r="AA57" s="4"/>
      <c r="AB57" s="4"/>
      <c r="AC57" s="4"/>
      <c r="AD57" s="200"/>
      <c r="AE57" s="200"/>
      <c r="AF57" s="4"/>
      <c r="AG57" s="4"/>
      <c r="AH57" s="4"/>
      <c r="AJ57" s="71">
        <f t="shared" si="10"/>
        <v>0</v>
      </c>
    </row>
    <row r="58" spans="2:36" hidden="1" outlineLevel="1" x14ac:dyDescent="0.25">
      <c r="B58" s="151"/>
      <c r="C58" s="54" t="s">
        <v>77</v>
      </c>
      <c r="D58" s="5"/>
      <c r="E58" s="5"/>
      <c r="F58" s="5"/>
      <c r="G58" s="5"/>
      <c r="H58" s="5"/>
      <c r="I58" s="200"/>
      <c r="J58" s="200"/>
      <c r="K58" s="5"/>
      <c r="L58" s="5"/>
      <c r="M58" s="5"/>
      <c r="N58" s="5"/>
      <c r="O58" s="5"/>
      <c r="P58" s="200"/>
      <c r="Q58" s="200"/>
      <c r="R58" s="5"/>
      <c r="S58" s="5"/>
      <c r="T58" s="5"/>
      <c r="U58" s="5"/>
      <c r="V58" s="5"/>
      <c r="W58" s="200"/>
      <c r="X58" s="200"/>
      <c r="Y58" s="5"/>
      <c r="Z58" s="5"/>
      <c r="AA58" s="5"/>
      <c r="AB58" s="5"/>
      <c r="AC58" s="5"/>
      <c r="AD58" s="200"/>
      <c r="AE58" s="200"/>
      <c r="AF58" s="5"/>
      <c r="AG58" s="5"/>
      <c r="AH58" s="5"/>
      <c r="AJ58" s="72">
        <f t="shared" si="10"/>
        <v>0</v>
      </c>
    </row>
    <row r="59" spans="2:36" ht="15.75" hidden="1" outlineLevel="1" thickBot="1" x14ac:dyDescent="0.3">
      <c r="B59" s="151"/>
      <c r="C59" s="9" t="s">
        <v>3</v>
      </c>
      <c r="D59" s="8"/>
      <c r="E59" s="8"/>
      <c r="F59" s="8"/>
      <c r="G59" s="8"/>
      <c r="H59" s="8"/>
      <c r="I59" s="201"/>
      <c r="J59" s="201"/>
      <c r="K59" s="8"/>
      <c r="L59" s="8"/>
      <c r="M59" s="8"/>
      <c r="N59" s="8"/>
      <c r="O59" s="8"/>
      <c r="P59" s="201"/>
      <c r="Q59" s="201"/>
      <c r="R59" s="8"/>
      <c r="S59" s="8"/>
      <c r="T59" s="8"/>
      <c r="U59" s="8"/>
      <c r="V59" s="8"/>
      <c r="W59" s="201"/>
      <c r="X59" s="201"/>
      <c r="Y59" s="8"/>
      <c r="Z59" s="8"/>
      <c r="AA59" s="8"/>
      <c r="AB59" s="8"/>
      <c r="AC59" s="8"/>
      <c r="AD59" s="201"/>
      <c r="AE59" s="201"/>
      <c r="AF59" s="8"/>
      <c r="AG59" s="8"/>
      <c r="AH59" s="8"/>
      <c r="AI59" s="7"/>
      <c r="AJ59" s="69">
        <f t="shared" si="10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2"/>
      <c r="E60" s="2"/>
      <c r="F60" s="200"/>
      <c r="G60" s="2"/>
      <c r="H60" s="2"/>
      <c r="I60" s="200"/>
      <c r="J60" s="200"/>
      <c r="K60" s="2"/>
      <c r="L60" s="2"/>
      <c r="M60" s="200"/>
      <c r="N60" s="2"/>
      <c r="O60" s="2"/>
      <c r="P60" s="200"/>
      <c r="Q60" s="200"/>
      <c r="R60" s="2"/>
      <c r="S60" s="2"/>
      <c r="T60" s="200"/>
      <c r="U60" s="2"/>
      <c r="V60" s="2"/>
      <c r="W60" s="200"/>
      <c r="X60" s="200"/>
      <c r="Y60" s="2"/>
      <c r="Z60" s="2"/>
      <c r="AA60" s="200"/>
      <c r="AB60" s="2"/>
      <c r="AC60" s="2"/>
      <c r="AD60" s="200"/>
      <c r="AE60" s="200"/>
      <c r="AF60" s="2"/>
      <c r="AG60" s="2"/>
      <c r="AH60" s="200"/>
      <c r="AJ60" s="64">
        <f>SUM(D60:AH60)</f>
        <v>0</v>
      </c>
    </row>
    <row r="61" spans="2:36" ht="15.75" hidden="1" outlineLevel="1" thickTop="1" x14ac:dyDescent="0.25">
      <c r="B61" s="150"/>
      <c r="C61" s="1" t="s">
        <v>1</v>
      </c>
      <c r="D61" s="3"/>
      <c r="E61" s="3"/>
      <c r="F61" s="3"/>
      <c r="G61" s="3"/>
      <c r="H61" s="3"/>
      <c r="I61" s="200"/>
      <c r="J61" s="200"/>
      <c r="K61" s="3"/>
      <c r="L61" s="3"/>
      <c r="M61" s="3"/>
      <c r="N61" s="3"/>
      <c r="O61" s="3"/>
      <c r="P61" s="200"/>
      <c r="Q61" s="200"/>
      <c r="R61" s="3"/>
      <c r="S61" s="3"/>
      <c r="T61" s="3"/>
      <c r="U61" s="3"/>
      <c r="V61" s="3"/>
      <c r="W61" s="200"/>
      <c r="X61" s="200"/>
      <c r="Y61" s="3"/>
      <c r="Z61" s="3"/>
      <c r="AA61" s="3"/>
      <c r="AB61" s="3"/>
      <c r="AC61" s="3"/>
      <c r="AD61" s="200"/>
      <c r="AE61" s="200"/>
      <c r="AF61" s="3"/>
      <c r="AG61" s="3"/>
      <c r="AH61" s="3"/>
      <c r="AJ61" s="70">
        <f t="shared" ref="AJ61:AJ64" si="11">SUM(D61:AH61)</f>
        <v>0</v>
      </c>
    </row>
    <row r="62" spans="2:36" hidden="1" outlineLevel="1" x14ac:dyDescent="0.25">
      <c r="B62" s="151"/>
      <c r="C62" s="1" t="s">
        <v>2</v>
      </c>
      <c r="D62" s="4"/>
      <c r="E62" s="4"/>
      <c r="F62" s="4"/>
      <c r="G62" s="4"/>
      <c r="H62" s="4"/>
      <c r="I62" s="200"/>
      <c r="J62" s="200"/>
      <c r="K62" s="4"/>
      <c r="L62" s="4"/>
      <c r="M62" s="4"/>
      <c r="N62" s="4"/>
      <c r="O62" s="4"/>
      <c r="P62" s="200"/>
      <c r="Q62" s="200"/>
      <c r="R62" s="4"/>
      <c r="S62" s="4"/>
      <c r="T62" s="4"/>
      <c r="U62" s="4"/>
      <c r="V62" s="4"/>
      <c r="W62" s="200"/>
      <c r="X62" s="200"/>
      <c r="Y62" s="4"/>
      <c r="Z62" s="4"/>
      <c r="AA62" s="4"/>
      <c r="AB62" s="4"/>
      <c r="AC62" s="4"/>
      <c r="AD62" s="200"/>
      <c r="AE62" s="200"/>
      <c r="AF62" s="4"/>
      <c r="AG62" s="4"/>
      <c r="AH62" s="4"/>
      <c r="AJ62" s="71">
        <f t="shared" si="11"/>
        <v>0</v>
      </c>
    </row>
    <row r="63" spans="2:36" hidden="1" outlineLevel="1" x14ac:dyDescent="0.25">
      <c r="B63" s="151"/>
      <c r="C63" s="54" t="s">
        <v>77</v>
      </c>
      <c r="D63" s="5"/>
      <c r="E63" s="5"/>
      <c r="F63" s="5"/>
      <c r="G63" s="5"/>
      <c r="H63" s="5"/>
      <c r="I63" s="200"/>
      <c r="J63" s="200"/>
      <c r="K63" s="5"/>
      <c r="L63" s="5"/>
      <c r="M63" s="5"/>
      <c r="N63" s="5"/>
      <c r="O63" s="5"/>
      <c r="P63" s="200"/>
      <c r="Q63" s="200"/>
      <c r="R63" s="5"/>
      <c r="S63" s="5"/>
      <c r="T63" s="5"/>
      <c r="U63" s="5"/>
      <c r="V63" s="5"/>
      <c r="W63" s="200"/>
      <c r="X63" s="200"/>
      <c r="Y63" s="5"/>
      <c r="Z63" s="5"/>
      <c r="AA63" s="5"/>
      <c r="AB63" s="5"/>
      <c r="AC63" s="5"/>
      <c r="AD63" s="200"/>
      <c r="AE63" s="200"/>
      <c r="AF63" s="5"/>
      <c r="AG63" s="5"/>
      <c r="AH63" s="5"/>
      <c r="AJ63" s="72">
        <f t="shared" si="11"/>
        <v>0</v>
      </c>
    </row>
    <row r="64" spans="2:36" ht="15.75" hidden="1" outlineLevel="1" thickBot="1" x14ac:dyDescent="0.3">
      <c r="B64" s="151"/>
      <c r="C64" s="9" t="s">
        <v>3</v>
      </c>
      <c r="D64" s="8"/>
      <c r="E64" s="8"/>
      <c r="F64" s="8"/>
      <c r="G64" s="8"/>
      <c r="H64" s="8"/>
      <c r="I64" s="201"/>
      <c r="J64" s="201"/>
      <c r="K64" s="8"/>
      <c r="L64" s="8"/>
      <c r="M64" s="8"/>
      <c r="N64" s="8"/>
      <c r="O64" s="8"/>
      <c r="P64" s="201"/>
      <c r="Q64" s="201"/>
      <c r="R64" s="8"/>
      <c r="S64" s="8"/>
      <c r="T64" s="8"/>
      <c r="U64" s="8"/>
      <c r="V64" s="8"/>
      <c r="W64" s="201"/>
      <c r="X64" s="201"/>
      <c r="Y64" s="8"/>
      <c r="Z64" s="8"/>
      <c r="AA64" s="8"/>
      <c r="AB64" s="8"/>
      <c r="AC64" s="8"/>
      <c r="AD64" s="201"/>
      <c r="AE64" s="201"/>
      <c r="AF64" s="8"/>
      <c r="AG64" s="8"/>
      <c r="AH64" s="8"/>
      <c r="AI64" s="7"/>
      <c r="AJ64" s="69">
        <f t="shared" si="11"/>
        <v>0</v>
      </c>
    </row>
    <row r="65" spans="2:36" ht="16.5" collapsed="1" thickTop="1" thickBot="1" x14ac:dyDescent="0.3">
      <c r="B65" s="253" t="str">
        <f>'Hours Scheduled'!B16</f>
        <v>Jim van der Weijden</v>
      </c>
      <c r="C65" t="s">
        <v>0</v>
      </c>
      <c r="D65" s="2"/>
      <c r="E65" s="2"/>
      <c r="F65" s="2"/>
      <c r="G65" s="2"/>
      <c r="H65" s="2"/>
      <c r="I65" s="200"/>
      <c r="J65" s="200"/>
      <c r="K65" s="2"/>
      <c r="L65" s="2"/>
      <c r="M65" s="2"/>
      <c r="N65" s="2"/>
      <c r="O65" s="2"/>
      <c r="P65" s="200"/>
      <c r="Q65" s="200"/>
      <c r="R65" s="2"/>
      <c r="S65" s="2"/>
      <c r="T65" s="2"/>
      <c r="U65" s="2"/>
      <c r="V65" s="2"/>
      <c r="W65" s="200"/>
      <c r="X65" s="200"/>
      <c r="Y65" s="2"/>
      <c r="Z65" s="2"/>
      <c r="AA65" s="2"/>
      <c r="AB65" s="2"/>
      <c r="AC65" s="2"/>
      <c r="AD65" s="200"/>
      <c r="AE65" s="200"/>
      <c r="AF65" s="2"/>
      <c r="AG65" s="2"/>
      <c r="AH65" s="2"/>
      <c r="AJ65" s="64">
        <f>SUM(D65:AH65)</f>
        <v>0</v>
      </c>
    </row>
    <row r="66" spans="2:36" ht="15.75" hidden="1" outlineLevel="1" thickTop="1" x14ac:dyDescent="0.25">
      <c r="B66" s="150"/>
      <c r="C66" s="1" t="s">
        <v>1</v>
      </c>
      <c r="D66" s="3"/>
      <c r="E66" s="3"/>
      <c r="F66" s="3"/>
      <c r="G66" s="3"/>
      <c r="H66" s="3"/>
      <c r="I66" s="200"/>
      <c r="J66" s="200"/>
      <c r="K66" s="3"/>
      <c r="L66" s="3"/>
      <c r="M66" s="3"/>
      <c r="N66" s="3"/>
      <c r="O66" s="3"/>
      <c r="P66" s="200"/>
      <c r="Q66" s="200"/>
      <c r="R66" s="3"/>
      <c r="S66" s="3"/>
      <c r="T66" s="3"/>
      <c r="U66" s="3"/>
      <c r="V66" s="3"/>
      <c r="W66" s="200"/>
      <c r="X66" s="200"/>
      <c r="Y66" s="3"/>
      <c r="Z66" s="3"/>
      <c r="AA66" s="3"/>
      <c r="AB66" s="3"/>
      <c r="AC66" s="3"/>
      <c r="AD66" s="200"/>
      <c r="AE66" s="200"/>
      <c r="AF66" s="3"/>
      <c r="AG66" s="3"/>
      <c r="AH66" s="3"/>
      <c r="AJ66" s="70">
        <f t="shared" ref="AJ66:AJ69" si="12">SUM(D66:AH66)</f>
        <v>0</v>
      </c>
    </row>
    <row r="67" spans="2:36" hidden="1" outlineLevel="1" x14ac:dyDescent="0.25">
      <c r="B67" s="151"/>
      <c r="C67" s="1" t="s">
        <v>2</v>
      </c>
      <c r="D67" s="4"/>
      <c r="E67" s="4"/>
      <c r="F67" s="4"/>
      <c r="G67" s="4"/>
      <c r="H67" s="4"/>
      <c r="I67" s="200"/>
      <c r="J67" s="200"/>
      <c r="K67" s="4"/>
      <c r="L67" s="4"/>
      <c r="M67" s="4"/>
      <c r="N67" s="4"/>
      <c r="O67" s="4"/>
      <c r="P67" s="200"/>
      <c r="Q67" s="200"/>
      <c r="R67" s="4"/>
      <c r="S67" s="4"/>
      <c r="T67" s="4"/>
      <c r="U67" s="4"/>
      <c r="V67" s="4"/>
      <c r="W67" s="200"/>
      <c r="X67" s="200"/>
      <c r="Y67" s="4"/>
      <c r="Z67" s="4"/>
      <c r="AA67" s="4"/>
      <c r="AB67" s="4"/>
      <c r="AC67" s="4"/>
      <c r="AD67" s="200"/>
      <c r="AE67" s="200"/>
      <c r="AF67" s="4"/>
      <c r="AG67" s="4"/>
      <c r="AH67" s="4"/>
      <c r="AJ67" s="71">
        <f t="shared" si="12"/>
        <v>0</v>
      </c>
    </row>
    <row r="68" spans="2:36" hidden="1" outlineLevel="1" x14ac:dyDescent="0.25">
      <c r="B68" s="151"/>
      <c r="C68" s="54" t="s">
        <v>77</v>
      </c>
      <c r="D68" s="5"/>
      <c r="E68" s="5"/>
      <c r="F68" s="5"/>
      <c r="G68" s="5"/>
      <c r="H68" s="5"/>
      <c r="I68" s="200"/>
      <c r="J68" s="200"/>
      <c r="K68" s="5"/>
      <c r="L68" s="5"/>
      <c r="M68" s="5"/>
      <c r="N68" s="5"/>
      <c r="O68" s="5"/>
      <c r="P68" s="200"/>
      <c r="Q68" s="200"/>
      <c r="R68" s="5"/>
      <c r="S68" s="5"/>
      <c r="T68" s="5"/>
      <c r="U68" s="5"/>
      <c r="V68" s="5"/>
      <c r="W68" s="200"/>
      <c r="X68" s="200"/>
      <c r="Y68" s="5"/>
      <c r="Z68" s="5"/>
      <c r="AA68" s="5"/>
      <c r="AB68" s="5"/>
      <c r="AC68" s="5"/>
      <c r="AD68" s="200"/>
      <c r="AE68" s="200"/>
      <c r="AF68" s="5"/>
      <c r="AG68" s="5"/>
      <c r="AH68" s="5"/>
      <c r="AJ68" s="72">
        <f t="shared" si="12"/>
        <v>0</v>
      </c>
    </row>
    <row r="69" spans="2:36" ht="15.75" hidden="1" outlineLevel="1" thickBot="1" x14ac:dyDescent="0.3">
      <c r="B69" s="151"/>
      <c r="C69" s="9" t="s">
        <v>3</v>
      </c>
      <c r="D69" s="8"/>
      <c r="E69" s="8"/>
      <c r="F69" s="8"/>
      <c r="G69" s="8"/>
      <c r="H69" s="8"/>
      <c r="I69" s="201"/>
      <c r="J69" s="201"/>
      <c r="K69" s="8"/>
      <c r="L69" s="8"/>
      <c r="M69" s="8"/>
      <c r="N69" s="8"/>
      <c r="O69" s="8"/>
      <c r="P69" s="201"/>
      <c r="Q69" s="201"/>
      <c r="R69" s="8"/>
      <c r="S69" s="8"/>
      <c r="T69" s="8"/>
      <c r="U69" s="8"/>
      <c r="V69" s="8"/>
      <c r="W69" s="201"/>
      <c r="X69" s="201"/>
      <c r="Y69" s="8"/>
      <c r="Z69" s="8"/>
      <c r="AA69" s="8"/>
      <c r="AB69" s="8"/>
      <c r="AC69" s="8"/>
      <c r="AD69" s="201"/>
      <c r="AE69" s="201"/>
      <c r="AF69" s="8"/>
      <c r="AG69" s="8"/>
      <c r="AH69" s="8"/>
      <c r="AI69" s="7"/>
      <c r="AJ69" s="69">
        <f t="shared" si="1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2"/>
      <c r="E70" s="2"/>
      <c r="F70" s="2"/>
      <c r="G70" s="2"/>
      <c r="H70" s="2"/>
      <c r="I70" s="200"/>
      <c r="J70" s="200"/>
      <c r="K70" s="2"/>
      <c r="L70" s="2"/>
      <c r="M70" s="2"/>
      <c r="N70" s="2"/>
      <c r="O70" s="2"/>
      <c r="P70" s="200"/>
      <c r="Q70" s="200"/>
      <c r="R70" s="2"/>
      <c r="S70" s="2"/>
      <c r="T70" s="2"/>
      <c r="U70" s="2"/>
      <c r="V70" s="2"/>
      <c r="W70" s="200"/>
      <c r="X70" s="200"/>
      <c r="Y70" s="2"/>
      <c r="Z70" s="2"/>
      <c r="AA70" s="2"/>
      <c r="AB70" s="2"/>
      <c r="AC70" s="2"/>
      <c r="AD70" s="200"/>
      <c r="AE70" s="200"/>
      <c r="AF70" s="2"/>
      <c r="AG70" s="2"/>
      <c r="AH70" s="2"/>
      <c r="AJ70" s="64">
        <f>SUM(D70:AH70)</f>
        <v>0</v>
      </c>
    </row>
    <row r="71" spans="2:36" ht="15.75" hidden="1" outlineLevel="1" thickTop="1" x14ac:dyDescent="0.25">
      <c r="B71" s="150"/>
      <c r="C71" s="1" t="s">
        <v>1</v>
      </c>
      <c r="D71" s="3"/>
      <c r="E71" s="3"/>
      <c r="F71" s="3"/>
      <c r="G71" s="3"/>
      <c r="H71" s="3"/>
      <c r="I71" s="200"/>
      <c r="J71" s="200"/>
      <c r="K71" s="3"/>
      <c r="L71" s="3"/>
      <c r="M71" s="3"/>
      <c r="N71" s="3"/>
      <c r="O71" s="3"/>
      <c r="P71" s="200"/>
      <c r="Q71" s="200"/>
      <c r="R71" s="3"/>
      <c r="S71" s="3"/>
      <c r="T71" s="3"/>
      <c r="U71" s="3"/>
      <c r="V71" s="3"/>
      <c r="W71" s="200"/>
      <c r="X71" s="200"/>
      <c r="Y71" s="3"/>
      <c r="Z71" s="3"/>
      <c r="AA71" s="3"/>
      <c r="AB71" s="3"/>
      <c r="AC71" s="3"/>
      <c r="AD71" s="200"/>
      <c r="AE71" s="200"/>
      <c r="AF71" s="3"/>
      <c r="AG71" s="3"/>
      <c r="AH71" s="3"/>
      <c r="AJ71" s="70">
        <f t="shared" ref="AJ71:AJ74" si="13">SUM(D71:AH71)</f>
        <v>0</v>
      </c>
    </row>
    <row r="72" spans="2:36" hidden="1" outlineLevel="1" x14ac:dyDescent="0.25">
      <c r="B72" s="151"/>
      <c r="C72" s="1" t="s">
        <v>2</v>
      </c>
      <c r="D72" s="4"/>
      <c r="E72" s="4"/>
      <c r="F72" s="4"/>
      <c r="G72" s="4"/>
      <c r="H72" s="4"/>
      <c r="I72" s="200"/>
      <c r="J72" s="200"/>
      <c r="K72" s="4"/>
      <c r="L72" s="4"/>
      <c r="M72" s="4"/>
      <c r="N72" s="4"/>
      <c r="O72" s="4"/>
      <c r="P72" s="200"/>
      <c r="Q72" s="200"/>
      <c r="R72" s="4"/>
      <c r="S72" s="4"/>
      <c r="T72" s="4"/>
      <c r="U72" s="4"/>
      <c r="V72" s="4"/>
      <c r="W72" s="200"/>
      <c r="X72" s="200"/>
      <c r="Y72" s="4"/>
      <c r="Z72" s="4"/>
      <c r="AA72" s="4"/>
      <c r="AB72" s="4"/>
      <c r="AC72" s="4"/>
      <c r="AD72" s="200"/>
      <c r="AE72" s="200"/>
      <c r="AF72" s="4"/>
      <c r="AG72" s="4"/>
      <c r="AH72" s="4"/>
      <c r="AJ72" s="71">
        <f t="shared" si="13"/>
        <v>0</v>
      </c>
    </row>
    <row r="73" spans="2:36" hidden="1" outlineLevel="1" x14ac:dyDescent="0.25">
      <c r="B73" s="151"/>
      <c r="C73" s="54" t="s">
        <v>77</v>
      </c>
      <c r="D73" s="5"/>
      <c r="E73" s="5"/>
      <c r="F73" s="5"/>
      <c r="G73" s="5"/>
      <c r="H73" s="5"/>
      <c r="I73" s="200"/>
      <c r="J73" s="200"/>
      <c r="K73" s="5"/>
      <c r="L73" s="5"/>
      <c r="M73" s="5"/>
      <c r="N73" s="5"/>
      <c r="O73" s="5"/>
      <c r="P73" s="200"/>
      <c r="Q73" s="200"/>
      <c r="R73" s="5"/>
      <c r="S73" s="5"/>
      <c r="T73" s="5"/>
      <c r="U73" s="5"/>
      <c r="V73" s="5"/>
      <c r="W73" s="200"/>
      <c r="X73" s="200"/>
      <c r="Y73" s="5"/>
      <c r="Z73" s="5"/>
      <c r="AA73" s="5"/>
      <c r="AB73" s="5"/>
      <c r="AC73" s="5"/>
      <c r="AD73" s="200"/>
      <c r="AE73" s="200"/>
      <c r="AF73" s="5"/>
      <c r="AG73" s="5"/>
      <c r="AH73" s="5"/>
      <c r="AJ73" s="72">
        <f t="shared" si="13"/>
        <v>0</v>
      </c>
    </row>
    <row r="74" spans="2:36" ht="15.75" hidden="1" outlineLevel="1" thickBot="1" x14ac:dyDescent="0.3">
      <c r="B74" s="151"/>
      <c r="C74" s="9" t="s">
        <v>3</v>
      </c>
      <c r="D74" s="8"/>
      <c r="E74" s="8"/>
      <c r="F74" s="8"/>
      <c r="G74" s="8"/>
      <c r="H74" s="8"/>
      <c r="I74" s="201"/>
      <c r="J74" s="201"/>
      <c r="K74" s="8"/>
      <c r="L74" s="8"/>
      <c r="M74" s="8"/>
      <c r="N74" s="8"/>
      <c r="O74" s="8"/>
      <c r="P74" s="201"/>
      <c r="Q74" s="201"/>
      <c r="R74" s="8"/>
      <c r="S74" s="8"/>
      <c r="T74" s="8"/>
      <c r="U74" s="8"/>
      <c r="V74" s="8"/>
      <c r="W74" s="201"/>
      <c r="X74" s="201"/>
      <c r="Y74" s="8"/>
      <c r="Z74" s="8"/>
      <c r="AA74" s="8"/>
      <c r="AB74" s="8"/>
      <c r="AC74" s="8"/>
      <c r="AD74" s="201"/>
      <c r="AE74" s="201"/>
      <c r="AF74" s="8"/>
      <c r="AG74" s="8"/>
      <c r="AH74" s="8"/>
      <c r="AI74" s="7"/>
      <c r="AJ74" s="69">
        <f t="shared" si="13"/>
        <v>0</v>
      </c>
    </row>
    <row r="75" spans="2:36" ht="16.5" collapsed="1" thickTop="1" thickBot="1" x14ac:dyDescent="0.3">
      <c r="B75" s="253" t="str">
        <f>'Hours Scheduled'!B18</f>
        <v>Kevin Ploum</v>
      </c>
      <c r="C75" t="s">
        <v>0</v>
      </c>
      <c r="D75" s="2"/>
      <c r="E75" s="2"/>
      <c r="F75" s="2"/>
      <c r="G75" s="2"/>
      <c r="H75" s="2"/>
      <c r="I75" s="200"/>
      <c r="J75" s="200"/>
      <c r="K75" s="2"/>
      <c r="L75" s="2"/>
      <c r="M75" s="2"/>
      <c r="N75" s="2"/>
      <c r="O75" s="2"/>
      <c r="P75" s="200"/>
      <c r="Q75" s="200"/>
      <c r="R75" s="2"/>
      <c r="S75" s="2"/>
      <c r="T75" s="2"/>
      <c r="U75" s="2"/>
      <c r="V75" s="2"/>
      <c r="W75" s="200"/>
      <c r="X75" s="200"/>
      <c r="Y75" s="2"/>
      <c r="Z75" s="2"/>
      <c r="AA75" s="2"/>
      <c r="AB75" s="2"/>
      <c r="AC75" s="2"/>
      <c r="AD75" s="200"/>
      <c r="AE75" s="200"/>
      <c r="AF75" s="2"/>
      <c r="AG75" s="2"/>
      <c r="AH75" s="2"/>
      <c r="AJ75" s="64">
        <f>SUM(D75:AH75)</f>
        <v>0</v>
      </c>
    </row>
    <row r="76" spans="2:36" ht="15.75" hidden="1" outlineLevel="1" thickTop="1" x14ac:dyDescent="0.25">
      <c r="B76" s="150"/>
      <c r="C76" s="1" t="s">
        <v>1</v>
      </c>
      <c r="D76" s="3"/>
      <c r="E76" s="3"/>
      <c r="F76" s="3"/>
      <c r="G76" s="3"/>
      <c r="H76" s="3"/>
      <c r="I76" s="200"/>
      <c r="J76" s="200"/>
      <c r="K76" s="3"/>
      <c r="L76" s="3"/>
      <c r="M76" s="3"/>
      <c r="N76" s="3"/>
      <c r="O76" s="3"/>
      <c r="P76" s="200"/>
      <c r="Q76" s="200"/>
      <c r="R76" s="3"/>
      <c r="S76" s="3"/>
      <c r="T76" s="3"/>
      <c r="U76" s="3"/>
      <c r="V76" s="3"/>
      <c r="W76" s="200"/>
      <c r="X76" s="200"/>
      <c r="Y76" s="3"/>
      <c r="Z76" s="3"/>
      <c r="AA76" s="3"/>
      <c r="AB76" s="3"/>
      <c r="AC76" s="3"/>
      <c r="AD76" s="200"/>
      <c r="AE76" s="200"/>
      <c r="AF76" s="3"/>
      <c r="AG76" s="3"/>
      <c r="AH76" s="3"/>
      <c r="AJ76" s="70">
        <f t="shared" ref="AJ76:AJ79" si="14">SUM(D76:AH76)</f>
        <v>0</v>
      </c>
    </row>
    <row r="77" spans="2:36" hidden="1" outlineLevel="1" x14ac:dyDescent="0.25">
      <c r="B77" s="151"/>
      <c r="C77" s="1" t="s">
        <v>2</v>
      </c>
      <c r="D77" s="4"/>
      <c r="E77" s="4"/>
      <c r="F77" s="4"/>
      <c r="G77" s="4"/>
      <c r="H77" s="4"/>
      <c r="I77" s="200"/>
      <c r="J77" s="200"/>
      <c r="K77" s="4"/>
      <c r="L77" s="4"/>
      <c r="M77" s="4"/>
      <c r="N77" s="4"/>
      <c r="O77" s="4"/>
      <c r="P77" s="200"/>
      <c r="Q77" s="200"/>
      <c r="R77" s="4"/>
      <c r="S77" s="4"/>
      <c r="T77" s="4"/>
      <c r="U77" s="4"/>
      <c r="V77" s="4"/>
      <c r="W77" s="200"/>
      <c r="X77" s="200"/>
      <c r="Y77" s="4"/>
      <c r="Z77" s="4"/>
      <c r="AA77" s="4"/>
      <c r="AB77" s="4"/>
      <c r="AC77" s="4"/>
      <c r="AD77" s="200"/>
      <c r="AE77" s="200"/>
      <c r="AF77" s="4"/>
      <c r="AG77" s="4"/>
      <c r="AH77" s="4"/>
      <c r="AJ77" s="71">
        <f t="shared" si="14"/>
        <v>0</v>
      </c>
    </row>
    <row r="78" spans="2:36" hidden="1" outlineLevel="1" x14ac:dyDescent="0.25">
      <c r="B78" s="151"/>
      <c r="C78" s="54" t="s">
        <v>77</v>
      </c>
      <c r="D78" s="5"/>
      <c r="E78" s="5"/>
      <c r="F78" s="5"/>
      <c r="G78" s="5"/>
      <c r="H78" s="5"/>
      <c r="I78" s="200"/>
      <c r="J78" s="200"/>
      <c r="K78" s="5"/>
      <c r="L78" s="5"/>
      <c r="M78" s="5"/>
      <c r="N78" s="5"/>
      <c r="O78" s="5"/>
      <c r="P78" s="200"/>
      <c r="Q78" s="200"/>
      <c r="R78" s="5"/>
      <c r="S78" s="5"/>
      <c r="T78" s="5"/>
      <c r="U78" s="5"/>
      <c r="V78" s="5"/>
      <c r="W78" s="200"/>
      <c r="X78" s="200"/>
      <c r="Y78" s="5"/>
      <c r="Z78" s="5"/>
      <c r="AA78" s="5"/>
      <c r="AB78" s="5"/>
      <c r="AC78" s="5"/>
      <c r="AD78" s="200"/>
      <c r="AE78" s="200"/>
      <c r="AF78" s="5"/>
      <c r="AG78" s="5"/>
      <c r="AH78" s="5"/>
      <c r="AJ78" s="72">
        <f t="shared" si="14"/>
        <v>0</v>
      </c>
    </row>
    <row r="79" spans="2:36" ht="15.75" hidden="1" outlineLevel="1" thickBot="1" x14ac:dyDescent="0.3">
      <c r="B79" s="151"/>
      <c r="C79" s="9" t="s">
        <v>3</v>
      </c>
      <c r="D79" s="8"/>
      <c r="E79" s="8"/>
      <c r="F79" s="8"/>
      <c r="G79" s="8"/>
      <c r="H79" s="8"/>
      <c r="I79" s="201"/>
      <c r="J79" s="201"/>
      <c r="K79" s="8"/>
      <c r="L79" s="8"/>
      <c r="M79" s="8"/>
      <c r="N79" s="8"/>
      <c r="O79" s="8"/>
      <c r="P79" s="201"/>
      <c r="Q79" s="201"/>
      <c r="R79" s="8"/>
      <c r="S79" s="8"/>
      <c r="T79" s="8"/>
      <c r="U79" s="8"/>
      <c r="V79" s="8"/>
      <c r="W79" s="201"/>
      <c r="X79" s="201"/>
      <c r="Y79" s="8"/>
      <c r="Z79" s="8"/>
      <c r="AA79" s="8"/>
      <c r="AB79" s="8"/>
      <c r="AC79" s="8"/>
      <c r="AD79" s="201"/>
      <c r="AE79" s="201"/>
      <c r="AF79" s="8"/>
      <c r="AG79" s="8"/>
      <c r="AH79" s="8"/>
      <c r="AI79" s="7"/>
      <c r="AJ79" s="69">
        <f t="shared" si="14"/>
        <v>0</v>
      </c>
    </row>
    <row r="80" spans="2:36" ht="16.5" collapsed="1" thickTop="1" thickBot="1" x14ac:dyDescent="0.3">
      <c r="B80" s="253" t="str">
        <f>'Hours Scheduled'!B19</f>
        <v>Loek Moling</v>
      </c>
      <c r="C80" t="s">
        <v>0</v>
      </c>
      <c r="D80" s="2"/>
      <c r="E80" s="2"/>
      <c r="F80" s="2"/>
      <c r="G80" s="2"/>
      <c r="H80" s="2"/>
      <c r="I80" s="200"/>
      <c r="J80" s="200"/>
      <c r="K80" s="2"/>
      <c r="L80" s="2"/>
      <c r="M80" s="2"/>
      <c r="N80" s="2"/>
      <c r="O80" s="2"/>
      <c r="P80" s="200"/>
      <c r="Q80" s="200"/>
      <c r="R80" s="2"/>
      <c r="S80" s="2"/>
      <c r="T80" s="2"/>
      <c r="U80" s="2"/>
      <c r="V80" s="2"/>
      <c r="W80" s="200"/>
      <c r="X80" s="200"/>
      <c r="Y80" s="2"/>
      <c r="Z80" s="2"/>
      <c r="AA80" s="2"/>
      <c r="AB80" s="2"/>
      <c r="AC80" s="2"/>
      <c r="AD80" s="200"/>
      <c r="AE80" s="200"/>
      <c r="AF80" s="2"/>
      <c r="AG80" s="2"/>
      <c r="AH80" s="2"/>
      <c r="AJ80" s="64">
        <f>SUM(D80:AH80)</f>
        <v>0</v>
      </c>
    </row>
    <row r="81" spans="2:36" ht="15.75" hidden="1" outlineLevel="1" thickTop="1" x14ac:dyDescent="0.25">
      <c r="B81" s="150"/>
      <c r="C81" s="1" t="s">
        <v>1</v>
      </c>
      <c r="D81" s="3"/>
      <c r="E81" s="3"/>
      <c r="F81" s="3"/>
      <c r="G81" s="3"/>
      <c r="H81" s="3"/>
      <c r="I81" s="200"/>
      <c r="J81" s="200"/>
      <c r="K81" s="3"/>
      <c r="L81" s="3"/>
      <c r="M81" s="3"/>
      <c r="N81" s="3"/>
      <c r="O81" s="3"/>
      <c r="P81" s="200"/>
      <c r="Q81" s="200"/>
      <c r="R81" s="3"/>
      <c r="S81" s="3"/>
      <c r="T81" s="3"/>
      <c r="U81" s="3"/>
      <c r="V81" s="3"/>
      <c r="W81" s="200"/>
      <c r="X81" s="200"/>
      <c r="Y81" s="3"/>
      <c r="Z81" s="3"/>
      <c r="AA81" s="3"/>
      <c r="AB81" s="3"/>
      <c r="AC81" s="3"/>
      <c r="AD81" s="200"/>
      <c r="AE81" s="200"/>
      <c r="AF81" s="3"/>
      <c r="AG81" s="3"/>
      <c r="AH81" s="3"/>
      <c r="AJ81" s="70">
        <f t="shared" ref="AJ81:AJ84" si="15">SUM(D81:AH81)</f>
        <v>0</v>
      </c>
    </row>
    <row r="82" spans="2:36" hidden="1" outlineLevel="1" x14ac:dyDescent="0.25">
      <c r="B82" s="151"/>
      <c r="C82" s="1" t="s">
        <v>2</v>
      </c>
      <c r="D82" s="4"/>
      <c r="E82" s="4"/>
      <c r="F82" s="4"/>
      <c r="G82" s="4"/>
      <c r="H82" s="4"/>
      <c r="I82" s="200"/>
      <c r="J82" s="200"/>
      <c r="K82" s="4"/>
      <c r="L82" s="4"/>
      <c r="M82" s="4"/>
      <c r="N82" s="4"/>
      <c r="O82" s="4"/>
      <c r="P82" s="200"/>
      <c r="Q82" s="200"/>
      <c r="R82" s="4"/>
      <c r="S82" s="4"/>
      <c r="T82" s="4"/>
      <c r="U82" s="4"/>
      <c r="V82" s="4"/>
      <c r="W82" s="200"/>
      <c r="X82" s="200"/>
      <c r="Y82" s="4"/>
      <c r="Z82" s="4"/>
      <c r="AA82" s="4"/>
      <c r="AB82" s="4"/>
      <c r="AC82" s="4"/>
      <c r="AD82" s="200"/>
      <c r="AE82" s="200"/>
      <c r="AF82" s="4"/>
      <c r="AG82" s="4"/>
      <c r="AH82" s="4"/>
      <c r="AJ82" s="71">
        <f t="shared" si="15"/>
        <v>0</v>
      </c>
    </row>
    <row r="83" spans="2:36" hidden="1" outlineLevel="1" x14ac:dyDescent="0.25">
      <c r="B83" s="151"/>
      <c r="C83" s="54" t="s">
        <v>77</v>
      </c>
      <c r="D83" s="5"/>
      <c r="E83" s="5"/>
      <c r="F83" s="5"/>
      <c r="G83" s="5"/>
      <c r="H83" s="5"/>
      <c r="I83" s="200"/>
      <c r="J83" s="200"/>
      <c r="K83" s="5"/>
      <c r="L83" s="5"/>
      <c r="M83" s="5"/>
      <c r="N83" s="5"/>
      <c r="O83" s="5"/>
      <c r="P83" s="200"/>
      <c r="Q83" s="200"/>
      <c r="R83" s="5"/>
      <c r="S83" s="5"/>
      <c r="T83" s="5"/>
      <c r="U83" s="5"/>
      <c r="V83" s="5"/>
      <c r="W83" s="200"/>
      <c r="X83" s="200"/>
      <c r="Y83" s="5"/>
      <c r="Z83" s="5"/>
      <c r="AA83" s="5"/>
      <c r="AB83" s="5"/>
      <c r="AC83" s="5"/>
      <c r="AD83" s="200"/>
      <c r="AE83" s="200"/>
      <c r="AF83" s="5"/>
      <c r="AG83" s="5"/>
      <c r="AH83" s="5"/>
      <c r="AJ83" s="72">
        <f t="shared" si="15"/>
        <v>0</v>
      </c>
    </row>
    <row r="84" spans="2:36" ht="15.75" hidden="1" outlineLevel="1" thickBot="1" x14ac:dyDescent="0.3">
      <c r="B84" s="151"/>
      <c r="C84" s="9" t="s">
        <v>3</v>
      </c>
      <c r="D84" s="8"/>
      <c r="E84" s="8"/>
      <c r="F84" s="8"/>
      <c r="G84" s="8"/>
      <c r="H84" s="8"/>
      <c r="I84" s="201"/>
      <c r="J84" s="201"/>
      <c r="K84" s="8"/>
      <c r="L84" s="8"/>
      <c r="M84" s="8"/>
      <c r="N84" s="8"/>
      <c r="O84" s="8"/>
      <c r="P84" s="201"/>
      <c r="Q84" s="201"/>
      <c r="R84" s="8"/>
      <c r="S84" s="8"/>
      <c r="T84" s="8"/>
      <c r="U84" s="8"/>
      <c r="V84" s="8"/>
      <c r="W84" s="201"/>
      <c r="X84" s="201"/>
      <c r="Y84" s="8"/>
      <c r="Z84" s="8"/>
      <c r="AA84" s="8"/>
      <c r="AB84" s="8"/>
      <c r="AC84" s="8"/>
      <c r="AD84" s="201"/>
      <c r="AE84" s="201"/>
      <c r="AF84" s="8"/>
      <c r="AG84" s="8"/>
      <c r="AH84" s="8"/>
      <c r="AI84" s="7"/>
      <c r="AJ84" s="69">
        <f t="shared" si="15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2"/>
      <c r="E85" s="2">
        <v>0</v>
      </c>
      <c r="F85" s="2"/>
      <c r="G85" s="2">
        <v>0</v>
      </c>
      <c r="H85" s="2"/>
      <c r="I85" s="200"/>
      <c r="J85" s="200"/>
      <c r="K85" s="2">
        <v>8</v>
      </c>
      <c r="L85" s="2"/>
      <c r="M85" s="2"/>
      <c r="N85" s="2"/>
      <c r="O85" s="2">
        <v>4</v>
      </c>
      <c r="P85" s="200"/>
      <c r="Q85" s="200"/>
      <c r="R85" s="2"/>
      <c r="S85" s="2"/>
      <c r="T85" s="2"/>
      <c r="U85" s="2"/>
      <c r="V85" s="2"/>
      <c r="W85" s="200"/>
      <c r="X85" s="200"/>
      <c r="Y85" s="2"/>
      <c r="Z85" s="2"/>
      <c r="AA85" s="2"/>
      <c r="AB85" s="2"/>
      <c r="AC85" s="2"/>
      <c r="AD85" s="200"/>
      <c r="AE85" s="200"/>
      <c r="AF85" s="2"/>
      <c r="AG85" s="2"/>
      <c r="AH85" s="2"/>
      <c r="AJ85" s="64">
        <f>SUM(D85:AH85)</f>
        <v>12</v>
      </c>
    </row>
    <row r="86" spans="2:36" ht="15.75" hidden="1" outlineLevel="1" thickTop="1" x14ac:dyDescent="0.25">
      <c r="B86" s="150"/>
      <c r="C86" s="1" t="s">
        <v>1</v>
      </c>
      <c r="D86" s="3"/>
      <c r="E86" s="3"/>
      <c r="F86" s="3"/>
      <c r="G86" s="3"/>
      <c r="H86" s="3"/>
      <c r="I86" s="200"/>
      <c r="J86" s="200"/>
      <c r="K86" s="3"/>
      <c r="L86" s="3"/>
      <c r="M86" s="3"/>
      <c r="N86" s="3"/>
      <c r="O86" s="3"/>
      <c r="P86" s="200"/>
      <c r="Q86" s="200"/>
      <c r="R86" s="3"/>
      <c r="S86" s="3"/>
      <c r="T86" s="3"/>
      <c r="U86" s="3"/>
      <c r="V86" s="3"/>
      <c r="W86" s="200"/>
      <c r="X86" s="200"/>
      <c r="Y86" s="3"/>
      <c r="Z86" s="3"/>
      <c r="AA86" s="3"/>
      <c r="AB86" s="3"/>
      <c r="AC86" s="3"/>
      <c r="AD86" s="200"/>
      <c r="AE86" s="200"/>
      <c r="AF86" s="3"/>
      <c r="AG86" s="3"/>
      <c r="AH86" s="3"/>
      <c r="AJ86" s="70">
        <f t="shared" ref="AJ86:AJ89" si="16">SUM(D86:AH86)</f>
        <v>0</v>
      </c>
    </row>
    <row r="87" spans="2:36" hidden="1" outlineLevel="1" x14ac:dyDescent="0.25">
      <c r="B87" s="151"/>
      <c r="C87" s="1" t="s">
        <v>2</v>
      </c>
      <c r="D87" s="4"/>
      <c r="E87" s="4"/>
      <c r="F87" s="4"/>
      <c r="G87" s="4"/>
      <c r="H87" s="4"/>
      <c r="I87" s="200"/>
      <c r="J87" s="200"/>
      <c r="K87" s="4"/>
      <c r="L87" s="4"/>
      <c r="M87" s="4"/>
      <c r="N87" s="4"/>
      <c r="O87" s="4"/>
      <c r="P87" s="200"/>
      <c r="Q87" s="200"/>
      <c r="R87" s="4"/>
      <c r="S87" s="4"/>
      <c r="T87" s="4"/>
      <c r="U87" s="4"/>
      <c r="V87" s="4"/>
      <c r="W87" s="200"/>
      <c r="X87" s="200"/>
      <c r="Y87" s="4"/>
      <c r="Z87" s="4"/>
      <c r="AA87" s="4"/>
      <c r="AB87" s="4"/>
      <c r="AC87" s="4"/>
      <c r="AD87" s="200"/>
      <c r="AE87" s="200"/>
      <c r="AF87" s="4"/>
      <c r="AG87" s="4"/>
      <c r="AH87" s="4"/>
      <c r="AJ87" s="71">
        <f t="shared" si="16"/>
        <v>0</v>
      </c>
    </row>
    <row r="88" spans="2:36" hidden="1" outlineLevel="1" x14ac:dyDescent="0.25">
      <c r="B88" s="151"/>
      <c r="C88" s="54" t="s">
        <v>77</v>
      </c>
      <c r="D88" s="5"/>
      <c r="E88" s="5">
        <v>4</v>
      </c>
      <c r="F88" s="5"/>
      <c r="G88" s="5">
        <v>4</v>
      </c>
      <c r="H88" s="5"/>
      <c r="I88" s="200"/>
      <c r="J88" s="200"/>
      <c r="K88" s="5"/>
      <c r="L88" s="5"/>
      <c r="M88" s="5"/>
      <c r="N88" s="5"/>
      <c r="O88" s="5"/>
      <c r="P88" s="200"/>
      <c r="Q88" s="200"/>
      <c r="R88" s="5"/>
      <c r="S88" s="5"/>
      <c r="T88" s="5"/>
      <c r="U88" s="5"/>
      <c r="V88" s="5"/>
      <c r="W88" s="200"/>
      <c r="X88" s="200"/>
      <c r="Y88" s="5"/>
      <c r="Z88" s="5"/>
      <c r="AA88" s="5"/>
      <c r="AB88" s="5"/>
      <c r="AC88" s="5"/>
      <c r="AD88" s="200"/>
      <c r="AE88" s="200"/>
      <c r="AF88" s="5"/>
      <c r="AG88" s="5"/>
      <c r="AH88" s="5"/>
      <c r="AJ88" s="72">
        <f t="shared" si="16"/>
        <v>8</v>
      </c>
    </row>
    <row r="89" spans="2:36" ht="15.75" hidden="1" outlineLevel="1" thickBot="1" x14ac:dyDescent="0.3">
      <c r="B89" s="151"/>
      <c r="C89" s="9" t="s">
        <v>3</v>
      </c>
      <c r="D89" s="73"/>
      <c r="E89" s="73"/>
      <c r="F89" s="73"/>
      <c r="G89" s="73"/>
      <c r="H89" s="73"/>
      <c r="I89" s="205"/>
      <c r="J89" s="205"/>
      <c r="K89" s="73"/>
      <c r="L89" s="73"/>
      <c r="M89" s="73"/>
      <c r="N89" s="73"/>
      <c r="O89" s="73"/>
      <c r="P89" s="205"/>
      <c r="Q89" s="205"/>
      <c r="R89" s="73"/>
      <c r="S89" s="73"/>
      <c r="T89" s="73"/>
      <c r="U89" s="73"/>
      <c r="V89" s="73"/>
      <c r="W89" s="205"/>
      <c r="X89" s="205"/>
      <c r="Y89" s="73"/>
      <c r="Z89" s="73"/>
      <c r="AA89" s="73"/>
      <c r="AB89" s="73"/>
      <c r="AC89" s="73"/>
      <c r="AD89" s="205"/>
      <c r="AE89" s="205"/>
      <c r="AF89" s="73"/>
      <c r="AG89" s="73"/>
      <c r="AH89" s="73"/>
      <c r="AI89" s="7"/>
      <c r="AJ89" s="69">
        <f t="shared" si="16"/>
        <v>0</v>
      </c>
    </row>
    <row r="90" spans="2:36" ht="16.5" collapsed="1" thickTop="1" thickBot="1" x14ac:dyDescent="0.3">
      <c r="B90" s="253" t="str">
        <f>'Hours Scheduled'!B21</f>
        <v>Manuel Sperti</v>
      </c>
      <c r="C90" t="s">
        <v>0</v>
      </c>
      <c r="D90" s="2"/>
      <c r="E90" s="2"/>
      <c r="F90" s="2"/>
      <c r="G90" s="2"/>
      <c r="H90" s="2"/>
      <c r="I90" s="200"/>
      <c r="J90" s="200"/>
      <c r="K90" s="2"/>
      <c r="L90" s="2"/>
      <c r="M90" s="2"/>
      <c r="N90" s="2"/>
      <c r="O90" s="2"/>
      <c r="P90" s="200"/>
      <c r="Q90" s="200"/>
      <c r="R90" s="2"/>
      <c r="S90" s="2"/>
      <c r="T90" s="2"/>
      <c r="U90" s="2"/>
      <c r="V90" s="2"/>
      <c r="W90" s="200"/>
      <c r="X90" s="200"/>
      <c r="Y90" s="2"/>
      <c r="Z90" s="2"/>
      <c r="AA90" s="2"/>
      <c r="AB90" s="2"/>
      <c r="AC90" s="2"/>
      <c r="AD90" s="200"/>
      <c r="AE90" s="200"/>
      <c r="AF90" s="2"/>
      <c r="AG90" s="2"/>
      <c r="AH90" s="2"/>
      <c r="AJ90" s="64">
        <f>SUM(D90:AH90)</f>
        <v>0</v>
      </c>
    </row>
    <row r="91" spans="2:36" ht="15.75" hidden="1" outlineLevel="1" thickTop="1" x14ac:dyDescent="0.25">
      <c r="B91" s="150"/>
      <c r="C91" s="1" t="s">
        <v>1</v>
      </c>
      <c r="D91" s="3"/>
      <c r="E91" s="3"/>
      <c r="F91" s="3"/>
      <c r="G91" s="3"/>
      <c r="H91" s="3"/>
      <c r="I91" s="200"/>
      <c r="J91" s="200"/>
      <c r="K91" s="3"/>
      <c r="L91" s="3"/>
      <c r="M91" s="3"/>
      <c r="N91" s="3"/>
      <c r="O91" s="3"/>
      <c r="P91" s="200"/>
      <c r="Q91" s="200"/>
      <c r="R91" s="3"/>
      <c r="S91" s="3"/>
      <c r="T91" s="3"/>
      <c r="U91" s="3"/>
      <c r="V91" s="3"/>
      <c r="W91" s="200"/>
      <c r="X91" s="200"/>
      <c r="Y91" s="3"/>
      <c r="Z91" s="3"/>
      <c r="AA91" s="3"/>
      <c r="AB91" s="3"/>
      <c r="AC91" s="3"/>
      <c r="AD91" s="200"/>
      <c r="AE91" s="200"/>
      <c r="AF91" s="3"/>
      <c r="AG91" s="3"/>
      <c r="AH91" s="3"/>
      <c r="AJ91" s="70">
        <f t="shared" ref="AJ91:AJ94" si="17">SUM(D91:AH91)</f>
        <v>0</v>
      </c>
    </row>
    <row r="92" spans="2:36" hidden="1" outlineLevel="1" x14ac:dyDescent="0.25">
      <c r="B92" s="151"/>
      <c r="C92" s="1" t="s">
        <v>2</v>
      </c>
      <c r="D92" s="4"/>
      <c r="E92" s="4"/>
      <c r="F92" s="4"/>
      <c r="G92" s="4"/>
      <c r="H92" s="4"/>
      <c r="I92" s="200"/>
      <c r="J92" s="200"/>
      <c r="K92" s="4"/>
      <c r="L92" s="4"/>
      <c r="M92" s="4"/>
      <c r="N92" s="4"/>
      <c r="O92" s="4"/>
      <c r="P92" s="200"/>
      <c r="Q92" s="200"/>
      <c r="R92" s="4"/>
      <c r="S92" s="4"/>
      <c r="T92" s="4"/>
      <c r="U92" s="4"/>
      <c r="V92" s="4"/>
      <c r="W92" s="200"/>
      <c r="X92" s="200"/>
      <c r="Y92" s="4"/>
      <c r="Z92" s="4"/>
      <c r="AA92" s="4"/>
      <c r="AB92" s="4"/>
      <c r="AC92" s="4"/>
      <c r="AD92" s="200"/>
      <c r="AE92" s="200"/>
      <c r="AF92" s="4"/>
      <c r="AG92" s="4"/>
      <c r="AH92" s="4"/>
      <c r="AJ92" s="71">
        <f t="shared" si="17"/>
        <v>0</v>
      </c>
    </row>
    <row r="93" spans="2:36" hidden="1" outlineLevel="1" x14ac:dyDescent="0.25">
      <c r="B93" s="151"/>
      <c r="C93" s="54" t="s">
        <v>77</v>
      </c>
      <c r="D93" s="5"/>
      <c r="E93" s="5"/>
      <c r="F93" s="5"/>
      <c r="G93" s="5"/>
      <c r="H93" s="5"/>
      <c r="I93" s="200"/>
      <c r="J93" s="200"/>
      <c r="K93" s="5"/>
      <c r="L93" s="5"/>
      <c r="M93" s="5"/>
      <c r="N93" s="5"/>
      <c r="O93" s="5"/>
      <c r="P93" s="200"/>
      <c r="Q93" s="200"/>
      <c r="R93" s="5"/>
      <c r="S93" s="5"/>
      <c r="T93" s="5"/>
      <c r="U93" s="5"/>
      <c r="V93" s="5"/>
      <c r="W93" s="200"/>
      <c r="X93" s="200"/>
      <c r="Y93" s="5"/>
      <c r="Z93" s="5"/>
      <c r="AA93" s="5"/>
      <c r="AB93" s="5"/>
      <c r="AC93" s="5"/>
      <c r="AD93" s="200"/>
      <c r="AE93" s="200"/>
      <c r="AF93" s="5"/>
      <c r="AG93" s="5"/>
      <c r="AH93" s="5"/>
      <c r="AJ93" s="72">
        <f t="shared" si="17"/>
        <v>0</v>
      </c>
    </row>
    <row r="94" spans="2:36" ht="15.75" hidden="1" outlineLevel="1" thickBot="1" x14ac:dyDescent="0.3">
      <c r="B94" s="151"/>
      <c r="C94" s="9" t="s">
        <v>3</v>
      </c>
      <c r="D94" s="8"/>
      <c r="E94" s="8"/>
      <c r="F94" s="8"/>
      <c r="G94" s="8"/>
      <c r="H94" s="8"/>
      <c r="I94" s="201"/>
      <c r="J94" s="201"/>
      <c r="K94" s="8"/>
      <c r="L94" s="8"/>
      <c r="M94" s="8"/>
      <c r="N94" s="8"/>
      <c r="O94" s="8"/>
      <c r="P94" s="201"/>
      <c r="Q94" s="201"/>
      <c r="R94" s="8"/>
      <c r="S94" s="8"/>
      <c r="T94" s="8"/>
      <c r="U94" s="8"/>
      <c r="V94" s="8"/>
      <c r="W94" s="201"/>
      <c r="X94" s="201"/>
      <c r="Y94" s="8"/>
      <c r="Z94" s="8"/>
      <c r="AA94" s="8"/>
      <c r="AB94" s="8"/>
      <c r="AC94" s="8"/>
      <c r="AD94" s="201"/>
      <c r="AE94" s="201"/>
      <c r="AF94" s="8"/>
      <c r="AG94" s="8"/>
      <c r="AH94" s="8"/>
      <c r="AI94" s="7"/>
      <c r="AJ94" s="69">
        <f t="shared" si="17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2"/>
      <c r="E95" s="2"/>
      <c r="F95" s="2"/>
      <c r="G95" s="2">
        <v>1</v>
      </c>
      <c r="H95" s="2"/>
      <c r="I95" s="200"/>
      <c r="J95" s="200"/>
      <c r="K95" s="2"/>
      <c r="L95" s="2"/>
      <c r="M95" s="2"/>
      <c r="N95" s="2"/>
      <c r="O95" s="2"/>
      <c r="P95" s="200"/>
      <c r="Q95" s="200"/>
      <c r="R95" s="2"/>
      <c r="S95" s="2"/>
      <c r="T95" s="2"/>
      <c r="U95" s="2"/>
      <c r="V95" s="2"/>
      <c r="W95" s="200"/>
      <c r="X95" s="200"/>
      <c r="Y95" s="2"/>
      <c r="Z95" s="2"/>
      <c r="AA95" s="2"/>
      <c r="AB95" s="2"/>
      <c r="AC95" s="2"/>
      <c r="AD95" s="200"/>
      <c r="AE95" s="200"/>
      <c r="AF95" s="2"/>
      <c r="AG95" s="2"/>
      <c r="AH95" s="2"/>
      <c r="AJ95" s="64">
        <f>SUM(D95:AH95)</f>
        <v>1</v>
      </c>
    </row>
    <row r="96" spans="2:36" ht="15.75" hidden="1" outlineLevel="1" thickTop="1" x14ac:dyDescent="0.25">
      <c r="B96" s="150"/>
      <c r="C96" s="1" t="s">
        <v>1</v>
      </c>
      <c r="D96" s="3"/>
      <c r="E96" s="3"/>
      <c r="F96" s="3"/>
      <c r="G96" s="3"/>
      <c r="H96" s="3"/>
      <c r="I96" s="200"/>
      <c r="J96" s="200"/>
      <c r="K96" s="3"/>
      <c r="L96" s="3"/>
      <c r="M96" s="3"/>
      <c r="N96" s="3"/>
      <c r="O96" s="3"/>
      <c r="P96" s="200"/>
      <c r="Q96" s="200"/>
      <c r="R96" s="3"/>
      <c r="S96" s="3"/>
      <c r="T96" s="3"/>
      <c r="U96" s="3"/>
      <c r="V96" s="3"/>
      <c r="W96" s="200"/>
      <c r="X96" s="200"/>
      <c r="Y96" s="3"/>
      <c r="Z96" s="3"/>
      <c r="AA96" s="3"/>
      <c r="AB96" s="3"/>
      <c r="AC96" s="3"/>
      <c r="AD96" s="200"/>
      <c r="AE96" s="200"/>
      <c r="AF96" s="3"/>
      <c r="AG96" s="3"/>
      <c r="AH96" s="3"/>
      <c r="AJ96" s="70">
        <f t="shared" ref="AJ96:AJ99" si="18">SUM(D96:AH96)</f>
        <v>0</v>
      </c>
    </row>
    <row r="97" spans="2:36" hidden="1" outlineLevel="1" x14ac:dyDescent="0.25">
      <c r="B97" s="151"/>
      <c r="C97" s="1" t="s">
        <v>2</v>
      </c>
      <c r="D97" s="4"/>
      <c r="E97" s="4"/>
      <c r="F97" s="4"/>
      <c r="G97" s="4"/>
      <c r="H97" s="4"/>
      <c r="I97" s="200"/>
      <c r="J97" s="200"/>
      <c r="K97" s="4"/>
      <c r="L97" s="4"/>
      <c r="M97" s="4"/>
      <c r="N97" s="4"/>
      <c r="O97" s="4"/>
      <c r="P97" s="200"/>
      <c r="Q97" s="200"/>
      <c r="R97" s="4"/>
      <c r="S97" s="4"/>
      <c r="T97" s="4"/>
      <c r="U97" s="4"/>
      <c r="V97" s="4"/>
      <c r="W97" s="200"/>
      <c r="X97" s="200"/>
      <c r="Y97" s="4"/>
      <c r="Z97" s="4"/>
      <c r="AA97" s="4"/>
      <c r="AB97" s="4"/>
      <c r="AC97" s="4"/>
      <c r="AD97" s="200"/>
      <c r="AE97" s="200"/>
      <c r="AF97" s="4"/>
      <c r="AG97" s="4"/>
      <c r="AH97" s="4"/>
      <c r="AJ97" s="71">
        <f t="shared" si="18"/>
        <v>0</v>
      </c>
    </row>
    <row r="98" spans="2:36" hidden="1" outlineLevel="1" x14ac:dyDescent="0.25">
      <c r="B98" s="151"/>
      <c r="C98" s="54" t="s">
        <v>77</v>
      </c>
      <c r="D98" s="5"/>
      <c r="E98" s="5"/>
      <c r="F98" s="5"/>
      <c r="G98" s="5"/>
      <c r="H98" s="5"/>
      <c r="I98" s="200"/>
      <c r="J98" s="200"/>
      <c r="K98" s="5"/>
      <c r="L98" s="5"/>
      <c r="M98" s="5"/>
      <c r="N98" s="5"/>
      <c r="O98" s="5"/>
      <c r="P98" s="200"/>
      <c r="Q98" s="200"/>
      <c r="R98" s="5"/>
      <c r="S98" s="5"/>
      <c r="T98" s="5"/>
      <c r="U98" s="5"/>
      <c r="V98" s="5"/>
      <c r="W98" s="200"/>
      <c r="X98" s="200"/>
      <c r="Y98" s="5"/>
      <c r="Z98" s="5"/>
      <c r="AA98" s="5"/>
      <c r="AB98" s="5"/>
      <c r="AC98" s="5"/>
      <c r="AD98" s="200"/>
      <c r="AE98" s="200"/>
      <c r="AF98" s="5"/>
      <c r="AG98" s="5"/>
      <c r="AH98" s="5"/>
      <c r="AJ98" s="72">
        <f t="shared" si="18"/>
        <v>0</v>
      </c>
    </row>
    <row r="99" spans="2:36" ht="15.75" hidden="1" outlineLevel="1" thickBot="1" x14ac:dyDescent="0.3">
      <c r="B99" s="151"/>
      <c r="C99" s="9" t="s">
        <v>3</v>
      </c>
      <c r="D99" s="8"/>
      <c r="E99" s="8"/>
      <c r="F99" s="8"/>
      <c r="G99" s="8"/>
      <c r="H99" s="8"/>
      <c r="I99" s="201"/>
      <c r="J99" s="201"/>
      <c r="K99" s="8"/>
      <c r="L99" s="8"/>
      <c r="M99" s="8"/>
      <c r="N99" s="8"/>
      <c r="O99" s="8"/>
      <c r="P99" s="201"/>
      <c r="Q99" s="201"/>
      <c r="R99" s="8"/>
      <c r="S99" s="8"/>
      <c r="T99" s="8"/>
      <c r="U99" s="8"/>
      <c r="V99" s="8"/>
      <c r="W99" s="201"/>
      <c r="X99" s="201"/>
      <c r="Y99" s="8"/>
      <c r="Z99" s="8"/>
      <c r="AA99" s="8"/>
      <c r="AB99" s="8"/>
      <c r="AC99" s="8"/>
      <c r="AD99" s="201"/>
      <c r="AE99" s="201"/>
      <c r="AF99" s="8"/>
      <c r="AG99" s="8"/>
      <c r="AH99" s="8"/>
      <c r="AI99" s="7"/>
      <c r="AJ99" s="69">
        <f t="shared" si="18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2"/>
      <c r="E100" s="2">
        <v>0</v>
      </c>
      <c r="F100" s="2">
        <v>4</v>
      </c>
      <c r="G100" s="2"/>
      <c r="H100" s="2"/>
      <c r="I100" s="200"/>
      <c r="J100" s="200"/>
      <c r="K100" s="2"/>
      <c r="L100" s="2">
        <v>0</v>
      </c>
      <c r="M100" s="2"/>
      <c r="N100" s="2"/>
      <c r="O100" s="2"/>
      <c r="P100" s="200"/>
      <c r="Q100" s="200"/>
      <c r="R100" s="2"/>
      <c r="S100" s="2"/>
      <c r="T100" s="2"/>
      <c r="U100" s="2"/>
      <c r="V100" s="2"/>
      <c r="W100" s="200"/>
      <c r="X100" s="200"/>
      <c r="Y100" s="2"/>
      <c r="Z100" s="2"/>
      <c r="AA100" s="2"/>
      <c r="AB100" s="2"/>
      <c r="AC100" s="2"/>
      <c r="AD100" s="200"/>
      <c r="AE100" s="200"/>
      <c r="AF100" s="2"/>
      <c r="AG100" s="2"/>
      <c r="AH100" s="2"/>
      <c r="AJ100" s="64">
        <f>SUM(D100:AH100)</f>
        <v>4</v>
      </c>
    </row>
    <row r="101" spans="2:36" ht="15.75" hidden="1" outlineLevel="1" thickTop="1" x14ac:dyDescent="0.25">
      <c r="B101" s="150"/>
      <c r="C101" s="1" t="s">
        <v>1</v>
      </c>
      <c r="D101" s="3"/>
      <c r="E101" s="3"/>
      <c r="F101" s="3"/>
      <c r="G101" s="3"/>
      <c r="H101" s="3"/>
      <c r="I101" s="200"/>
      <c r="J101" s="200"/>
      <c r="K101" s="3"/>
      <c r="L101" s="3"/>
      <c r="M101" s="3"/>
      <c r="N101" s="3"/>
      <c r="O101" s="3"/>
      <c r="P101" s="200"/>
      <c r="Q101" s="200"/>
      <c r="R101" s="3"/>
      <c r="S101" s="3"/>
      <c r="T101" s="3"/>
      <c r="U101" s="3"/>
      <c r="V101" s="3"/>
      <c r="W101" s="200"/>
      <c r="X101" s="200"/>
      <c r="Y101" s="3"/>
      <c r="Z101" s="3"/>
      <c r="AA101" s="3"/>
      <c r="AB101" s="3"/>
      <c r="AC101" s="3"/>
      <c r="AD101" s="200"/>
      <c r="AE101" s="200"/>
      <c r="AF101" s="3"/>
      <c r="AG101" s="3"/>
      <c r="AH101" s="3"/>
      <c r="AJ101" s="70">
        <f t="shared" ref="AJ101:AJ104" si="19">SUM(D101:AH101)</f>
        <v>0</v>
      </c>
    </row>
    <row r="102" spans="2:36" hidden="1" outlineLevel="1" x14ac:dyDescent="0.25">
      <c r="B102" s="151"/>
      <c r="C102" s="1" t="s">
        <v>2</v>
      </c>
      <c r="D102" s="4"/>
      <c r="E102" s="4"/>
      <c r="F102" s="4"/>
      <c r="G102" s="4"/>
      <c r="H102" s="4"/>
      <c r="I102" s="200"/>
      <c r="J102" s="200"/>
      <c r="K102" s="4"/>
      <c r="L102" s="4"/>
      <c r="M102" s="4"/>
      <c r="N102" s="4"/>
      <c r="O102" s="4"/>
      <c r="P102" s="200"/>
      <c r="Q102" s="200"/>
      <c r="R102" s="4"/>
      <c r="S102" s="4"/>
      <c r="T102" s="4"/>
      <c r="U102" s="4"/>
      <c r="V102" s="4"/>
      <c r="W102" s="200"/>
      <c r="X102" s="200"/>
      <c r="Y102" s="4"/>
      <c r="Z102" s="4"/>
      <c r="AA102" s="4"/>
      <c r="AB102" s="4"/>
      <c r="AC102" s="4"/>
      <c r="AD102" s="200"/>
      <c r="AE102" s="200"/>
      <c r="AF102" s="4"/>
      <c r="AG102" s="4"/>
      <c r="AH102" s="4"/>
      <c r="AJ102" s="71">
        <f t="shared" si="19"/>
        <v>0</v>
      </c>
    </row>
    <row r="103" spans="2:36" hidden="1" outlineLevel="1" x14ac:dyDescent="0.25">
      <c r="B103" s="151"/>
      <c r="C103" s="54" t="s">
        <v>77</v>
      </c>
      <c r="D103" s="5"/>
      <c r="E103" s="5"/>
      <c r="F103" s="5"/>
      <c r="G103" s="5"/>
      <c r="H103" s="5"/>
      <c r="I103" s="200"/>
      <c r="J103" s="200"/>
      <c r="K103" s="5"/>
      <c r="L103" s="5"/>
      <c r="M103" s="5"/>
      <c r="N103" s="5"/>
      <c r="O103" s="5"/>
      <c r="P103" s="200"/>
      <c r="Q103" s="200"/>
      <c r="R103" s="5"/>
      <c r="S103" s="5"/>
      <c r="T103" s="5"/>
      <c r="U103" s="5"/>
      <c r="V103" s="5"/>
      <c r="W103" s="200"/>
      <c r="X103" s="200"/>
      <c r="Y103" s="5"/>
      <c r="Z103" s="5"/>
      <c r="AA103" s="5"/>
      <c r="AB103" s="5"/>
      <c r="AC103" s="5"/>
      <c r="AD103" s="200"/>
      <c r="AE103" s="200"/>
      <c r="AF103" s="5"/>
      <c r="AG103" s="5"/>
      <c r="AH103" s="5"/>
      <c r="AJ103" s="72">
        <f t="shared" si="19"/>
        <v>0</v>
      </c>
    </row>
    <row r="104" spans="2:36" ht="15.75" hidden="1" outlineLevel="1" thickBot="1" x14ac:dyDescent="0.3">
      <c r="B104" s="151"/>
      <c r="C104" s="9" t="s">
        <v>3</v>
      </c>
      <c r="D104" s="8"/>
      <c r="E104" s="8"/>
      <c r="F104" s="8"/>
      <c r="G104" s="8"/>
      <c r="H104" s="8"/>
      <c r="I104" s="201"/>
      <c r="J104" s="201"/>
      <c r="K104" s="8"/>
      <c r="L104" s="8"/>
      <c r="M104" s="8"/>
      <c r="N104" s="8"/>
      <c r="O104" s="8"/>
      <c r="P104" s="201"/>
      <c r="Q104" s="201"/>
      <c r="R104" s="8"/>
      <c r="S104" s="8"/>
      <c r="T104" s="8"/>
      <c r="U104" s="8"/>
      <c r="V104" s="8"/>
      <c r="W104" s="201"/>
      <c r="X104" s="201"/>
      <c r="Y104" s="8"/>
      <c r="Z104" s="8"/>
      <c r="AA104" s="8"/>
      <c r="AB104" s="8"/>
      <c r="AC104" s="8"/>
      <c r="AD104" s="201"/>
      <c r="AE104" s="201"/>
      <c r="AF104" s="8"/>
      <c r="AG104" s="8"/>
      <c r="AH104" s="8"/>
      <c r="AI104" s="7"/>
      <c r="AJ104" s="69">
        <f t="shared" si="19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2"/>
      <c r="E105" s="2"/>
      <c r="F105" s="2">
        <v>2</v>
      </c>
      <c r="G105" s="2"/>
      <c r="H105" s="2"/>
      <c r="I105" s="200"/>
      <c r="J105" s="200"/>
      <c r="K105" s="2"/>
      <c r="L105" s="2"/>
      <c r="M105" s="2"/>
      <c r="N105" s="2"/>
      <c r="O105" s="2"/>
      <c r="P105" s="200"/>
      <c r="Q105" s="200"/>
      <c r="R105" s="2"/>
      <c r="S105" s="2"/>
      <c r="T105" s="2"/>
      <c r="U105" s="2"/>
      <c r="V105" s="2">
        <v>8</v>
      </c>
      <c r="W105" s="200"/>
      <c r="X105" s="200"/>
      <c r="Y105" s="2"/>
      <c r="Z105" s="2"/>
      <c r="AA105" s="2"/>
      <c r="AB105" s="2"/>
      <c r="AC105" s="2"/>
      <c r="AD105" s="200"/>
      <c r="AE105" s="200"/>
      <c r="AF105" s="2"/>
      <c r="AG105" s="2"/>
      <c r="AH105" s="2"/>
      <c r="AJ105" s="64">
        <f>SUM(D105:AH105)</f>
        <v>10</v>
      </c>
    </row>
    <row r="106" spans="2:36" ht="15.75" hidden="1" outlineLevel="1" thickTop="1" x14ac:dyDescent="0.25">
      <c r="B106" s="150"/>
      <c r="C106" s="1" t="s">
        <v>1</v>
      </c>
      <c r="D106" s="3"/>
      <c r="E106" s="3"/>
      <c r="F106" s="3"/>
      <c r="G106" s="3"/>
      <c r="H106" s="3"/>
      <c r="I106" s="200"/>
      <c r="J106" s="200"/>
      <c r="K106" s="3"/>
      <c r="L106" s="3"/>
      <c r="M106" s="3"/>
      <c r="N106" s="3"/>
      <c r="O106" s="3"/>
      <c r="P106" s="200"/>
      <c r="Q106" s="200"/>
      <c r="R106" s="3"/>
      <c r="S106" s="3"/>
      <c r="T106" s="3"/>
      <c r="U106" s="3"/>
      <c r="V106" s="3"/>
      <c r="W106" s="200"/>
      <c r="X106" s="200"/>
      <c r="Y106" s="3"/>
      <c r="Z106" s="3"/>
      <c r="AA106" s="3"/>
      <c r="AB106" s="3"/>
      <c r="AC106" s="3"/>
      <c r="AD106" s="200"/>
      <c r="AE106" s="200"/>
      <c r="AF106" s="3"/>
      <c r="AG106" s="3"/>
      <c r="AH106" s="3"/>
      <c r="AJ106" s="70">
        <f t="shared" ref="AJ106:AJ109" si="20">SUM(D106:AH106)</f>
        <v>0</v>
      </c>
    </row>
    <row r="107" spans="2:36" hidden="1" outlineLevel="1" x14ac:dyDescent="0.25">
      <c r="B107" s="151"/>
      <c r="C107" s="1" t="s">
        <v>2</v>
      </c>
      <c r="D107" s="4"/>
      <c r="E107" s="4"/>
      <c r="F107" s="4"/>
      <c r="G107" s="4"/>
      <c r="H107" s="4"/>
      <c r="I107" s="200"/>
      <c r="J107" s="200"/>
      <c r="K107" s="4"/>
      <c r="L107" s="4"/>
      <c r="M107" s="4"/>
      <c r="N107" s="4"/>
      <c r="O107" s="4"/>
      <c r="P107" s="200"/>
      <c r="Q107" s="200"/>
      <c r="R107" s="4"/>
      <c r="S107" s="4"/>
      <c r="T107" s="4"/>
      <c r="U107" s="4"/>
      <c r="V107" s="4"/>
      <c r="W107" s="200"/>
      <c r="X107" s="200"/>
      <c r="Y107" s="4"/>
      <c r="Z107" s="4"/>
      <c r="AA107" s="4"/>
      <c r="AB107" s="4"/>
      <c r="AC107" s="4"/>
      <c r="AD107" s="200"/>
      <c r="AE107" s="200"/>
      <c r="AF107" s="4"/>
      <c r="AG107" s="4"/>
      <c r="AH107" s="4"/>
      <c r="AJ107" s="71">
        <f t="shared" si="20"/>
        <v>0</v>
      </c>
    </row>
    <row r="108" spans="2:36" hidden="1" outlineLevel="1" x14ac:dyDescent="0.25">
      <c r="B108" s="151"/>
      <c r="C108" s="54" t="s">
        <v>77</v>
      </c>
      <c r="D108" s="5"/>
      <c r="E108" s="5"/>
      <c r="F108" s="5"/>
      <c r="G108" s="5"/>
      <c r="H108" s="5"/>
      <c r="I108" s="200"/>
      <c r="J108" s="200"/>
      <c r="K108" s="5"/>
      <c r="L108" s="5"/>
      <c r="M108" s="5"/>
      <c r="N108" s="5"/>
      <c r="O108" s="5"/>
      <c r="P108" s="200"/>
      <c r="Q108" s="200"/>
      <c r="R108" s="5"/>
      <c r="S108" s="5"/>
      <c r="T108" s="5"/>
      <c r="U108" s="5"/>
      <c r="V108" s="5"/>
      <c r="W108" s="200"/>
      <c r="X108" s="200"/>
      <c r="Y108" s="5"/>
      <c r="Z108" s="5"/>
      <c r="AA108" s="5"/>
      <c r="AB108" s="5"/>
      <c r="AC108" s="5"/>
      <c r="AD108" s="200"/>
      <c r="AE108" s="200"/>
      <c r="AF108" s="5"/>
      <c r="AG108" s="5"/>
      <c r="AH108" s="5"/>
      <c r="AJ108" s="72">
        <f t="shared" si="20"/>
        <v>0</v>
      </c>
    </row>
    <row r="109" spans="2:36" ht="15.75" hidden="1" outlineLevel="1" thickBot="1" x14ac:dyDescent="0.3">
      <c r="B109" s="151"/>
      <c r="C109" s="9" t="s">
        <v>3</v>
      </c>
      <c r="D109" s="8"/>
      <c r="E109" s="8"/>
      <c r="F109" s="8"/>
      <c r="G109" s="8"/>
      <c r="H109" s="8"/>
      <c r="I109" s="201"/>
      <c r="J109" s="201"/>
      <c r="K109" s="8"/>
      <c r="L109" s="8"/>
      <c r="M109" s="8"/>
      <c r="N109" s="8"/>
      <c r="O109" s="8"/>
      <c r="P109" s="201"/>
      <c r="Q109" s="201"/>
      <c r="R109" s="8"/>
      <c r="S109" s="8"/>
      <c r="T109" s="8"/>
      <c r="U109" s="8"/>
      <c r="V109" s="8"/>
      <c r="W109" s="201"/>
      <c r="X109" s="201"/>
      <c r="Y109" s="8"/>
      <c r="Z109" s="8"/>
      <c r="AA109" s="8"/>
      <c r="AB109" s="8"/>
      <c r="AC109" s="8"/>
      <c r="AD109" s="201"/>
      <c r="AE109" s="201"/>
      <c r="AF109" s="8"/>
      <c r="AG109" s="8"/>
      <c r="AH109" s="8"/>
      <c r="AI109" s="7"/>
      <c r="AJ109" s="69">
        <f t="shared" si="20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2">
        <v>8</v>
      </c>
      <c r="E110" s="2">
        <v>8</v>
      </c>
      <c r="F110" s="2"/>
      <c r="G110" s="2"/>
      <c r="H110" s="2"/>
      <c r="I110" s="200"/>
      <c r="J110" s="200"/>
      <c r="K110" s="2">
        <v>0</v>
      </c>
      <c r="L110" s="2"/>
      <c r="M110" s="2"/>
      <c r="N110" s="2"/>
      <c r="O110" s="2"/>
      <c r="P110" s="200"/>
      <c r="Q110" s="200"/>
      <c r="R110" s="2"/>
      <c r="S110" s="2"/>
      <c r="T110" s="2"/>
      <c r="U110" s="2"/>
      <c r="V110" s="2"/>
      <c r="W110" s="200"/>
      <c r="X110" s="200"/>
      <c r="Y110" s="2">
        <v>8</v>
      </c>
      <c r="Z110" s="2">
        <v>8</v>
      </c>
      <c r="AA110" s="2">
        <v>8</v>
      </c>
      <c r="AB110" s="2">
        <v>4</v>
      </c>
      <c r="AC110" s="2">
        <v>8</v>
      </c>
      <c r="AD110" s="200"/>
      <c r="AE110" s="200"/>
      <c r="AF110" s="2">
        <v>8</v>
      </c>
      <c r="AG110" s="2">
        <v>8</v>
      </c>
      <c r="AH110" s="2">
        <v>8</v>
      </c>
      <c r="AJ110" s="64">
        <f>SUM(D110:AH110)</f>
        <v>76</v>
      </c>
    </row>
    <row r="111" spans="2:36" ht="15.75" hidden="1" outlineLevel="1" thickTop="1" x14ac:dyDescent="0.25">
      <c r="B111" s="150"/>
      <c r="C111" s="1" t="s">
        <v>1</v>
      </c>
      <c r="D111" s="3"/>
      <c r="E111" s="3"/>
      <c r="F111" s="3"/>
      <c r="G111" s="3"/>
      <c r="H111" s="3"/>
      <c r="I111" s="200"/>
      <c r="J111" s="200"/>
      <c r="K111" s="3"/>
      <c r="L111" s="3"/>
      <c r="M111" s="3"/>
      <c r="N111" s="3"/>
      <c r="O111" s="3"/>
      <c r="P111" s="200"/>
      <c r="Q111" s="200"/>
      <c r="R111" s="3"/>
      <c r="S111" s="3"/>
      <c r="T111" s="3"/>
      <c r="U111" s="3"/>
      <c r="V111" s="3"/>
      <c r="W111" s="200"/>
      <c r="X111" s="200"/>
      <c r="Y111" s="3"/>
      <c r="Z111" s="3"/>
      <c r="AA111" s="3"/>
      <c r="AB111" s="3"/>
      <c r="AC111" s="3"/>
      <c r="AD111" s="200"/>
      <c r="AE111" s="200"/>
      <c r="AF111" s="3"/>
      <c r="AG111" s="3"/>
      <c r="AH111" s="3"/>
      <c r="AJ111" s="70">
        <f t="shared" ref="AJ111:AJ114" si="21">SUM(D111:AH111)</f>
        <v>0</v>
      </c>
    </row>
    <row r="112" spans="2:36" hidden="1" outlineLevel="1" x14ac:dyDescent="0.25">
      <c r="B112" s="151"/>
      <c r="C112" s="1" t="s">
        <v>2</v>
      </c>
      <c r="D112" s="4"/>
      <c r="E112" s="4"/>
      <c r="F112" s="4"/>
      <c r="G112" s="4"/>
      <c r="H112" s="4"/>
      <c r="I112" s="200"/>
      <c r="J112" s="200"/>
      <c r="K112" s="4"/>
      <c r="L112" s="4"/>
      <c r="M112" s="4"/>
      <c r="N112" s="4"/>
      <c r="O112" s="4"/>
      <c r="P112" s="200"/>
      <c r="Q112" s="200"/>
      <c r="R112" s="4"/>
      <c r="S112" s="4"/>
      <c r="T112" s="4"/>
      <c r="U112" s="4"/>
      <c r="V112" s="4"/>
      <c r="W112" s="200"/>
      <c r="X112" s="200"/>
      <c r="Y112" s="4"/>
      <c r="Z112" s="4"/>
      <c r="AA112" s="4"/>
      <c r="AB112" s="4"/>
      <c r="AC112" s="4"/>
      <c r="AD112" s="200"/>
      <c r="AE112" s="200"/>
      <c r="AF112" s="4"/>
      <c r="AG112" s="4"/>
      <c r="AH112" s="4"/>
      <c r="AJ112" s="71">
        <f t="shared" si="21"/>
        <v>0</v>
      </c>
    </row>
    <row r="113" spans="2:36" hidden="1" outlineLevel="1" x14ac:dyDescent="0.25">
      <c r="B113" s="151"/>
      <c r="C113" s="54" t="s">
        <v>77</v>
      </c>
      <c r="D113" s="5"/>
      <c r="E113" s="5"/>
      <c r="F113" s="5"/>
      <c r="G113" s="5"/>
      <c r="H113" s="5"/>
      <c r="I113" s="200"/>
      <c r="J113" s="200"/>
      <c r="K113" s="5"/>
      <c r="L113" s="5"/>
      <c r="M113" s="5"/>
      <c r="N113" s="5"/>
      <c r="O113" s="5"/>
      <c r="P113" s="200"/>
      <c r="Q113" s="200"/>
      <c r="R113" s="5"/>
      <c r="S113" s="5"/>
      <c r="T113" s="5"/>
      <c r="U113" s="5"/>
      <c r="V113" s="5"/>
      <c r="W113" s="200"/>
      <c r="X113" s="200"/>
      <c r="Y113" s="5"/>
      <c r="Z113" s="5"/>
      <c r="AA113" s="5"/>
      <c r="AB113" s="5"/>
      <c r="AC113" s="5"/>
      <c r="AD113" s="200"/>
      <c r="AE113" s="200"/>
      <c r="AF113" s="5"/>
      <c r="AG113" s="5"/>
      <c r="AH113" s="5"/>
      <c r="AJ113" s="72">
        <f t="shared" si="21"/>
        <v>0</v>
      </c>
    </row>
    <row r="114" spans="2:36" ht="15.75" hidden="1" outlineLevel="1" thickBot="1" x14ac:dyDescent="0.3">
      <c r="B114" s="151"/>
      <c r="C114" s="9" t="s">
        <v>3</v>
      </c>
      <c r="D114" s="8"/>
      <c r="E114" s="8"/>
      <c r="F114" s="8"/>
      <c r="G114" s="8"/>
      <c r="H114" s="8"/>
      <c r="I114" s="201"/>
      <c r="J114" s="201"/>
      <c r="K114" s="8"/>
      <c r="L114" s="8"/>
      <c r="M114" s="8"/>
      <c r="N114" s="8"/>
      <c r="O114" s="8"/>
      <c r="P114" s="201"/>
      <c r="Q114" s="201"/>
      <c r="R114" s="8"/>
      <c r="S114" s="8"/>
      <c r="T114" s="8"/>
      <c r="U114" s="8"/>
      <c r="V114" s="8"/>
      <c r="W114" s="201"/>
      <c r="X114" s="201"/>
      <c r="Y114" s="8"/>
      <c r="Z114" s="8"/>
      <c r="AA114" s="8"/>
      <c r="AB114" s="8"/>
      <c r="AC114" s="8"/>
      <c r="AD114" s="201"/>
      <c r="AE114" s="201"/>
      <c r="AF114" s="8"/>
      <c r="AG114" s="8"/>
      <c r="AH114" s="8"/>
      <c r="AI114" s="7"/>
      <c r="AJ114" s="69">
        <f t="shared" si="21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2"/>
      <c r="E115" s="2"/>
      <c r="F115" s="2"/>
      <c r="G115" s="2">
        <v>1</v>
      </c>
      <c r="H115" s="2"/>
      <c r="I115" s="200"/>
      <c r="J115" s="200"/>
      <c r="K115" s="2"/>
      <c r="L115" s="2"/>
      <c r="M115" s="2"/>
      <c r="N115" s="2"/>
      <c r="O115" s="2"/>
      <c r="P115" s="200"/>
      <c r="Q115" s="200"/>
      <c r="R115" s="2"/>
      <c r="S115" s="2"/>
      <c r="T115" s="2"/>
      <c r="U115" s="2"/>
      <c r="V115" s="2"/>
      <c r="W115" s="200"/>
      <c r="X115" s="200"/>
      <c r="Y115" s="2"/>
      <c r="Z115" s="2"/>
      <c r="AA115" s="2"/>
      <c r="AB115" s="2"/>
      <c r="AC115" s="2"/>
      <c r="AD115" s="200"/>
      <c r="AE115" s="200"/>
      <c r="AF115" s="2"/>
      <c r="AG115" s="2"/>
      <c r="AH115" s="2"/>
      <c r="AJ115" s="64">
        <f>SUM(D115:AH115)</f>
        <v>1</v>
      </c>
    </row>
    <row r="116" spans="2:36" ht="15.75" hidden="1" outlineLevel="1" thickTop="1" x14ac:dyDescent="0.25">
      <c r="B116" s="150"/>
      <c r="C116" s="1" t="s">
        <v>1</v>
      </c>
      <c r="D116" s="3"/>
      <c r="E116" s="3"/>
      <c r="F116" s="3"/>
      <c r="G116" s="3"/>
      <c r="H116" s="3"/>
      <c r="I116" s="200"/>
      <c r="J116" s="200"/>
      <c r="K116" s="3"/>
      <c r="L116" s="3"/>
      <c r="M116" s="3"/>
      <c r="N116" s="3"/>
      <c r="O116" s="3"/>
      <c r="P116" s="200"/>
      <c r="Q116" s="200"/>
      <c r="R116" s="3"/>
      <c r="S116" s="3"/>
      <c r="T116" s="3"/>
      <c r="U116" s="3"/>
      <c r="V116" s="3"/>
      <c r="W116" s="200"/>
      <c r="X116" s="200"/>
      <c r="Y116" s="3"/>
      <c r="Z116" s="3"/>
      <c r="AA116" s="3"/>
      <c r="AB116" s="3"/>
      <c r="AC116" s="3"/>
      <c r="AD116" s="200"/>
      <c r="AE116" s="200"/>
      <c r="AF116" s="3"/>
      <c r="AG116" s="3"/>
      <c r="AH116" s="3"/>
      <c r="AJ116" s="70">
        <f t="shared" ref="AJ116:AJ119" si="22">SUM(D116:AH116)</f>
        <v>0</v>
      </c>
    </row>
    <row r="117" spans="2:36" hidden="1" outlineLevel="1" x14ac:dyDescent="0.25">
      <c r="B117" s="151"/>
      <c r="C117" s="1" t="s">
        <v>2</v>
      </c>
      <c r="D117" s="4"/>
      <c r="E117" s="4"/>
      <c r="F117" s="4"/>
      <c r="G117" s="4"/>
      <c r="H117" s="4"/>
      <c r="I117" s="200"/>
      <c r="J117" s="200"/>
      <c r="K117" s="4"/>
      <c r="L117" s="4"/>
      <c r="M117" s="4"/>
      <c r="N117" s="4"/>
      <c r="O117" s="4"/>
      <c r="P117" s="200"/>
      <c r="Q117" s="200"/>
      <c r="R117" s="4"/>
      <c r="S117" s="4"/>
      <c r="T117" s="4"/>
      <c r="U117" s="4"/>
      <c r="V117" s="4"/>
      <c r="W117" s="200"/>
      <c r="X117" s="200"/>
      <c r="Y117" s="4"/>
      <c r="Z117" s="4"/>
      <c r="AA117" s="4"/>
      <c r="AB117" s="4"/>
      <c r="AC117" s="4"/>
      <c r="AD117" s="200"/>
      <c r="AE117" s="200"/>
      <c r="AF117" s="4"/>
      <c r="AG117" s="4"/>
      <c r="AH117" s="4"/>
      <c r="AJ117" s="71">
        <f t="shared" si="22"/>
        <v>0</v>
      </c>
    </row>
    <row r="118" spans="2:36" hidden="1" outlineLevel="1" x14ac:dyDescent="0.25">
      <c r="B118" s="151"/>
      <c r="C118" s="54" t="s">
        <v>77</v>
      </c>
      <c r="D118" s="5"/>
      <c r="E118" s="5"/>
      <c r="F118" s="5"/>
      <c r="G118" s="5"/>
      <c r="H118" s="5"/>
      <c r="I118" s="200"/>
      <c r="J118" s="200"/>
      <c r="K118" s="5"/>
      <c r="L118" s="5"/>
      <c r="M118" s="5"/>
      <c r="N118" s="5"/>
      <c r="O118" s="5"/>
      <c r="P118" s="200"/>
      <c r="Q118" s="200"/>
      <c r="R118" s="5"/>
      <c r="S118" s="5"/>
      <c r="T118" s="5"/>
      <c r="U118" s="5"/>
      <c r="V118" s="5"/>
      <c r="W118" s="200"/>
      <c r="X118" s="200"/>
      <c r="Y118" s="5"/>
      <c r="Z118" s="5"/>
      <c r="AA118" s="5"/>
      <c r="AB118" s="5"/>
      <c r="AC118" s="5"/>
      <c r="AD118" s="200"/>
      <c r="AE118" s="200"/>
      <c r="AF118" s="5"/>
      <c r="AG118" s="5"/>
      <c r="AH118" s="5"/>
      <c r="AJ118" s="72">
        <f t="shared" si="22"/>
        <v>0</v>
      </c>
    </row>
    <row r="119" spans="2:36" ht="15.75" hidden="1" outlineLevel="1" thickBot="1" x14ac:dyDescent="0.3">
      <c r="B119" s="151"/>
      <c r="C119" s="9" t="s">
        <v>3</v>
      </c>
      <c r="D119" s="8"/>
      <c r="E119" s="8"/>
      <c r="F119" s="8"/>
      <c r="G119" s="8"/>
      <c r="H119" s="8"/>
      <c r="I119" s="201"/>
      <c r="J119" s="201"/>
      <c r="K119" s="8"/>
      <c r="L119" s="8"/>
      <c r="M119" s="8"/>
      <c r="N119" s="8"/>
      <c r="O119" s="8"/>
      <c r="P119" s="201"/>
      <c r="Q119" s="201"/>
      <c r="R119" s="8"/>
      <c r="S119" s="8"/>
      <c r="T119" s="8"/>
      <c r="U119" s="8"/>
      <c r="V119" s="8"/>
      <c r="W119" s="201"/>
      <c r="X119" s="201"/>
      <c r="Y119" s="8"/>
      <c r="Z119" s="8"/>
      <c r="AA119" s="8"/>
      <c r="AB119" s="8"/>
      <c r="AC119" s="8"/>
      <c r="AD119" s="201"/>
      <c r="AE119" s="201"/>
      <c r="AF119" s="8"/>
      <c r="AG119" s="8"/>
      <c r="AH119" s="8"/>
      <c r="AI119" s="7"/>
      <c r="AJ119" s="69">
        <f t="shared" si="22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2">
        <v>8</v>
      </c>
      <c r="E120" s="2"/>
      <c r="F120" s="2"/>
      <c r="G120" s="2">
        <v>0</v>
      </c>
      <c r="H120" s="2"/>
      <c r="I120" s="200"/>
      <c r="J120" s="200"/>
      <c r="K120" s="2"/>
      <c r="L120" s="2"/>
      <c r="M120" s="2"/>
      <c r="N120" s="2"/>
      <c r="O120" s="2"/>
      <c r="P120" s="200"/>
      <c r="Q120" s="200"/>
      <c r="R120" s="2"/>
      <c r="S120" s="2"/>
      <c r="T120" s="2"/>
      <c r="U120" s="2"/>
      <c r="V120" s="2"/>
      <c r="W120" s="200"/>
      <c r="X120" s="200"/>
      <c r="Y120" s="2"/>
      <c r="Z120" s="2"/>
      <c r="AA120" s="2"/>
      <c r="AB120" s="2"/>
      <c r="AC120" s="2"/>
      <c r="AD120" s="200"/>
      <c r="AE120" s="200"/>
      <c r="AF120" s="180">
        <v>8</v>
      </c>
      <c r="AG120" s="180">
        <v>8</v>
      </c>
      <c r="AH120" s="180">
        <v>8</v>
      </c>
      <c r="AJ120" s="64">
        <f>SUM(D120:AH120)</f>
        <v>32</v>
      </c>
    </row>
    <row r="121" spans="2:36" ht="15.75" hidden="1" outlineLevel="1" thickTop="1" x14ac:dyDescent="0.25">
      <c r="B121" s="150"/>
      <c r="C121" s="1" t="s">
        <v>1</v>
      </c>
      <c r="D121" s="3"/>
      <c r="E121" s="3"/>
      <c r="F121" s="3"/>
      <c r="G121" s="3">
        <v>8</v>
      </c>
      <c r="H121" s="3"/>
      <c r="I121" s="200"/>
      <c r="J121" s="200"/>
      <c r="K121" s="3"/>
      <c r="L121" s="3"/>
      <c r="M121" s="3"/>
      <c r="N121" s="3"/>
      <c r="O121" s="3"/>
      <c r="P121" s="200"/>
      <c r="Q121" s="200"/>
      <c r="R121" s="3"/>
      <c r="S121" s="3"/>
      <c r="T121" s="3"/>
      <c r="U121" s="3"/>
      <c r="V121" s="3"/>
      <c r="W121" s="200"/>
      <c r="X121" s="200"/>
      <c r="Y121" s="3"/>
      <c r="Z121" s="3"/>
      <c r="AA121" s="3"/>
      <c r="AB121" s="3"/>
      <c r="AC121" s="3"/>
      <c r="AD121" s="200"/>
      <c r="AE121" s="200"/>
      <c r="AF121" s="3"/>
      <c r="AG121" s="3"/>
      <c r="AH121" s="3"/>
      <c r="AJ121" s="70">
        <f t="shared" ref="AJ121:AJ124" si="23">SUM(D121:AH121)</f>
        <v>8</v>
      </c>
    </row>
    <row r="122" spans="2:36" hidden="1" outlineLevel="1" x14ac:dyDescent="0.25">
      <c r="B122" s="151"/>
      <c r="C122" s="1" t="s">
        <v>2</v>
      </c>
      <c r="D122" s="4"/>
      <c r="E122" s="4"/>
      <c r="F122" s="4"/>
      <c r="G122" s="4"/>
      <c r="H122" s="4"/>
      <c r="I122" s="200"/>
      <c r="J122" s="200"/>
      <c r="K122" s="4"/>
      <c r="L122" s="4"/>
      <c r="M122" s="4"/>
      <c r="N122" s="4"/>
      <c r="O122" s="4"/>
      <c r="P122" s="200"/>
      <c r="Q122" s="200"/>
      <c r="R122" s="4"/>
      <c r="S122" s="4"/>
      <c r="T122" s="4"/>
      <c r="U122" s="4"/>
      <c r="V122" s="4"/>
      <c r="W122" s="200"/>
      <c r="X122" s="200"/>
      <c r="Y122" s="4"/>
      <c r="Z122" s="4"/>
      <c r="AA122" s="4"/>
      <c r="AB122" s="4"/>
      <c r="AC122" s="4"/>
      <c r="AD122" s="200"/>
      <c r="AE122" s="200"/>
      <c r="AF122" s="4"/>
      <c r="AG122" s="4"/>
      <c r="AH122" s="4"/>
      <c r="AJ122" s="71">
        <f t="shared" si="23"/>
        <v>0</v>
      </c>
    </row>
    <row r="123" spans="2:36" hidden="1" outlineLevel="1" x14ac:dyDescent="0.25">
      <c r="B123" s="151"/>
      <c r="C123" s="54" t="s">
        <v>77</v>
      </c>
      <c r="D123" s="5"/>
      <c r="E123" s="5"/>
      <c r="F123" s="5"/>
      <c r="G123" s="5"/>
      <c r="H123" s="5"/>
      <c r="I123" s="200"/>
      <c r="J123" s="200"/>
      <c r="K123" s="5"/>
      <c r="L123" s="5"/>
      <c r="M123" s="5"/>
      <c r="N123" s="5"/>
      <c r="O123" s="5"/>
      <c r="P123" s="200"/>
      <c r="Q123" s="200"/>
      <c r="R123" s="5"/>
      <c r="S123" s="5"/>
      <c r="T123" s="5"/>
      <c r="U123" s="5"/>
      <c r="V123" s="5"/>
      <c r="W123" s="200"/>
      <c r="X123" s="200"/>
      <c r="Y123" s="5"/>
      <c r="Z123" s="5"/>
      <c r="AA123" s="5"/>
      <c r="AB123" s="5"/>
      <c r="AC123" s="5"/>
      <c r="AD123" s="200"/>
      <c r="AE123" s="200"/>
      <c r="AF123" s="5"/>
      <c r="AG123" s="5"/>
      <c r="AH123" s="5"/>
      <c r="AJ123" s="72">
        <f t="shared" si="23"/>
        <v>0</v>
      </c>
    </row>
    <row r="124" spans="2:36" ht="15.75" hidden="1" outlineLevel="1" thickBot="1" x14ac:dyDescent="0.3">
      <c r="B124" s="151"/>
      <c r="C124" s="9" t="s">
        <v>3</v>
      </c>
      <c r="D124" s="8"/>
      <c r="E124" s="8"/>
      <c r="F124" s="8"/>
      <c r="G124" s="8"/>
      <c r="H124" s="8"/>
      <c r="I124" s="201"/>
      <c r="J124" s="201"/>
      <c r="K124" s="8"/>
      <c r="L124" s="8"/>
      <c r="M124" s="8"/>
      <c r="N124" s="8"/>
      <c r="O124" s="8"/>
      <c r="P124" s="201"/>
      <c r="Q124" s="201"/>
      <c r="R124" s="8"/>
      <c r="S124" s="8"/>
      <c r="T124" s="8"/>
      <c r="U124" s="8"/>
      <c r="V124" s="8"/>
      <c r="W124" s="201"/>
      <c r="X124" s="201"/>
      <c r="Y124" s="8"/>
      <c r="Z124" s="8"/>
      <c r="AA124" s="8"/>
      <c r="AB124" s="8"/>
      <c r="AC124" s="8"/>
      <c r="AD124" s="201"/>
      <c r="AE124" s="201"/>
      <c r="AF124" s="8"/>
      <c r="AG124" s="8"/>
      <c r="AH124" s="8"/>
      <c r="AI124" s="7"/>
      <c r="AJ124" s="69">
        <f t="shared" si="23"/>
        <v>0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2">
        <v>8</v>
      </c>
      <c r="E125" s="2">
        <v>8</v>
      </c>
      <c r="F125" s="2">
        <v>8</v>
      </c>
      <c r="G125" s="2">
        <v>8</v>
      </c>
      <c r="H125" s="2">
        <v>8</v>
      </c>
      <c r="I125" s="200"/>
      <c r="J125" s="200"/>
      <c r="K125" s="2">
        <v>8</v>
      </c>
      <c r="L125" s="2">
        <v>8</v>
      </c>
      <c r="M125" s="2">
        <v>8</v>
      </c>
      <c r="N125" s="2">
        <v>8</v>
      </c>
      <c r="O125" s="2">
        <v>8</v>
      </c>
      <c r="P125" s="200"/>
      <c r="Q125" s="200"/>
      <c r="R125" s="2">
        <v>0</v>
      </c>
      <c r="S125" s="2"/>
      <c r="T125" s="256"/>
      <c r="U125" s="2"/>
      <c r="V125" s="2"/>
      <c r="W125" s="200"/>
      <c r="X125" s="200"/>
      <c r="Y125" s="2"/>
      <c r="Z125" s="2"/>
      <c r="AA125" s="2"/>
      <c r="AB125" s="2"/>
      <c r="AC125" s="2"/>
      <c r="AD125" s="200"/>
      <c r="AE125" s="200"/>
      <c r="AF125" s="2"/>
      <c r="AG125" s="256"/>
      <c r="AH125" s="2"/>
      <c r="AJ125" s="64">
        <f>SUM(D125:AH125)</f>
        <v>80</v>
      </c>
    </row>
    <row r="126" spans="2:36" ht="15.75" hidden="1" outlineLevel="1" thickTop="1" x14ac:dyDescent="0.25">
      <c r="B126" s="150"/>
      <c r="C126" s="1" t="s">
        <v>1</v>
      </c>
      <c r="D126" s="3"/>
      <c r="E126" s="3"/>
      <c r="F126" s="3"/>
      <c r="G126" s="3"/>
      <c r="H126" s="3"/>
      <c r="I126" s="200"/>
      <c r="J126" s="200"/>
      <c r="K126" s="3"/>
      <c r="L126" s="3"/>
      <c r="M126" s="3"/>
      <c r="N126" s="3"/>
      <c r="O126" s="3"/>
      <c r="P126" s="200"/>
      <c r="Q126" s="200"/>
      <c r="R126" s="3"/>
      <c r="S126" s="3"/>
      <c r="T126" s="3"/>
      <c r="U126" s="3"/>
      <c r="V126" s="3"/>
      <c r="W126" s="200"/>
      <c r="X126" s="200"/>
      <c r="Y126" s="3"/>
      <c r="Z126" s="3"/>
      <c r="AA126" s="3"/>
      <c r="AB126" s="3"/>
      <c r="AC126" s="3"/>
      <c r="AD126" s="200"/>
      <c r="AE126" s="200"/>
      <c r="AF126" s="3"/>
      <c r="AG126" s="3"/>
      <c r="AH126" s="3"/>
      <c r="AJ126" s="70">
        <f t="shared" ref="AJ126:AJ129" si="24">SUM(D126:AH126)</f>
        <v>0</v>
      </c>
    </row>
    <row r="127" spans="2:36" hidden="1" outlineLevel="1" x14ac:dyDescent="0.25">
      <c r="B127" s="151"/>
      <c r="C127" s="1" t="s">
        <v>2</v>
      </c>
      <c r="D127" s="4"/>
      <c r="E127" s="4"/>
      <c r="F127" s="4"/>
      <c r="G127" s="4"/>
      <c r="H127" s="4"/>
      <c r="I127" s="200"/>
      <c r="J127" s="200"/>
      <c r="K127" s="4"/>
      <c r="L127" s="4"/>
      <c r="M127" s="4"/>
      <c r="N127" s="4"/>
      <c r="O127" s="4"/>
      <c r="P127" s="200"/>
      <c r="Q127" s="200"/>
      <c r="R127" s="4"/>
      <c r="S127" s="4"/>
      <c r="T127" s="4"/>
      <c r="U127" s="4"/>
      <c r="V127" s="4"/>
      <c r="W127" s="200"/>
      <c r="X127" s="200"/>
      <c r="Y127" s="4"/>
      <c r="Z127" s="4"/>
      <c r="AA127" s="4"/>
      <c r="AB127" s="4"/>
      <c r="AC127" s="4"/>
      <c r="AD127" s="200"/>
      <c r="AE127" s="200"/>
      <c r="AF127" s="4"/>
      <c r="AG127" s="4"/>
      <c r="AH127" s="4"/>
      <c r="AJ127" s="71">
        <f t="shared" si="24"/>
        <v>0</v>
      </c>
    </row>
    <row r="128" spans="2:36" hidden="1" outlineLevel="1" x14ac:dyDescent="0.25">
      <c r="B128" s="151"/>
      <c r="C128" s="54" t="s">
        <v>77</v>
      </c>
      <c r="D128" s="5"/>
      <c r="E128" s="5"/>
      <c r="F128" s="5"/>
      <c r="G128" s="5"/>
      <c r="H128" s="5"/>
      <c r="I128" s="200"/>
      <c r="J128" s="200"/>
      <c r="K128" s="5"/>
      <c r="L128" s="5"/>
      <c r="M128" s="5"/>
      <c r="N128" s="5"/>
      <c r="O128" s="5"/>
      <c r="P128" s="200"/>
      <c r="Q128" s="200"/>
      <c r="R128" s="5">
        <v>8</v>
      </c>
      <c r="S128" s="5"/>
      <c r="T128" s="5"/>
      <c r="U128" s="5"/>
      <c r="V128" s="5"/>
      <c r="W128" s="200"/>
      <c r="X128" s="200"/>
      <c r="Y128" s="5"/>
      <c r="Z128" s="5"/>
      <c r="AA128" s="5"/>
      <c r="AB128" s="5"/>
      <c r="AC128" s="5"/>
      <c r="AD128" s="200"/>
      <c r="AE128" s="200"/>
      <c r="AF128" s="5"/>
      <c r="AG128" s="5"/>
      <c r="AH128" s="5"/>
      <c r="AJ128" s="72">
        <f t="shared" si="24"/>
        <v>8</v>
      </c>
    </row>
    <row r="129" spans="2:36" ht="15.75" hidden="1" outlineLevel="1" thickBot="1" x14ac:dyDescent="0.3">
      <c r="B129" s="151"/>
      <c r="C129" s="9" t="s">
        <v>3</v>
      </c>
      <c r="D129" s="8"/>
      <c r="E129" s="8"/>
      <c r="F129" s="8"/>
      <c r="G129" s="8"/>
      <c r="H129" s="8"/>
      <c r="I129" s="201"/>
      <c r="J129" s="201"/>
      <c r="K129" s="8"/>
      <c r="L129" s="8"/>
      <c r="M129" s="8"/>
      <c r="N129" s="8"/>
      <c r="O129" s="8"/>
      <c r="P129" s="201"/>
      <c r="Q129" s="201"/>
      <c r="R129" s="8"/>
      <c r="S129" s="8"/>
      <c r="T129" s="8"/>
      <c r="U129" s="8"/>
      <c r="V129" s="8"/>
      <c r="W129" s="201"/>
      <c r="X129" s="201"/>
      <c r="Y129" s="8"/>
      <c r="Z129" s="8"/>
      <c r="AA129" s="8"/>
      <c r="AB129" s="8"/>
      <c r="AC129" s="8"/>
      <c r="AD129" s="201"/>
      <c r="AE129" s="201"/>
      <c r="AF129" s="8"/>
      <c r="AG129" s="8"/>
      <c r="AH129" s="8"/>
      <c r="AI129" s="7"/>
      <c r="AJ129" s="69">
        <f t="shared" si="24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2"/>
      <c r="E130" s="2"/>
      <c r="F130" s="2"/>
      <c r="G130" s="2"/>
      <c r="H130" s="255">
        <v>0</v>
      </c>
      <c r="I130" s="200"/>
      <c r="J130" s="200"/>
      <c r="K130" s="2"/>
      <c r="L130" s="2"/>
      <c r="M130" s="2"/>
      <c r="N130" s="2"/>
      <c r="O130" s="255">
        <v>0</v>
      </c>
      <c r="P130" s="200"/>
      <c r="Q130" s="200"/>
      <c r="R130" s="2"/>
      <c r="S130" s="2"/>
      <c r="T130" s="2"/>
      <c r="U130" s="2"/>
      <c r="V130" s="255">
        <v>0</v>
      </c>
      <c r="W130" s="200"/>
      <c r="X130" s="200"/>
      <c r="Y130" s="2"/>
      <c r="Z130" s="2"/>
      <c r="AA130" s="2"/>
      <c r="AB130" s="2"/>
      <c r="AC130" s="255">
        <v>0</v>
      </c>
      <c r="AD130" s="200"/>
      <c r="AE130" s="200"/>
      <c r="AF130" s="2"/>
      <c r="AG130" s="2"/>
      <c r="AH130" s="2"/>
      <c r="AJ130" s="64">
        <f>SUM(D130:AH130)</f>
        <v>0</v>
      </c>
    </row>
    <row r="131" spans="2:36" ht="15.75" hidden="1" outlineLevel="1" thickTop="1" x14ac:dyDescent="0.25">
      <c r="B131" s="150"/>
      <c r="C131" s="1" t="s">
        <v>1</v>
      </c>
      <c r="D131" s="3"/>
      <c r="E131" s="3"/>
      <c r="F131" s="3"/>
      <c r="G131" s="3"/>
      <c r="H131" s="3"/>
      <c r="I131" s="200"/>
      <c r="J131" s="200"/>
      <c r="K131" s="3"/>
      <c r="L131" s="3"/>
      <c r="M131" s="3"/>
      <c r="N131" s="3"/>
      <c r="O131" s="3"/>
      <c r="P131" s="200"/>
      <c r="Q131" s="200"/>
      <c r="R131" s="3"/>
      <c r="S131" s="3"/>
      <c r="T131" s="3"/>
      <c r="U131" s="3"/>
      <c r="V131" s="3"/>
      <c r="W131" s="200"/>
      <c r="X131" s="200"/>
      <c r="Y131" s="3"/>
      <c r="Z131" s="3"/>
      <c r="AA131" s="3"/>
      <c r="AB131" s="3"/>
      <c r="AC131" s="3"/>
      <c r="AD131" s="200"/>
      <c r="AE131" s="200"/>
      <c r="AF131" s="3"/>
      <c r="AG131" s="3"/>
      <c r="AH131" s="3"/>
      <c r="AJ131" s="70">
        <f t="shared" ref="AJ131:AJ134" si="25">SUM(D131:AH131)</f>
        <v>0</v>
      </c>
    </row>
    <row r="132" spans="2:36" hidden="1" outlineLevel="1" x14ac:dyDescent="0.25">
      <c r="B132" s="151"/>
      <c r="C132" s="1" t="s">
        <v>2</v>
      </c>
      <c r="D132" s="4"/>
      <c r="E132" s="4"/>
      <c r="F132" s="4"/>
      <c r="G132" s="4"/>
      <c r="H132" s="4"/>
      <c r="I132" s="200"/>
      <c r="J132" s="200"/>
      <c r="K132" s="4"/>
      <c r="L132" s="4"/>
      <c r="M132" s="4"/>
      <c r="N132" s="4"/>
      <c r="O132" s="4"/>
      <c r="P132" s="200"/>
      <c r="Q132" s="200"/>
      <c r="R132" s="4"/>
      <c r="S132" s="4"/>
      <c r="T132" s="4"/>
      <c r="U132" s="4"/>
      <c r="V132" s="4"/>
      <c r="W132" s="200"/>
      <c r="X132" s="200"/>
      <c r="Y132" s="4"/>
      <c r="Z132" s="4"/>
      <c r="AA132" s="4"/>
      <c r="AB132" s="4"/>
      <c r="AC132" s="4"/>
      <c r="AD132" s="200"/>
      <c r="AE132" s="200"/>
      <c r="AF132" s="4"/>
      <c r="AG132" s="4"/>
      <c r="AH132" s="4"/>
      <c r="AJ132" s="71">
        <f t="shared" si="25"/>
        <v>0</v>
      </c>
    </row>
    <row r="133" spans="2:36" hidden="1" outlineLevel="1" x14ac:dyDescent="0.25">
      <c r="B133" s="151"/>
      <c r="C133" s="54" t="s">
        <v>77</v>
      </c>
      <c r="D133" s="5"/>
      <c r="E133" s="5"/>
      <c r="F133" s="5"/>
      <c r="G133" s="5"/>
      <c r="H133" s="5"/>
      <c r="I133" s="200"/>
      <c r="J133" s="200"/>
      <c r="K133" s="5"/>
      <c r="L133" s="5"/>
      <c r="M133" s="5"/>
      <c r="N133" s="5"/>
      <c r="O133" s="5"/>
      <c r="P133" s="200"/>
      <c r="Q133" s="200"/>
      <c r="R133" s="5"/>
      <c r="S133" s="5"/>
      <c r="T133" s="5"/>
      <c r="U133" s="5"/>
      <c r="V133" s="5"/>
      <c r="W133" s="200"/>
      <c r="X133" s="200"/>
      <c r="Y133" s="5"/>
      <c r="Z133" s="5"/>
      <c r="AA133" s="5"/>
      <c r="AB133" s="5"/>
      <c r="AC133" s="5"/>
      <c r="AD133" s="200"/>
      <c r="AE133" s="200"/>
      <c r="AF133" s="5"/>
      <c r="AG133" s="5"/>
      <c r="AH133" s="5"/>
      <c r="AJ133" s="72">
        <f t="shared" si="25"/>
        <v>0</v>
      </c>
    </row>
    <row r="134" spans="2:36" ht="15.75" hidden="1" outlineLevel="1" thickBot="1" x14ac:dyDescent="0.3">
      <c r="B134" s="151"/>
      <c r="C134" s="9" t="s">
        <v>3</v>
      </c>
      <c r="D134" s="8"/>
      <c r="E134" s="8"/>
      <c r="F134" s="8"/>
      <c r="G134" s="8"/>
      <c r="H134" s="8"/>
      <c r="I134" s="201"/>
      <c r="J134" s="201"/>
      <c r="K134" s="8"/>
      <c r="L134" s="8"/>
      <c r="M134" s="8"/>
      <c r="N134" s="8"/>
      <c r="O134" s="8"/>
      <c r="P134" s="201"/>
      <c r="Q134" s="201"/>
      <c r="R134" s="8"/>
      <c r="S134" s="8"/>
      <c r="T134" s="8"/>
      <c r="U134" s="8"/>
      <c r="V134" s="8"/>
      <c r="W134" s="201"/>
      <c r="X134" s="201"/>
      <c r="Y134" s="8"/>
      <c r="Z134" s="8"/>
      <c r="AA134" s="8"/>
      <c r="AB134" s="8"/>
      <c r="AC134" s="8"/>
      <c r="AD134" s="201"/>
      <c r="AE134" s="201"/>
      <c r="AF134" s="8"/>
      <c r="AG134" s="8"/>
      <c r="AH134" s="8"/>
      <c r="AI134" s="7"/>
      <c r="AJ134" s="69">
        <f t="shared" si="25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2"/>
      <c r="E135" s="2"/>
      <c r="F135" s="2"/>
      <c r="G135" s="2"/>
      <c r="H135" s="2"/>
      <c r="I135" s="200"/>
      <c r="J135" s="200"/>
      <c r="K135" s="2"/>
      <c r="L135" s="2"/>
      <c r="M135" s="2"/>
      <c r="N135" s="2"/>
      <c r="O135" s="2"/>
      <c r="P135" s="200"/>
      <c r="Q135" s="200"/>
      <c r="R135" s="2"/>
      <c r="S135" s="2"/>
      <c r="T135" s="2"/>
      <c r="U135" s="2"/>
      <c r="V135" s="2">
        <v>4</v>
      </c>
      <c r="W135" s="200"/>
      <c r="X135" s="200"/>
      <c r="Y135" s="2"/>
      <c r="Z135" s="2"/>
      <c r="AA135" s="2"/>
      <c r="AB135" s="2"/>
      <c r="AC135" s="2"/>
      <c r="AD135" s="200"/>
      <c r="AE135" s="200"/>
      <c r="AF135" s="2"/>
      <c r="AG135" s="2"/>
      <c r="AH135" s="2"/>
      <c r="AJ135" s="64">
        <f>SUM(D135:AH135)</f>
        <v>4</v>
      </c>
    </row>
    <row r="136" spans="2:36" ht="15.75" hidden="1" outlineLevel="1" thickTop="1" x14ac:dyDescent="0.25">
      <c r="B136" s="150"/>
      <c r="C136" s="1" t="s">
        <v>1</v>
      </c>
      <c r="D136" s="3"/>
      <c r="E136" s="3"/>
      <c r="F136" s="3"/>
      <c r="G136" s="3"/>
      <c r="H136" s="3"/>
      <c r="I136" s="200"/>
      <c r="J136" s="200"/>
      <c r="K136" s="3"/>
      <c r="L136" s="3"/>
      <c r="M136" s="3"/>
      <c r="N136" s="3"/>
      <c r="O136" s="3"/>
      <c r="P136" s="200"/>
      <c r="Q136" s="200"/>
      <c r="R136" s="3"/>
      <c r="S136" s="3"/>
      <c r="T136" s="3"/>
      <c r="U136" s="3"/>
      <c r="V136" s="3"/>
      <c r="W136" s="200"/>
      <c r="X136" s="200"/>
      <c r="Y136" s="3"/>
      <c r="Z136" s="3"/>
      <c r="AA136" s="3"/>
      <c r="AB136" s="3"/>
      <c r="AC136" s="3"/>
      <c r="AD136" s="200"/>
      <c r="AE136" s="200"/>
      <c r="AF136" s="3"/>
      <c r="AG136" s="3"/>
      <c r="AH136" s="3"/>
      <c r="AJ136" s="70">
        <f t="shared" ref="AJ136:AJ139" si="26">SUM(D136:AH136)</f>
        <v>0</v>
      </c>
    </row>
    <row r="137" spans="2:36" hidden="1" outlineLevel="1" x14ac:dyDescent="0.25">
      <c r="B137" s="151"/>
      <c r="C137" s="1" t="s">
        <v>2</v>
      </c>
      <c r="D137" s="4"/>
      <c r="E137" s="4"/>
      <c r="F137" s="4"/>
      <c r="G137" s="4"/>
      <c r="H137" s="4"/>
      <c r="I137" s="200"/>
      <c r="J137" s="200"/>
      <c r="K137" s="4"/>
      <c r="L137" s="4"/>
      <c r="M137" s="4"/>
      <c r="N137" s="4"/>
      <c r="O137" s="4"/>
      <c r="P137" s="200"/>
      <c r="Q137" s="200"/>
      <c r="R137" s="4"/>
      <c r="S137" s="4"/>
      <c r="T137" s="4"/>
      <c r="U137" s="4"/>
      <c r="V137" s="4"/>
      <c r="W137" s="200"/>
      <c r="X137" s="200"/>
      <c r="Y137" s="4"/>
      <c r="Z137" s="4"/>
      <c r="AA137" s="4"/>
      <c r="AB137" s="4"/>
      <c r="AC137" s="4"/>
      <c r="AD137" s="200"/>
      <c r="AE137" s="200"/>
      <c r="AF137" s="4"/>
      <c r="AG137" s="4"/>
      <c r="AH137" s="4"/>
      <c r="AJ137" s="71">
        <f t="shared" si="26"/>
        <v>0</v>
      </c>
    </row>
    <row r="138" spans="2:36" hidden="1" outlineLevel="1" x14ac:dyDescent="0.25">
      <c r="B138" s="151"/>
      <c r="C138" s="54" t="s">
        <v>77</v>
      </c>
      <c r="D138" s="5"/>
      <c r="E138" s="5"/>
      <c r="F138" s="5"/>
      <c r="G138" s="5"/>
      <c r="H138" s="5"/>
      <c r="I138" s="200"/>
      <c r="J138" s="200"/>
      <c r="K138" s="5"/>
      <c r="L138" s="5"/>
      <c r="M138" s="5"/>
      <c r="N138" s="5"/>
      <c r="O138" s="5"/>
      <c r="P138" s="200"/>
      <c r="Q138" s="200"/>
      <c r="R138" s="5"/>
      <c r="S138" s="5"/>
      <c r="T138" s="5"/>
      <c r="U138" s="5"/>
      <c r="V138" s="5"/>
      <c r="W138" s="200"/>
      <c r="X138" s="200"/>
      <c r="Y138" s="5"/>
      <c r="Z138" s="5"/>
      <c r="AA138" s="5"/>
      <c r="AB138" s="5"/>
      <c r="AC138" s="5"/>
      <c r="AD138" s="200"/>
      <c r="AE138" s="200"/>
      <c r="AF138" s="5"/>
      <c r="AG138" s="5"/>
      <c r="AH138" s="5"/>
      <c r="AJ138" s="72">
        <f t="shared" si="26"/>
        <v>0</v>
      </c>
    </row>
    <row r="139" spans="2:36" ht="15.75" hidden="1" outlineLevel="1" thickBot="1" x14ac:dyDescent="0.3">
      <c r="B139" s="151"/>
      <c r="C139" s="9" t="s">
        <v>3</v>
      </c>
      <c r="D139" s="8"/>
      <c r="E139" s="8"/>
      <c r="F139" s="8"/>
      <c r="G139" s="8"/>
      <c r="H139" s="8"/>
      <c r="I139" s="201"/>
      <c r="J139" s="201"/>
      <c r="K139" s="8"/>
      <c r="L139" s="8"/>
      <c r="M139" s="8"/>
      <c r="N139" s="8"/>
      <c r="O139" s="8"/>
      <c r="P139" s="201"/>
      <c r="Q139" s="201"/>
      <c r="R139" s="8"/>
      <c r="S139" s="8"/>
      <c r="T139" s="8"/>
      <c r="U139" s="8"/>
      <c r="V139" s="8"/>
      <c r="W139" s="201"/>
      <c r="X139" s="201"/>
      <c r="Y139" s="8"/>
      <c r="Z139" s="8"/>
      <c r="AA139" s="8"/>
      <c r="AB139" s="8"/>
      <c r="AC139" s="8"/>
      <c r="AD139" s="201"/>
      <c r="AE139" s="201"/>
      <c r="AF139" s="8"/>
      <c r="AG139" s="8"/>
      <c r="AH139" s="8"/>
      <c r="AI139" s="7"/>
      <c r="AJ139" s="69">
        <f t="shared" si="26"/>
        <v>0</v>
      </c>
    </row>
    <row r="140" spans="2:36" ht="16.5" collapsed="1" thickTop="1" thickBot="1" x14ac:dyDescent="0.3">
      <c r="B140" s="253" t="str">
        <f>'Hours Scheduled'!B31</f>
        <v>Thom van Bodegraven</v>
      </c>
      <c r="C140" t="s">
        <v>0</v>
      </c>
      <c r="D140" s="180"/>
      <c r="E140" s="180"/>
      <c r="F140" s="180"/>
      <c r="G140" s="180"/>
      <c r="H140" s="180"/>
      <c r="I140" s="198"/>
      <c r="J140" s="198"/>
      <c r="K140" s="180"/>
      <c r="L140" s="180"/>
      <c r="M140" s="180"/>
      <c r="N140" s="180"/>
      <c r="O140" s="180"/>
      <c r="P140" s="198"/>
      <c r="Q140" s="198"/>
      <c r="R140" s="180"/>
      <c r="S140" s="180"/>
      <c r="T140" s="180"/>
      <c r="U140" s="180"/>
      <c r="V140" s="180"/>
      <c r="W140" s="198"/>
      <c r="X140" s="198"/>
      <c r="Y140" s="180"/>
      <c r="Z140" s="180"/>
      <c r="AA140" s="180"/>
      <c r="AB140" s="180"/>
      <c r="AC140" s="180"/>
      <c r="AD140" s="198"/>
      <c r="AE140" s="198"/>
      <c r="AF140" s="180"/>
      <c r="AG140" s="180"/>
      <c r="AH140" s="180"/>
      <c r="AI140" s="97"/>
      <c r="AJ140" s="172">
        <f>SUM(D140:AH140)</f>
        <v>0</v>
      </c>
    </row>
    <row r="141" spans="2:36" ht="15.75" hidden="1" outlineLevel="1" thickTop="1" x14ac:dyDescent="0.25">
      <c r="B141" s="150"/>
      <c r="C141" s="1" t="s">
        <v>1</v>
      </c>
      <c r="D141" s="181"/>
      <c r="E141" s="181"/>
      <c r="F141" s="181"/>
      <c r="G141" s="181"/>
      <c r="H141" s="181"/>
      <c r="I141" s="198"/>
      <c r="J141" s="198"/>
      <c r="K141" s="181"/>
      <c r="L141" s="181"/>
      <c r="M141" s="181"/>
      <c r="N141" s="181"/>
      <c r="O141" s="181"/>
      <c r="P141" s="198"/>
      <c r="Q141" s="198"/>
      <c r="R141" s="181"/>
      <c r="S141" s="181"/>
      <c r="T141" s="181"/>
      <c r="U141" s="181"/>
      <c r="V141" s="181"/>
      <c r="W141" s="198"/>
      <c r="X141" s="198"/>
      <c r="Y141" s="181"/>
      <c r="Z141" s="181"/>
      <c r="AA141" s="181"/>
      <c r="AB141" s="181"/>
      <c r="AC141" s="181"/>
      <c r="AD141" s="198"/>
      <c r="AE141" s="198"/>
      <c r="AF141" s="181"/>
      <c r="AG141" s="181"/>
      <c r="AH141" s="181"/>
      <c r="AI141" s="97"/>
      <c r="AJ141" s="174">
        <f t="shared" ref="AJ141:AJ144" si="27">SUM(D141:AH141)</f>
        <v>0</v>
      </c>
    </row>
    <row r="142" spans="2:36" hidden="1" outlineLevel="1" x14ac:dyDescent="0.25">
      <c r="B142" s="151"/>
      <c r="C142" s="1" t="s">
        <v>2</v>
      </c>
      <c r="D142" s="182"/>
      <c r="E142" s="182"/>
      <c r="F142" s="182"/>
      <c r="G142" s="182"/>
      <c r="H142" s="182"/>
      <c r="I142" s="198"/>
      <c r="J142" s="198"/>
      <c r="K142" s="182"/>
      <c r="L142" s="182"/>
      <c r="M142" s="182"/>
      <c r="N142" s="182"/>
      <c r="O142" s="182"/>
      <c r="P142" s="198"/>
      <c r="Q142" s="198"/>
      <c r="R142" s="182"/>
      <c r="S142" s="182"/>
      <c r="T142" s="182"/>
      <c r="U142" s="182"/>
      <c r="V142" s="182"/>
      <c r="W142" s="198"/>
      <c r="X142" s="198"/>
      <c r="Y142" s="182"/>
      <c r="Z142" s="182"/>
      <c r="AA142" s="182"/>
      <c r="AB142" s="182"/>
      <c r="AC142" s="182"/>
      <c r="AD142" s="198"/>
      <c r="AE142" s="198"/>
      <c r="AF142" s="182"/>
      <c r="AG142" s="182"/>
      <c r="AH142" s="182"/>
      <c r="AI142" s="97"/>
      <c r="AJ142" s="175">
        <f t="shared" si="27"/>
        <v>0</v>
      </c>
    </row>
    <row r="143" spans="2:36" hidden="1" outlineLevel="1" x14ac:dyDescent="0.25">
      <c r="B143" s="151"/>
      <c r="C143" s="54" t="s">
        <v>77</v>
      </c>
      <c r="D143" s="183"/>
      <c r="E143" s="183"/>
      <c r="F143" s="183"/>
      <c r="G143" s="183"/>
      <c r="H143" s="183"/>
      <c r="I143" s="198"/>
      <c r="J143" s="198"/>
      <c r="K143" s="183"/>
      <c r="L143" s="183"/>
      <c r="M143" s="183"/>
      <c r="N143" s="183"/>
      <c r="O143" s="183"/>
      <c r="P143" s="198"/>
      <c r="Q143" s="198"/>
      <c r="R143" s="183"/>
      <c r="S143" s="183"/>
      <c r="T143" s="183"/>
      <c r="U143" s="183"/>
      <c r="V143" s="183"/>
      <c r="W143" s="198"/>
      <c r="X143" s="198"/>
      <c r="Y143" s="183"/>
      <c r="Z143" s="183"/>
      <c r="AA143" s="183"/>
      <c r="AB143" s="183"/>
      <c r="AC143" s="183"/>
      <c r="AD143" s="198"/>
      <c r="AE143" s="198"/>
      <c r="AF143" s="183"/>
      <c r="AG143" s="183"/>
      <c r="AH143" s="183"/>
      <c r="AI143" s="97"/>
      <c r="AJ143" s="176">
        <f t="shared" si="27"/>
        <v>0</v>
      </c>
    </row>
    <row r="144" spans="2:36" ht="15.75" hidden="1" outlineLevel="1" thickBot="1" x14ac:dyDescent="0.3">
      <c r="B144" s="151"/>
      <c r="C144" s="9" t="s">
        <v>3</v>
      </c>
      <c r="D144" s="184"/>
      <c r="E144" s="184"/>
      <c r="F144" s="184"/>
      <c r="G144" s="184"/>
      <c r="H144" s="184"/>
      <c r="I144" s="199"/>
      <c r="J144" s="199"/>
      <c r="K144" s="184"/>
      <c r="L144" s="184"/>
      <c r="M144" s="184"/>
      <c r="N144" s="184"/>
      <c r="O144" s="184"/>
      <c r="P144" s="199"/>
      <c r="Q144" s="199"/>
      <c r="R144" s="184"/>
      <c r="S144" s="184"/>
      <c r="T144" s="184"/>
      <c r="U144" s="184"/>
      <c r="V144" s="184"/>
      <c r="W144" s="199"/>
      <c r="X144" s="199"/>
      <c r="Y144" s="184"/>
      <c r="Z144" s="184"/>
      <c r="AA144" s="184"/>
      <c r="AB144" s="184"/>
      <c r="AC144" s="184"/>
      <c r="AD144" s="199"/>
      <c r="AE144" s="199"/>
      <c r="AF144" s="184"/>
      <c r="AG144" s="184"/>
      <c r="AH144" s="184"/>
      <c r="AI144" s="186"/>
      <c r="AJ144" s="177">
        <f t="shared" si="27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180">
        <v>8</v>
      </c>
      <c r="E145" s="180">
        <v>8</v>
      </c>
      <c r="F145" s="180">
        <v>8</v>
      </c>
      <c r="G145" s="180">
        <v>8</v>
      </c>
      <c r="H145" s="180">
        <v>8</v>
      </c>
      <c r="I145" s="198"/>
      <c r="J145" s="198"/>
      <c r="K145" s="180">
        <v>8</v>
      </c>
      <c r="L145" s="180">
        <v>8</v>
      </c>
      <c r="M145" s="180">
        <v>8</v>
      </c>
      <c r="N145" s="180">
        <v>8</v>
      </c>
      <c r="O145" s="180">
        <v>8</v>
      </c>
      <c r="P145" s="198"/>
      <c r="Q145" s="198"/>
      <c r="R145" s="180"/>
      <c r="S145" s="180"/>
      <c r="T145" s="180"/>
      <c r="U145" s="180"/>
      <c r="V145" s="180"/>
      <c r="W145" s="198"/>
      <c r="X145" s="198"/>
      <c r="Y145" s="180"/>
      <c r="Z145" s="180"/>
      <c r="AA145" s="180"/>
      <c r="AB145" s="180"/>
      <c r="AC145" s="180"/>
      <c r="AD145" s="198"/>
      <c r="AE145" s="198"/>
      <c r="AF145" s="180"/>
      <c r="AG145" s="180"/>
      <c r="AH145" s="180"/>
      <c r="AI145" s="97"/>
      <c r="AJ145" s="172">
        <f>SUM(D145:AH145)</f>
        <v>80</v>
      </c>
    </row>
    <row r="146" spans="2:36" ht="15.75" hidden="1" outlineLevel="1" thickTop="1" x14ac:dyDescent="0.25">
      <c r="B146" s="150"/>
      <c r="C146" s="1" t="s">
        <v>1</v>
      </c>
      <c r="D146" s="181"/>
      <c r="E146" s="181"/>
      <c r="F146" s="181"/>
      <c r="G146" s="181"/>
      <c r="H146" s="181"/>
      <c r="I146" s="198"/>
      <c r="J146" s="198"/>
      <c r="K146" s="181"/>
      <c r="L146" s="181"/>
      <c r="M146" s="181"/>
      <c r="N146" s="181"/>
      <c r="O146" s="181"/>
      <c r="P146" s="198"/>
      <c r="Q146" s="198"/>
      <c r="R146" s="181"/>
      <c r="S146" s="181"/>
      <c r="T146" s="181"/>
      <c r="U146" s="181"/>
      <c r="V146" s="181"/>
      <c r="W146" s="198"/>
      <c r="X146" s="198"/>
      <c r="Y146" s="181"/>
      <c r="Z146" s="181"/>
      <c r="AA146" s="181"/>
      <c r="AB146" s="181"/>
      <c r="AC146" s="181"/>
      <c r="AD146" s="198"/>
      <c r="AE146" s="198"/>
      <c r="AF146" s="181"/>
      <c r="AG146" s="181"/>
      <c r="AH146" s="181"/>
      <c r="AI146" s="97"/>
      <c r="AJ146" s="174">
        <f t="shared" ref="AJ146:AJ149" si="28">SUM(D146:AH146)</f>
        <v>0</v>
      </c>
    </row>
    <row r="147" spans="2:36" hidden="1" outlineLevel="1" x14ac:dyDescent="0.25">
      <c r="B147" s="151"/>
      <c r="C147" s="1" t="s">
        <v>2</v>
      </c>
      <c r="D147" s="182"/>
      <c r="E147" s="182"/>
      <c r="F147" s="182"/>
      <c r="G147" s="182"/>
      <c r="H147" s="182"/>
      <c r="I147" s="198"/>
      <c r="J147" s="198"/>
      <c r="K147" s="182"/>
      <c r="L147" s="182"/>
      <c r="M147" s="182"/>
      <c r="N147" s="182"/>
      <c r="O147" s="182"/>
      <c r="P147" s="198"/>
      <c r="Q147" s="198"/>
      <c r="R147" s="182"/>
      <c r="S147" s="182"/>
      <c r="T147" s="182"/>
      <c r="U147" s="182"/>
      <c r="V147" s="182"/>
      <c r="W147" s="198"/>
      <c r="X147" s="198"/>
      <c r="Y147" s="182"/>
      <c r="Z147" s="182"/>
      <c r="AA147" s="182"/>
      <c r="AB147" s="182"/>
      <c r="AC147" s="182"/>
      <c r="AD147" s="198"/>
      <c r="AE147" s="198"/>
      <c r="AF147" s="182"/>
      <c r="AG147" s="182"/>
      <c r="AH147" s="182"/>
      <c r="AI147" s="97"/>
      <c r="AJ147" s="175">
        <f t="shared" si="28"/>
        <v>0</v>
      </c>
    </row>
    <row r="148" spans="2:36" hidden="1" outlineLevel="1" x14ac:dyDescent="0.25">
      <c r="B148" s="151"/>
      <c r="C148" s="54" t="s">
        <v>77</v>
      </c>
      <c r="D148" s="183"/>
      <c r="E148" s="183"/>
      <c r="F148" s="183"/>
      <c r="G148" s="183"/>
      <c r="H148" s="183"/>
      <c r="I148" s="198"/>
      <c r="J148" s="198"/>
      <c r="K148" s="183"/>
      <c r="L148" s="183"/>
      <c r="M148" s="183"/>
      <c r="N148" s="183"/>
      <c r="O148" s="183"/>
      <c r="P148" s="198"/>
      <c r="Q148" s="198"/>
      <c r="R148" s="183"/>
      <c r="S148" s="183"/>
      <c r="T148" s="183"/>
      <c r="U148" s="183"/>
      <c r="V148" s="183"/>
      <c r="W148" s="198"/>
      <c r="X148" s="198"/>
      <c r="Y148" s="183"/>
      <c r="Z148" s="183"/>
      <c r="AA148" s="183"/>
      <c r="AB148" s="183"/>
      <c r="AC148" s="183"/>
      <c r="AD148" s="198"/>
      <c r="AE148" s="198"/>
      <c r="AF148" s="183"/>
      <c r="AG148" s="183"/>
      <c r="AH148" s="183"/>
      <c r="AI148" s="97"/>
      <c r="AJ148" s="176">
        <f t="shared" si="28"/>
        <v>0</v>
      </c>
    </row>
    <row r="149" spans="2:36" ht="15.75" hidden="1" outlineLevel="1" thickBot="1" x14ac:dyDescent="0.3">
      <c r="B149" s="151"/>
      <c r="C149" s="9" t="s">
        <v>3</v>
      </c>
      <c r="D149" s="184"/>
      <c r="E149" s="184"/>
      <c r="F149" s="184"/>
      <c r="G149" s="184"/>
      <c r="H149" s="184"/>
      <c r="I149" s="199"/>
      <c r="J149" s="199"/>
      <c r="K149" s="184"/>
      <c r="L149" s="184"/>
      <c r="M149" s="184"/>
      <c r="N149" s="184"/>
      <c r="O149" s="184"/>
      <c r="P149" s="199"/>
      <c r="Q149" s="199"/>
      <c r="R149" s="184"/>
      <c r="S149" s="184"/>
      <c r="T149" s="184"/>
      <c r="U149" s="184"/>
      <c r="V149" s="184"/>
      <c r="W149" s="199"/>
      <c r="X149" s="199"/>
      <c r="Y149" s="184"/>
      <c r="Z149" s="184"/>
      <c r="AA149" s="184"/>
      <c r="AB149" s="184"/>
      <c r="AC149" s="184"/>
      <c r="AD149" s="199"/>
      <c r="AE149" s="199"/>
      <c r="AF149" s="184"/>
      <c r="AG149" s="184"/>
      <c r="AH149" s="184"/>
      <c r="AI149" s="186"/>
      <c r="AJ149" s="177">
        <f t="shared" si="28"/>
        <v>0</v>
      </c>
    </row>
    <row r="150" spans="2:36" ht="16.5" collapsed="1" thickTop="1" thickBot="1" x14ac:dyDescent="0.3">
      <c r="B150" s="149" t="str">
        <f>'Hours Scheduled'!B33</f>
        <v>Erik Jaspers</v>
      </c>
      <c r="C150" t="s">
        <v>0</v>
      </c>
      <c r="D150" s="180"/>
      <c r="E150" s="180"/>
      <c r="F150" s="180"/>
      <c r="G150" s="180"/>
      <c r="H150" s="180"/>
      <c r="I150" s="198"/>
      <c r="J150" s="198"/>
      <c r="K150" s="180"/>
      <c r="L150" s="180"/>
      <c r="M150" s="180"/>
      <c r="N150" s="180"/>
      <c r="O150" s="180"/>
      <c r="P150" s="198"/>
      <c r="Q150" s="198"/>
      <c r="R150" s="180"/>
      <c r="S150" s="180"/>
      <c r="T150" s="180"/>
      <c r="U150" s="180"/>
      <c r="V150" s="180"/>
      <c r="W150" s="198"/>
      <c r="X150" s="198"/>
      <c r="Y150" s="180"/>
      <c r="Z150" s="180"/>
      <c r="AA150" s="180"/>
      <c r="AB150" s="180"/>
      <c r="AC150" s="180"/>
      <c r="AD150" s="198"/>
      <c r="AE150" s="198"/>
      <c r="AF150" s="180"/>
      <c r="AG150" s="180"/>
      <c r="AH150" s="180"/>
      <c r="AI150" s="97"/>
      <c r="AJ150" s="172">
        <f>SUM(D150:AH150)</f>
        <v>0</v>
      </c>
    </row>
    <row r="151" spans="2:36" ht="15.75" hidden="1" outlineLevel="1" thickTop="1" x14ac:dyDescent="0.25">
      <c r="B151" s="150"/>
      <c r="C151" s="1" t="s">
        <v>1</v>
      </c>
      <c r="D151" s="181"/>
      <c r="E151" s="181"/>
      <c r="F151" s="181"/>
      <c r="G151" s="181"/>
      <c r="H151" s="181"/>
      <c r="I151" s="198"/>
      <c r="J151" s="198"/>
      <c r="K151" s="181"/>
      <c r="L151" s="181"/>
      <c r="M151" s="181"/>
      <c r="N151" s="181"/>
      <c r="O151" s="181"/>
      <c r="P151" s="198"/>
      <c r="Q151" s="198"/>
      <c r="R151" s="181"/>
      <c r="S151" s="181"/>
      <c r="T151" s="181"/>
      <c r="U151" s="181"/>
      <c r="V151" s="181"/>
      <c r="W151" s="198"/>
      <c r="X151" s="198"/>
      <c r="Y151" s="181"/>
      <c r="Z151" s="181"/>
      <c r="AA151" s="181"/>
      <c r="AB151" s="181"/>
      <c r="AC151" s="181"/>
      <c r="AD151" s="198"/>
      <c r="AE151" s="198"/>
      <c r="AF151" s="181"/>
      <c r="AG151" s="181"/>
      <c r="AH151" s="181"/>
      <c r="AI151" s="97"/>
      <c r="AJ151" s="174">
        <f t="shared" ref="AJ151:AJ154" si="29">SUM(D151:AH151)</f>
        <v>0</v>
      </c>
    </row>
    <row r="152" spans="2:36" hidden="1" outlineLevel="1" x14ac:dyDescent="0.25">
      <c r="B152" s="151"/>
      <c r="C152" s="1" t="s">
        <v>2</v>
      </c>
      <c r="D152" s="182"/>
      <c r="E152" s="182"/>
      <c r="F152" s="182"/>
      <c r="G152" s="182"/>
      <c r="H152" s="182"/>
      <c r="I152" s="198"/>
      <c r="J152" s="198"/>
      <c r="K152" s="182"/>
      <c r="L152" s="182"/>
      <c r="M152" s="182"/>
      <c r="N152" s="182"/>
      <c r="O152" s="182"/>
      <c r="P152" s="198"/>
      <c r="Q152" s="198"/>
      <c r="R152" s="182"/>
      <c r="S152" s="182"/>
      <c r="T152" s="182"/>
      <c r="U152" s="182"/>
      <c r="V152" s="182"/>
      <c r="W152" s="198"/>
      <c r="X152" s="198"/>
      <c r="Y152" s="182"/>
      <c r="Z152" s="182"/>
      <c r="AA152" s="182"/>
      <c r="AB152" s="182"/>
      <c r="AC152" s="182"/>
      <c r="AD152" s="198"/>
      <c r="AE152" s="198"/>
      <c r="AF152" s="182"/>
      <c r="AG152" s="182"/>
      <c r="AH152" s="182"/>
      <c r="AI152" s="97"/>
      <c r="AJ152" s="175">
        <f t="shared" si="29"/>
        <v>0</v>
      </c>
    </row>
    <row r="153" spans="2:36" hidden="1" outlineLevel="1" x14ac:dyDescent="0.25">
      <c r="B153" s="151"/>
      <c r="C153" s="54" t="s">
        <v>77</v>
      </c>
      <c r="D153" s="183"/>
      <c r="E153" s="183"/>
      <c r="F153" s="183"/>
      <c r="G153" s="183"/>
      <c r="H153" s="183"/>
      <c r="I153" s="198"/>
      <c r="J153" s="198"/>
      <c r="K153" s="183"/>
      <c r="L153" s="183"/>
      <c r="M153" s="183"/>
      <c r="N153" s="183"/>
      <c r="O153" s="183"/>
      <c r="P153" s="198"/>
      <c r="Q153" s="198"/>
      <c r="R153" s="183"/>
      <c r="S153" s="183"/>
      <c r="T153" s="183"/>
      <c r="U153" s="183"/>
      <c r="V153" s="183"/>
      <c r="W153" s="198"/>
      <c r="X153" s="198"/>
      <c r="Y153" s="183"/>
      <c r="Z153" s="183"/>
      <c r="AA153" s="183"/>
      <c r="AB153" s="183"/>
      <c r="AC153" s="183"/>
      <c r="AD153" s="198"/>
      <c r="AE153" s="198"/>
      <c r="AF153" s="183"/>
      <c r="AG153" s="183"/>
      <c r="AH153" s="183"/>
      <c r="AI153" s="97"/>
      <c r="AJ153" s="176">
        <f t="shared" si="29"/>
        <v>0</v>
      </c>
    </row>
    <row r="154" spans="2:36" ht="15.75" hidden="1" outlineLevel="1" thickBot="1" x14ac:dyDescent="0.3">
      <c r="B154" s="151"/>
      <c r="C154" s="9" t="s">
        <v>3</v>
      </c>
      <c r="D154" s="184"/>
      <c r="E154" s="184"/>
      <c r="F154" s="184"/>
      <c r="G154" s="184"/>
      <c r="H154" s="184"/>
      <c r="I154" s="199"/>
      <c r="J154" s="199"/>
      <c r="K154" s="184"/>
      <c r="L154" s="184"/>
      <c r="M154" s="184"/>
      <c r="N154" s="184"/>
      <c r="O154" s="184"/>
      <c r="P154" s="199"/>
      <c r="Q154" s="199"/>
      <c r="R154" s="184"/>
      <c r="S154" s="184"/>
      <c r="T154" s="184"/>
      <c r="U154" s="184"/>
      <c r="V154" s="184"/>
      <c r="W154" s="199"/>
      <c r="X154" s="199"/>
      <c r="Y154" s="184"/>
      <c r="Z154" s="184"/>
      <c r="AA154" s="184"/>
      <c r="AB154" s="184"/>
      <c r="AC154" s="184"/>
      <c r="AD154" s="199"/>
      <c r="AE154" s="199"/>
      <c r="AF154" s="184"/>
      <c r="AG154" s="184"/>
      <c r="AH154" s="184"/>
      <c r="AI154" s="186"/>
      <c r="AJ154" s="177">
        <f t="shared" si="29"/>
        <v>0</v>
      </c>
    </row>
    <row r="155" spans="2:36" ht="16.5" collapsed="1" thickTop="1" thickBot="1" x14ac:dyDescent="0.3">
      <c r="B155" s="149" t="str">
        <f>'Hours Scheduled'!B34</f>
        <v>Leo Wijnands</v>
      </c>
      <c r="C155" t="s">
        <v>0</v>
      </c>
      <c r="D155" s="180"/>
      <c r="E155" s="180"/>
      <c r="F155" s="180">
        <v>0</v>
      </c>
      <c r="G155" s="180">
        <v>0</v>
      </c>
      <c r="H155" s="180"/>
      <c r="I155" s="198"/>
      <c r="J155" s="198"/>
      <c r="K155" s="180"/>
      <c r="L155" s="180"/>
      <c r="M155" s="180"/>
      <c r="N155" s="180"/>
      <c r="O155" s="180"/>
      <c r="P155" s="198"/>
      <c r="Q155" s="198"/>
      <c r="R155" s="180"/>
      <c r="S155" s="180"/>
      <c r="T155" s="180"/>
      <c r="U155" s="180">
        <v>0</v>
      </c>
      <c r="V155" s="180"/>
      <c r="W155" s="198"/>
      <c r="X155" s="198"/>
      <c r="Y155" s="180"/>
      <c r="Z155" s="180"/>
      <c r="AA155" s="180"/>
      <c r="AB155" s="180"/>
      <c r="AC155" s="180"/>
      <c r="AD155" s="198"/>
      <c r="AE155" s="198"/>
      <c r="AF155" s="180"/>
      <c r="AG155" s="180"/>
      <c r="AH155" s="180"/>
      <c r="AI155" s="97"/>
      <c r="AJ155" s="172">
        <f>SUM(D155:AH155)</f>
        <v>0</v>
      </c>
    </row>
    <row r="156" spans="2:36" ht="15.75" hidden="1" outlineLevel="1" thickTop="1" x14ac:dyDescent="0.25">
      <c r="B156" s="150"/>
      <c r="C156" s="1" t="s">
        <v>1</v>
      </c>
      <c r="D156" s="181"/>
      <c r="E156" s="181"/>
      <c r="F156" s="181">
        <v>8</v>
      </c>
      <c r="G156" s="181">
        <v>8</v>
      </c>
      <c r="H156" s="181"/>
      <c r="I156" s="198"/>
      <c r="J156" s="198"/>
      <c r="K156" s="181"/>
      <c r="L156" s="181"/>
      <c r="M156" s="181"/>
      <c r="N156" s="181"/>
      <c r="O156" s="181"/>
      <c r="P156" s="198"/>
      <c r="Q156" s="198"/>
      <c r="R156" s="181"/>
      <c r="S156" s="181"/>
      <c r="T156" s="181"/>
      <c r="U156" s="181"/>
      <c r="V156" s="181"/>
      <c r="W156" s="198"/>
      <c r="X156" s="198"/>
      <c r="Y156" s="181"/>
      <c r="Z156" s="181"/>
      <c r="AA156" s="181"/>
      <c r="AB156" s="181"/>
      <c r="AC156" s="181"/>
      <c r="AD156" s="198"/>
      <c r="AE156" s="198"/>
      <c r="AF156" s="181"/>
      <c r="AG156" s="181"/>
      <c r="AH156" s="181"/>
      <c r="AI156" s="97"/>
      <c r="AJ156" s="174">
        <f t="shared" ref="AJ156:AJ159" si="30">SUM(D156:AH156)</f>
        <v>16</v>
      </c>
    </row>
    <row r="157" spans="2:36" hidden="1" outlineLevel="1" x14ac:dyDescent="0.25">
      <c r="B157" s="151"/>
      <c r="C157" s="1" t="s">
        <v>2</v>
      </c>
      <c r="D157" s="182"/>
      <c r="E157" s="182"/>
      <c r="F157" s="182"/>
      <c r="G157" s="182"/>
      <c r="H157" s="182"/>
      <c r="I157" s="198"/>
      <c r="J157" s="198"/>
      <c r="K157" s="182"/>
      <c r="L157" s="182"/>
      <c r="M157" s="182"/>
      <c r="N157" s="182"/>
      <c r="O157" s="182"/>
      <c r="P157" s="198"/>
      <c r="Q157" s="198"/>
      <c r="R157" s="182"/>
      <c r="S157" s="182"/>
      <c r="T157" s="182"/>
      <c r="U157" s="182"/>
      <c r="V157" s="182"/>
      <c r="W157" s="198"/>
      <c r="X157" s="198"/>
      <c r="Y157" s="182"/>
      <c r="Z157" s="182"/>
      <c r="AA157" s="182"/>
      <c r="AB157" s="182"/>
      <c r="AC157" s="182"/>
      <c r="AD157" s="198"/>
      <c r="AE157" s="198"/>
      <c r="AF157" s="182"/>
      <c r="AG157" s="182"/>
      <c r="AH157" s="182"/>
      <c r="AI157" s="97"/>
      <c r="AJ157" s="175">
        <f t="shared" si="30"/>
        <v>0</v>
      </c>
    </row>
    <row r="158" spans="2:36" hidden="1" outlineLevel="1" x14ac:dyDescent="0.25">
      <c r="B158" s="151"/>
      <c r="C158" s="54" t="s">
        <v>77</v>
      </c>
      <c r="D158" s="183"/>
      <c r="E158" s="183"/>
      <c r="F158" s="183"/>
      <c r="G158" s="183"/>
      <c r="H158" s="183"/>
      <c r="I158" s="198"/>
      <c r="J158" s="198"/>
      <c r="K158" s="183"/>
      <c r="L158" s="183"/>
      <c r="M158" s="183"/>
      <c r="N158" s="183"/>
      <c r="O158" s="183"/>
      <c r="P158" s="198"/>
      <c r="Q158" s="198"/>
      <c r="R158" s="183"/>
      <c r="S158" s="183"/>
      <c r="T158" s="183"/>
      <c r="U158" s="183"/>
      <c r="V158" s="183"/>
      <c r="W158" s="198"/>
      <c r="X158" s="198"/>
      <c r="Y158" s="183"/>
      <c r="Z158" s="183"/>
      <c r="AA158" s="183"/>
      <c r="AB158" s="183"/>
      <c r="AC158" s="183"/>
      <c r="AD158" s="198"/>
      <c r="AE158" s="198"/>
      <c r="AF158" s="183"/>
      <c r="AG158" s="183"/>
      <c r="AH158" s="183"/>
      <c r="AI158" s="97"/>
      <c r="AJ158" s="176">
        <f t="shared" si="30"/>
        <v>0</v>
      </c>
    </row>
    <row r="159" spans="2:36" ht="15.75" hidden="1" outlineLevel="1" thickBot="1" x14ac:dyDescent="0.3">
      <c r="B159" s="151"/>
      <c r="C159" s="9" t="s">
        <v>3</v>
      </c>
      <c r="D159" s="184"/>
      <c r="E159" s="184"/>
      <c r="F159" s="184"/>
      <c r="G159" s="184"/>
      <c r="H159" s="184"/>
      <c r="I159" s="199"/>
      <c r="J159" s="199"/>
      <c r="K159" s="184"/>
      <c r="L159" s="184"/>
      <c r="M159" s="184"/>
      <c r="N159" s="184"/>
      <c r="O159" s="184"/>
      <c r="P159" s="199"/>
      <c r="Q159" s="199"/>
      <c r="R159" s="184"/>
      <c r="S159" s="184"/>
      <c r="T159" s="184"/>
      <c r="U159" s="184"/>
      <c r="V159" s="184"/>
      <c r="W159" s="199"/>
      <c r="X159" s="199"/>
      <c r="Y159" s="184"/>
      <c r="Z159" s="184"/>
      <c r="AA159" s="184"/>
      <c r="AB159" s="184"/>
      <c r="AC159" s="184"/>
      <c r="AD159" s="199"/>
      <c r="AE159" s="199"/>
      <c r="AF159" s="184"/>
      <c r="AG159" s="184"/>
      <c r="AH159" s="184"/>
      <c r="AI159" s="186"/>
      <c r="AJ159" s="177">
        <f t="shared" si="30"/>
        <v>0</v>
      </c>
    </row>
    <row r="160" spans="2:36" ht="16.5" collapsed="1" thickTop="1" thickBot="1" x14ac:dyDescent="0.3">
      <c r="B160" s="149" t="str">
        <f>'Hours Scheduled'!B35</f>
        <v>Danny Ummels</v>
      </c>
      <c r="C160" t="s">
        <v>0</v>
      </c>
      <c r="D160" s="180"/>
      <c r="E160" s="180"/>
      <c r="F160" s="180"/>
      <c r="G160" s="180"/>
      <c r="H160" s="180">
        <v>4</v>
      </c>
      <c r="I160" s="198"/>
      <c r="J160" s="198"/>
      <c r="K160" s="180"/>
      <c r="L160" s="180"/>
      <c r="M160" s="180"/>
      <c r="N160" s="180"/>
      <c r="O160" s="180"/>
      <c r="P160" s="198"/>
      <c r="Q160" s="198"/>
      <c r="R160" s="180"/>
      <c r="S160" s="180"/>
      <c r="T160" s="180"/>
      <c r="U160" s="180"/>
      <c r="V160" s="180"/>
      <c r="W160" s="198"/>
      <c r="X160" s="198"/>
      <c r="Y160" s="180">
        <v>8</v>
      </c>
      <c r="Z160" s="180">
        <v>8</v>
      </c>
      <c r="AA160" s="180">
        <v>8</v>
      </c>
      <c r="AB160" s="180">
        <v>8</v>
      </c>
      <c r="AC160" s="180">
        <v>8</v>
      </c>
      <c r="AD160" s="198"/>
      <c r="AE160" s="198"/>
      <c r="AF160" s="180">
        <v>8</v>
      </c>
      <c r="AG160" s="180">
        <v>8</v>
      </c>
      <c r="AH160" s="180">
        <v>8</v>
      </c>
      <c r="AI160" s="97"/>
      <c r="AJ160" s="172">
        <f>SUM(D160:AH160)</f>
        <v>68</v>
      </c>
    </row>
    <row r="161" spans="2:36" ht="15.75" hidden="1" outlineLevel="1" thickTop="1" x14ac:dyDescent="0.25">
      <c r="B161" s="150"/>
      <c r="C161" s="1" t="s">
        <v>1</v>
      </c>
      <c r="D161" s="181"/>
      <c r="E161" s="181"/>
      <c r="F161" s="181"/>
      <c r="G161" s="181"/>
      <c r="H161" s="181"/>
      <c r="I161" s="198"/>
      <c r="J161" s="198"/>
      <c r="K161" s="181"/>
      <c r="L161" s="181"/>
      <c r="M161" s="181"/>
      <c r="N161" s="181"/>
      <c r="O161" s="181"/>
      <c r="P161" s="198"/>
      <c r="Q161" s="198"/>
      <c r="R161" s="181"/>
      <c r="S161" s="181"/>
      <c r="T161" s="181"/>
      <c r="U161" s="181"/>
      <c r="V161" s="181"/>
      <c r="W161" s="198"/>
      <c r="X161" s="198"/>
      <c r="Y161" s="181"/>
      <c r="Z161" s="181"/>
      <c r="AA161" s="181"/>
      <c r="AB161" s="181"/>
      <c r="AC161" s="181"/>
      <c r="AD161" s="198"/>
      <c r="AE161" s="198"/>
      <c r="AF161" s="181"/>
      <c r="AG161" s="181"/>
      <c r="AH161" s="181"/>
      <c r="AI161" s="97"/>
      <c r="AJ161" s="174">
        <f t="shared" ref="AJ161:AJ164" si="31">SUM(D161:AH161)</f>
        <v>0</v>
      </c>
    </row>
    <row r="162" spans="2:36" hidden="1" outlineLevel="1" x14ac:dyDescent="0.25">
      <c r="B162" s="151"/>
      <c r="C162" s="1" t="s">
        <v>2</v>
      </c>
      <c r="D162" s="182"/>
      <c r="E162" s="182"/>
      <c r="F162" s="182"/>
      <c r="G162" s="182"/>
      <c r="H162" s="182"/>
      <c r="I162" s="198"/>
      <c r="J162" s="198"/>
      <c r="K162" s="182"/>
      <c r="L162" s="182"/>
      <c r="M162" s="182"/>
      <c r="N162" s="182"/>
      <c r="O162" s="182"/>
      <c r="P162" s="198"/>
      <c r="Q162" s="198"/>
      <c r="R162" s="182"/>
      <c r="S162" s="182"/>
      <c r="T162" s="182"/>
      <c r="U162" s="182"/>
      <c r="V162" s="182"/>
      <c r="W162" s="198"/>
      <c r="X162" s="198"/>
      <c r="Y162" s="182"/>
      <c r="Z162" s="182"/>
      <c r="AA162" s="182"/>
      <c r="AB162" s="182"/>
      <c r="AC162" s="182"/>
      <c r="AD162" s="198"/>
      <c r="AE162" s="198"/>
      <c r="AF162" s="182"/>
      <c r="AG162" s="182"/>
      <c r="AH162" s="182"/>
      <c r="AI162" s="97"/>
      <c r="AJ162" s="175">
        <f t="shared" si="31"/>
        <v>0</v>
      </c>
    </row>
    <row r="163" spans="2:36" hidden="1" outlineLevel="1" x14ac:dyDescent="0.25">
      <c r="B163" s="151"/>
      <c r="C163" s="54" t="s">
        <v>77</v>
      </c>
      <c r="D163" s="183"/>
      <c r="E163" s="183"/>
      <c r="F163" s="183"/>
      <c r="G163" s="183"/>
      <c r="H163" s="183">
        <v>4</v>
      </c>
      <c r="I163" s="198"/>
      <c r="J163" s="198"/>
      <c r="K163" s="183"/>
      <c r="L163" s="183"/>
      <c r="M163" s="183"/>
      <c r="N163" s="183"/>
      <c r="O163" s="183"/>
      <c r="P163" s="198"/>
      <c r="Q163" s="198"/>
      <c r="R163" s="183"/>
      <c r="S163" s="183"/>
      <c r="T163" s="183"/>
      <c r="U163" s="183"/>
      <c r="V163" s="183"/>
      <c r="W163" s="198"/>
      <c r="X163" s="198"/>
      <c r="Y163" s="183"/>
      <c r="Z163" s="183"/>
      <c r="AA163" s="183"/>
      <c r="AB163" s="183"/>
      <c r="AC163" s="183"/>
      <c r="AD163" s="198"/>
      <c r="AE163" s="198"/>
      <c r="AF163" s="183"/>
      <c r="AG163" s="183"/>
      <c r="AH163" s="183"/>
      <c r="AI163" s="97"/>
      <c r="AJ163" s="176">
        <f t="shared" si="31"/>
        <v>4</v>
      </c>
    </row>
    <row r="164" spans="2:36" ht="15.75" hidden="1" outlineLevel="1" thickBot="1" x14ac:dyDescent="0.3">
      <c r="B164" s="151"/>
      <c r="C164" s="9" t="s">
        <v>3</v>
      </c>
      <c r="D164" s="184"/>
      <c r="E164" s="184"/>
      <c r="F164" s="184"/>
      <c r="G164" s="184"/>
      <c r="H164" s="184"/>
      <c r="I164" s="199"/>
      <c r="J164" s="199"/>
      <c r="K164" s="184"/>
      <c r="L164" s="184"/>
      <c r="M164" s="184"/>
      <c r="N164" s="184"/>
      <c r="O164" s="184"/>
      <c r="P164" s="199"/>
      <c r="Q164" s="199"/>
      <c r="R164" s="184"/>
      <c r="S164" s="184"/>
      <c r="T164" s="184"/>
      <c r="U164" s="184"/>
      <c r="V164" s="184"/>
      <c r="W164" s="199"/>
      <c r="X164" s="199"/>
      <c r="Y164" s="184"/>
      <c r="Z164" s="184"/>
      <c r="AA164" s="184"/>
      <c r="AB164" s="184"/>
      <c r="AC164" s="184"/>
      <c r="AD164" s="199"/>
      <c r="AE164" s="199"/>
      <c r="AF164" s="184"/>
      <c r="AG164" s="184"/>
      <c r="AH164" s="184"/>
      <c r="AI164" s="186"/>
      <c r="AJ164" s="177">
        <f t="shared" si="31"/>
        <v>0</v>
      </c>
    </row>
    <row r="165" spans="2:36" ht="15.75" collapsed="1" thickTop="1" x14ac:dyDescent="0.25">
      <c r="B165"/>
    </row>
    <row r="166" spans="2:36" x14ac:dyDescent="0.25">
      <c r="B166"/>
    </row>
    <row r="167" spans="2:36" x14ac:dyDescent="0.25">
      <c r="B167"/>
    </row>
    <row r="168" spans="2:36" x14ac:dyDescent="0.25">
      <c r="B168"/>
    </row>
    <row r="169" spans="2:36" x14ac:dyDescent="0.25">
      <c r="B169"/>
    </row>
    <row r="170" spans="2:36" x14ac:dyDescent="0.25">
      <c r="B170"/>
    </row>
    <row r="171" spans="2:36" x14ac:dyDescent="0.25">
      <c r="B171"/>
    </row>
    <row r="172" spans="2:36" x14ac:dyDescent="0.25">
      <c r="B172"/>
    </row>
    <row r="173" spans="2:36" x14ac:dyDescent="0.25">
      <c r="B173"/>
    </row>
    <row r="174" spans="2:36" x14ac:dyDescent="0.25">
      <c r="B174"/>
    </row>
    <row r="175" spans="2:36" x14ac:dyDescent="0.25">
      <c r="B175"/>
    </row>
    <row r="176" spans="2:36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</sheetData>
  <autoFilter ref="B4:AJ164"/>
  <customSheetViews>
    <customSheetView guid="{98CBC5BF-8C89-48A4-860E-9C56014CD200}" scale="90" showGridLines="0" fitToPage="1" showAutoFilter="1" hiddenRows="1" topLeftCell="A2">
      <pane ySplit="2" topLeftCell="A4" activePane="bottomLeft" state="frozenSplit"/>
      <selection pane="bottomLeft" activeCell="S110" sqref="S110"/>
      <pageMargins left="0.70866141732283472" right="0.70866141732283472" top="0.74803149606299213" bottom="0.74803149606299213" header="0.31496062992125984" footer="0.31496062992125984"/>
      <pageSetup paperSize="9" scale="43" orientation="landscape" horizontalDpi="1200" r:id="rId1"/>
      <autoFilter ref="B4:AJ164"/>
    </customSheetView>
    <customSheetView guid="{1BC25061-32D5-45DE-83F9-EFA3A1092E03}" scale="90" showGridLines="0" fitToPage="1" showAutoFilter="1" hiddenRows="1" topLeftCell="B2">
      <pane ySplit="3" topLeftCell="A5" activePane="bottomLeft" state="frozenSplit"/>
      <selection pane="bottomLeft" activeCell="AD35" sqref="AD35"/>
      <pageMargins left="0.70866141732283472" right="0.70866141732283472" top="0.74803149606299213" bottom="0.74803149606299213" header="0.31496062992125984" footer="0.31496062992125984"/>
      <pageSetup paperSize="9" scale="43" orientation="landscape" horizontalDpi="1200" r:id="rId2"/>
      <autoFilter ref="B4:AJ145"/>
    </customSheetView>
    <customSheetView guid="{CF917189-7AB9-4E55-816F-ACFC7FA45C05}" scale="90" showGridLines="0" fitToPage="1" showAutoFilter="1" hiddenRows="1" topLeftCell="B2">
      <pane ySplit="2" topLeftCell="A5" activePane="bottomLeft" state="frozenSplit"/>
      <selection pane="bottomLeft" activeCell="AD35" sqref="AD35"/>
      <pageMargins left="0.70866141732283472" right="0.70866141732283472" top="0.74803149606299213" bottom="0.74803149606299213" header="0.31496062992125984" footer="0.31496062992125984"/>
      <pageSetup paperSize="9" scale="43" orientation="landscape" horizontalDpi="1200" r:id="rId3"/>
      <autoFilter ref="B4:AJ145"/>
    </customSheetView>
    <customSheetView guid="{4155806E-C0D0-4CC9-9B31-04245B7DD4C8}" scale="90" showGridLines="0" fitToPage="1" showAutoFilter="1" hiddenRows="1" topLeftCell="A2">
      <pane ySplit="7" topLeftCell="A10" activePane="bottomLeft" state="frozenSplit"/>
      <selection pane="bottomLeft" activeCell="Z60" sqref="Z60"/>
      <pageMargins left="0.70866141732283472" right="0.70866141732283472" top="0.74803149606299213" bottom="0.74803149606299213" header="0.31496062992125984" footer="0.31496062992125984"/>
      <pageSetup paperSize="9" scale="43" orientation="landscape" horizontalDpi="1200" r:id="rId4"/>
      <autoFilter ref="B4:AJ145"/>
    </customSheetView>
    <customSheetView guid="{1587CBCC-2CC7-4525-8A49-E261AB2E1606}" scale="90" showGridLines="0" fitToPage="1" showAutoFilter="1" hiddenRows="1" topLeftCell="A2">
      <pane ySplit="2" topLeftCell="A4" activePane="bottomLeft" state="frozenSplit"/>
      <selection pane="bottomLeft" activeCell="O25" sqref="O25"/>
      <pageMargins left="0.70866141732283472" right="0.70866141732283472" top="0.74803149606299213" bottom="0.74803149606299213" header="0.31496062992125984" footer="0.31496062992125984"/>
      <pageSetup paperSize="9" scale="43" orientation="landscape" horizontalDpi="1200" r:id="rId5"/>
      <autoFilter ref="B4:AJ164"/>
    </customSheetView>
    <customSheetView guid="{C5D9000A-81ED-4920-B6AF-4B234775AEC9}" scale="90" showGridLines="0" fitToPage="1" showAutoFilter="1" hiddenRows="1" topLeftCell="A2">
      <pane ySplit="2" topLeftCell="A4" activePane="bottomLeft" state="frozenSplit"/>
      <selection pane="bottomLeft"/>
      <pageMargins left="0.70866141732283472" right="0.70866141732283472" top="0.74803149606299213" bottom="0.74803149606299213" header="0.31496062992125984" footer="0.31496062992125984"/>
      <pageSetup paperSize="9" scale="43" orientation="landscape" horizontalDpi="1200" r:id="rId6"/>
      <autoFilter ref="B4:AJ164"/>
    </customSheetView>
  </customSheetViews>
  <conditionalFormatting sqref="D3:AH3">
    <cfRule type="expression" dxfId="41" priority="11">
      <formula>WEEKDAY(D3:AH3)=1</formula>
    </cfRule>
    <cfRule type="expression" dxfId="40" priority="12">
      <formula>WEEKDAY(D3:AH3)=7</formula>
    </cfRule>
  </conditionalFormatting>
  <conditionalFormatting sqref="A5:A140">
    <cfRule type="cellIs" dxfId="39" priority="10" operator="equal">
      <formula>"08:00/16:30"</formula>
    </cfRule>
  </conditionalFormatting>
  <conditionalFormatting sqref="A5:A10 A15:A140">
    <cfRule type="cellIs" dxfId="38" priority="9" operator="equal">
      <formula>"09:30/18:00"</formula>
    </cfRule>
  </conditionalFormatting>
  <dataValidations count="2">
    <dataValidation type="list" allowBlank="1" showInputMessage="1" sqref="A140 A95:A110 A90 A85 A80 A75 A70 A65 A60 A55 A50 A40 A35 A30 A25 A20 A15 A10 A5 A135 A130 A125 A120 A115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0866141732283472" right="0.70866141732283472" top="0.74803149606299213" bottom="0.74803149606299213" header="0.31496062992125984" footer="0.31496062992125984"/>
  <pageSetup paperSize="9" scale="43" orientation="landscape" horizontalDpi="1200" r:id="rId7"/>
  <legacy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CCFFCC"/>
    <pageSetUpPr fitToPage="1"/>
  </sheetPr>
  <dimension ref="A1:AJ169"/>
  <sheetViews>
    <sheetView showGridLines="0" topLeftCell="A2" zoomScale="90" zoomScaleNormal="90" workbookViewId="0">
      <pane ySplit="2" topLeftCell="A30" activePane="bottomLeft" state="frozenSplit"/>
      <selection activeCell="A2" sqref="A2"/>
      <selection pane="bottomLeft" activeCell="X110" sqref="X110"/>
    </sheetView>
  </sheetViews>
  <sheetFormatPr defaultRowHeight="15" outlineLevelRow="2" x14ac:dyDescent="0.25"/>
  <cols>
    <col min="1" max="1" width="5.140625" bestFit="1" customWidth="1"/>
    <col min="2" max="2" width="17.42578125" style="152" bestFit="1" customWidth="1"/>
    <col min="3" max="3" width="11.5703125" bestFit="1" customWidth="1"/>
    <col min="4" max="34" width="3.42578125" bestFit="1" customWidth="1"/>
    <col min="35" max="35" width="3.7109375" customWidth="1"/>
    <col min="36" max="36" width="4.140625" bestFit="1" customWidth="1"/>
    <col min="38" max="38" width="1.85546875" bestFit="1" customWidth="1"/>
    <col min="39" max="39" width="27.28515625" bestFit="1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x14ac:dyDescent="0.25">
      <c r="B2" s="153" t="s">
        <v>14</v>
      </c>
    </row>
    <row r="3" spans="1:36" ht="135" customHeight="1" x14ac:dyDescent="0.25">
      <c r="A3" t="s">
        <v>163</v>
      </c>
      <c r="B3" s="152" t="s">
        <v>4</v>
      </c>
      <c r="D3" s="78">
        <f>DATE(Title!$F$12,8,D1)</f>
        <v>41487</v>
      </c>
      <c r="E3" s="78">
        <f>DATE(Title!$F$12,8,E1)</f>
        <v>41488</v>
      </c>
      <c r="F3" s="78">
        <f>DATE(Title!$F$12,8,F1)</f>
        <v>41489</v>
      </c>
      <c r="G3" s="78">
        <f>DATE(Title!$F$12,8,G1)</f>
        <v>41490</v>
      </c>
      <c r="H3" s="78">
        <f>DATE(Title!$F$12,8,H1)</f>
        <v>41491</v>
      </c>
      <c r="I3" s="78">
        <f>DATE(Title!$F$12,8,I1)</f>
        <v>41492</v>
      </c>
      <c r="J3" s="78">
        <f>DATE(Title!$F$12,8,J1)</f>
        <v>41493</v>
      </c>
      <c r="K3" s="78">
        <f>DATE(Title!$F$12,8,K1)</f>
        <v>41494</v>
      </c>
      <c r="L3" s="78">
        <f>DATE(Title!$F$12,8,L1)</f>
        <v>41495</v>
      </c>
      <c r="M3" s="78">
        <f>DATE(Title!$F$12,8,M1)</f>
        <v>41496</v>
      </c>
      <c r="N3" s="78">
        <f>DATE(Title!$F$12,8,N1)</f>
        <v>41497</v>
      </c>
      <c r="O3" s="78">
        <f>DATE(Title!$F$12,8,O1)</f>
        <v>41498</v>
      </c>
      <c r="P3" s="78">
        <f>DATE(Title!$F$12,8,P1)</f>
        <v>41499</v>
      </c>
      <c r="Q3" s="78">
        <f>DATE(Title!$F$12,8,Q1)</f>
        <v>41500</v>
      </c>
      <c r="R3" s="78">
        <f>DATE(Title!$F$12,8,R1)</f>
        <v>41501</v>
      </c>
      <c r="S3" s="78">
        <f>DATE(Title!$F$12,8,S1)</f>
        <v>41502</v>
      </c>
      <c r="T3" s="78">
        <f>DATE(Title!$F$12,8,T1)</f>
        <v>41503</v>
      </c>
      <c r="U3" s="78">
        <f>DATE(Title!$F$12,8,U1)</f>
        <v>41504</v>
      </c>
      <c r="V3" s="78">
        <f>DATE(Title!$F$12,8,V1)</f>
        <v>41505</v>
      </c>
      <c r="W3" s="78">
        <f>DATE(Title!$F$12,8,W1)</f>
        <v>41506</v>
      </c>
      <c r="X3" s="78">
        <f>DATE(Title!$F$12,8,X1)</f>
        <v>41507</v>
      </c>
      <c r="Y3" s="78">
        <f>DATE(Title!$F$12,8,Y1)</f>
        <v>41508</v>
      </c>
      <c r="Z3" s="78">
        <f>DATE(Title!$F$12,8,Z1)</f>
        <v>41509</v>
      </c>
      <c r="AA3" s="78">
        <f>DATE(Title!$F$12,8,AA1)</f>
        <v>41510</v>
      </c>
      <c r="AB3" s="78">
        <f>DATE(Title!$F$12,8,AB1)</f>
        <v>41511</v>
      </c>
      <c r="AC3" s="78">
        <f>DATE(Title!$F$12,8,AC1)</f>
        <v>41512</v>
      </c>
      <c r="AD3" s="78">
        <f>DATE(Title!$F$12,8,AD1)</f>
        <v>41513</v>
      </c>
      <c r="AE3" s="78">
        <f>DATE(Title!$F$12,8,AE1)</f>
        <v>41514</v>
      </c>
      <c r="AF3" s="78">
        <f>DATE(Title!$F$12,8,AF1)</f>
        <v>41515</v>
      </c>
      <c r="AG3" s="78">
        <f>DATE(Title!$F$12,8,AG1)</f>
        <v>41516</v>
      </c>
      <c r="AH3" s="78">
        <f>DATE(Title!$F$12,8,AH1)</f>
        <v>41517</v>
      </c>
      <c r="AJ3" s="6" t="s">
        <v>5</v>
      </c>
    </row>
    <row r="5" spans="1:36" ht="15.75" customHeight="1" thickBot="1" x14ac:dyDescent="0.3">
      <c r="B5" s="149" t="str">
        <f>'Hours Scheduled'!B4</f>
        <v>Barry Berendhuysen</v>
      </c>
      <c r="C5" t="s">
        <v>0</v>
      </c>
      <c r="D5" s="2"/>
      <c r="E5" s="2">
        <v>8</v>
      </c>
      <c r="F5" s="200"/>
      <c r="G5" s="200"/>
      <c r="H5" s="2">
        <v>8</v>
      </c>
      <c r="I5" s="2">
        <v>8</v>
      </c>
      <c r="J5" s="2">
        <v>8</v>
      </c>
      <c r="K5" s="2">
        <v>8</v>
      </c>
      <c r="L5" s="2">
        <v>8</v>
      </c>
      <c r="M5" s="200"/>
      <c r="N5" s="200"/>
      <c r="O5" s="2">
        <v>8</v>
      </c>
      <c r="P5" s="2">
        <v>8</v>
      </c>
      <c r="Q5" s="2">
        <v>8</v>
      </c>
      <c r="R5" s="2">
        <v>8</v>
      </c>
      <c r="S5" s="2">
        <v>8</v>
      </c>
      <c r="T5" s="200"/>
      <c r="U5" s="200"/>
      <c r="V5" s="2"/>
      <c r="W5" s="2"/>
      <c r="X5" s="2"/>
      <c r="Y5" s="2"/>
      <c r="Z5" s="2"/>
      <c r="AA5" s="200"/>
      <c r="AB5" s="200"/>
      <c r="AC5" s="2"/>
      <c r="AD5" s="2"/>
      <c r="AE5" s="2"/>
      <c r="AF5" s="2"/>
      <c r="AG5" s="2"/>
      <c r="AH5" s="200"/>
      <c r="AJ5" s="64">
        <f>SUM(D5:AH5)</f>
        <v>88</v>
      </c>
    </row>
    <row r="6" spans="1:36" ht="15.75" hidden="1" outlineLevel="1" thickTop="1" x14ac:dyDescent="0.25">
      <c r="B6" s="150"/>
      <c r="C6" s="1" t="s">
        <v>1</v>
      </c>
      <c r="D6" s="3"/>
      <c r="E6" s="3"/>
      <c r="F6" s="200"/>
      <c r="G6" s="200"/>
      <c r="H6" s="3"/>
      <c r="I6" s="3"/>
      <c r="J6" s="3"/>
      <c r="K6" s="3"/>
      <c r="L6" s="3"/>
      <c r="M6" s="200"/>
      <c r="N6" s="200"/>
      <c r="O6" s="3"/>
      <c r="P6" s="3"/>
      <c r="Q6" s="3"/>
      <c r="R6" s="3"/>
      <c r="S6" s="3"/>
      <c r="T6" s="200"/>
      <c r="U6" s="200"/>
      <c r="V6" s="3"/>
      <c r="W6" s="3"/>
      <c r="X6" s="3"/>
      <c r="Y6" s="3"/>
      <c r="Z6" s="3"/>
      <c r="AA6" s="200"/>
      <c r="AB6" s="200"/>
      <c r="AC6" s="3"/>
      <c r="AD6" s="3"/>
      <c r="AE6" s="3"/>
      <c r="AF6" s="3"/>
      <c r="AG6" s="3"/>
      <c r="AH6" s="200"/>
      <c r="AJ6" s="70">
        <f t="shared" ref="AJ6:AJ9" si="0">SUM(D6:AH6)</f>
        <v>0</v>
      </c>
    </row>
    <row r="7" spans="1:36" hidden="1" outlineLevel="1" x14ac:dyDescent="0.25">
      <c r="B7" s="151"/>
      <c r="C7" s="1" t="s">
        <v>2</v>
      </c>
      <c r="D7" s="4"/>
      <c r="E7" s="4"/>
      <c r="F7" s="200"/>
      <c r="G7" s="200"/>
      <c r="H7" s="4"/>
      <c r="I7" s="4"/>
      <c r="J7" s="4"/>
      <c r="K7" s="4"/>
      <c r="L7" s="4"/>
      <c r="M7" s="200"/>
      <c r="N7" s="200"/>
      <c r="O7" s="4"/>
      <c r="P7" s="4"/>
      <c r="Q7" s="4"/>
      <c r="R7" s="4"/>
      <c r="S7" s="4"/>
      <c r="T7" s="200"/>
      <c r="U7" s="200"/>
      <c r="V7" s="4"/>
      <c r="W7" s="4"/>
      <c r="X7" s="4"/>
      <c r="Y7" s="4"/>
      <c r="Z7" s="4"/>
      <c r="AA7" s="200"/>
      <c r="AB7" s="200"/>
      <c r="AC7" s="4"/>
      <c r="AD7" s="4"/>
      <c r="AE7" s="4"/>
      <c r="AF7" s="4"/>
      <c r="AG7" s="4"/>
      <c r="AH7" s="200"/>
      <c r="AJ7" s="71">
        <f t="shared" si="0"/>
        <v>0</v>
      </c>
    </row>
    <row r="8" spans="1:36" hidden="1" outlineLevel="1" x14ac:dyDescent="0.25">
      <c r="B8" s="151"/>
      <c r="C8" s="54" t="s">
        <v>77</v>
      </c>
      <c r="D8" s="5"/>
      <c r="E8" s="5"/>
      <c r="F8" s="200"/>
      <c r="G8" s="200"/>
      <c r="H8" s="5"/>
      <c r="I8" s="5"/>
      <c r="J8" s="5"/>
      <c r="K8" s="5"/>
      <c r="L8" s="5"/>
      <c r="M8" s="200"/>
      <c r="N8" s="200"/>
      <c r="O8" s="5"/>
      <c r="P8" s="5"/>
      <c r="Q8" s="5"/>
      <c r="R8" s="5"/>
      <c r="S8" s="5"/>
      <c r="T8" s="200"/>
      <c r="U8" s="200"/>
      <c r="V8" s="5"/>
      <c r="W8" s="5"/>
      <c r="X8" s="5"/>
      <c r="Y8" s="5"/>
      <c r="Z8" s="5"/>
      <c r="AA8" s="200"/>
      <c r="AB8" s="200"/>
      <c r="AC8" s="5"/>
      <c r="AD8" s="5"/>
      <c r="AE8" s="5"/>
      <c r="AF8" s="5"/>
      <c r="AG8" s="5"/>
      <c r="AH8" s="200"/>
      <c r="AJ8" s="72">
        <f t="shared" si="0"/>
        <v>0</v>
      </c>
    </row>
    <row r="9" spans="1:36" ht="15.75" hidden="1" outlineLevel="1" thickBot="1" x14ac:dyDescent="0.3">
      <c r="B9" s="151"/>
      <c r="C9" s="9" t="s">
        <v>3</v>
      </c>
      <c r="D9" s="8"/>
      <c r="E9" s="8"/>
      <c r="F9" s="201"/>
      <c r="G9" s="201"/>
      <c r="H9" s="8"/>
      <c r="I9" s="8"/>
      <c r="J9" s="8"/>
      <c r="K9" s="8"/>
      <c r="L9" s="8"/>
      <c r="M9" s="201"/>
      <c r="N9" s="201"/>
      <c r="O9" s="8"/>
      <c r="P9" s="8"/>
      <c r="Q9" s="8"/>
      <c r="R9" s="8"/>
      <c r="S9" s="8"/>
      <c r="T9" s="201"/>
      <c r="U9" s="201"/>
      <c r="V9" s="8"/>
      <c r="W9" s="8"/>
      <c r="X9" s="8"/>
      <c r="Y9" s="8"/>
      <c r="Z9" s="8"/>
      <c r="AA9" s="201"/>
      <c r="AB9" s="201"/>
      <c r="AC9" s="8"/>
      <c r="AD9" s="8"/>
      <c r="AE9" s="8"/>
      <c r="AF9" s="8"/>
      <c r="AG9" s="8"/>
      <c r="AH9" s="201"/>
      <c r="AI9" s="7"/>
      <c r="AJ9" s="69">
        <f t="shared" si="0"/>
        <v>0</v>
      </c>
    </row>
    <row r="10" spans="1:36" ht="16.5" hidden="1" collapsed="1" thickTop="1" thickBot="1" x14ac:dyDescent="0.3">
      <c r="B10" s="253" t="str">
        <f>'Hours Scheduled'!B5</f>
        <v>Bas Boermans</v>
      </c>
      <c r="C10" t="s">
        <v>0</v>
      </c>
      <c r="D10" s="2"/>
      <c r="E10" s="2"/>
      <c r="F10" s="200"/>
      <c r="G10" s="200"/>
      <c r="H10" s="2"/>
      <c r="I10" s="2"/>
      <c r="J10" s="2"/>
      <c r="K10" s="2"/>
      <c r="L10" s="2"/>
      <c r="M10" s="200"/>
      <c r="N10" s="200"/>
      <c r="O10" s="2"/>
      <c r="P10" s="2"/>
      <c r="Q10" s="2"/>
      <c r="R10" s="2"/>
      <c r="S10" s="2"/>
      <c r="T10" s="200"/>
      <c r="U10" s="200"/>
      <c r="V10" s="2"/>
      <c r="W10" s="2"/>
      <c r="X10" s="2"/>
      <c r="Y10" s="2"/>
      <c r="Z10" s="2"/>
      <c r="AA10" s="200"/>
      <c r="AB10" s="200"/>
      <c r="AC10" s="2"/>
      <c r="AD10" s="2"/>
      <c r="AE10" s="2"/>
      <c r="AF10" s="2"/>
      <c r="AG10" s="2"/>
      <c r="AH10" s="200"/>
      <c r="AJ10" s="64">
        <f>SUM(D10:AH10)</f>
        <v>0</v>
      </c>
    </row>
    <row r="11" spans="1:36" ht="15.75" hidden="1" outlineLevel="1" thickTop="1" x14ac:dyDescent="0.25">
      <c r="B11" s="150"/>
      <c r="C11" s="1" t="s">
        <v>1</v>
      </c>
      <c r="D11" s="3"/>
      <c r="E11" s="3"/>
      <c r="F11" s="200"/>
      <c r="G11" s="200"/>
      <c r="H11" s="3"/>
      <c r="I11" s="3"/>
      <c r="J11" s="3"/>
      <c r="K11" s="3"/>
      <c r="L11" s="3"/>
      <c r="M11" s="200"/>
      <c r="N11" s="200"/>
      <c r="O11" s="3"/>
      <c r="P11" s="3"/>
      <c r="Q11" s="3"/>
      <c r="R11" s="3"/>
      <c r="S11" s="3"/>
      <c r="T11" s="200"/>
      <c r="U11" s="200"/>
      <c r="V11" s="3"/>
      <c r="W11" s="3"/>
      <c r="X11" s="3"/>
      <c r="Y11" s="3"/>
      <c r="Z11" s="3"/>
      <c r="AA11" s="200"/>
      <c r="AB11" s="200"/>
      <c r="AC11" s="3"/>
      <c r="AD11" s="3"/>
      <c r="AE11" s="3"/>
      <c r="AF11" s="3"/>
      <c r="AG11" s="3"/>
      <c r="AH11" s="200"/>
      <c r="AJ11" s="70">
        <f t="shared" ref="AJ11:AJ14" si="1">SUM(D11:AH11)</f>
        <v>0</v>
      </c>
    </row>
    <row r="12" spans="1:36" hidden="1" outlineLevel="1" x14ac:dyDescent="0.25">
      <c r="B12" s="151"/>
      <c r="C12" s="1" t="s">
        <v>2</v>
      </c>
      <c r="D12" s="4"/>
      <c r="E12" s="4"/>
      <c r="F12" s="200"/>
      <c r="G12" s="200"/>
      <c r="H12" s="4"/>
      <c r="I12" s="4"/>
      <c r="J12" s="4"/>
      <c r="K12" s="4"/>
      <c r="L12" s="4"/>
      <c r="M12" s="200"/>
      <c r="N12" s="200"/>
      <c r="O12" s="4"/>
      <c r="P12" s="4"/>
      <c r="Q12" s="4"/>
      <c r="R12" s="4"/>
      <c r="S12" s="4"/>
      <c r="T12" s="200"/>
      <c r="U12" s="200"/>
      <c r="V12" s="4"/>
      <c r="W12" s="4"/>
      <c r="X12" s="4"/>
      <c r="Y12" s="4"/>
      <c r="Z12" s="4"/>
      <c r="AA12" s="200"/>
      <c r="AB12" s="200"/>
      <c r="AC12" s="4"/>
      <c r="AD12" s="4"/>
      <c r="AE12" s="4"/>
      <c r="AF12" s="4"/>
      <c r="AG12" s="4"/>
      <c r="AH12" s="200"/>
      <c r="AJ12" s="71">
        <f t="shared" si="1"/>
        <v>0</v>
      </c>
    </row>
    <row r="13" spans="1:36" hidden="1" outlineLevel="1" x14ac:dyDescent="0.25">
      <c r="B13" s="151"/>
      <c r="C13" s="54" t="s">
        <v>77</v>
      </c>
      <c r="D13" s="5"/>
      <c r="E13" s="5"/>
      <c r="F13" s="200"/>
      <c r="G13" s="200"/>
      <c r="H13" s="5"/>
      <c r="I13" s="5"/>
      <c r="J13" s="5"/>
      <c r="K13" s="5"/>
      <c r="L13" s="5"/>
      <c r="M13" s="200"/>
      <c r="N13" s="200"/>
      <c r="O13" s="5"/>
      <c r="P13" s="5"/>
      <c r="Q13" s="5"/>
      <c r="R13" s="5"/>
      <c r="S13" s="5"/>
      <c r="T13" s="200"/>
      <c r="U13" s="200"/>
      <c r="V13" s="5"/>
      <c r="W13" s="5"/>
      <c r="X13" s="5"/>
      <c r="Y13" s="5"/>
      <c r="Z13" s="5"/>
      <c r="AA13" s="200"/>
      <c r="AB13" s="200"/>
      <c r="AC13" s="5"/>
      <c r="AD13" s="5"/>
      <c r="AE13" s="5"/>
      <c r="AF13" s="5"/>
      <c r="AG13" s="5"/>
      <c r="AH13" s="200"/>
      <c r="AJ13" s="72">
        <f t="shared" si="1"/>
        <v>0</v>
      </c>
    </row>
    <row r="14" spans="1:36" ht="15.75" hidden="1" outlineLevel="1" thickBot="1" x14ac:dyDescent="0.3">
      <c r="B14" s="151"/>
      <c r="C14" s="9" t="s">
        <v>3</v>
      </c>
      <c r="D14" s="8"/>
      <c r="E14" s="8"/>
      <c r="F14" s="201"/>
      <c r="G14" s="201"/>
      <c r="H14" s="8"/>
      <c r="I14" s="8"/>
      <c r="J14" s="8"/>
      <c r="K14" s="8"/>
      <c r="L14" s="8"/>
      <c r="M14" s="201"/>
      <c r="N14" s="201"/>
      <c r="O14" s="8"/>
      <c r="P14" s="8"/>
      <c r="Q14" s="8"/>
      <c r="R14" s="8"/>
      <c r="S14" s="8"/>
      <c r="T14" s="201"/>
      <c r="U14" s="201"/>
      <c r="V14" s="8"/>
      <c r="W14" s="8"/>
      <c r="X14" s="8"/>
      <c r="Y14" s="8"/>
      <c r="Z14" s="8"/>
      <c r="AA14" s="201"/>
      <c r="AB14" s="201"/>
      <c r="AC14" s="8"/>
      <c r="AD14" s="8"/>
      <c r="AE14" s="8"/>
      <c r="AF14" s="8"/>
      <c r="AG14" s="8"/>
      <c r="AH14" s="201"/>
      <c r="AI14" s="7"/>
      <c r="AJ14" s="69">
        <f t="shared" si="1"/>
        <v>0</v>
      </c>
    </row>
    <row r="15" spans="1:36" ht="16.5" hidden="1" collapsed="1" thickTop="1" thickBot="1" x14ac:dyDescent="0.3">
      <c r="B15" s="253" t="str">
        <f>'Hours Scheduled'!B6</f>
        <v>Bastiaan Franssen</v>
      </c>
      <c r="C15" t="s">
        <v>0</v>
      </c>
      <c r="D15" s="2"/>
      <c r="E15" s="2"/>
      <c r="F15" s="200"/>
      <c r="G15" s="200"/>
      <c r="H15" s="2"/>
      <c r="I15" s="2"/>
      <c r="J15" s="2"/>
      <c r="K15" s="2"/>
      <c r="L15" s="2"/>
      <c r="M15" s="200"/>
      <c r="N15" s="200"/>
      <c r="O15" s="2"/>
      <c r="P15" s="2"/>
      <c r="Q15" s="2"/>
      <c r="R15" s="2"/>
      <c r="S15" s="2"/>
      <c r="T15" s="200"/>
      <c r="U15" s="200"/>
      <c r="V15" s="2"/>
      <c r="W15" s="2"/>
      <c r="X15" s="2"/>
      <c r="Y15" s="2"/>
      <c r="Z15" s="2"/>
      <c r="AA15" s="200"/>
      <c r="AB15" s="200"/>
      <c r="AC15" s="2"/>
      <c r="AD15" s="2"/>
      <c r="AE15" s="2"/>
      <c r="AF15" s="2"/>
      <c r="AG15" s="2"/>
      <c r="AH15" s="200"/>
      <c r="AJ15" s="64">
        <f>SUM(D15:AH15)</f>
        <v>0</v>
      </c>
    </row>
    <row r="16" spans="1:36" ht="15.75" hidden="1" outlineLevel="1" thickTop="1" x14ac:dyDescent="0.25">
      <c r="B16" s="150"/>
      <c r="C16" s="1" t="s">
        <v>1</v>
      </c>
      <c r="D16" s="3"/>
      <c r="E16" s="3"/>
      <c r="F16" s="200"/>
      <c r="G16" s="200"/>
      <c r="H16" s="3"/>
      <c r="I16" s="3"/>
      <c r="J16" s="3"/>
      <c r="K16" s="3"/>
      <c r="L16" s="3"/>
      <c r="M16" s="200"/>
      <c r="N16" s="200"/>
      <c r="O16" s="3"/>
      <c r="P16" s="3"/>
      <c r="Q16" s="3"/>
      <c r="R16" s="3"/>
      <c r="S16" s="3"/>
      <c r="T16" s="200"/>
      <c r="U16" s="200"/>
      <c r="V16" s="3"/>
      <c r="W16" s="3"/>
      <c r="X16" s="3"/>
      <c r="Y16" s="3"/>
      <c r="Z16" s="3"/>
      <c r="AA16" s="200"/>
      <c r="AB16" s="200"/>
      <c r="AC16" s="3"/>
      <c r="AD16" s="3"/>
      <c r="AE16" s="3"/>
      <c r="AF16" s="3"/>
      <c r="AG16" s="3"/>
      <c r="AH16" s="200"/>
      <c r="AJ16" s="70">
        <f t="shared" ref="AJ16:AJ19" si="2">SUM(D16:AH16)</f>
        <v>0</v>
      </c>
    </row>
    <row r="17" spans="2:36" hidden="1" outlineLevel="1" x14ac:dyDescent="0.25">
      <c r="B17" s="151"/>
      <c r="C17" s="1" t="s">
        <v>2</v>
      </c>
      <c r="D17" s="4"/>
      <c r="E17" s="4"/>
      <c r="F17" s="200"/>
      <c r="G17" s="200"/>
      <c r="H17" s="4"/>
      <c r="I17" s="4"/>
      <c r="J17" s="4"/>
      <c r="K17" s="4"/>
      <c r="L17" s="4"/>
      <c r="M17" s="200"/>
      <c r="N17" s="200"/>
      <c r="O17" s="4"/>
      <c r="P17" s="4"/>
      <c r="Q17" s="4"/>
      <c r="R17" s="4"/>
      <c r="S17" s="4"/>
      <c r="T17" s="200"/>
      <c r="U17" s="200"/>
      <c r="V17" s="4"/>
      <c r="W17" s="4"/>
      <c r="X17" s="4"/>
      <c r="Y17" s="4"/>
      <c r="Z17" s="4"/>
      <c r="AA17" s="200"/>
      <c r="AB17" s="200"/>
      <c r="AC17" s="4"/>
      <c r="AD17" s="4"/>
      <c r="AE17" s="4"/>
      <c r="AF17" s="4"/>
      <c r="AG17" s="4"/>
      <c r="AH17" s="200"/>
      <c r="AJ17" s="71">
        <f t="shared" si="2"/>
        <v>0</v>
      </c>
    </row>
    <row r="18" spans="2:36" hidden="1" outlineLevel="1" x14ac:dyDescent="0.25">
      <c r="B18" s="151"/>
      <c r="C18" s="54" t="s">
        <v>77</v>
      </c>
      <c r="D18" s="5"/>
      <c r="E18" s="5"/>
      <c r="F18" s="200"/>
      <c r="G18" s="200"/>
      <c r="H18" s="5"/>
      <c r="I18" s="5"/>
      <c r="J18" s="5"/>
      <c r="K18" s="5"/>
      <c r="L18" s="5"/>
      <c r="M18" s="200"/>
      <c r="N18" s="200"/>
      <c r="O18" s="5"/>
      <c r="P18" s="5"/>
      <c r="Q18" s="5"/>
      <c r="R18" s="5"/>
      <c r="S18" s="5"/>
      <c r="T18" s="200"/>
      <c r="U18" s="200"/>
      <c r="V18" s="5"/>
      <c r="W18" s="5"/>
      <c r="X18" s="5"/>
      <c r="Y18" s="5"/>
      <c r="Z18" s="5"/>
      <c r="AA18" s="200"/>
      <c r="AB18" s="200"/>
      <c r="AC18" s="5"/>
      <c r="AD18" s="5"/>
      <c r="AE18" s="5"/>
      <c r="AF18" s="5"/>
      <c r="AG18" s="5"/>
      <c r="AH18" s="200"/>
      <c r="AJ18" s="72">
        <f t="shared" si="2"/>
        <v>0</v>
      </c>
    </row>
    <row r="19" spans="2:36" ht="15.75" hidden="1" outlineLevel="1" thickBot="1" x14ac:dyDescent="0.3">
      <c r="B19" s="151"/>
      <c r="C19" s="9" t="s">
        <v>3</v>
      </c>
      <c r="D19" s="8"/>
      <c r="E19" s="8"/>
      <c r="F19" s="201"/>
      <c r="G19" s="201"/>
      <c r="H19" s="8"/>
      <c r="I19" s="8"/>
      <c r="J19" s="8"/>
      <c r="K19" s="8"/>
      <c r="L19" s="8"/>
      <c r="M19" s="201"/>
      <c r="N19" s="201"/>
      <c r="O19" s="8"/>
      <c r="P19" s="8"/>
      <c r="Q19" s="8"/>
      <c r="R19" s="8"/>
      <c r="S19" s="8"/>
      <c r="T19" s="201"/>
      <c r="U19" s="201"/>
      <c r="V19" s="8"/>
      <c r="W19" s="8"/>
      <c r="X19" s="8"/>
      <c r="Y19" s="8"/>
      <c r="Z19" s="8"/>
      <c r="AA19" s="201"/>
      <c r="AB19" s="201"/>
      <c r="AC19" s="8"/>
      <c r="AD19" s="8"/>
      <c r="AE19" s="8"/>
      <c r="AF19" s="8"/>
      <c r="AG19" s="8"/>
      <c r="AH19" s="201"/>
      <c r="AI19" s="7"/>
      <c r="AJ19" s="69">
        <f t="shared" si="2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2"/>
      <c r="E20" s="2"/>
      <c r="F20" s="200"/>
      <c r="G20" s="200"/>
      <c r="H20" s="2"/>
      <c r="I20" s="2"/>
      <c r="J20" s="2"/>
      <c r="K20" s="2"/>
      <c r="L20" s="2"/>
      <c r="M20" s="200"/>
      <c r="N20" s="200"/>
      <c r="O20" s="2"/>
      <c r="P20" s="2"/>
      <c r="Q20" s="2"/>
      <c r="R20" s="2"/>
      <c r="S20" s="2"/>
      <c r="T20" s="200"/>
      <c r="U20" s="200"/>
      <c r="V20" s="2"/>
      <c r="W20" s="2"/>
      <c r="X20" s="2"/>
      <c r="Y20" s="2"/>
      <c r="Z20" s="2"/>
      <c r="AA20" s="200"/>
      <c r="AB20" s="200"/>
      <c r="AC20" s="2"/>
      <c r="AD20" s="2"/>
      <c r="AE20" s="2"/>
      <c r="AF20" s="2"/>
      <c r="AG20" s="2"/>
      <c r="AH20" s="200"/>
      <c r="AJ20" s="64">
        <f>SUM(D20:AH20)</f>
        <v>0</v>
      </c>
    </row>
    <row r="21" spans="2:36" ht="15.75" hidden="1" outlineLevel="1" thickTop="1" x14ac:dyDescent="0.25">
      <c r="B21" s="150"/>
      <c r="C21" s="1" t="s">
        <v>1</v>
      </c>
      <c r="D21" s="3"/>
      <c r="E21" s="3"/>
      <c r="F21" s="200"/>
      <c r="G21" s="200"/>
      <c r="H21" s="3"/>
      <c r="I21" s="3"/>
      <c r="J21" s="3"/>
      <c r="K21" s="3"/>
      <c r="L21" s="3"/>
      <c r="M21" s="200"/>
      <c r="N21" s="200"/>
      <c r="O21" s="3"/>
      <c r="P21" s="3"/>
      <c r="Q21" s="3"/>
      <c r="R21" s="3"/>
      <c r="S21" s="3"/>
      <c r="T21" s="200"/>
      <c r="U21" s="200"/>
      <c r="V21" s="3"/>
      <c r="W21" s="3"/>
      <c r="X21" s="3"/>
      <c r="Y21" s="3"/>
      <c r="Z21" s="3"/>
      <c r="AA21" s="200"/>
      <c r="AB21" s="200"/>
      <c r="AC21" s="3"/>
      <c r="AD21" s="3"/>
      <c r="AE21" s="3"/>
      <c r="AF21" s="3"/>
      <c r="AG21" s="3"/>
      <c r="AH21" s="200"/>
      <c r="AJ21" s="70">
        <f t="shared" ref="AJ21:AJ24" si="3">SUM(D21:AH21)</f>
        <v>0</v>
      </c>
    </row>
    <row r="22" spans="2:36" hidden="1" outlineLevel="1" x14ac:dyDescent="0.25">
      <c r="B22" s="151"/>
      <c r="C22" s="1" t="s">
        <v>2</v>
      </c>
      <c r="D22" s="4"/>
      <c r="E22" s="4"/>
      <c r="F22" s="200"/>
      <c r="G22" s="200"/>
      <c r="H22" s="4"/>
      <c r="I22" s="4"/>
      <c r="J22" s="4"/>
      <c r="K22" s="4"/>
      <c r="L22" s="4"/>
      <c r="M22" s="200"/>
      <c r="N22" s="200"/>
      <c r="O22" s="4"/>
      <c r="P22" s="4"/>
      <c r="Q22" s="4"/>
      <c r="R22" s="4"/>
      <c r="S22" s="4"/>
      <c r="T22" s="200"/>
      <c r="U22" s="200"/>
      <c r="V22" s="4"/>
      <c r="W22" s="4"/>
      <c r="X22" s="4"/>
      <c r="Y22" s="4"/>
      <c r="Z22" s="4"/>
      <c r="AA22" s="200"/>
      <c r="AB22" s="200"/>
      <c r="AC22" s="4"/>
      <c r="AD22" s="4"/>
      <c r="AE22" s="4"/>
      <c r="AF22" s="4"/>
      <c r="AG22" s="4"/>
      <c r="AH22" s="200"/>
      <c r="AJ22" s="71">
        <f t="shared" si="3"/>
        <v>0</v>
      </c>
    </row>
    <row r="23" spans="2:36" hidden="1" outlineLevel="1" x14ac:dyDescent="0.25">
      <c r="B23" s="151"/>
      <c r="C23" s="54" t="s">
        <v>77</v>
      </c>
      <c r="D23" s="5"/>
      <c r="E23" s="5"/>
      <c r="F23" s="200"/>
      <c r="G23" s="200"/>
      <c r="H23" s="5"/>
      <c r="I23" s="5"/>
      <c r="J23" s="5"/>
      <c r="K23" s="5"/>
      <c r="L23" s="5"/>
      <c r="M23" s="200"/>
      <c r="N23" s="200"/>
      <c r="O23" s="5"/>
      <c r="P23" s="5"/>
      <c r="Q23" s="5"/>
      <c r="R23" s="5"/>
      <c r="S23" s="5"/>
      <c r="T23" s="200"/>
      <c r="U23" s="200"/>
      <c r="V23" s="5"/>
      <c r="W23" s="5"/>
      <c r="X23" s="5"/>
      <c r="Y23" s="5"/>
      <c r="Z23" s="5"/>
      <c r="AA23" s="200"/>
      <c r="AB23" s="200"/>
      <c r="AC23" s="5"/>
      <c r="AD23" s="5"/>
      <c r="AE23" s="5"/>
      <c r="AF23" s="5"/>
      <c r="AG23" s="5"/>
      <c r="AH23" s="200"/>
      <c r="AJ23" s="72">
        <f t="shared" si="3"/>
        <v>0</v>
      </c>
    </row>
    <row r="24" spans="2:36" ht="15.75" hidden="1" outlineLevel="1" thickBot="1" x14ac:dyDescent="0.3">
      <c r="B24" s="151"/>
      <c r="C24" s="9" t="s">
        <v>3</v>
      </c>
      <c r="D24" s="8"/>
      <c r="E24" s="8"/>
      <c r="F24" s="201"/>
      <c r="G24" s="201"/>
      <c r="H24" s="8"/>
      <c r="I24" s="8"/>
      <c r="J24" s="8"/>
      <c r="K24" s="8"/>
      <c r="L24" s="8"/>
      <c r="M24" s="201"/>
      <c r="N24" s="201"/>
      <c r="O24" s="8"/>
      <c r="P24" s="8"/>
      <c r="Q24" s="8"/>
      <c r="R24" s="8"/>
      <c r="S24" s="8"/>
      <c r="T24" s="201"/>
      <c r="U24" s="201"/>
      <c r="V24" s="8"/>
      <c r="W24" s="8"/>
      <c r="X24" s="8"/>
      <c r="Y24" s="8"/>
      <c r="Z24" s="8"/>
      <c r="AA24" s="201"/>
      <c r="AB24" s="201"/>
      <c r="AC24" s="8"/>
      <c r="AD24" s="8"/>
      <c r="AE24" s="8"/>
      <c r="AF24" s="8"/>
      <c r="AG24" s="8"/>
      <c r="AH24" s="201"/>
      <c r="AI24" s="7"/>
      <c r="AJ24" s="69">
        <f t="shared" si="3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2"/>
      <c r="E25" s="2"/>
      <c r="F25" s="200"/>
      <c r="G25" s="200"/>
      <c r="H25" s="2">
        <v>8</v>
      </c>
      <c r="I25" s="2">
        <v>8</v>
      </c>
      <c r="J25" s="2">
        <v>8</v>
      </c>
      <c r="K25" s="2">
        <v>8</v>
      </c>
      <c r="L25" s="2">
        <v>8</v>
      </c>
      <c r="M25" s="200"/>
      <c r="N25" s="200"/>
      <c r="O25" s="2">
        <v>8</v>
      </c>
      <c r="P25" s="2">
        <v>8</v>
      </c>
      <c r="Q25" s="2">
        <v>8</v>
      </c>
      <c r="R25" s="2">
        <v>8</v>
      </c>
      <c r="S25" s="2">
        <v>8</v>
      </c>
      <c r="T25" s="200"/>
      <c r="U25" s="200"/>
      <c r="V25" s="2"/>
      <c r="W25" s="2"/>
      <c r="X25" s="2"/>
      <c r="Y25" s="2"/>
      <c r="Z25" s="2"/>
      <c r="AA25" s="200"/>
      <c r="AB25" s="200"/>
      <c r="AC25" s="2"/>
      <c r="AD25" s="2"/>
      <c r="AE25" s="2"/>
      <c r="AF25" s="2"/>
      <c r="AG25" s="2"/>
      <c r="AH25" s="200"/>
      <c r="AJ25" s="64">
        <f>SUM(D25:AH25)</f>
        <v>80</v>
      </c>
    </row>
    <row r="26" spans="2:36" ht="15.75" hidden="1" outlineLevel="1" thickTop="1" x14ac:dyDescent="0.25">
      <c r="B26" s="150"/>
      <c r="C26" s="1" t="s">
        <v>1</v>
      </c>
      <c r="D26" s="3"/>
      <c r="E26" s="3"/>
      <c r="F26" s="200"/>
      <c r="G26" s="200"/>
      <c r="H26" s="3"/>
      <c r="I26" s="3"/>
      <c r="J26" s="3"/>
      <c r="K26" s="3"/>
      <c r="L26" s="3"/>
      <c r="M26" s="200"/>
      <c r="N26" s="200"/>
      <c r="O26" s="3"/>
      <c r="P26" s="3"/>
      <c r="Q26" s="3"/>
      <c r="R26" s="3"/>
      <c r="S26" s="3"/>
      <c r="T26" s="200"/>
      <c r="U26" s="200"/>
      <c r="V26" s="3"/>
      <c r="W26" s="3"/>
      <c r="X26" s="3"/>
      <c r="Y26" s="3"/>
      <c r="Z26" s="3"/>
      <c r="AA26" s="200"/>
      <c r="AB26" s="200"/>
      <c r="AC26" s="3"/>
      <c r="AD26" s="3"/>
      <c r="AE26" s="3"/>
      <c r="AF26" s="3"/>
      <c r="AG26" s="3"/>
      <c r="AH26" s="200"/>
      <c r="AJ26" s="70">
        <f t="shared" ref="AJ26:AJ29" si="4">SUM(D26:AH26)</f>
        <v>0</v>
      </c>
    </row>
    <row r="27" spans="2:36" hidden="1" outlineLevel="1" x14ac:dyDescent="0.25">
      <c r="B27" s="151"/>
      <c r="C27" s="1" t="s">
        <v>2</v>
      </c>
      <c r="D27" s="4"/>
      <c r="E27" s="4"/>
      <c r="F27" s="200"/>
      <c r="G27" s="200"/>
      <c r="H27" s="4"/>
      <c r="I27" s="4"/>
      <c r="J27" s="4"/>
      <c r="K27" s="4"/>
      <c r="L27" s="4"/>
      <c r="M27" s="200"/>
      <c r="N27" s="200"/>
      <c r="O27" s="4"/>
      <c r="P27" s="4"/>
      <c r="Q27" s="4"/>
      <c r="R27" s="4"/>
      <c r="S27" s="4"/>
      <c r="T27" s="200"/>
      <c r="U27" s="200"/>
      <c r="V27" s="4"/>
      <c r="W27" s="4"/>
      <c r="X27" s="4"/>
      <c r="Y27" s="4"/>
      <c r="Z27" s="4"/>
      <c r="AA27" s="200"/>
      <c r="AB27" s="200"/>
      <c r="AC27" s="4"/>
      <c r="AD27" s="4"/>
      <c r="AE27" s="4"/>
      <c r="AF27" s="4"/>
      <c r="AG27" s="4"/>
      <c r="AH27" s="200"/>
      <c r="AJ27" s="71">
        <f t="shared" si="4"/>
        <v>0</v>
      </c>
    </row>
    <row r="28" spans="2:36" hidden="1" outlineLevel="1" x14ac:dyDescent="0.25">
      <c r="B28" s="151"/>
      <c r="C28" s="54" t="s">
        <v>77</v>
      </c>
      <c r="D28" s="5"/>
      <c r="E28" s="5"/>
      <c r="F28" s="200"/>
      <c r="G28" s="200"/>
      <c r="H28" s="5"/>
      <c r="I28" s="5"/>
      <c r="J28" s="5"/>
      <c r="K28" s="5"/>
      <c r="L28" s="5"/>
      <c r="M28" s="200"/>
      <c r="N28" s="200"/>
      <c r="O28" s="5"/>
      <c r="P28" s="5"/>
      <c r="Q28" s="5"/>
      <c r="R28" s="5"/>
      <c r="S28" s="5"/>
      <c r="T28" s="200"/>
      <c r="U28" s="200"/>
      <c r="V28" s="5"/>
      <c r="W28" s="5"/>
      <c r="X28" s="5"/>
      <c r="Y28" s="5"/>
      <c r="Z28" s="5"/>
      <c r="AA28" s="200"/>
      <c r="AB28" s="200"/>
      <c r="AC28" s="5"/>
      <c r="AD28" s="5"/>
      <c r="AE28" s="5"/>
      <c r="AF28" s="5"/>
      <c r="AG28" s="5"/>
      <c r="AH28" s="200"/>
      <c r="AJ28" s="72">
        <f t="shared" si="4"/>
        <v>0</v>
      </c>
    </row>
    <row r="29" spans="2:36" ht="15.75" hidden="1" outlineLevel="1" thickBot="1" x14ac:dyDescent="0.3">
      <c r="B29" s="151"/>
      <c r="C29" s="9" t="s">
        <v>3</v>
      </c>
      <c r="D29" s="8"/>
      <c r="E29" s="8"/>
      <c r="F29" s="201"/>
      <c r="G29" s="201"/>
      <c r="H29" s="8"/>
      <c r="I29" s="8"/>
      <c r="J29" s="8"/>
      <c r="K29" s="8"/>
      <c r="L29" s="8"/>
      <c r="M29" s="201"/>
      <c r="N29" s="201"/>
      <c r="O29" s="8"/>
      <c r="P29" s="8"/>
      <c r="Q29" s="8"/>
      <c r="R29" s="8"/>
      <c r="S29" s="8"/>
      <c r="T29" s="201"/>
      <c r="U29" s="201"/>
      <c r="V29" s="8"/>
      <c r="W29" s="8"/>
      <c r="X29" s="8"/>
      <c r="Y29" s="8"/>
      <c r="Z29" s="8"/>
      <c r="AA29" s="201"/>
      <c r="AB29" s="201"/>
      <c r="AC29" s="8"/>
      <c r="AD29" s="8"/>
      <c r="AE29" s="8"/>
      <c r="AF29" s="8"/>
      <c r="AG29" s="8"/>
      <c r="AH29" s="201"/>
      <c r="AI29" s="7"/>
      <c r="AJ29" s="69">
        <f t="shared" si="4"/>
        <v>0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2"/>
      <c r="E30" s="2"/>
      <c r="F30" s="200"/>
      <c r="G30" s="200"/>
      <c r="H30" s="2">
        <v>8</v>
      </c>
      <c r="I30" s="2">
        <v>8</v>
      </c>
      <c r="J30" s="2">
        <v>8</v>
      </c>
      <c r="K30" s="2">
        <v>8</v>
      </c>
      <c r="L30" s="2">
        <v>8</v>
      </c>
      <c r="M30" s="200"/>
      <c r="N30" s="200"/>
      <c r="O30" s="2">
        <v>8</v>
      </c>
      <c r="P30" s="2">
        <v>8</v>
      </c>
      <c r="Q30" s="2">
        <v>8</v>
      </c>
      <c r="R30" s="2">
        <v>8</v>
      </c>
      <c r="S30" s="2">
        <v>8</v>
      </c>
      <c r="T30" s="200"/>
      <c r="U30" s="200"/>
      <c r="V30" s="2"/>
      <c r="W30" s="2"/>
      <c r="X30" s="2"/>
      <c r="Y30" s="2"/>
      <c r="Z30" s="2"/>
      <c r="AA30" s="200"/>
      <c r="AB30" s="200"/>
      <c r="AC30" s="2"/>
      <c r="AD30" s="2"/>
      <c r="AE30" s="2"/>
      <c r="AF30" s="2"/>
      <c r="AG30" s="2"/>
      <c r="AH30" s="200"/>
      <c r="AJ30" s="64">
        <f>SUM(D30:AH30)</f>
        <v>80</v>
      </c>
    </row>
    <row r="31" spans="2:36" ht="15.75" hidden="1" outlineLevel="1" thickTop="1" x14ac:dyDescent="0.25">
      <c r="B31" s="150"/>
      <c r="C31" s="1" t="s">
        <v>1</v>
      </c>
      <c r="D31" s="3"/>
      <c r="E31" s="3"/>
      <c r="F31" s="200"/>
      <c r="G31" s="200"/>
      <c r="H31" s="3"/>
      <c r="I31" s="3"/>
      <c r="J31" s="3"/>
      <c r="K31" s="3"/>
      <c r="L31" s="3"/>
      <c r="M31" s="200"/>
      <c r="N31" s="200"/>
      <c r="O31" s="3"/>
      <c r="P31" s="3"/>
      <c r="Q31" s="3"/>
      <c r="R31" s="3"/>
      <c r="S31" s="3"/>
      <c r="T31" s="200"/>
      <c r="U31" s="200"/>
      <c r="V31" s="3"/>
      <c r="W31" s="3"/>
      <c r="X31" s="3"/>
      <c r="Y31" s="3"/>
      <c r="Z31" s="3"/>
      <c r="AA31" s="200"/>
      <c r="AB31" s="200"/>
      <c r="AC31" s="3"/>
      <c r="AD31" s="3"/>
      <c r="AE31" s="3"/>
      <c r="AF31" s="3"/>
      <c r="AG31" s="3"/>
      <c r="AH31" s="200"/>
      <c r="AJ31" s="70">
        <f t="shared" ref="AJ31:AJ34" si="5">SUM(D31:AH31)</f>
        <v>0</v>
      </c>
    </row>
    <row r="32" spans="2:36" hidden="1" outlineLevel="1" x14ac:dyDescent="0.25">
      <c r="B32" s="151"/>
      <c r="C32" s="1" t="s">
        <v>2</v>
      </c>
      <c r="D32" s="4"/>
      <c r="E32" s="4"/>
      <c r="F32" s="200"/>
      <c r="G32" s="200"/>
      <c r="H32" s="4"/>
      <c r="I32" s="4"/>
      <c r="J32" s="4"/>
      <c r="K32" s="4"/>
      <c r="L32" s="4"/>
      <c r="M32" s="200"/>
      <c r="N32" s="200"/>
      <c r="O32" s="4"/>
      <c r="P32" s="4"/>
      <c r="Q32" s="4"/>
      <c r="R32" s="4"/>
      <c r="S32" s="4"/>
      <c r="T32" s="200"/>
      <c r="U32" s="200"/>
      <c r="V32" s="4"/>
      <c r="W32" s="4"/>
      <c r="X32" s="4"/>
      <c r="Y32" s="4"/>
      <c r="Z32" s="4"/>
      <c r="AA32" s="200"/>
      <c r="AB32" s="200"/>
      <c r="AC32" s="4"/>
      <c r="AD32" s="4"/>
      <c r="AE32" s="4"/>
      <c r="AF32" s="4"/>
      <c r="AG32" s="4"/>
      <c r="AH32" s="200"/>
      <c r="AJ32" s="71">
        <f t="shared" si="5"/>
        <v>0</v>
      </c>
    </row>
    <row r="33" spans="2:36" hidden="1" outlineLevel="1" x14ac:dyDescent="0.25">
      <c r="B33" s="151"/>
      <c r="C33" s="54" t="s">
        <v>77</v>
      </c>
      <c r="D33" s="5"/>
      <c r="E33" s="5"/>
      <c r="F33" s="200"/>
      <c r="G33" s="200"/>
      <c r="H33" s="5"/>
      <c r="I33" s="5"/>
      <c r="J33" s="5"/>
      <c r="K33" s="5"/>
      <c r="L33" s="5"/>
      <c r="M33" s="200"/>
      <c r="N33" s="200"/>
      <c r="O33" s="5"/>
      <c r="P33" s="5"/>
      <c r="Q33" s="5"/>
      <c r="R33" s="5"/>
      <c r="S33" s="5"/>
      <c r="T33" s="200"/>
      <c r="U33" s="200"/>
      <c r="V33" s="5"/>
      <c r="W33" s="5"/>
      <c r="X33" s="5"/>
      <c r="Y33" s="5"/>
      <c r="Z33" s="5"/>
      <c r="AA33" s="200"/>
      <c r="AB33" s="200"/>
      <c r="AC33" s="5"/>
      <c r="AD33" s="5"/>
      <c r="AE33" s="5"/>
      <c r="AF33" s="5"/>
      <c r="AG33" s="5"/>
      <c r="AH33" s="200"/>
      <c r="AJ33" s="72">
        <f t="shared" si="5"/>
        <v>0</v>
      </c>
    </row>
    <row r="34" spans="2:36" ht="15.75" hidden="1" outlineLevel="1" thickBot="1" x14ac:dyDescent="0.3">
      <c r="B34" s="151"/>
      <c r="C34" s="9" t="s">
        <v>3</v>
      </c>
      <c r="D34" s="8"/>
      <c r="E34" s="8"/>
      <c r="F34" s="201"/>
      <c r="G34" s="201"/>
      <c r="H34" s="8"/>
      <c r="I34" s="8"/>
      <c r="J34" s="8"/>
      <c r="K34" s="8"/>
      <c r="L34" s="8"/>
      <c r="M34" s="201"/>
      <c r="N34" s="201"/>
      <c r="O34" s="8"/>
      <c r="P34" s="8"/>
      <c r="Q34" s="8"/>
      <c r="R34" s="8"/>
      <c r="S34" s="8"/>
      <c r="T34" s="201"/>
      <c r="U34" s="201"/>
      <c r="V34" s="8"/>
      <c r="W34" s="8"/>
      <c r="X34" s="8"/>
      <c r="Y34" s="8"/>
      <c r="Z34" s="8"/>
      <c r="AA34" s="201"/>
      <c r="AB34" s="201"/>
      <c r="AC34" s="8"/>
      <c r="AD34" s="8"/>
      <c r="AE34" s="8"/>
      <c r="AF34" s="8"/>
      <c r="AG34" s="8"/>
      <c r="AH34" s="201"/>
      <c r="AI34" s="7"/>
      <c r="AJ34" s="69">
        <f t="shared" si="5"/>
        <v>0</v>
      </c>
    </row>
    <row r="35" spans="2:36" ht="16.5" hidden="1" collapsed="1" thickTop="1" thickBot="1" x14ac:dyDescent="0.3">
      <c r="B35" s="253" t="str">
        <f>'Hours Scheduled'!B10</f>
        <v>Dennis van 't Hul</v>
      </c>
      <c r="C35" t="s">
        <v>0</v>
      </c>
      <c r="D35" s="2"/>
      <c r="E35" s="2"/>
      <c r="F35" s="200"/>
      <c r="G35" s="200"/>
      <c r="H35" s="2"/>
      <c r="I35" s="2"/>
      <c r="J35" s="2"/>
      <c r="K35" s="2"/>
      <c r="L35" s="2"/>
      <c r="M35" s="200"/>
      <c r="N35" s="200"/>
      <c r="O35" s="2"/>
      <c r="P35" s="2"/>
      <c r="Q35" s="2"/>
      <c r="R35" s="2"/>
      <c r="S35" s="2"/>
      <c r="T35" s="200"/>
      <c r="U35" s="200"/>
      <c r="V35" s="2"/>
      <c r="W35" s="2"/>
      <c r="X35" s="2"/>
      <c r="Y35" s="2"/>
      <c r="Z35" s="2"/>
      <c r="AA35" s="200"/>
      <c r="AB35" s="200"/>
      <c r="AC35" s="2"/>
      <c r="AD35" s="2"/>
      <c r="AE35" s="2"/>
      <c r="AF35" s="2"/>
      <c r="AG35" s="2"/>
      <c r="AH35" s="200"/>
      <c r="AJ35" s="64">
        <f>SUM(D35:AH35)</f>
        <v>0</v>
      </c>
    </row>
    <row r="36" spans="2:36" ht="15.75" hidden="1" outlineLevel="1" thickTop="1" x14ac:dyDescent="0.25">
      <c r="B36" s="150"/>
      <c r="C36" s="1" t="s">
        <v>1</v>
      </c>
      <c r="D36" s="3"/>
      <c r="E36" s="3"/>
      <c r="F36" s="200"/>
      <c r="G36" s="200"/>
      <c r="H36" s="3"/>
      <c r="I36" s="3"/>
      <c r="J36" s="3"/>
      <c r="K36" s="3"/>
      <c r="L36" s="3"/>
      <c r="M36" s="200"/>
      <c r="N36" s="200"/>
      <c r="O36" s="3"/>
      <c r="P36" s="3"/>
      <c r="Q36" s="3"/>
      <c r="R36" s="3"/>
      <c r="S36" s="3"/>
      <c r="T36" s="200"/>
      <c r="U36" s="200"/>
      <c r="V36" s="3"/>
      <c r="W36" s="3"/>
      <c r="X36" s="3"/>
      <c r="Y36" s="3"/>
      <c r="Z36" s="3"/>
      <c r="AA36" s="200"/>
      <c r="AB36" s="200"/>
      <c r="AC36" s="3"/>
      <c r="AD36" s="3"/>
      <c r="AE36" s="3"/>
      <c r="AF36" s="3"/>
      <c r="AG36" s="3"/>
      <c r="AH36" s="200"/>
      <c r="AJ36" s="70">
        <f t="shared" ref="AJ36:AJ39" si="6">SUM(D36:AH36)</f>
        <v>0</v>
      </c>
    </row>
    <row r="37" spans="2:36" hidden="1" outlineLevel="1" x14ac:dyDescent="0.25">
      <c r="B37" s="151"/>
      <c r="C37" s="1" t="s">
        <v>2</v>
      </c>
      <c r="D37" s="4"/>
      <c r="E37" s="4"/>
      <c r="F37" s="200"/>
      <c r="G37" s="200"/>
      <c r="H37" s="4"/>
      <c r="I37" s="4"/>
      <c r="J37" s="4"/>
      <c r="K37" s="4"/>
      <c r="L37" s="4"/>
      <c r="M37" s="200"/>
      <c r="N37" s="200"/>
      <c r="O37" s="4"/>
      <c r="P37" s="4"/>
      <c r="Q37" s="4"/>
      <c r="R37" s="4"/>
      <c r="S37" s="4"/>
      <c r="T37" s="200"/>
      <c r="U37" s="200"/>
      <c r="V37" s="4"/>
      <c r="W37" s="4"/>
      <c r="X37" s="4"/>
      <c r="Y37" s="4"/>
      <c r="Z37" s="4"/>
      <c r="AA37" s="200"/>
      <c r="AB37" s="200"/>
      <c r="AC37" s="4"/>
      <c r="AD37" s="4"/>
      <c r="AE37" s="4"/>
      <c r="AF37" s="4"/>
      <c r="AG37" s="4"/>
      <c r="AH37" s="200"/>
      <c r="AJ37" s="71">
        <f t="shared" si="6"/>
        <v>0</v>
      </c>
    </row>
    <row r="38" spans="2:36" hidden="1" outlineLevel="1" x14ac:dyDescent="0.25">
      <c r="B38" s="151"/>
      <c r="C38" s="54" t="s">
        <v>77</v>
      </c>
      <c r="D38" s="5"/>
      <c r="E38" s="5"/>
      <c r="F38" s="200"/>
      <c r="G38" s="200"/>
      <c r="H38" s="5"/>
      <c r="I38" s="5"/>
      <c r="J38" s="5"/>
      <c r="K38" s="5"/>
      <c r="L38" s="5"/>
      <c r="M38" s="200"/>
      <c r="N38" s="200"/>
      <c r="O38" s="5"/>
      <c r="P38" s="5"/>
      <c r="Q38" s="5"/>
      <c r="R38" s="5"/>
      <c r="S38" s="5"/>
      <c r="T38" s="200"/>
      <c r="U38" s="200"/>
      <c r="V38" s="5"/>
      <c r="W38" s="5"/>
      <c r="X38" s="5"/>
      <c r="Y38" s="5"/>
      <c r="Z38" s="5"/>
      <c r="AA38" s="200"/>
      <c r="AB38" s="200"/>
      <c r="AC38" s="5"/>
      <c r="AD38" s="5"/>
      <c r="AE38" s="5"/>
      <c r="AF38" s="5"/>
      <c r="AG38" s="5"/>
      <c r="AH38" s="200"/>
      <c r="AJ38" s="72">
        <f t="shared" si="6"/>
        <v>0</v>
      </c>
    </row>
    <row r="39" spans="2:36" ht="15.75" hidden="1" outlineLevel="1" thickBot="1" x14ac:dyDescent="0.3">
      <c r="B39" s="151"/>
      <c r="C39" s="9" t="s">
        <v>3</v>
      </c>
      <c r="D39" s="8"/>
      <c r="E39" s="8"/>
      <c r="F39" s="201"/>
      <c r="G39" s="201"/>
      <c r="H39" s="8"/>
      <c r="I39" s="8"/>
      <c r="J39" s="8"/>
      <c r="K39" s="8"/>
      <c r="L39" s="8"/>
      <c r="M39" s="201"/>
      <c r="N39" s="201"/>
      <c r="O39" s="8"/>
      <c r="P39" s="8"/>
      <c r="Q39" s="8"/>
      <c r="R39" s="8"/>
      <c r="S39" s="8"/>
      <c r="T39" s="201"/>
      <c r="U39" s="201"/>
      <c r="V39" s="8"/>
      <c r="W39" s="8"/>
      <c r="X39" s="8"/>
      <c r="Y39" s="8"/>
      <c r="Z39" s="8"/>
      <c r="AA39" s="201"/>
      <c r="AB39" s="201"/>
      <c r="AC39" s="8"/>
      <c r="AD39" s="8"/>
      <c r="AE39" s="8"/>
      <c r="AF39" s="8"/>
      <c r="AG39" s="8"/>
      <c r="AH39" s="201"/>
      <c r="AI39" s="7"/>
      <c r="AJ39" s="69">
        <f t="shared" si="6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2"/>
      <c r="E40" s="2">
        <v>8</v>
      </c>
      <c r="F40" s="200"/>
      <c r="G40" s="200"/>
      <c r="H40" s="2"/>
      <c r="I40" s="2"/>
      <c r="J40" s="2"/>
      <c r="K40" s="2"/>
      <c r="L40" s="2"/>
      <c r="M40" s="200"/>
      <c r="N40" s="200"/>
      <c r="O40" s="2"/>
      <c r="P40" s="2"/>
      <c r="Q40" s="2"/>
      <c r="R40" s="2"/>
      <c r="S40" s="2"/>
      <c r="T40" s="200"/>
      <c r="U40" s="200"/>
      <c r="V40" s="2">
        <v>8</v>
      </c>
      <c r="W40" s="2">
        <v>8</v>
      </c>
      <c r="X40" s="2">
        <v>8</v>
      </c>
      <c r="Y40" s="2">
        <v>8</v>
      </c>
      <c r="Z40" s="2">
        <v>8</v>
      </c>
      <c r="AA40" s="200"/>
      <c r="AB40" s="200"/>
      <c r="AC40" s="2">
        <v>8</v>
      </c>
      <c r="AD40" s="2">
        <v>8</v>
      </c>
      <c r="AE40" s="2">
        <v>8</v>
      </c>
      <c r="AF40" s="2">
        <v>8</v>
      </c>
      <c r="AG40" s="2">
        <v>8</v>
      </c>
      <c r="AH40" s="200"/>
      <c r="AJ40" s="64">
        <f>SUM(D40:AH40)</f>
        <v>88</v>
      </c>
    </row>
    <row r="41" spans="2:36" ht="15.75" hidden="1" outlineLevel="1" thickTop="1" x14ac:dyDescent="0.25">
      <c r="B41" s="150"/>
      <c r="C41" s="1" t="s">
        <v>1</v>
      </c>
      <c r="D41" s="3"/>
      <c r="E41" s="3"/>
      <c r="F41" s="200"/>
      <c r="G41" s="200"/>
      <c r="H41" s="3"/>
      <c r="I41" s="3"/>
      <c r="J41" s="3"/>
      <c r="K41" s="3"/>
      <c r="L41" s="3"/>
      <c r="M41" s="200"/>
      <c r="N41" s="200"/>
      <c r="O41" s="3"/>
      <c r="P41" s="3"/>
      <c r="Q41" s="3"/>
      <c r="R41" s="3"/>
      <c r="S41" s="3"/>
      <c r="T41" s="200"/>
      <c r="U41" s="200"/>
      <c r="V41" s="3"/>
      <c r="W41" s="3"/>
      <c r="X41" s="3"/>
      <c r="Y41" s="3"/>
      <c r="Z41" s="3"/>
      <c r="AA41" s="200"/>
      <c r="AB41" s="200"/>
      <c r="AC41" s="3"/>
      <c r="AD41" s="3"/>
      <c r="AE41" s="3"/>
      <c r="AF41" s="3"/>
      <c r="AG41" s="3"/>
      <c r="AH41" s="200"/>
      <c r="AJ41" s="70">
        <f t="shared" ref="AJ41:AJ44" si="7">SUM(D41:AH41)</f>
        <v>0</v>
      </c>
    </row>
    <row r="42" spans="2:36" hidden="1" outlineLevel="1" x14ac:dyDescent="0.25">
      <c r="B42" s="151"/>
      <c r="C42" s="1" t="s">
        <v>2</v>
      </c>
      <c r="D42" s="4"/>
      <c r="E42" s="4"/>
      <c r="F42" s="200"/>
      <c r="G42" s="200"/>
      <c r="H42" s="4"/>
      <c r="I42" s="4"/>
      <c r="J42" s="4"/>
      <c r="K42" s="4"/>
      <c r="L42" s="4"/>
      <c r="M42" s="200"/>
      <c r="N42" s="200"/>
      <c r="O42" s="4"/>
      <c r="P42" s="4"/>
      <c r="Q42" s="4"/>
      <c r="R42" s="4"/>
      <c r="S42" s="4"/>
      <c r="T42" s="200"/>
      <c r="U42" s="200"/>
      <c r="V42" s="4"/>
      <c r="W42" s="4"/>
      <c r="X42" s="4"/>
      <c r="Y42" s="4"/>
      <c r="Z42" s="4"/>
      <c r="AA42" s="200"/>
      <c r="AB42" s="200"/>
      <c r="AC42" s="4"/>
      <c r="AD42" s="4"/>
      <c r="AE42" s="4"/>
      <c r="AF42" s="4"/>
      <c r="AG42" s="4"/>
      <c r="AH42" s="200"/>
      <c r="AJ42" s="71">
        <f t="shared" si="7"/>
        <v>0</v>
      </c>
    </row>
    <row r="43" spans="2:36" hidden="1" outlineLevel="1" x14ac:dyDescent="0.25">
      <c r="B43" s="151"/>
      <c r="C43" s="54" t="s">
        <v>77</v>
      </c>
      <c r="D43" s="5"/>
      <c r="E43" s="5"/>
      <c r="F43" s="200"/>
      <c r="G43" s="200"/>
      <c r="H43" s="5"/>
      <c r="I43" s="5"/>
      <c r="J43" s="5"/>
      <c r="K43" s="5"/>
      <c r="L43" s="5"/>
      <c r="M43" s="200"/>
      <c r="N43" s="200"/>
      <c r="O43" s="5"/>
      <c r="P43" s="5"/>
      <c r="Q43" s="5"/>
      <c r="R43" s="5"/>
      <c r="S43" s="5"/>
      <c r="T43" s="200"/>
      <c r="U43" s="200"/>
      <c r="V43" s="5"/>
      <c r="W43" s="5"/>
      <c r="X43" s="5"/>
      <c r="Y43" s="5"/>
      <c r="Z43" s="5"/>
      <c r="AA43" s="200"/>
      <c r="AB43" s="200"/>
      <c r="AC43" s="5"/>
      <c r="AD43" s="5"/>
      <c r="AE43" s="5"/>
      <c r="AF43" s="5"/>
      <c r="AG43" s="5"/>
      <c r="AH43" s="200"/>
      <c r="AJ43" s="72">
        <f t="shared" si="7"/>
        <v>0</v>
      </c>
    </row>
    <row r="44" spans="2:36" ht="15.75" hidden="1" outlineLevel="1" thickBot="1" x14ac:dyDescent="0.3">
      <c r="B44" s="151"/>
      <c r="C44" s="9" t="s">
        <v>3</v>
      </c>
      <c r="D44" s="8"/>
      <c r="E44" s="8"/>
      <c r="F44" s="201"/>
      <c r="G44" s="201"/>
      <c r="H44" s="8"/>
      <c r="I44" s="8"/>
      <c r="J44" s="8"/>
      <c r="K44" s="8"/>
      <c r="L44" s="8"/>
      <c r="M44" s="201"/>
      <c r="N44" s="201"/>
      <c r="O44" s="8"/>
      <c r="P44" s="8"/>
      <c r="Q44" s="8"/>
      <c r="R44" s="8"/>
      <c r="S44" s="8"/>
      <c r="T44" s="201"/>
      <c r="U44" s="201"/>
      <c r="V44" s="8"/>
      <c r="W44" s="8"/>
      <c r="X44" s="8"/>
      <c r="Y44" s="8"/>
      <c r="Z44" s="8"/>
      <c r="AA44" s="201"/>
      <c r="AB44" s="201"/>
      <c r="AC44" s="8"/>
      <c r="AD44" s="8"/>
      <c r="AE44" s="8"/>
      <c r="AF44" s="8"/>
      <c r="AG44" s="8"/>
      <c r="AH44" s="201"/>
      <c r="AI44" s="7"/>
      <c r="AJ44" s="69">
        <f t="shared" si="7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2"/>
      <c r="E45" s="2"/>
      <c r="F45" s="200"/>
      <c r="G45" s="200"/>
      <c r="H45" s="2"/>
      <c r="I45" s="2"/>
      <c r="J45" s="2"/>
      <c r="K45" s="2"/>
      <c r="L45" s="2"/>
      <c r="M45" s="200"/>
      <c r="N45" s="200"/>
      <c r="O45" s="2"/>
      <c r="P45" s="2"/>
      <c r="Q45" s="2"/>
      <c r="R45" s="2"/>
      <c r="S45" s="2"/>
      <c r="T45" s="200"/>
      <c r="U45" s="200"/>
      <c r="V45" s="2"/>
      <c r="W45" s="2"/>
      <c r="X45" s="2"/>
      <c r="Y45" s="2"/>
      <c r="Z45" s="2"/>
      <c r="AA45" s="200"/>
      <c r="AB45" s="200"/>
      <c r="AC45" s="2"/>
      <c r="AD45" s="2"/>
      <c r="AE45" s="2"/>
      <c r="AF45" s="2"/>
      <c r="AG45" s="2"/>
      <c r="AH45" s="200"/>
      <c r="AJ45" s="64">
        <f>SUM(D45:AH45)</f>
        <v>0</v>
      </c>
    </row>
    <row r="46" spans="2:36" ht="15.75" hidden="1" outlineLevel="1" thickTop="1" x14ac:dyDescent="0.25">
      <c r="B46" s="150"/>
      <c r="C46" s="1" t="s">
        <v>1</v>
      </c>
      <c r="D46" s="3"/>
      <c r="E46" s="3"/>
      <c r="F46" s="200"/>
      <c r="G46" s="200"/>
      <c r="H46" s="3"/>
      <c r="I46" s="3"/>
      <c r="J46" s="3"/>
      <c r="K46" s="3"/>
      <c r="L46" s="3"/>
      <c r="M46" s="200"/>
      <c r="N46" s="200"/>
      <c r="O46" s="3"/>
      <c r="P46" s="3"/>
      <c r="Q46" s="3"/>
      <c r="R46" s="3"/>
      <c r="S46" s="3"/>
      <c r="T46" s="200"/>
      <c r="U46" s="200"/>
      <c r="V46" s="3"/>
      <c r="W46" s="3"/>
      <c r="X46" s="3"/>
      <c r="Y46" s="3"/>
      <c r="Z46" s="3"/>
      <c r="AA46" s="200"/>
      <c r="AB46" s="200"/>
      <c r="AC46" s="3"/>
      <c r="AD46" s="3"/>
      <c r="AE46" s="3"/>
      <c r="AF46" s="3"/>
      <c r="AG46" s="3"/>
      <c r="AH46" s="200"/>
      <c r="AJ46" s="70">
        <f t="shared" ref="AJ46:AJ49" si="8">SUM(D46:AH46)</f>
        <v>0</v>
      </c>
    </row>
    <row r="47" spans="2:36" hidden="1" outlineLevel="1" x14ac:dyDescent="0.25">
      <c r="B47" s="151"/>
      <c r="C47" s="1" t="s">
        <v>2</v>
      </c>
      <c r="D47" s="4"/>
      <c r="E47" s="4"/>
      <c r="F47" s="200"/>
      <c r="G47" s="200"/>
      <c r="H47" s="4"/>
      <c r="I47" s="4"/>
      <c r="J47" s="4"/>
      <c r="K47" s="4"/>
      <c r="L47" s="4"/>
      <c r="M47" s="200"/>
      <c r="N47" s="200"/>
      <c r="O47" s="4"/>
      <c r="P47" s="4"/>
      <c r="Q47" s="4"/>
      <c r="R47" s="4"/>
      <c r="S47" s="4"/>
      <c r="T47" s="200"/>
      <c r="U47" s="200"/>
      <c r="V47" s="4"/>
      <c r="W47" s="4"/>
      <c r="X47" s="4"/>
      <c r="Y47" s="4"/>
      <c r="Z47" s="4"/>
      <c r="AA47" s="200"/>
      <c r="AB47" s="200"/>
      <c r="AC47" s="4"/>
      <c r="AD47" s="4"/>
      <c r="AE47" s="4"/>
      <c r="AF47" s="4"/>
      <c r="AG47" s="4"/>
      <c r="AH47" s="200"/>
      <c r="AJ47" s="71">
        <f t="shared" si="8"/>
        <v>0</v>
      </c>
    </row>
    <row r="48" spans="2:36" hidden="1" outlineLevel="1" x14ac:dyDescent="0.25">
      <c r="B48" s="151"/>
      <c r="C48" s="54" t="s">
        <v>77</v>
      </c>
      <c r="D48" s="5"/>
      <c r="E48" s="5"/>
      <c r="F48" s="200"/>
      <c r="G48" s="200"/>
      <c r="H48" s="5"/>
      <c r="I48" s="5"/>
      <c r="J48" s="5"/>
      <c r="K48" s="5"/>
      <c r="L48" s="5"/>
      <c r="M48" s="200"/>
      <c r="N48" s="200"/>
      <c r="O48" s="5"/>
      <c r="P48" s="5"/>
      <c r="Q48" s="5"/>
      <c r="R48" s="5"/>
      <c r="S48" s="5"/>
      <c r="T48" s="200"/>
      <c r="U48" s="200"/>
      <c r="V48" s="5"/>
      <c r="W48" s="5"/>
      <c r="X48" s="5"/>
      <c r="Y48" s="5"/>
      <c r="Z48" s="5"/>
      <c r="AA48" s="200"/>
      <c r="AB48" s="200"/>
      <c r="AC48" s="5"/>
      <c r="AD48" s="5"/>
      <c r="AE48" s="5"/>
      <c r="AF48" s="5"/>
      <c r="AG48" s="5"/>
      <c r="AH48" s="200"/>
      <c r="AJ48" s="72">
        <f t="shared" si="8"/>
        <v>0</v>
      </c>
    </row>
    <row r="49" spans="2:36" ht="15.75" hidden="1" outlineLevel="1" thickBot="1" x14ac:dyDescent="0.3">
      <c r="B49" s="151"/>
      <c r="C49" s="9" t="s">
        <v>3</v>
      </c>
      <c r="D49" s="8"/>
      <c r="E49" s="8"/>
      <c r="F49" s="201"/>
      <c r="G49" s="201"/>
      <c r="H49" s="8"/>
      <c r="I49" s="8"/>
      <c r="J49" s="8"/>
      <c r="K49" s="8"/>
      <c r="L49" s="8"/>
      <c r="M49" s="201"/>
      <c r="N49" s="201"/>
      <c r="O49" s="8"/>
      <c r="P49" s="8"/>
      <c r="Q49" s="8"/>
      <c r="R49" s="8"/>
      <c r="S49" s="8"/>
      <c r="T49" s="201"/>
      <c r="U49" s="201"/>
      <c r="V49" s="8"/>
      <c r="W49" s="8"/>
      <c r="X49" s="8"/>
      <c r="Y49" s="8"/>
      <c r="Z49" s="8"/>
      <c r="AA49" s="201"/>
      <c r="AB49" s="201"/>
      <c r="AC49" s="8"/>
      <c r="AD49" s="8"/>
      <c r="AE49" s="8"/>
      <c r="AF49" s="8"/>
      <c r="AG49" s="8"/>
      <c r="AH49" s="201"/>
      <c r="AI49" s="7"/>
      <c r="AJ49" s="69">
        <f t="shared" si="8"/>
        <v>0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2">
        <v>8</v>
      </c>
      <c r="E50" s="2">
        <v>8</v>
      </c>
      <c r="F50" s="200"/>
      <c r="G50" s="200"/>
      <c r="H50" s="2"/>
      <c r="I50" s="2"/>
      <c r="J50" s="2"/>
      <c r="K50" s="2"/>
      <c r="L50" s="2"/>
      <c r="M50" s="200"/>
      <c r="N50" s="200"/>
      <c r="O50" s="2"/>
      <c r="P50" s="2"/>
      <c r="Q50" s="2"/>
      <c r="R50" s="2"/>
      <c r="S50" s="2"/>
      <c r="T50" s="200"/>
      <c r="U50" s="200"/>
      <c r="V50" s="2"/>
      <c r="W50" s="2"/>
      <c r="X50" s="2"/>
      <c r="Y50" s="2"/>
      <c r="Z50" s="2"/>
      <c r="AA50" s="200"/>
      <c r="AB50" s="200"/>
      <c r="AC50" s="2"/>
      <c r="AD50" s="2"/>
      <c r="AE50" s="2"/>
      <c r="AF50" s="2"/>
      <c r="AG50" s="2"/>
      <c r="AH50" s="200"/>
      <c r="AJ50" s="64">
        <f>SUM(D50:AH50)</f>
        <v>16</v>
      </c>
    </row>
    <row r="51" spans="2:36" ht="15.75" hidden="1" customHeight="1" outlineLevel="1" thickTop="1" x14ac:dyDescent="0.25">
      <c r="B51" s="150"/>
      <c r="C51" s="1" t="s">
        <v>1</v>
      </c>
      <c r="D51" s="3"/>
      <c r="E51" s="3"/>
      <c r="F51" s="200"/>
      <c r="G51" s="200"/>
      <c r="H51" s="3"/>
      <c r="I51" s="3"/>
      <c r="J51" s="3"/>
      <c r="K51" s="3"/>
      <c r="L51" s="3"/>
      <c r="M51" s="200"/>
      <c r="N51" s="200"/>
      <c r="O51" s="3"/>
      <c r="P51" s="3"/>
      <c r="Q51" s="3"/>
      <c r="R51" s="3"/>
      <c r="S51" s="3"/>
      <c r="T51" s="200"/>
      <c r="U51" s="200"/>
      <c r="V51" s="3"/>
      <c r="W51" s="3"/>
      <c r="X51" s="3"/>
      <c r="Y51" s="3"/>
      <c r="Z51" s="3"/>
      <c r="AA51" s="200"/>
      <c r="AB51" s="200"/>
      <c r="AC51" s="3"/>
      <c r="AD51" s="3"/>
      <c r="AE51" s="3"/>
      <c r="AF51" s="3"/>
      <c r="AG51" s="3"/>
      <c r="AH51" s="200"/>
      <c r="AJ51" s="70">
        <f t="shared" ref="AJ51:AJ54" si="9">SUM(D51:AH51)</f>
        <v>0</v>
      </c>
    </row>
    <row r="52" spans="2:36" ht="15" hidden="1" customHeight="1" outlineLevel="1" x14ac:dyDescent="0.25">
      <c r="B52" s="151"/>
      <c r="C52" s="1" t="s">
        <v>2</v>
      </c>
      <c r="D52" s="4"/>
      <c r="E52" s="4"/>
      <c r="F52" s="200"/>
      <c r="G52" s="200"/>
      <c r="H52" s="4"/>
      <c r="I52" s="4"/>
      <c r="J52" s="4"/>
      <c r="K52" s="4"/>
      <c r="L52" s="4"/>
      <c r="M52" s="200"/>
      <c r="N52" s="200"/>
      <c r="O52" s="4"/>
      <c r="P52" s="4"/>
      <c r="Q52" s="4"/>
      <c r="R52" s="4"/>
      <c r="S52" s="4"/>
      <c r="T52" s="200"/>
      <c r="U52" s="200"/>
      <c r="V52" s="4"/>
      <c r="W52" s="4"/>
      <c r="X52" s="4"/>
      <c r="Y52" s="4"/>
      <c r="Z52" s="4"/>
      <c r="AA52" s="200"/>
      <c r="AB52" s="200"/>
      <c r="AC52" s="4"/>
      <c r="AD52" s="4"/>
      <c r="AE52" s="4"/>
      <c r="AF52" s="4"/>
      <c r="AG52" s="4"/>
      <c r="AH52" s="200"/>
      <c r="AJ52" s="71">
        <f t="shared" si="9"/>
        <v>0</v>
      </c>
    </row>
    <row r="53" spans="2:36" ht="15" hidden="1" customHeight="1" outlineLevel="1" x14ac:dyDescent="0.25">
      <c r="B53" s="151"/>
      <c r="C53" s="54" t="s">
        <v>77</v>
      </c>
      <c r="D53" s="5"/>
      <c r="E53" s="5"/>
      <c r="F53" s="200"/>
      <c r="G53" s="200"/>
      <c r="H53" s="5"/>
      <c r="I53" s="5"/>
      <c r="J53" s="5"/>
      <c r="K53" s="5"/>
      <c r="L53" s="5"/>
      <c r="M53" s="200"/>
      <c r="N53" s="200"/>
      <c r="O53" s="5"/>
      <c r="P53" s="5"/>
      <c r="Q53" s="5"/>
      <c r="R53" s="5"/>
      <c r="S53" s="5"/>
      <c r="T53" s="200"/>
      <c r="U53" s="200"/>
      <c r="V53" s="5"/>
      <c r="W53" s="5"/>
      <c r="X53" s="5"/>
      <c r="Y53" s="5"/>
      <c r="Z53" s="5"/>
      <c r="AA53" s="200"/>
      <c r="AB53" s="200"/>
      <c r="AC53" s="5"/>
      <c r="AD53" s="5"/>
      <c r="AE53" s="5"/>
      <c r="AF53" s="5"/>
      <c r="AG53" s="5"/>
      <c r="AH53" s="200"/>
      <c r="AJ53" s="72">
        <f t="shared" si="9"/>
        <v>0</v>
      </c>
    </row>
    <row r="54" spans="2:36" ht="15.75" hidden="1" customHeight="1" outlineLevel="1" thickBot="1" x14ac:dyDescent="0.3">
      <c r="B54" s="151"/>
      <c r="C54" s="9" t="s">
        <v>3</v>
      </c>
      <c r="D54" s="8"/>
      <c r="E54" s="8"/>
      <c r="F54" s="201"/>
      <c r="G54" s="201"/>
      <c r="H54" s="8"/>
      <c r="I54" s="8"/>
      <c r="J54" s="8"/>
      <c r="K54" s="8"/>
      <c r="L54" s="8"/>
      <c r="M54" s="201"/>
      <c r="N54" s="201"/>
      <c r="O54" s="8"/>
      <c r="P54" s="8"/>
      <c r="Q54" s="8"/>
      <c r="R54" s="8"/>
      <c r="S54" s="8"/>
      <c r="T54" s="201"/>
      <c r="U54" s="201"/>
      <c r="V54" s="8"/>
      <c r="W54" s="8"/>
      <c r="X54" s="8"/>
      <c r="Y54" s="8"/>
      <c r="Z54" s="8"/>
      <c r="AA54" s="201"/>
      <c r="AB54" s="201"/>
      <c r="AC54" s="8"/>
      <c r="AD54" s="8"/>
      <c r="AE54" s="8"/>
      <c r="AF54" s="8"/>
      <c r="AG54" s="8"/>
      <c r="AH54" s="201"/>
      <c r="AI54" s="7"/>
      <c r="AJ54" s="69">
        <f t="shared" si="9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2">
        <v>8</v>
      </c>
      <c r="E55" s="2">
        <v>8</v>
      </c>
      <c r="F55" s="200"/>
      <c r="G55" s="200"/>
      <c r="H55" s="2">
        <v>8</v>
      </c>
      <c r="I55" s="2">
        <v>8</v>
      </c>
      <c r="J55" s="2">
        <v>8</v>
      </c>
      <c r="K55" s="2">
        <v>8</v>
      </c>
      <c r="L55" s="2">
        <v>8</v>
      </c>
      <c r="M55" s="200"/>
      <c r="N55" s="200"/>
      <c r="O55" s="2"/>
      <c r="P55" s="2"/>
      <c r="Q55" s="2"/>
      <c r="R55" s="2"/>
      <c r="S55" s="2"/>
      <c r="T55" s="200"/>
      <c r="U55" s="200"/>
      <c r="V55" s="2"/>
      <c r="W55" s="2"/>
      <c r="X55" s="2"/>
      <c r="Y55" s="2"/>
      <c r="Z55" s="2"/>
      <c r="AA55" s="200"/>
      <c r="AB55" s="200"/>
      <c r="AC55" s="2"/>
      <c r="AD55" s="2"/>
      <c r="AE55" s="2"/>
      <c r="AF55" s="2"/>
      <c r="AG55" s="2"/>
      <c r="AH55" s="200"/>
      <c r="AJ55" s="64">
        <f>SUM(D55:AH55)</f>
        <v>56</v>
      </c>
    </row>
    <row r="56" spans="2:36" ht="15.75" hidden="1" outlineLevel="1" thickTop="1" x14ac:dyDescent="0.25">
      <c r="B56" s="150"/>
      <c r="C56" s="1" t="s">
        <v>1</v>
      </c>
      <c r="D56" s="3"/>
      <c r="E56" s="3"/>
      <c r="F56" s="200"/>
      <c r="G56" s="200"/>
      <c r="H56" s="3"/>
      <c r="I56" s="3"/>
      <c r="J56" s="3"/>
      <c r="K56" s="3"/>
      <c r="L56" s="3"/>
      <c r="M56" s="200"/>
      <c r="N56" s="200"/>
      <c r="O56" s="3"/>
      <c r="P56" s="3"/>
      <c r="Q56" s="3"/>
      <c r="R56" s="3"/>
      <c r="S56" s="3"/>
      <c r="T56" s="200"/>
      <c r="U56" s="200"/>
      <c r="V56" s="3"/>
      <c r="W56" s="3"/>
      <c r="X56" s="3"/>
      <c r="Y56" s="3"/>
      <c r="Z56" s="3"/>
      <c r="AA56" s="200"/>
      <c r="AB56" s="200"/>
      <c r="AC56" s="3"/>
      <c r="AD56" s="3"/>
      <c r="AE56" s="3"/>
      <c r="AF56" s="3"/>
      <c r="AG56" s="3"/>
      <c r="AH56" s="200"/>
      <c r="AJ56" s="70">
        <f t="shared" ref="AJ56:AJ59" si="10">SUM(D56:AH56)</f>
        <v>0</v>
      </c>
    </row>
    <row r="57" spans="2:36" hidden="1" outlineLevel="1" x14ac:dyDescent="0.25">
      <c r="B57" s="151"/>
      <c r="C57" s="1" t="s">
        <v>2</v>
      </c>
      <c r="D57" s="4"/>
      <c r="E57" s="4"/>
      <c r="F57" s="200"/>
      <c r="G57" s="200"/>
      <c r="H57" s="4"/>
      <c r="I57" s="4"/>
      <c r="J57" s="4"/>
      <c r="K57" s="4"/>
      <c r="L57" s="4"/>
      <c r="M57" s="200"/>
      <c r="N57" s="200"/>
      <c r="O57" s="4"/>
      <c r="P57" s="4"/>
      <c r="Q57" s="4"/>
      <c r="R57" s="4"/>
      <c r="S57" s="4"/>
      <c r="T57" s="200"/>
      <c r="U57" s="200"/>
      <c r="V57" s="4"/>
      <c r="W57" s="4"/>
      <c r="X57" s="4"/>
      <c r="Y57" s="4"/>
      <c r="Z57" s="4"/>
      <c r="AA57" s="200"/>
      <c r="AB57" s="200"/>
      <c r="AC57" s="4"/>
      <c r="AD57" s="4"/>
      <c r="AE57" s="4"/>
      <c r="AF57" s="4"/>
      <c r="AG57" s="4"/>
      <c r="AH57" s="200"/>
      <c r="AJ57" s="71">
        <f t="shared" si="10"/>
        <v>0</v>
      </c>
    </row>
    <row r="58" spans="2:36" hidden="1" outlineLevel="1" x14ac:dyDescent="0.25">
      <c r="B58" s="151"/>
      <c r="C58" s="54" t="s">
        <v>77</v>
      </c>
      <c r="D58" s="5"/>
      <c r="E58" s="5"/>
      <c r="F58" s="200"/>
      <c r="G58" s="200"/>
      <c r="H58" s="5"/>
      <c r="I58" s="5"/>
      <c r="J58" s="5"/>
      <c r="K58" s="5"/>
      <c r="L58" s="5"/>
      <c r="M58" s="200"/>
      <c r="N58" s="200"/>
      <c r="O58" s="5"/>
      <c r="P58" s="5"/>
      <c r="Q58" s="5"/>
      <c r="R58" s="5"/>
      <c r="S58" s="5"/>
      <c r="T58" s="200"/>
      <c r="U58" s="200"/>
      <c r="V58" s="5"/>
      <c r="W58" s="5"/>
      <c r="X58" s="5"/>
      <c r="Y58" s="5"/>
      <c r="Z58" s="5"/>
      <c r="AA58" s="200"/>
      <c r="AB58" s="200"/>
      <c r="AC58" s="5"/>
      <c r="AD58" s="5"/>
      <c r="AE58" s="5"/>
      <c r="AF58" s="5"/>
      <c r="AG58" s="5"/>
      <c r="AH58" s="200"/>
      <c r="AJ58" s="72">
        <f t="shared" si="10"/>
        <v>0</v>
      </c>
    </row>
    <row r="59" spans="2:36" ht="15.75" hidden="1" outlineLevel="1" thickBot="1" x14ac:dyDescent="0.3">
      <c r="B59" s="151"/>
      <c r="C59" s="9" t="s">
        <v>3</v>
      </c>
      <c r="D59" s="8"/>
      <c r="E59" s="8"/>
      <c r="F59" s="201"/>
      <c r="G59" s="201"/>
      <c r="H59" s="8"/>
      <c r="I59" s="8"/>
      <c r="J59" s="8"/>
      <c r="K59" s="8"/>
      <c r="L59" s="8"/>
      <c r="M59" s="201"/>
      <c r="N59" s="201"/>
      <c r="O59" s="8"/>
      <c r="P59" s="8"/>
      <c r="Q59" s="8"/>
      <c r="R59" s="8"/>
      <c r="S59" s="8"/>
      <c r="T59" s="201"/>
      <c r="U59" s="201"/>
      <c r="V59" s="8"/>
      <c r="W59" s="8"/>
      <c r="X59" s="8"/>
      <c r="Y59" s="8"/>
      <c r="Z59" s="8"/>
      <c r="AA59" s="201"/>
      <c r="AB59" s="201"/>
      <c r="AC59" s="8"/>
      <c r="AD59" s="8"/>
      <c r="AE59" s="8"/>
      <c r="AF59" s="8"/>
      <c r="AG59" s="8"/>
      <c r="AH59" s="201"/>
      <c r="AI59" s="7"/>
      <c r="AJ59" s="69">
        <f t="shared" si="10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2"/>
      <c r="E60" s="2"/>
      <c r="F60" s="200"/>
      <c r="G60" s="200"/>
      <c r="H60" s="2"/>
      <c r="I60" s="2"/>
      <c r="J60" s="200"/>
      <c r="K60" s="2"/>
      <c r="L60" s="2"/>
      <c r="M60" s="200"/>
      <c r="N60" s="200"/>
      <c r="O60" s="2"/>
      <c r="P60" s="2"/>
      <c r="Q60" s="200"/>
      <c r="R60" s="2"/>
      <c r="S60" s="2"/>
      <c r="T60" s="200"/>
      <c r="U60" s="200"/>
      <c r="V60" s="2"/>
      <c r="W60" s="2"/>
      <c r="X60" s="200"/>
      <c r="Y60" s="2"/>
      <c r="Z60" s="2"/>
      <c r="AA60" s="200"/>
      <c r="AB60" s="200"/>
      <c r="AC60" s="2"/>
      <c r="AD60" s="2"/>
      <c r="AE60" s="200"/>
      <c r="AF60" s="2"/>
      <c r="AG60" s="2"/>
      <c r="AH60" s="200"/>
      <c r="AJ60" s="64">
        <f>SUM(D60:AH60)</f>
        <v>0</v>
      </c>
    </row>
    <row r="61" spans="2:36" ht="15.75" hidden="1" outlineLevel="1" thickTop="1" x14ac:dyDescent="0.25">
      <c r="B61" s="150"/>
      <c r="C61" s="1" t="s">
        <v>1</v>
      </c>
      <c r="D61" s="3"/>
      <c r="E61" s="3"/>
      <c r="F61" s="200"/>
      <c r="G61" s="200"/>
      <c r="H61" s="3"/>
      <c r="I61" s="3"/>
      <c r="J61" s="3"/>
      <c r="K61" s="3"/>
      <c r="L61" s="3"/>
      <c r="M61" s="200"/>
      <c r="N61" s="200"/>
      <c r="O61" s="3"/>
      <c r="P61" s="3"/>
      <c r="Q61" s="3"/>
      <c r="R61" s="3"/>
      <c r="S61" s="3"/>
      <c r="T61" s="200"/>
      <c r="U61" s="200"/>
      <c r="V61" s="3"/>
      <c r="W61" s="3"/>
      <c r="X61" s="3"/>
      <c r="Y61" s="3"/>
      <c r="Z61" s="3"/>
      <c r="AA61" s="200"/>
      <c r="AB61" s="200"/>
      <c r="AC61" s="3"/>
      <c r="AD61" s="3"/>
      <c r="AE61" s="3"/>
      <c r="AF61" s="3"/>
      <c r="AG61" s="3"/>
      <c r="AH61" s="200"/>
      <c r="AJ61" s="70">
        <f t="shared" ref="AJ61:AJ64" si="11">SUM(D61:AH61)</f>
        <v>0</v>
      </c>
    </row>
    <row r="62" spans="2:36" hidden="1" outlineLevel="1" x14ac:dyDescent="0.25">
      <c r="B62" s="151"/>
      <c r="C62" s="1" t="s">
        <v>2</v>
      </c>
      <c r="D62" s="4"/>
      <c r="E62" s="4"/>
      <c r="F62" s="200"/>
      <c r="G62" s="200"/>
      <c r="H62" s="4"/>
      <c r="I62" s="4"/>
      <c r="J62" s="4"/>
      <c r="K62" s="4"/>
      <c r="L62" s="4"/>
      <c r="M62" s="200"/>
      <c r="N62" s="200"/>
      <c r="O62" s="4"/>
      <c r="P62" s="4"/>
      <c r="Q62" s="4"/>
      <c r="R62" s="4"/>
      <c r="S62" s="4"/>
      <c r="T62" s="200"/>
      <c r="U62" s="200"/>
      <c r="V62" s="4"/>
      <c r="W62" s="4"/>
      <c r="X62" s="4"/>
      <c r="Y62" s="4"/>
      <c r="Z62" s="4"/>
      <c r="AA62" s="200"/>
      <c r="AB62" s="200"/>
      <c r="AC62" s="4"/>
      <c r="AD62" s="4"/>
      <c r="AE62" s="4"/>
      <c r="AF62" s="4"/>
      <c r="AG62" s="4"/>
      <c r="AH62" s="200"/>
      <c r="AJ62" s="71">
        <f t="shared" si="11"/>
        <v>0</v>
      </c>
    </row>
    <row r="63" spans="2:36" hidden="1" outlineLevel="1" x14ac:dyDescent="0.25">
      <c r="B63" s="151"/>
      <c r="C63" s="54" t="s">
        <v>77</v>
      </c>
      <c r="D63" s="5"/>
      <c r="E63" s="5"/>
      <c r="F63" s="200"/>
      <c r="G63" s="200"/>
      <c r="H63" s="5"/>
      <c r="I63" s="5"/>
      <c r="J63" s="5"/>
      <c r="K63" s="5"/>
      <c r="L63" s="5"/>
      <c r="M63" s="200"/>
      <c r="N63" s="200"/>
      <c r="O63" s="5"/>
      <c r="P63" s="5"/>
      <c r="Q63" s="5"/>
      <c r="R63" s="5"/>
      <c r="S63" s="5"/>
      <c r="T63" s="200"/>
      <c r="U63" s="200"/>
      <c r="V63" s="5"/>
      <c r="W63" s="5"/>
      <c r="X63" s="5"/>
      <c r="Y63" s="5"/>
      <c r="Z63" s="5"/>
      <c r="AA63" s="200"/>
      <c r="AB63" s="200"/>
      <c r="AC63" s="5"/>
      <c r="AD63" s="5"/>
      <c r="AE63" s="5"/>
      <c r="AF63" s="5"/>
      <c r="AG63" s="5"/>
      <c r="AH63" s="200"/>
      <c r="AJ63" s="72">
        <f t="shared" si="11"/>
        <v>0</v>
      </c>
    </row>
    <row r="64" spans="2:36" ht="15.75" hidden="1" outlineLevel="1" thickBot="1" x14ac:dyDescent="0.3">
      <c r="B64" s="151"/>
      <c r="C64" s="9" t="s">
        <v>3</v>
      </c>
      <c r="D64" s="8"/>
      <c r="E64" s="8"/>
      <c r="F64" s="201"/>
      <c r="G64" s="201"/>
      <c r="H64" s="8"/>
      <c r="I64" s="8"/>
      <c r="J64" s="8"/>
      <c r="K64" s="8"/>
      <c r="L64" s="8"/>
      <c r="M64" s="201"/>
      <c r="N64" s="201"/>
      <c r="O64" s="8"/>
      <c r="P64" s="8"/>
      <c r="Q64" s="8"/>
      <c r="R64" s="8"/>
      <c r="S64" s="8"/>
      <c r="T64" s="201"/>
      <c r="U64" s="201"/>
      <c r="V64" s="8"/>
      <c r="W64" s="8"/>
      <c r="X64" s="8"/>
      <c r="Y64" s="8"/>
      <c r="Z64" s="8"/>
      <c r="AA64" s="201"/>
      <c r="AB64" s="201"/>
      <c r="AC64" s="8"/>
      <c r="AD64" s="8"/>
      <c r="AE64" s="8"/>
      <c r="AF64" s="8"/>
      <c r="AG64" s="8"/>
      <c r="AH64" s="201"/>
      <c r="AI64" s="7"/>
      <c r="AJ64" s="69">
        <f t="shared" si="11"/>
        <v>0</v>
      </c>
    </row>
    <row r="65" spans="2:36" ht="16.5" hidden="1" collapsed="1" thickTop="1" thickBot="1" x14ac:dyDescent="0.3">
      <c r="B65" s="253" t="str">
        <f>'Hours Scheduled'!B16</f>
        <v>Jim van der Weijden</v>
      </c>
      <c r="C65" t="s">
        <v>0</v>
      </c>
      <c r="D65" s="2"/>
      <c r="E65" s="2"/>
      <c r="F65" s="200"/>
      <c r="G65" s="200"/>
      <c r="H65" s="2"/>
      <c r="I65" s="2"/>
      <c r="J65" s="2"/>
      <c r="K65" s="2"/>
      <c r="L65" s="2"/>
      <c r="M65" s="200"/>
      <c r="N65" s="200"/>
      <c r="O65" s="2"/>
      <c r="P65" s="2"/>
      <c r="Q65" s="2"/>
      <c r="R65" s="2"/>
      <c r="S65" s="2"/>
      <c r="T65" s="200"/>
      <c r="U65" s="200"/>
      <c r="V65" s="2"/>
      <c r="W65" s="2"/>
      <c r="X65" s="2"/>
      <c r="Y65" s="2"/>
      <c r="Z65" s="2"/>
      <c r="AA65" s="200"/>
      <c r="AB65" s="200"/>
      <c r="AC65" s="2"/>
      <c r="AD65" s="2"/>
      <c r="AE65" s="2"/>
      <c r="AF65" s="2"/>
      <c r="AG65" s="2"/>
      <c r="AH65" s="200"/>
      <c r="AJ65" s="64">
        <f>SUM(D65:AH65)</f>
        <v>0</v>
      </c>
    </row>
    <row r="66" spans="2:36" ht="15.75" hidden="1" outlineLevel="1" thickTop="1" x14ac:dyDescent="0.25">
      <c r="B66" s="150"/>
      <c r="C66" s="1" t="s">
        <v>1</v>
      </c>
      <c r="D66" s="3"/>
      <c r="E66" s="3"/>
      <c r="F66" s="200"/>
      <c r="G66" s="200"/>
      <c r="H66" s="3"/>
      <c r="I66" s="3"/>
      <c r="J66" s="3"/>
      <c r="K66" s="3"/>
      <c r="L66" s="3"/>
      <c r="M66" s="200"/>
      <c r="N66" s="200"/>
      <c r="O66" s="3"/>
      <c r="P66" s="3"/>
      <c r="Q66" s="3"/>
      <c r="R66" s="3"/>
      <c r="S66" s="3"/>
      <c r="T66" s="200"/>
      <c r="U66" s="200"/>
      <c r="V66" s="3"/>
      <c r="W66" s="3"/>
      <c r="X66" s="3"/>
      <c r="Y66" s="3"/>
      <c r="Z66" s="3"/>
      <c r="AA66" s="200"/>
      <c r="AB66" s="200"/>
      <c r="AC66" s="3"/>
      <c r="AD66" s="3"/>
      <c r="AE66" s="3"/>
      <c r="AF66" s="3"/>
      <c r="AG66" s="3"/>
      <c r="AH66" s="200"/>
      <c r="AJ66" s="70">
        <f t="shared" ref="AJ66:AJ69" si="12">SUM(D66:AH66)</f>
        <v>0</v>
      </c>
    </row>
    <row r="67" spans="2:36" hidden="1" outlineLevel="1" x14ac:dyDescent="0.25">
      <c r="B67" s="151"/>
      <c r="C67" s="1" t="s">
        <v>2</v>
      </c>
      <c r="D67" s="4"/>
      <c r="E67" s="4"/>
      <c r="F67" s="200"/>
      <c r="G67" s="200"/>
      <c r="H67" s="4"/>
      <c r="I67" s="4"/>
      <c r="J67" s="4"/>
      <c r="K67" s="4"/>
      <c r="L67" s="4"/>
      <c r="M67" s="200"/>
      <c r="N67" s="200"/>
      <c r="O67" s="4"/>
      <c r="P67" s="4"/>
      <c r="Q67" s="4"/>
      <c r="R67" s="4"/>
      <c r="S67" s="4"/>
      <c r="T67" s="200"/>
      <c r="U67" s="200"/>
      <c r="V67" s="4"/>
      <c r="W67" s="4"/>
      <c r="X67" s="4"/>
      <c r="Y67" s="4"/>
      <c r="Z67" s="4"/>
      <c r="AA67" s="200"/>
      <c r="AB67" s="200"/>
      <c r="AC67" s="4"/>
      <c r="AD67" s="4"/>
      <c r="AE67" s="4"/>
      <c r="AF67" s="4"/>
      <c r="AG67" s="4"/>
      <c r="AH67" s="200"/>
      <c r="AJ67" s="71">
        <f t="shared" si="12"/>
        <v>0</v>
      </c>
    </row>
    <row r="68" spans="2:36" hidden="1" outlineLevel="1" x14ac:dyDescent="0.25">
      <c r="B68" s="151"/>
      <c r="C68" s="54" t="s">
        <v>77</v>
      </c>
      <c r="D68" s="5"/>
      <c r="E68" s="5"/>
      <c r="F68" s="200"/>
      <c r="G68" s="200"/>
      <c r="H68" s="5"/>
      <c r="I68" s="5"/>
      <c r="J68" s="5"/>
      <c r="K68" s="5"/>
      <c r="L68" s="5"/>
      <c r="M68" s="200"/>
      <c r="N68" s="200"/>
      <c r="O68" s="5"/>
      <c r="P68" s="5"/>
      <c r="Q68" s="5"/>
      <c r="R68" s="5"/>
      <c r="S68" s="5"/>
      <c r="T68" s="200"/>
      <c r="U68" s="200"/>
      <c r="V68" s="5"/>
      <c r="W68" s="5"/>
      <c r="X68" s="5"/>
      <c r="Y68" s="5"/>
      <c r="Z68" s="5"/>
      <c r="AA68" s="200"/>
      <c r="AB68" s="200"/>
      <c r="AC68" s="5"/>
      <c r="AD68" s="5"/>
      <c r="AE68" s="5"/>
      <c r="AF68" s="5"/>
      <c r="AG68" s="5"/>
      <c r="AH68" s="200"/>
      <c r="AJ68" s="72">
        <f t="shared" si="12"/>
        <v>0</v>
      </c>
    </row>
    <row r="69" spans="2:36" ht="15.75" hidden="1" outlineLevel="1" thickBot="1" x14ac:dyDescent="0.3">
      <c r="B69" s="151"/>
      <c r="C69" s="9" t="s">
        <v>3</v>
      </c>
      <c r="D69" s="8"/>
      <c r="E69" s="8"/>
      <c r="F69" s="201"/>
      <c r="G69" s="201"/>
      <c r="H69" s="8"/>
      <c r="I69" s="8"/>
      <c r="J69" s="8"/>
      <c r="K69" s="8"/>
      <c r="L69" s="8"/>
      <c r="M69" s="201"/>
      <c r="N69" s="201"/>
      <c r="O69" s="8"/>
      <c r="P69" s="8"/>
      <c r="Q69" s="8"/>
      <c r="R69" s="8"/>
      <c r="S69" s="8"/>
      <c r="T69" s="201"/>
      <c r="U69" s="201"/>
      <c r="V69" s="8"/>
      <c r="W69" s="8"/>
      <c r="X69" s="8"/>
      <c r="Y69" s="8"/>
      <c r="Z69" s="8"/>
      <c r="AA69" s="201"/>
      <c r="AB69" s="201"/>
      <c r="AC69" s="8"/>
      <c r="AD69" s="8"/>
      <c r="AE69" s="8"/>
      <c r="AF69" s="8"/>
      <c r="AG69" s="8"/>
      <c r="AH69" s="201"/>
      <c r="AI69" s="7"/>
      <c r="AJ69" s="69">
        <f t="shared" si="1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2"/>
      <c r="E70" s="2"/>
      <c r="F70" s="200"/>
      <c r="G70" s="200"/>
      <c r="H70" s="2"/>
      <c r="I70" s="2"/>
      <c r="J70" s="2"/>
      <c r="K70" s="2"/>
      <c r="L70" s="2"/>
      <c r="M70" s="200"/>
      <c r="N70" s="200"/>
      <c r="O70" s="2"/>
      <c r="P70" s="2"/>
      <c r="Q70" s="2"/>
      <c r="R70" s="2"/>
      <c r="S70" s="2"/>
      <c r="T70" s="200"/>
      <c r="U70" s="200"/>
      <c r="V70" s="2"/>
      <c r="W70" s="2"/>
      <c r="X70" s="2"/>
      <c r="Y70" s="2"/>
      <c r="Z70" s="2"/>
      <c r="AA70" s="200"/>
      <c r="AB70" s="200"/>
      <c r="AC70" s="2"/>
      <c r="AD70" s="2"/>
      <c r="AE70" s="2"/>
      <c r="AF70" s="2"/>
      <c r="AG70" s="2"/>
      <c r="AH70" s="200"/>
      <c r="AJ70" s="64">
        <f>SUM(D70:AH70)</f>
        <v>0</v>
      </c>
    </row>
    <row r="71" spans="2:36" ht="15.75" hidden="1" outlineLevel="1" thickTop="1" x14ac:dyDescent="0.25">
      <c r="B71" s="150"/>
      <c r="C71" s="1" t="s">
        <v>1</v>
      </c>
      <c r="D71" s="3"/>
      <c r="E71" s="3"/>
      <c r="F71" s="200"/>
      <c r="G71" s="200"/>
      <c r="H71" s="3"/>
      <c r="I71" s="3"/>
      <c r="J71" s="3"/>
      <c r="K71" s="3"/>
      <c r="L71" s="3"/>
      <c r="M71" s="200"/>
      <c r="N71" s="200"/>
      <c r="O71" s="3"/>
      <c r="P71" s="3"/>
      <c r="Q71" s="3"/>
      <c r="R71" s="3"/>
      <c r="S71" s="3"/>
      <c r="T71" s="200"/>
      <c r="U71" s="200"/>
      <c r="V71" s="3"/>
      <c r="W71" s="3"/>
      <c r="X71" s="3"/>
      <c r="Y71" s="3"/>
      <c r="Z71" s="3"/>
      <c r="AA71" s="200"/>
      <c r="AB71" s="200"/>
      <c r="AC71" s="3"/>
      <c r="AD71" s="3"/>
      <c r="AE71" s="3"/>
      <c r="AF71" s="3"/>
      <c r="AG71" s="3"/>
      <c r="AH71" s="200"/>
      <c r="AJ71" s="70">
        <f t="shared" ref="AJ71:AJ74" si="13">SUM(D71:AH71)</f>
        <v>0</v>
      </c>
    </row>
    <row r="72" spans="2:36" hidden="1" outlineLevel="1" x14ac:dyDescent="0.25">
      <c r="B72" s="151"/>
      <c r="C72" s="1" t="s">
        <v>2</v>
      </c>
      <c r="D72" s="4"/>
      <c r="E72" s="4"/>
      <c r="F72" s="200"/>
      <c r="G72" s="200"/>
      <c r="H72" s="4"/>
      <c r="I72" s="4"/>
      <c r="J72" s="4"/>
      <c r="K72" s="4"/>
      <c r="L72" s="4"/>
      <c r="M72" s="200"/>
      <c r="N72" s="200"/>
      <c r="O72" s="4"/>
      <c r="P72" s="4"/>
      <c r="Q72" s="4"/>
      <c r="R72" s="4"/>
      <c r="S72" s="4"/>
      <c r="T72" s="200"/>
      <c r="U72" s="200"/>
      <c r="V72" s="4"/>
      <c r="W72" s="4"/>
      <c r="X72" s="4"/>
      <c r="Y72" s="4"/>
      <c r="Z72" s="4"/>
      <c r="AA72" s="200"/>
      <c r="AB72" s="200"/>
      <c r="AC72" s="4"/>
      <c r="AD72" s="4"/>
      <c r="AE72" s="4"/>
      <c r="AF72" s="4"/>
      <c r="AG72" s="4"/>
      <c r="AH72" s="200"/>
      <c r="AJ72" s="71">
        <f t="shared" si="13"/>
        <v>0</v>
      </c>
    </row>
    <row r="73" spans="2:36" hidden="1" outlineLevel="1" x14ac:dyDescent="0.25">
      <c r="B73" s="151"/>
      <c r="C73" s="54" t="s">
        <v>77</v>
      </c>
      <c r="D73" s="5"/>
      <c r="E73" s="5"/>
      <c r="F73" s="200"/>
      <c r="G73" s="200"/>
      <c r="H73" s="5"/>
      <c r="I73" s="5"/>
      <c r="J73" s="5"/>
      <c r="K73" s="5"/>
      <c r="L73" s="5"/>
      <c r="M73" s="200"/>
      <c r="N73" s="200"/>
      <c r="O73" s="5"/>
      <c r="P73" s="5"/>
      <c r="Q73" s="5"/>
      <c r="R73" s="5"/>
      <c r="S73" s="5"/>
      <c r="T73" s="200"/>
      <c r="U73" s="200"/>
      <c r="V73" s="5"/>
      <c r="W73" s="5"/>
      <c r="X73" s="5"/>
      <c r="Y73" s="5"/>
      <c r="Z73" s="5"/>
      <c r="AA73" s="200"/>
      <c r="AB73" s="200"/>
      <c r="AC73" s="5"/>
      <c r="AD73" s="5"/>
      <c r="AE73" s="5"/>
      <c r="AF73" s="5"/>
      <c r="AG73" s="5"/>
      <c r="AH73" s="200"/>
      <c r="AJ73" s="72">
        <f t="shared" si="13"/>
        <v>0</v>
      </c>
    </row>
    <row r="74" spans="2:36" ht="15.75" hidden="1" outlineLevel="1" thickBot="1" x14ac:dyDescent="0.3">
      <c r="B74" s="151"/>
      <c r="C74" s="9" t="s">
        <v>3</v>
      </c>
      <c r="D74" s="8"/>
      <c r="E74" s="8"/>
      <c r="F74" s="201"/>
      <c r="G74" s="201"/>
      <c r="H74" s="8"/>
      <c r="I74" s="8"/>
      <c r="J74" s="8"/>
      <c r="K74" s="8"/>
      <c r="L74" s="8"/>
      <c r="M74" s="201"/>
      <c r="N74" s="201"/>
      <c r="O74" s="8"/>
      <c r="P74" s="8"/>
      <c r="Q74" s="8"/>
      <c r="R74" s="8"/>
      <c r="S74" s="8"/>
      <c r="T74" s="201"/>
      <c r="U74" s="201"/>
      <c r="V74" s="8"/>
      <c r="W74" s="8"/>
      <c r="X74" s="8"/>
      <c r="Y74" s="8"/>
      <c r="Z74" s="8"/>
      <c r="AA74" s="201"/>
      <c r="AB74" s="201"/>
      <c r="AC74" s="8"/>
      <c r="AD74" s="8"/>
      <c r="AE74" s="8"/>
      <c r="AF74" s="8"/>
      <c r="AG74" s="8"/>
      <c r="AH74" s="201"/>
      <c r="AI74" s="7"/>
      <c r="AJ74" s="69">
        <f t="shared" si="13"/>
        <v>0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2"/>
      <c r="E75" s="2"/>
      <c r="F75" s="200"/>
      <c r="G75" s="200"/>
      <c r="H75" s="2"/>
      <c r="I75" s="2"/>
      <c r="J75" s="2"/>
      <c r="K75" s="2"/>
      <c r="L75" s="2"/>
      <c r="M75" s="200"/>
      <c r="N75" s="200"/>
      <c r="O75" s="2"/>
      <c r="P75" s="2"/>
      <c r="Q75" s="2"/>
      <c r="R75" s="2"/>
      <c r="S75" s="2"/>
      <c r="T75" s="200"/>
      <c r="U75" s="200"/>
      <c r="V75" s="2"/>
      <c r="W75" s="2"/>
      <c r="X75" s="2"/>
      <c r="Y75" s="2"/>
      <c r="Z75" s="2"/>
      <c r="AA75" s="200"/>
      <c r="AB75" s="200"/>
      <c r="AC75" s="2"/>
      <c r="AD75" s="2"/>
      <c r="AE75" s="2"/>
      <c r="AF75" s="2"/>
      <c r="AG75" s="2"/>
      <c r="AH75" s="200"/>
      <c r="AJ75" s="64">
        <f>SUM(D75:AH75)</f>
        <v>0</v>
      </c>
    </row>
    <row r="76" spans="2:36" ht="15.75" hidden="1" outlineLevel="1" thickTop="1" x14ac:dyDescent="0.25">
      <c r="B76" s="150"/>
      <c r="C76" s="1" t="s">
        <v>1</v>
      </c>
      <c r="D76" s="3"/>
      <c r="E76" s="3"/>
      <c r="F76" s="200"/>
      <c r="G76" s="200"/>
      <c r="H76" s="3"/>
      <c r="I76" s="3"/>
      <c r="J76" s="3"/>
      <c r="K76" s="3"/>
      <c r="L76" s="3"/>
      <c r="M76" s="200"/>
      <c r="N76" s="200"/>
      <c r="O76" s="3"/>
      <c r="P76" s="3"/>
      <c r="Q76" s="3"/>
      <c r="R76" s="3"/>
      <c r="S76" s="3"/>
      <c r="T76" s="200"/>
      <c r="U76" s="200"/>
      <c r="V76" s="3"/>
      <c r="W76" s="3"/>
      <c r="X76" s="3"/>
      <c r="Y76" s="3"/>
      <c r="Z76" s="3"/>
      <c r="AA76" s="200"/>
      <c r="AB76" s="200"/>
      <c r="AC76" s="3"/>
      <c r="AD76" s="3"/>
      <c r="AE76" s="3"/>
      <c r="AF76" s="3"/>
      <c r="AG76" s="3"/>
      <c r="AH76" s="200"/>
      <c r="AJ76" s="70">
        <f t="shared" ref="AJ76:AJ79" si="14">SUM(D76:AH76)</f>
        <v>0</v>
      </c>
    </row>
    <row r="77" spans="2:36" hidden="1" outlineLevel="1" x14ac:dyDescent="0.25">
      <c r="B77" s="151"/>
      <c r="C77" s="1" t="s">
        <v>2</v>
      </c>
      <c r="D77" s="4"/>
      <c r="E77" s="4"/>
      <c r="F77" s="200"/>
      <c r="G77" s="200"/>
      <c r="H77" s="4"/>
      <c r="I77" s="4"/>
      <c r="J77" s="4"/>
      <c r="K77" s="4"/>
      <c r="L77" s="4"/>
      <c r="M77" s="200"/>
      <c r="N77" s="200"/>
      <c r="O77" s="4"/>
      <c r="P77" s="4"/>
      <c r="Q77" s="4"/>
      <c r="R77" s="4"/>
      <c r="S77" s="4"/>
      <c r="T77" s="200"/>
      <c r="U77" s="200"/>
      <c r="V77" s="4"/>
      <c r="W77" s="4"/>
      <c r="X77" s="4"/>
      <c r="Y77" s="4"/>
      <c r="Z77" s="4"/>
      <c r="AA77" s="200"/>
      <c r="AB77" s="200"/>
      <c r="AC77" s="4"/>
      <c r="AD77" s="4"/>
      <c r="AE77" s="4"/>
      <c r="AF77" s="4"/>
      <c r="AG77" s="4"/>
      <c r="AH77" s="200"/>
      <c r="AJ77" s="71">
        <f t="shared" si="14"/>
        <v>0</v>
      </c>
    </row>
    <row r="78" spans="2:36" hidden="1" outlineLevel="1" x14ac:dyDescent="0.25">
      <c r="B78" s="151"/>
      <c r="C78" s="54" t="s">
        <v>77</v>
      </c>
      <c r="D78" s="5"/>
      <c r="E78" s="5"/>
      <c r="F78" s="200"/>
      <c r="G78" s="200"/>
      <c r="H78" s="5"/>
      <c r="I78" s="5"/>
      <c r="J78" s="5"/>
      <c r="K78" s="5"/>
      <c r="L78" s="5"/>
      <c r="M78" s="200"/>
      <c r="N78" s="200"/>
      <c r="O78" s="5"/>
      <c r="P78" s="5"/>
      <c r="Q78" s="5"/>
      <c r="R78" s="5"/>
      <c r="S78" s="5"/>
      <c r="T78" s="200"/>
      <c r="U78" s="200"/>
      <c r="V78" s="5"/>
      <c r="W78" s="5"/>
      <c r="X78" s="5"/>
      <c r="Y78" s="5"/>
      <c r="Z78" s="5"/>
      <c r="AA78" s="200"/>
      <c r="AB78" s="200"/>
      <c r="AC78" s="5"/>
      <c r="AD78" s="5"/>
      <c r="AE78" s="5"/>
      <c r="AF78" s="5"/>
      <c r="AG78" s="5"/>
      <c r="AH78" s="200"/>
      <c r="AJ78" s="72">
        <f t="shared" si="14"/>
        <v>0</v>
      </c>
    </row>
    <row r="79" spans="2:36" ht="15.75" hidden="1" outlineLevel="1" thickBot="1" x14ac:dyDescent="0.3">
      <c r="B79" s="151"/>
      <c r="C79" s="9" t="s">
        <v>3</v>
      </c>
      <c r="D79" s="8"/>
      <c r="E79" s="8"/>
      <c r="F79" s="201"/>
      <c r="G79" s="201"/>
      <c r="H79" s="8"/>
      <c r="I79" s="8"/>
      <c r="J79" s="8"/>
      <c r="K79" s="8"/>
      <c r="L79" s="8"/>
      <c r="M79" s="201"/>
      <c r="N79" s="201"/>
      <c r="O79" s="8"/>
      <c r="P79" s="8"/>
      <c r="Q79" s="8"/>
      <c r="R79" s="8"/>
      <c r="S79" s="8"/>
      <c r="T79" s="201"/>
      <c r="U79" s="201"/>
      <c r="V79" s="8"/>
      <c r="W79" s="8"/>
      <c r="X79" s="8"/>
      <c r="Y79" s="8"/>
      <c r="Z79" s="8"/>
      <c r="AA79" s="201"/>
      <c r="AB79" s="201"/>
      <c r="AC79" s="8"/>
      <c r="AD79" s="8"/>
      <c r="AE79" s="8"/>
      <c r="AF79" s="8"/>
      <c r="AG79" s="8"/>
      <c r="AH79" s="201"/>
      <c r="AI79" s="7"/>
      <c r="AJ79" s="69">
        <f t="shared" si="14"/>
        <v>0</v>
      </c>
    </row>
    <row r="80" spans="2:36" ht="16.5" hidden="1" collapsed="1" thickTop="1" thickBot="1" x14ac:dyDescent="0.3">
      <c r="B80" s="253" t="str">
        <f>'Hours Scheduled'!B19</f>
        <v>Loek Moling</v>
      </c>
      <c r="C80" t="s">
        <v>0</v>
      </c>
      <c r="D80" s="2"/>
      <c r="E80" s="2"/>
      <c r="F80" s="200"/>
      <c r="G80" s="200"/>
      <c r="H80" s="2"/>
      <c r="I80" s="2"/>
      <c r="J80" s="2"/>
      <c r="K80" s="2"/>
      <c r="L80" s="2"/>
      <c r="M80" s="200"/>
      <c r="N80" s="200"/>
      <c r="O80" s="2"/>
      <c r="P80" s="2"/>
      <c r="Q80" s="2"/>
      <c r="R80" s="2"/>
      <c r="S80" s="2"/>
      <c r="T80" s="200"/>
      <c r="U80" s="200"/>
      <c r="V80" s="2"/>
      <c r="W80" s="2"/>
      <c r="X80" s="2"/>
      <c r="Y80" s="2"/>
      <c r="Z80" s="2"/>
      <c r="AA80" s="200"/>
      <c r="AB80" s="200"/>
      <c r="AC80" s="2"/>
      <c r="AD80" s="2"/>
      <c r="AE80" s="2"/>
      <c r="AF80" s="2"/>
      <c r="AG80" s="2"/>
      <c r="AH80" s="200"/>
      <c r="AJ80" s="64">
        <f>SUM(D80:AH80)</f>
        <v>0</v>
      </c>
    </row>
    <row r="81" spans="2:36" ht="15.75" hidden="1" outlineLevel="1" thickTop="1" x14ac:dyDescent="0.25">
      <c r="B81" s="150"/>
      <c r="C81" s="1" t="s">
        <v>1</v>
      </c>
      <c r="D81" s="3"/>
      <c r="E81" s="3"/>
      <c r="F81" s="200"/>
      <c r="G81" s="200"/>
      <c r="H81" s="3"/>
      <c r="I81" s="3"/>
      <c r="J81" s="3"/>
      <c r="K81" s="3"/>
      <c r="L81" s="3"/>
      <c r="M81" s="200"/>
      <c r="N81" s="200"/>
      <c r="O81" s="3"/>
      <c r="P81" s="3"/>
      <c r="Q81" s="3"/>
      <c r="R81" s="3"/>
      <c r="S81" s="3"/>
      <c r="T81" s="200"/>
      <c r="U81" s="200"/>
      <c r="V81" s="3"/>
      <c r="W81" s="3"/>
      <c r="X81" s="3"/>
      <c r="Y81" s="3"/>
      <c r="Z81" s="3"/>
      <c r="AA81" s="200"/>
      <c r="AB81" s="200"/>
      <c r="AC81" s="3"/>
      <c r="AD81" s="3"/>
      <c r="AE81" s="3"/>
      <c r="AF81" s="3"/>
      <c r="AG81" s="3"/>
      <c r="AH81" s="200"/>
      <c r="AJ81" s="70">
        <f t="shared" ref="AJ81:AJ84" si="15">SUM(D81:AH81)</f>
        <v>0</v>
      </c>
    </row>
    <row r="82" spans="2:36" hidden="1" outlineLevel="1" x14ac:dyDescent="0.25">
      <c r="B82" s="151"/>
      <c r="C82" s="1" t="s">
        <v>2</v>
      </c>
      <c r="D82" s="4"/>
      <c r="E82" s="4"/>
      <c r="F82" s="200"/>
      <c r="G82" s="200"/>
      <c r="H82" s="4"/>
      <c r="I82" s="4"/>
      <c r="J82" s="4"/>
      <c r="K82" s="4"/>
      <c r="L82" s="4"/>
      <c r="M82" s="200"/>
      <c r="N82" s="200"/>
      <c r="O82" s="4"/>
      <c r="P82" s="4"/>
      <c r="Q82" s="4"/>
      <c r="R82" s="4"/>
      <c r="S82" s="4"/>
      <c r="T82" s="200"/>
      <c r="U82" s="200"/>
      <c r="V82" s="4"/>
      <c r="W82" s="4"/>
      <c r="X82" s="4"/>
      <c r="Y82" s="4"/>
      <c r="Z82" s="4"/>
      <c r="AA82" s="200"/>
      <c r="AB82" s="200"/>
      <c r="AC82" s="4"/>
      <c r="AD82" s="4"/>
      <c r="AE82" s="4"/>
      <c r="AF82" s="4"/>
      <c r="AG82" s="4"/>
      <c r="AH82" s="200"/>
      <c r="AJ82" s="71">
        <f t="shared" si="15"/>
        <v>0</v>
      </c>
    </row>
    <row r="83" spans="2:36" hidden="1" outlineLevel="1" x14ac:dyDescent="0.25">
      <c r="B83" s="151"/>
      <c r="C83" s="54" t="s">
        <v>77</v>
      </c>
      <c r="D83" s="5"/>
      <c r="E83" s="5"/>
      <c r="F83" s="200"/>
      <c r="G83" s="200"/>
      <c r="H83" s="5"/>
      <c r="I83" s="5"/>
      <c r="J83" s="5"/>
      <c r="K83" s="5"/>
      <c r="L83" s="5"/>
      <c r="M83" s="200"/>
      <c r="N83" s="200"/>
      <c r="O83" s="5"/>
      <c r="P83" s="5"/>
      <c r="Q83" s="5"/>
      <c r="R83" s="5"/>
      <c r="S83" s="5"/>
      <c r="T83" s="200"/>
      <c r="U83" s="200"/>
      <c r="V83" s="5"/>
      <c r="W83" s="5"/>
      <c r="X83" s="5"/>
      <c r="Y83" s="5"/>
      <c r="Z83" s="5"/>
      <c r="AA83" s="200"/>
      <c r="AB83" s="200"/>
      <c r="AC83" s="5"/>
      <c r="AD83" s="5"/>
      <c r="AE83" s="5"/>
      <c r="AF83" s="5"/>
      <c r="AG83" s="5"/>
      <c r="AH83" s="200"/>
      <c r="AJ83" s="72">
        <f t="shared" si="15"/>
        <v>0</v>
      </c>
    </row>
    <row r="84" spans="2:36" ht="15.75" hidden="1" outlineLevel="1" thickBot="1" x14ac:dyDescent="0.3">
      <c r="B84" s="151"/>
      <c r="C84" s="9" t="s">
        <v>3</v>
      </c>
      <c r="D84" s="8"/>
      <c r="E84" s="8"/>
      <c r="F84" s="201"/>
      <c r="G84" s="201"/>
      <c r="H84" s="8"/>
      <c r="I84" s="8"/>
      <c r="J84" s="8"/>
      <c r="K84" s="8"/>
      <c r="L84" s="8"/>
      <c r="M84" s="201"/>
      <c r="N84" s="201"/>
      <c r="O84" s="8"/>
      <c r="P84" s="8"/>
      <c r="Q84" s="8"/>
      <c r="R84" s="8"/>
      <c r="S84" s="8"/>
      <c r="T84" s="201"/>
      <c r="U84" s="201"/>
      <c r="V84" s="8"/>
      <c r="W84" s="8"/>
      <c r="X84" s="8"/>
      <c r="Y84" s="8"/>
      <c r="Z84" s="8"/>
      <c r="AA84" s="201"/>
      <c r="AB84" s="201"/>
      <c r="AC84" s="8"/>
      <c r="AD84" s="8"/>
      <c r="AE84" s="8"/>
      <c r="AF84" s="8"/>
      <c r="AG84" s="8"/>
      <c r="AH84" s="201"/>
      <c r="AI84" s="7"/>
      <c r="AJ84" s="69">
        <f t="shared" si="15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2"/>
      <c r="E85" s="2"/>
      <c r="F85" s="200"/>
      <c r="G85" s="200"/>
      <c r="H85" s="2"/>
      <c r="I85" s="2"/>
      <c r="J85" s="2"/>
      <c r="K85" s="2"/>
      <c r="L85" s="2"/>
      <c r="M85" s="200"/>
      <c r="N85" s="200"/>
      <c r="O85" s="2"/>
      <c r="P85" s="2"/>
      <c r="Q85" s="2"/>
      <c r="R85" s="2"/>
      <c r="S85" s="2"/>
      <c r="T85" s="200"/>
      <c r="U85" s="200"/>
      <c r="V85" s="2"/>
      <c r="W85" s="2"/>
      <c r="X85" s="2"/>
      <c r="Y85" s="2"/>
      <c r="Z85" s="2"/>
      <c r="AA85" s="200"/>
      <c r="AB85" s="200"/>
      <c r="AC85" s="2"/>
      <c r="AD85" s="2"/>
      <c r="AE85" s="2"/>
      <c r="AF85" s="2"/>
      <c r="AG85" s="2"/>
      <c r="AH85" s="200"/>
      <c r="AJ85" s="64">
        <f>SUM(D85:AH85)</f>
        <v>0</v>
      </c>
    </row>
    <row r="86" spans="2:36" ht="15.75" hidden="1" outlineLevel="1" thickTop="1" x14ac:dyDescent="0.25">
      <c r="B86" s="150"/>
      <c r="C86" s="1" t="s">
        <v>1</v>
      </c>
      <c r="D86" s="3"/>
      <c r="E86" s="3"/>
      <c r="F86" s="200"/>
      <c r="G86" s="200"/>
      <c r="H86" s="3"/>
      <c r="I86" s="3"/>
      <c r="J86" s="3"/>
      <c r="K86" s="3"/>
      <c r="L86" s="3"/>
      <c r="M86" s="200"/>
      <c r="N86" s="200"/>
      <c r="O86" s="3"/>
      <c r="P86" s="3"/>
      <c r="Q86" s="3"/>
      <c r="R86" s="3"/>
      <c r="S86" s="3"/>
      <c r="T86" s="200"/>
      <c r="U86" s="200"/>
      <c r="V86" s="3"/>
      <c r="W86" s="3"/>
      <c r="X86" s="3"/>
      <c r="Y86" s="3"/>
      <c r="Z86" s="3"/>
      <c r="AA86" s="200"/>
      <c r="AB86" s="200"/>
      <c r="AC86" s="3"/>
      <c r="AD86" s="3"/>
      <c r="AE86" s="3"/>
      <c r="AF86" s="3"/>
      <c r="AG86" s="3"/>
      <c r="AH86" s="200"/>
      <c r="AJ86" s="70">
        <f t="shared" ref="AJ86:AJ89" si="16">SUM(D86:AH86)</f>
        <v>0</v>
      </c>
    </row>
    <row r="87" spans="2:36" hidden="1" outlineLevel="1" x14ac:dyDescent="0.25">
      <c r="B87" s="151"/>
      <c r="C87" s="1" t="s">
        <v>2</v>
      </c>
      <c r="D87" s="4"/>
      <c r="E87" s="4"/>
      <c r="F87" s="200"/>
      <c r="G87" s="200"/>
      <c r="H87" s="4"/>
      <c r="I87" s="4"/>
      <c r="J87" s="4"/>
      <c r="K87" s="4"/>
      <c r="L87" s="4"/>
      <c r="M87" s="200"/>
      <c r="N87" s="200"/>
      <c r="O87" s="4"/>
      <c r="P87" s="4"/>
      <c r="Q87" s="4"/>
      <c r="R87" s="4"/>
      <c r="S87" s="4"/>
      <c r="T87" s="200"/>
      <c r="U87" s="200"/>
      <c r="V87" s="4"/>
      <c r="W87" s="4"/>
      <c r="X87" s="4"/>
      <c r="Y87" s="4"/>
      <c r="Z87" s="4"/>
      <c r="AA87" s="200"/>
      <c r="AB87" s="200"/>
      <c r="AC87" s="4"/>
      <c r="AD87" s="4"/>
      <c r="AE87" s="4"/>
      <c r="AF87" s="4"/>
      <c r="AG87" s="4"/>
      <c r="AH87" s="200"/>
      <c r="AJ87" s="71">
        <f t="shared" si="16"/>
        <v>0</v>
      </c>
    </row>
    <row r="88" spans="2:36" hidden="1" outlineLevel="1" x14ac:dyDescent="0.25">
      <c r="B88" s="151"/>
      <c r="C88" s="54" t="s">
        <v>77</v>
      </c>
      <c r="D88" s="5"/>
      <c r="E88" s="5"/>
      <c r="F88" s="200"/>
      <c r="G88" s="200"/>
      <c r="H88" s="5"/>
      <c r="I88" s="5"/>
      <c r="J88" s="5"/>
      <c r="K88" s="5"/>
      <c r="L88" s="5"/>
      <c r="M88" s="200"/>
      <c r="N88" s="200"/>
      <c r="O88" s="5"/>
      <c r="P88" s="5"/>
      <c r="Q88" s="5"/>
      <c r="R88" s="5"/>
      <c r="S88" s="5"/>
      <c r="T88" s="200"/>
      <c r="U88" s="200"/>
      <c r="V88" s="5"/>
      <c r="W88" s="5"/>
      <c r="X88" s="5"/>
      <c r="Y88" s="5"/>
      <c r="Z88" s="5"/>
      <c r="AA88" s="200"/>
      <c r="AB88" s="200"/>
      <c r="AC88" s="5"/>
      <c r="AD88" s="5"/>
      <c r="AE88" s="5"/>
      <c r="AF88" s="5"/>
      <c r="AG88" s="5"/>
      <c r="AH88" s="200"/>
      <c r="AJ88" s="72">
        <f t="shared" si="16"/>
        <v>0</v>
      </c>
    </row>
    <row r="89" spans="2:36" ht="15.75" hidden="1" outlineLevel="1" thickBot="1" x14ac:dyDescent="0.3">
      <c r="B89" s="151"/>
      <c r="C89" s="9" t="s">
        <v>3</v>
      </c>
      <c r="D89" s="8"/>
      <c r="E89" s="8"/>
      <c r="F89" s="201"/>
      <c r="G89" s="201"/>
      <c r="H89" s="8"/>
      <c r="I89" s="8"/>
      <c r="J89" s="8"/>
      <c r="K89" s="8"/>
      <c r="L89" s="8"/>
      <c r="M89" s="201"/>
      <c r="N89" s="201"/>
      <c r="O89" s="8"/>
      <c r="P89" s="8"/>
      <c r="Q89" s="8"/>
      <c r="R89" s="8"/>
      <c r="S89" s="8"/>
      <c r="T89" s="201"/>
      <c r="U89" s="201"/>
      <c r="V89" s="8"/>
      <c r="W89" s="8"/>
      <c r="X89" s="8"/>
      <c r="Y89" s="8"/>
      <c r="Z89" s="8"/>
      <c r="AA89" s="201"/>
      <c r="AB89" s="201"/>
      <c r="AC89" s="8"/>
      <c r="AD89" s="8"/>
      <c r="AE89" s="8"/>
      <c r="AF89" s="8"/>
      <c r="AG89" s="8"/>
      <c r="AH89" s="201"/>
      <c r="AI89" s="7"/>
      <c r="AJ89" s="69">
        <f t="shared" si="16"/>
        <v>0</v>
      </c>
    </row>
    <row r="90" spans="2:36" ht="16.5" hidden="1" collapsed="1" thickTop="1" thickBot="1" x14ac:dyDescent="0.3">
      <c r="B90" s="253" t="str">
        <f>'Hours Scheduled'!B21</f>
        <v>Manuel Sperti</v>
      </c>
      <c r="C90" t="s">
        <v>0</v>
      </c>
      <c r="D90" s="2"/>
      <c r="E90" s="2"/>
      <c r="F90" s="200"/>
      <c r="G90" s="200"/>
      <c r="H90" s="2"/>
      <c r="I90" s="2"/>
      <c r="J90" s="2"/>
      <c r="K90" s="2"/>
      <c r="L90" s="2"/>
      <c r="M90" s="200"/>
      <c r="N90" s="200"/>
      <c r="O90" s="2"/>
      <c r="P90" s="2"/>
      <c r="Q90" s="2"/>
      <c r="R90" s="2"/>
      <c r="S90" s="2"/>
      <c r="T90" s="200"/>
      <c r="U90" s="200"/>
      <c r="V90" s="2"/>
      <c r="W90" s="2"/>
      <c r="X90" s="2"/>
      <c r="Y90" s="2"/>
      <c r="Z90" s="2"/>
      <c r="AA90" s="200"/>
      <c r="AB90" s="200"/>
      <c r="AC90" s="2"/>
      <c r="AD90" s="2"/>
      <c r="AE90" s="2"/>
      <c r="AF90" s="2"/>
      <c r="AG90" s="2"/>
      <c r="AH90" s="200"/>
      <c r="AJ90" s="64">
        <f>SUM(D90:AH90)</f>
        <v>0</v>
      </c>
    </row>
    <row r="91" spans="2:36" ht="15.75" hidden="1" outlineLevel="1" thickTop="1" x14ac:dyDescent="0.25">
      <c r="B91" s="150"/>
      <c r="C91" s="1" t="s">
        <v>1</v>
      </c>
      <c r="D91" s="3"/>
      <c r="E91" s="3"/>
      <c r="F91" s="200"/>
      <c r="G91" s="200"/>
      <c r="H91" s="3"/>
      <c r="I91" s="3"/>
      <c r="J91" s="3"/>
      <c r="K91" s="3"/>
      <c r="L91" s="3"/>
      <c r="M91" s="200"/>
      <c r="N91" s="200"/>
      <c r="O91" s="3"/>
      <c r="P91" s="3"/>
      <c r="Q91" s="3"/>
      <c r="R91" s="3"/>
      <c r="S91" s="3"/>
      <c r="T91" s="200"/>
      <c r="U91" s="200"/>
      <c r="V91" s="3"/>
      <c r="W91" s="3"/>
      <c r="X91" s="3"/>
      <c r="Y91" s="3"/>
      <c r="Z91" s="3"/>
      <c r="AA91" s="200"/>
      <c r="AB91" s="200"/>
      <c r="AC91" s="3"/>
      <c r="AD91" s="3"/>
      <c r="AE91" s="3"/>
      <c r="AF91" s="3"/>
      <c r="AG91" s="3"/>
      <c r="AH91" s="200"/>
      <c r="AJ91" s="70">
        <f t="shared" ref="AJ91:AJ94" si="17">SUM(D91:AH91)</f>
        <v>0</v>
      </c>
    </row>
    <row r="92" spans="2:36" hidden="1" outlineLevel="1" x14ac:dyDescent="0.25">
      <c r="B92" s="151"/>
      <c r="C92" s="1" t="s">
        <v>2</v>
      </c>
      <c r="D92" s="4"/>
      <c r="E92" s="4"/>
      <c r="F92" s="200"/>
      <c r="G92" s="200"/>
      <c r="H92" s="4"/>
      <c r="I92" s="4"/>
      <c r="J92" s="4"/>
      <c r="K92" s="4"/>
      <c r="L92" s="4"/>
      <c r="M92" s="200"/>
      <c r="N92" s="200"/>
      <c r="O92" s="4"/>
      <c r="P92" s="4"/>
      <c r="Q92" s="4"/>
      <c r="R92" s="4"/>
      <c r="S92" s="4"/>
      <c r="T92" s="200"/>
      <c r="U92" s="200"/>
      <c r="V92" s="4"/>
      <c r="W92" s="4"/>
      <c r="X92" s="4"/>
      <c r="Y92" s="4"/>
      <c r="Z92" s="4"/>
      <c r="AA92" s="200"/>
      <c r="AB92" s="200"/>
      <c r="AC92" s="4"/>
      <c r="AD92" s="4"/>
      <c r="AE92" s="4"/>
      <c r="AF92" s="4"/>
      <c r="AG92" s="4"/>
      <c r="AH92" s="200"/>
      <c r="AJ92" s="71">
        <f t="shared" si="17"/>
        <v>0</v>
      </c>
    </row>
    <row r="93" spans="2:36" hidden="1" outlineLevel="1" x14ac:dyDescent="0.25">
      <c r="B93" s="151"/>
      <c r="C93" s="54" t="s">
        <v>77</v>
      </c>
      <c r="D93" s="5"/>
      <c r="E93" s="5"/>
      <c r="F93" s="200"/>
      <c r="G93" s="200"/>
      <c r="H93" s="5"/>
      <c r="I93" s="5"/>
      <c r="J93" s="5"/>
      <c r="K93" s="5"/>
      <c r="L93" s="5"/>
      <c r="M93" s="200"/>
      <c r="N93" s="200"/>
      <c r="O93" s="5"/>
      <c r="P93" s="5"/>
      <c r="Q93" s="5"/>
      <c r="R93" s="5"/>
      <c r="S93" s="5"/>
      <c r="T93" s="200"/>
      <c r="U93" s="200"/>
      <c r="V93" s="5"/>
      <c r="W93" s="5"/>
      <c r="X93" s="5"/>
      <c r="Y93" s="5"/>
      <c r="Z93" s="5"/>
      <c r="AA93" s="200"/>
      <c r="AB93" s="200"/>
      <c r="AC93" s="5"/>
      <c r="AD93" s="5"/>
      <c r="AE93" s="5"/>
      <c r="AF93" s="5"/>
      <c r="AG93" s="5"/>
      <c r="AH93" s="200"/>
      <c r="AJ93" s="72">
        <f t="shared" si="17"/>
        <v>0</v>
      </c>
    </row>
    <row r="94" spans="2:36" ht="15.75" hidden="1" outlineLevel="1" thickBot="1" x14ac:dyDescent="0.3">
      <c r="B94" s="151"/>
      <c r="C94" s="9" t="s">
        <v>3</v>
      </c>
      <c r="D94" s="8"/>
      <c r="E94" s="8"/>
      <c r="F94" s="201"/>
      <c r="G94" s="201"/>
      <c r="H94" s="8"/>
      <c r="I94" s="8"/>
      <c r="J94" s="8"/>
      <c r="K94" s="8"/>
      <c r="L94" s="8"/>
      <c r="M94" s="201"/>
      <c r="N94" s="201"/>
      <c r="O94" s="8"/>
      <c r="P94" s="8"/>
      <c r="Q94" s="8"/>
      <c r="R94" s="8"/>
      <c r="S94" s="8"/>
      <c r="T94" s="201"/>
      <c r="U94" s="201"/>
      <c r="V94" s="8"/>
      <c r="W94" s="8"/>
      <c r="X94" s="8"/>
      <c r="Y94" s="8"/>
      <c r="Z94" s="8"/>
      <c r="AA94" s="201"/>
      <c r="AB94" s="201"/>
      <c r="AC94" s="8"/>
      <c r="AD94" s="8"/>
      <c r="AE94" s="8"/>
      <c r="AF94" s="8"/>
      <c r="AG94" s="8"/>
      <c r="AH94" s="201"/>
      <c r="AI94" s="7"/>
      <c r="AJ94" s="69">
        <f t="shared" si="17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2"/>
      <c r="E95" s="2"/>
      <c r="F95" s="200"/>
      <c r="G95" s="200"/>
      <c r="H95" s="2">
        <v>8</v>
      </c>
      <c r="I95" s="2">
        <v>8</v>
      </c>
      <c r="J95" s="2">
        <v>8</v>
      </c>
      <c r="K95" s="2">
        <v>8</v>
      </c>
      <c r="L95" s="2">
        <v>8</v>
      </c>
      <c r="M95" s="200"/>
      <c r="N95" s="200"/>
      <c r="O95" s="2">
        <v>8</v>
      </c>
      <c r="P95" s="2">
        <v>8</v>
      </c>
      <c r="Q95" s="2">
        <v>8</v>
      </c>
      <c r="R95" s="2">
        <v>8</v>
      </c>
      <c r="S95" s="2">
        <v>8</v>
      </c>
      <c r="T95" s="200"/>
      <c r="U95" s="200"/>
      <c r="V95" s="2">
        <v>6</v>
      </c>
      <c r="W95" s="2"/>
      <c r="X95" s="2"/>
      <c r="Y95" s="2"/>
      <c r="Z95" s="2"/>
      <c r="AA95" s="200"/>
      <c r="AB95" s="200"/>
      <c r="AC95" s="2"/>
      <c r="AD95" s="2"/>
      <c r="AE95" s="2"/>
      <c r="AF95" s="2"/>
      <c r="AG95" s="2"/>
      <c r="AH95" s="200"/>
      <c r="AJ95" s="64">
        <f>SUM(D95:AH95)</f>
        <v>86</v>
      </c>
    </row>
    <row r="96" spans="2:36" ht="15.75" hidden="1" outlineLevel="1" thickTop="1" x14ac:dyDescent="0.25">
      <c r="B96" s="150"/>
      <c r="C96" s="1" t="s">
        <v>1</v>
      </c>
      <c r="D96" s="3"/>
      <c r="E96" s="3"/>
      <c r="F96" s="200"/>
      <c r="G96" s="200"/>
      <c r="H96" s="3"/>
      <c r="I96" s="3"/>
      <c r="J96" s="3"/>
      <c r="K96" s="3"/>
      <c r="L96" s="3"/>
      <c r="M96" s="200"/>
      <c r="N96" s="200"/>
      <c r="O96" s="3"/>
      <c r="P96" s="3"/>
      <c r="Q96" s="3"/>
      <c r="R96" s="3"/>
      <c r="S96" s="3"/>
      <c r="T96" s="200"/>
      <c r="U96" s="200"/>
      <c r="V96" s="3"/>
      <c r="W96" s="3"/>
      <c r="X96" s="3"/>
      <c r="Y96" s="3"/>
      <c r="Z96" s="3"/>
      <c r="AA96" s="200"/>
      <c r="AB96" s="200"/>
      <c r="AC96" s="3"/>
      <c r="AD96" s="3"/>
      <c r="AE96" s="3"/>
      <c r="AF96" s="3"/>
      <c r="AG96" s="3"/>
      <c r="AH96" s="200"/>
      <c r="AJ96" s="70">
        <f t="shared" ref="AJ96:AJ99" si="18">SUM(D96:AH96)</f>
        <v>0</v>
      </c>
    </row>
    <row r="97" spans="2:36" hidden="1" outlineLevel="1" x14ac:dyDescent="0.25">
      <c r="B97" s="151"/>
      <c r="C97" s="1" t="s">
        <v>2</v>
      </c>
      <c r="D97" s="4"/>
      <c r="E97" s="4"/>
      <c r="F97" s="200"/>
      <c r="G97" s="200"/>
      <c r="H97" s="4"/>
      <c r="I97" s="4"/>
      <c r="J97" s="4"/>
      <c r="K97" s="4"/>
      <c r="L97" s="4"/>
      <c r="M97" s="200"/>
      <c r="N97" s="200"/>
      <c r="O97" s="4"/>
      <c r="P97" s="4"/>
      <c r="Q97" s="4"/>
      <c r="R97" s="4"/>
      <c r="S97" s="4"/>
      <c r="T97" s="200"/>
      <c r="U97" s="200"/>
      <c r="V97" s="4"/>
      <c r="W97" s="4"/>
      <c r="X97" s="4"/>
      <c r="Y97" s="4"/>
      <c r="Z97" s="4"/>
      <c r="AA97" s="200"/>
      <c r="AB97" s="200"/>
      <c r="AC97" s="4"/>
      <c r="AD97" s="4"/>
      <c r="AE97" s="4"/>
      <c r="AF97" s="4"/>
      <c r="AG97" s="4"/>
      <c r="AH97" s="200"/>
      <c r="AJ97" s="71">
        <f t="shared" si="18"/>
        <v>0</v>
      </c>
    </row>
    <row r="98" spans="2:36" hidden="1" outlineLevel="1" x14ac:dyDescent="0.25">
      <c r="B98" s="151"/>
      <c r="C98" s="54" t="s">
        <v>77</v>
      </c>
      <c r="D98" s="5"/>
      <c r="E98" s="5"/>
      <c r="F98" s="200"/>
      <c r="G98" s="200"/>
      <c r="H98" s="5"/>
      <c r="I98" s="5"/>
      <c r="J98" s="5"/>
      <c r="K98" s="5"/>
      <c r="L98" s="5"/>
      <c r="M98" s="200"/>
      <c r="N98" s="200"/>
      <c r="O98" s="5"/>
      <c r="P98" s="5"/>
      <c r="Q98" s="5"/>
      <c r="R98" s="5"/>
      <c r="S98" s="5"/>
      <c r="T98" s="200"/>
      <c r="U98" s="200"/>
      <c r="V98" s="5"/>
      <c r="W98" s="5"/>
      <c r="X98" s="5"/>
      <c r="Y98" s="5"/>
      <c r="Z98" s="5"/>
      <c r="AA98" s="200"/>
      <c r="AB98" s="200"/>
      <c r="AC98" s="5"/>
      <c r="AD98" s="5"/>
      <c r="AE98" s="5"/>
      <c r="AF98" s="5"/>
      <c r="AG98" s="5"/>
      <c r="AH98" s="200"/>
      <c r="AJ98" s="72">
        <f t="shared" si="18"/>
        <v>0</v>
      </c>
    </row>
    <row r="99" spans="2:36" ht="15.75" hidden="1" outlineLevel="1" thickBot="1" x14ac:dyDescent="0.3">
      <c r="B99" s="151"/>
      <c r="C99" s="9" t="s">
        <v>3</v>
      </c>
      <c r="D99" s="8"/>
      <c r="E99" s="8"/>
      <c r="F99" s="201"/>
      <c r="G99" s="201"/>
      <c r="H99" s="8"/>
      <c r="I99" s="8"/>
      <c r="J99" s="8"/>
      <c r="K99" s="8"/>
      <c r="L99" s="8"/>
      <c r="M99" s="201"/>
      <c r="N99" s="201"/>
      <c r="O99" s="8"/>
      <c r="P99" s="8"/>
      <c r="Q99" s="8"/>
      <c r="R99" s="8"/>
      <c r="S99" s="8"/>
      <c r="T99" s="201"/>
      <c r="U99" s="201"/>
      <c r="V99" s="8"/>
      <c r="W99" s="8"/>
      <c r="X99" s="8"/>
      <c r="Y99" s="8"/>
      <c r="Z99" s="8"/>
      <c r="AA99" s="201"/>
      <c r="AB99" s="201"/>
      <c r="AC99" s="8"/>
      <c r="AD99" s="8"/>
      <c r="AE99" s="8"/>
      <c r="AF99" s="8"/>
      <c r="AG99" s="8"/>
      <c r="AH99" s="201"/>
      <c r="AI99" s="7"/>
      <c r="AJ99" s="69">
        <f t="shared" si="18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2"/>
      <c r="E100" s="2"/>
      <c r="F100" s="200"/>
      <c r="G100" s="200"/>
      <c r="H100" s="2"/>
      <c r="I100" s="2"/>
      <c r="J100" s="2"/>
      <c r="K100" s="2"/>
      <c r="L100" s="2"/>
      <c r="M100" s="200"/>
      <c r="N100" s="200"/>
      <c r="O100" s="2"/>
      <c r="P100" s="2"/>
      <c r="Q100" s="2"/>
      <c r="R100" s="2"/>
      <c r="S100" s="2"/>
      <c r="T100" s="200"/>
      <c r="U100" s="200"/>
      <c r="V100" s="2">
        <v>8</v>
      </c>
      <c r="W100" s="2">
        <v>8</v>
      </c>
      <c r="X100" s="2">
        <v>8</v>
      </c>
      <c r="Y100" s="2">
        <v>8</v>
      </c>
      <c r="Z100" s="2">
        <v>8</v>
      </c>
      <c r="AA100" s="200"/>
      <c r="AB100" s="200"/>
      <c r="AC100" s="2">
        <v>8</v>
      </c>
      <c r="AD100" s="2">
        <v>8</v>
      </c>
      <c r="AE100" s="2">
        <v>8</v>
      </c>
      <c r="AF100" s="2">
        <v>8</v>
      </c>
      <c r="AG100" s="2">
        <v>8</v>
      </c>
      <c r="AH100" s="200"/>
      <c r="AJ100" s="64">
        <f>SUM(D100:AH100)</f>
        <v>80</v>
      </c>
    </row>
    <row r="101" spans="2:36" ht="15.75" hidden="1" outlineLevel="1" thickTop="1" x14ac:dyDescent="0.25">
      <c r="B101" s="150"/>
      <c r="C101" s="1" t="s">
        <v>1</v>
      </c>
      <c r="D101" s="3"/>
      <c r="E101" s="3"/>
      <c r="F101" s="200"/>
      <c r="G101" s="200"/>
      <c r="H101" s="3"/>
      <c r="I101" s="3"/>
      <c r="J101" s="3"/>
      <c r="K101" s="3"/>
      <c r="L101" s="3"/>
      <c r="M101" s="200"/>
      <c r="N101" s="200"/>
      <c r="O101" s="3"/>
      <c r="P101" s="3"/>
      <c r="Q101" s="3"/>
      <c r="R101" s="3"/>
      <c r="S101" s="3"/>
      <c r="T101" s="200"/>
      <c r="U101" s="200"/>
      <c r="V101" s="3"/>
      <c r="W101" s="3"/>
      <c r="X101" s="3"/>
      <c r="Y101" s="3"/>
      <c r="Z101" s="3"/>
      <c r="AA101" s="200"/>
      <c r="AB101" s="200"/>
      <c r="AC101" s="3"/>
      <c r="AD101" s="3"/>
      <c r="AE101" s="3"/>
      <c r="AF101" s="3"/>
      <c r="AG101" s="3"/>
      <c r="AH101" s="200"/>
      <c r="AJ101" s="70">
        <f t="shared" ref="AJ101:AJ104" si="19">SUM(D101:AH101)</f>
        <v>0</v>
      </c>
    </row>
    <row r="102" spans="2:36" hidden="1" outlineLevel="1" x14ac:dyDescent="0.25">
      <c r="B102" s="151"/>
      <c r="C102" s="1" t="s">
        <v>2</v>
      </c>
      <c r="D102" s="4"/>
      <c r="E102" s="4"/>
      <c r="F102" s="200"/>
      <c r="G102" s="200"/>
      <c r="H102" s="4"/>
      <c r="I102" s="4"/>
      <c r="J102" s="4"/>
      <c r="K102" s="4"/>
      <c r="L102" s="4"/>
      <c r="M102" s="200"/>
      <c r="N102" s="200"/>
      <c r="O102" s="4"/>
      <c r="P102" s="4"/>
      <c r="Q102" s="4"/>
      <c r="R102" s="4"/>
      <c r="S102" s="4"/>
      <c r="T102" s="200"/>
      <c r="U102" s="200"/>
      <c r="V102" s="4"/>
      <c r="W102" s="4"/>
      <c r="X102" s="4"/>
      <c r="Y102" s="4"/>
      <c r="Z102" s="4"/>
      <c r="AA102" s="200"/>
      <c r="AB102" s="200"/>
      <c r="AC102" s="4"/>
      <c r="AD102" s="4"/>
      <c r="AE102" s="4"/>
      <c r="AF102" s="4"/>
      <c r="AG102" s="4"/>
      <c r="AH102" s="200"/>
      <c r="AJ102" s="71">
        <f t="shared" si="19"/>
        <v>0</v>
      </c>
    </row>
    <row r="103" spans="2:36" hidden="1" outlineLevel="1" x14ac:dyDescent="0.25">
      <c r="B103" s="151"/>
      <c r="C103" s="54" t="s">
        <v>77</v>
      </c>
      <c r="D103" s="5"/>
      <c r="E103" s="5"/>
      <c r="F103" s="200"/>
      <c r="G103" s="200"/>
      <c r="H103" s="5"/>
      <c r="I103" s="5"/>
      <c r="J103" s="5"/>
      <c r="K103" s="5"/>
      <c r="L103" s="5"/>
      <c r="M103" s="200"/>
      <c r="N103" s="200"/>
      <c r="O103" s="5"/>
      <c r="P103" s="5"/>
      <c r="Q103" s="5"/>
      <c r="R103" s="5"/>
      <c r="S103" s="5"/>
      <c r="T103" s="200"/>
      <c r="U103" s="200"/>
      <c r="V103" s="5"/>
      <c r="W103" s="5"/>
      <c r="X103" s="5"/>
      <c r="Y103" s="5"/>
      <c r="Z103" s="5"/>
      <c r="AA103" s="200"/>
      <c r="AB103" s="200"/>
      <c r="AC103" s="5"/>
      <c r="AD103" s="5"/>
      <c r="AE103" s="5"/>
      <c r="AF103" s="5"/>
      <c r="AG103" s="5"/>
      <c r="AH103" s="200"/>
      <c r="AJ103" s="72">
        <f t="shared" si="19"/>
        <v>0</v>
      </c>
    </row>
    <row r="104" spans="2:36" ht="15.75" hidden="1" outlineLevel="1" thickBot="1" x14ac:dyDescent="0.3">
      <c r="B104" s="151"/>
      <c r="C104" s="9" t="s">
        <v>3</v>
      </c>
      <c r="D104" s="8"/>
      <c r="E104" s="8"/>
      <c r="F104" s="201"/>
      <c r="G104" s="201"/>
      <c r="H104" s="8"/>
      <c r="I104" s="8"/>
      <c r="J104" s="8"/>
      <c r="K104" s="8"/>
      <c r="L104" s="8"/>
      <c r="M104" s="201"/>
      <c r="N104" s="201"/>
      <c r="O104" s="8"/>
      <c r="P104" s="8"/>
      <c r="Q104" s="8"/>
      <c r="R104" s="8"/>
      <c r="S104" s="8"/>
      <c r="T104" s="201"/>
      <c r="U104" s="201"/>
      <c r="V104" s="8"/>
      <c r="W104" s="8"/>
      <c r="X104" s="8"/>
      <c r="Y104" s="8"/>
      <c r="Z104" s="8"/>
      <c r="AA104" s="201"/>
      <c r="AB104" s="201"/>
      <c r="AC104" s="8"/>
      <c r="AD104" s="8"/>
      <c r="AE104" s="8"/>
      <c r="AF104" s="8"/>
      <c r="AG104" s="8"/>
      <c r="AH104" s="201"/>
      <c r="AI104" s="7"/>
      <c r="AJ104" s="69">
        <f t="shared" si="19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2"/>
      <c r="E105" s="2"/>
      <c r="F105" s="200"/>
      <c r="G105" s="200"/>
      <c r="H105" s="2"/>
      <c r="I105" s="2"/>
      <c r="J105" s="2"/>
      <c r="K105" s="2"/>
      <c r="L105" s="2"/>
      <c r="M105" s="200"/>
      <c r="N105" s="200"/>
      <c r="O105" s="2"/>
      <c r="P105" s="2"/>
      <c r="Q105" s="2"/>
      <c r="R105" s="2"/>
      <c r="S105" s="2">
        <v>4</v>
      </c>
      <c r="T105" s="200"/>
      <c r="U105" s="200"/>
      <c r="V105" s="2"/>
      <c r="W105" s="2"/>
      <c r="X105" s="2"/>
      <c r="Y105" s="2"/>
      <c r="Z105" s="2"/>
      <c r="AA105" s="200"/>
      <c r="AB105" s="200"/>
      <c r="AC105" s="2"/>
      <c r="AD105" s="2"/>
      <c r="AE105" s="2"/>
      <c r="AF105" s="2"/>
      <c r="AG105" s="2"/>
      <c r="AH105" s="200"/>
      <c r="AJ105" s="64">
        <f>SUM(D105:AH105)</f>
        <v>4</v>
      </c>
    </row>
    <row r="106" spans="2:36" ht="15.75" hidden="1" outlineLevel="1" thickTop="1" x14ac:dyDescent="0.25">
      <c r="B106" s="150"/>
      <c r="C106" s="1" t="s">
        <v>1</v>
      </c>
      <c r="D106" s="3"/>
      <c r="E106" s="3"/>
      <c r="F106" s="200"/>
      <c r="G106" s="200"/>
      <c r="H106" s="3"/>
      <c r="I106" s="3"/>
      <c r="J106" s="3"/>
      <c r="K106" s="3"/>
      <c r="L106" s="3"/>
      <c r="M106" s="200"/>
      <c r="N106" s="200"/>
      <c r="O106" s="3"/>
      <c r="P106" s="3"/>
      <c r="Q106" s="3"/>
      <c r="R106" s="3"/>
      <c r="S106" s="3"/>
      <c r="T106" s="200"/>
      <c r="U106" s="200"/>
      <c r="V106" s="3"/>
      <c r="W106" s="3"/>
      <c r="X106" s="3"/>
      <c r="Y106" s="3"/>
      <c r="Z106" s="3"/>
      <c r="AA106" s="200"/>
      <c r="AB106" s="200"/>
      <c r="AC106" s="3"/>
      <c r="AD106" s="3"/>
      <c r="AE106" s="3"/>
      <c r="AF106" s="3"/>
      <c r="AG106" s="3"/>
      <c r="AH106" s="200"/>
      <c r="AJ106" s="70">
        <f t="shared" ref="AJ106:AJ109" si="20">SUM(D106:AH106)</f>
        <v>0</v>
      </c>
    </row>
    <row r="107" spans="2:36" hidden="1" outlineLevel="1" x14ac:dyDescent="0.25">
      <c r="B107" s="151"/>
      <c r="C107" s="1" t="s">
        <v>2</v>
      </c>
      <c r="D107" s="4"/>
      <c r="E107" s="4"/>
      <c r="F107" s="200"/>
      <c r="G107" s="200"/>
      <c r="H107" s="4"/>
      <c r="I107" s="4"/>
      <c r="J107" s="4"/>
      <c r="K107" s="4"/>
      <c r="L107" s="4"/>
      <c r="M107" s="200"/>
      <c r="N107" s="200"/>
      <c r="O107" s="4"/>
      <c r="P107" s="4"/>
      <c r="Q107" s="4"/>
      <c r="R107" s="4"/>
      <c r="S107" s="4"/>
      <c r="T107" s="200"/>
      <c r="U107" s="200"/>
      <c r="V107" s="4"/>
      <c r="W107" s="4"/>
      <c r="X107" s="4"/>
      <c r="Y107" s="4"/>
      <c r="Z107" s="4"/>
      <c r="AA107" s="200"/>
      <c r="AB107" s="200"/>
      <c r="AC107" s="4"/>
      <c r="AD107" s="4"/>
      <c r="AE107" s="4"/>
      <c r="AF107" s="4"/>
      <c r="AG107" s="4"/>
      <c r="AH107" s="200"/>
      <c r="AJ107" s="71">
        <f t="shared" si="20"/>
        <v>0</v>
      </c>
    </row>
    <row r="108" spans="2:36" hidden="1" outlineLevel="1" x14ac:dyDescent="0.25">
      <c r="B108" s="151"/>
      <c r="C108" s="54" t="s">
        <v>77</v>
      </c>
      <c r="D108" s="5"/>
      <c r="E108" s="5"/>
      <c r="F108" s="200"/>
      <c r="G108" s="200"/>
      <c r="H108" s="5"/>
      <c r="I108" s="5"/>
      <c r="J108" s="5"/>
      <c r="K108" s="5"/>
      <c r="L108" s="5"/>
      <c r="M108" s="200"/>
      <c r="N108" s="200"/>
      <c r="O108" s="5"/>
      <c r="P108" s="5"/>
      <c r="Q108" s="5"/>
      <c r="R108" s="5"/>
      <c r="S108" s="5">
        <v>4</v>
      </c>
      <c r="T108" s="200"/>
      <c r="U108" s="200"/>
      <c r="V108" s="5"/>
      <c r="W108" s="5"/>
      <c r="X108" s="5"/>
      <c r="Y108" s="5"/>
      <c r="Z108" s="5"/>
      <c r="AA108" s="200"/>
      <c r="AB108" s="200"/>
      <c r="AC108" s="5"/>
      <c r="AD108" s="5"/>
      <c r="AE108" s="5"/>
      <c r="AF108" s="5"/>
      <c r="AG108" s="5"/>
      <c r="AH108" s="200"/>
      <c r="AJ108" s="72">
        <f t="shared" si="20"/>
        <v>4</v>
      </c>
    </row>
    <row r="109" spans="2:36" ht="15.75" hidden="1" outlineLevel="1" thickBot="1" x14ac:dyDescent="0.3">
      <c r="B109" s="151"/>
      <c r="C109" s="9" t="s">
        <v>3</v>
      </c>
      <c r="D109" s="8"/>
      <c r="E109" s="8"/>
      <c r="F109" s="201"/>
      <c r="G109" s="201"/>
      <c r="H109" s="8"/>
      <c r="I109" s="8"/>
      <c r="J109" s="8"/>
      <c r="K109" s="8"/>
      <c r="L109" s="8"/>
      <c r="M109" s="201"/>
      <c r="N109" s="201"/>
      <c r="O109" s="8"/>
      <c r="P109" s="8"/>
      <c r="Q109" s="8"/>
      <c r="R109" s="8"/>
      <c r="S109" s="8"/>
      <c r="T109" s="201"/>
      <c r="U109" s="201"/>
      <c r="V109" s="8"/>
      <c r="W109" s="8"/>
      <c r="X109" s="8"/>
      <c r="Y109" s="8"/>
      <c r="Z109" s="8"/>
      <c r="AA109" s="201"/>
      <c r="AB109" s="201"/>
      <c r="AC109" s="8"/>
      <c r="AD109" s="8"/>
      <c r="AE109" s="8"/>
      <c r="AF109" s="8"/>
      <c r="AG109" s="8"/>
      <c r="AH109" s="201"/>
      <c r="AI109" s="7"/>
      <c r="AJ109" s="69">
        <f t="shared" si="20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2">
        <v>4</v>
      </c>
      <c r="E110" s="2">
        <v>8</v>
      </c>
      <c r="F110" s="200"/>
      <c r="G110" s="200"/>
      <c r="H110" s="2"/>
      <c r="I110" s="2"/>
      <c r="J110" s="2"/>
      <c r="K110" s="2"/>
      <c r="L110" s="2"/>
      <c r="M110" s="200"/>
      <c r="N110" s="200"/>
      <c r="O110" s="2"/>
      <c r="P110" s="2"/>
      <c r="Q110" s="2"/>
      <c r="R110" s="2"/>
      <c r="S110" s="2"/>
      <c r="T110" s="200"/>
      <c r="U110" s="200"/>
      <c r="V110" s="2"/>
      <c r="W110" s="2"/>
      <c r="X110" s="2"/>
      <c r="Y110" s="2"/>
      <c r="Z110" s="2"/>
      <c r="AA110" s="200"/>
      <c r="AB110" s="200"/>
      <c r="AC110" s="2"/>
      <c r="AD110" s="2"/>
      <c r="AE110" s="2"/>
      <c r="AF110" s="2"/>
      <c r="AG110" s="2"/>
      <c r="AH110" s="200"/>
      <c r="AJ110" s="64">
        <f>SUM(D110:AH110)</f>
        <v>12</v>
      </c>
    </row>
    <row r="111" spans="2:36" ht="15.75" hidden="1" outlineLevel="1" thickTop="1" x14ac:dyDescent="0.25">
      <c r="B111" s="150"/>
      <c r="C111" s="1" t="s">
        <v>1</v>
      </c>
      <c r="D111" s="3"/>
      <c r="E111" s="3"/>
      <c r="F111" s="200"/>
      <c r="G111" s="200"/>
      <c r="H111" s="3"/>
      <c r="I111" s="3"/>
      <c r="J111" s="3"/>
      <c r="K111" s="3"/>
      <c r="L111" s="3"/>
      <c r="M111" s="200"/>
      <c r="N111" s="200"/>
      <c r="O111" s="3"/>
      <c r="P111" s="3"/>
      <c r="Q111" s="3"/>
      <c r="R111" s="3"/>
      <c r="S111" s="3"/>
      <c r="T111" s="200"/>
      <c r="U111" s="200"/>
      <c r="V111" s="3"/>
      <c r="W111" s="3"/>
      <c r="X111" s="3"/>
      <c r="Y111" s="3"/>
      <c r="Z111" s="3"/>
      <c r="AA111" s="200"/>
      <c r="AB111" s="200"/>
      <c r="AC111" s="3"/>
      <c r="AD111" s="3"/>
      <c r="AE111" s="3"/>
      <c r="AF111" s="3"/>
      <c r="AG111" s="3"/>
      <c r="AH111" s="200"/>
      <c r="AJ111" s="70">
        <f t="shared" ref="AJ111:AJ114" si="21">SUM(D111:AH111)</f>
        <v>0</v>
      </c>
    </row>
    <row r="112" spans="2:36" hidden="1" outlineLevel="1" x14ac:dyDescent="0.25">
      <c r="B112" s="151"/>
      <c r="C112" s="1" t="s">
        <v>2</v>
      </c>
      <c r="D112" s="4"/>
      <c r="E112" s="4"/>
      <c r="F112" s="200"/>
      <c r="G112" s="200"/>
      <c r="H112" s="4"/>
      <c r="I112" s="4"/>
      <c r="J112" s="4"/>
      <c r="K112" s="4"/>
      <c r="L112" s="4"/>
      <c r="M112" s="200"/>
      <c r="N112" s="200"/>
      <c r="O112" s="4"/>
      <c r="P112" s="4"/>
      <c r="Q112" s="4"/>
      <c r="R112" s="4"/>
      <c r="S112" s="4"/>
      <c r="T112" s="200"/>
      <c r="U112" s="200"/>
      <c r="V112" s="4"/>
      <c r="W112" s="4"/>
      <c r="X112" s="4"/>
      <c r="Y112" s="4"/>
      <c r="Z112" s="4"/>
      <c r="AA112" s="200"/>
      <c r="AB112" s="200"/>
      <c r="AC112" s="4"/>
      <c r="AD112" s="4"/>
      <c r="AE112" s="4"/>
      <c r="AF112" s="4"/>
      <c r="AG112" s="4"/>
      <c r="AH112" s="200"/>
      <c r="AJ112" s="71">
        <f t="shared" si="21"/>
        <v>0</v>
      </c>
    </row>
    <row r="113" spans="2:36" hidden="1" outlineLevel="1" x14ac:dyDescent="0.25">
      <c r="B113" s="151"/>
      <c r="C113" s="54" t="s">
        <v>77</v>
      </c>
      <c r="D113" s="5"/>
      <c r="E113" s="5"/>
      <c r="F113" s="200"/>
      <c r="G113" s="200"/>
      <c r="H113" s="5"/>
      <c r="I113" s="5"/>
      <c r="J113" s="5"/>
      <c r="K113" s="5"/>
      <c r="L113" s="5"/>
      <c r="M113" s="200"/>
      <c r="N113" s="200"/>
      <c r="O113" s="5"/>
      <c r="P113" s="5"/>
      <c r="Q113" s="5"/>
      <c r="R113" s="5"/>
      <c r="S113" s="5"/>
      <c r="T113" s="200"/>
      <c r="U113" s="200"/>
      <c r="V113" s="5"/>
      <c r="W113" s="5"/>
      <c r="X113" s="5"/>
      <c r="Y113" s="5"/>
      <c r="Z113" s="5"/>
      <c r="AA113" s="200"/>
      <c r="AB113" s="200"/>
      <c r="AC113" s="5"/>
      <c r="AD113" s="5"/>
      <c r="AE113" s="5"/>
      <c r="AF113" s="5"/>
      <c r="AG113" s="5"/>
      <c r="AH113" s="200"/>
      <c r="AJ113" s="72">
        <f t="shared" si="21"/>
        <v>0</v>
      </c>
    </row>
    <row r="114" spans="2:36" ht="15.75" hidden="1" outlineLevel="1" thickBot="1" x14ac:dyDescent="0.3">
      <c r="B114" s="151"/>
      <c r="C114" s="9" t="s">
        <v>3</v>
      </c>
      <c r="D114" s="8"/>
      <c r="E114" s="8"/>
      <c r="F114" s="201"/>
      <c r="G114" s="201"/>
      <c r="H114" s="8"/>
      <c r="I114" s="8"/>
      <c r="J114" s="8"/>
      <c r="K114" s="8"/>
      <c r="L114" s="8"/>
      <c r="M114" s="201"/>
      <c r="N114" s="201"/>
      <c r="O114" s="8"/>
      <c r="P114" s="8"/>
      <c r="Q114" s="8"/>
      <c r="R114" s="8"/>
      <c r="S114" s="8"/>
      <c r="T114" s="201"/>
      <c r="U114" s="201"/>
      <c r="V114" s="8"/>
      <c r="W114" s="8"/>
      <c r="X114" s="8"/>
      <c r="Y114" s="8"/>
      <c r="Z114" s="8"/>
      <c r="AA114" s="201"/>
      <c r="AB114" s="201"/>
      <c r="AC114" s="8"/>
      <c r="AD114" s="8"/>
      <c r="AE114" s="8"/>
      <c r="AF114" s="8"/>
      <c r="AG114" s="8"/>
      <c r="AH114" s="201"/>
      <c r="AI114" s="7"/>
      <c r="AJ114" s="69">
        <f t="shared" si="21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2"/>
      <c r="E115" s="2"/>
      <c r="F115" s="200"/>
      <c r="G115" s="200"/>
      <c r="H115" s="2"/>
      <c r="I115" s="2"/>
      <c r="J115" s="2"/>
      <c r="K115" s="2"/>
      <c r="L115" s="2"/>
      <c r="M115" s="200"/>
      <c r="N115" s="200"/>
      <c r="O115" s="2"/>
      <c r="P115" s="2"/>
      <c r="Q115" s="2"/>
      <c r="R115" s="2"/>
      <c r="S115" s="2"/>
      <c r="T115" s="200"/>
      <c r="U115" s="200"/>
      <c r="V115" s="2">
        <v>8</v>
      </c>
      <c r="W115" s="2">
        <v>8</v>
      </c>
      <c r="X115" s="2">
        <v>8</v>
      </c>
      <c r="Y115" s="2">
        <v>8</v>
      </c>
      <c r="Z115" s="2">
        <v>8</v>
      </c>
      <c r="AA115" s="200"/>
      <c r="AB115" s="200"/>
      <c r="AC115" s="2">
        <v>8</v>
      </c>
      <c r="AD115" s="2">
        <v>8</v>
      </c>
      <c r="AE115" s="2">
        <v>8</v>
      </c>
      <c r="AF115" s="2">
        <v>8</v>
      </c>
      <c r="AG115" s="2">
        <v>8</v>
      </c>
      <c r="AH115" s="200"/>
      <c r="AJ115" s="64">
        <f>SUM(D115:AH115)</f>
        <v>80</v>
      </c>
    </row>
    <row r="116" spans="2:36" ht="15.75" hidden="1" outlineLevel="1" thickTop="1" x14ac:dyDescent="0.25">
      <c r="B116" s="150"/>
      <c r="C116" s="1" t="s">
        <v>1</v>
      </c>
      <c r="D116" s="3"/>
      <c r="E116" s="3"/>
      <c r="F116" s="200"/>
      <c r="G116" s="200"/>
      <c r="H116" s="3"/>
      <c r="I116" s="3"/>
      <c r="J116" s="3"/>
      <c r="K116" s="3"/>
      <c r="L116" s="3"/>
      <c r="M116" s="200"/>
      <c r="N116" s="200"/>
      <c r="O116" s="3"/>
      <c r="P116" s="3"/>
      <c r="Q116" s="3"/>
      <c r="R116" s="3"/>
      <c r="S116" s="3"/>
      <c r="T116" s="200"/>
      <c r="U116" s="200"/>
      <c r="V116" s="3"/>
      <c r="W116" s="3"/>
      <c r="X116" s="3"/>
      <c r="Y116" s="3"/>
      <c r="Z116" s="3"/>
      <c r="AA116" s="200"/>
      <c r="AB116" s="200"/>
      <c r="AC116" s="3"/>
      <c r="AD116" s="3"/>
      <c r="AE116" s="3"/>
      <c r="AF116" s="3"/>
      <c r="AG116" s="3"/>
      <c r="AH116" s="200"/>
      <c r="AJ116" s="70">
        <f t="shared" ref="AJ116:AJ119" si="22">SUM(D116:AH116)</f>
        <v>0</v>
      </c>
    </row>
    <row r="117" spans="2:36" hidden="1" outlineLevel="1" x14ac:dyDescent="0.25">
      <c r="B117" s="151"/>
      <c r="C117" s="1" t="s">
        <v>2</v>
      </c>
      <c r="D117" s="4"/>
      <c r="E117" s="4"/>
      <c r="F117" s="200"/>
      <c r="G117" s="200"/>
      <c r="H117" s="4"/>
      <c r="I117" s="4"/>
      <c r="J117" s="4"/>
      <c r="K117" s="4"/>
      <c r="L117" s="4"/>
      <c r="M117" s="200"/>
      <c r="N117" s="200"/>
      <c r="O117" s="4"/>
      <c r="P117" s="4"/>
      <c r="Q117" s="4"/>
      <c r="R117" s="4"/>
      <c r="S117" s="4"/>
      <c r="T117" s="200"/>
      <c r="U117" s="200"/>
      <c r="V117" s="4"/>
      <c r="W117" s="4"/>
      <c r="X117" s="4"/>
      <c r="Y117" s="4"/>
      <c r="Z117" s="4"/>
      <c r="AA117" s="200"/>
      <c r="AB117" s="200"/>
      <c r="AC117" s="4"/>
      <c r="AD117" s="4"/>
      <c r="AE117" s="4"/>
      <c r="AF117" s="4"/>
      <c r="AG117" s="4"/>
      <c r="AH117" s="200"/>
      <c r="AJ117" s="71">
        <f t="shared" si="22"/>
        <v>0</v>
      </c>
    </row>
    <row r="118" spans="2:36" hidden="1" outlineLevel="1" x14ac:dyDescent="0.25">
      <c r="B118" s="151"/>
      <c r="C118" s="54" t="s">
        <v>77</v>
      </c>
      <c r="D118" s="5"/>
      <c r="E118" s="5"/>
      <c r="F118" s="200"/>
      <c r="G118" s="200"/>
      <c r="H118" s="5"/>
      <c r="I118" s="5"/>
      <c r="J118" s="5"/>
      <c r="K118" s="5"/>
      <c r="L118" s="5"/>
      <c r="M118" s="200"/>
      <c r="N118" s="200"/>
      <c r="O118" s="5"/>
      <c r="P118" s="5"/>
      <c r="Q118" s="5"/>
      <c r="R118" s="5"/>
      <c r="S118" s="5"/>
      <c r="T118" s="200"/>
      <c r="U118" s="200"/>
      <c r="V118" s="5"/>
      <c r="W118" s="5"/>
      <c r="X118" s="5"/>
      <c r="Y118" s="5"/>
      <c r="Z118" s="5"/>
      <c r="AA118" s="200"/>
      <c r="AB118" s="200"/>
      <c r="AC118" s="5"/>
      <c r="AD118" s="5"/>
      <c r="AE118" s="5"/>
      <c r="AF118" s="5"/>
      <c r="AG118" s="5"/>
      <c r="AH118" s="200"/>
      <c r="AJ118" s="72">
        <f t="shared" si="22"/>
        <v>0</v>
      </c>
    </row>
    <row r="119" spans="2:36" ht="15.75" hidden="1" outlineLevel="1" thickBot="1" x14ac:dyDescent="0.3">
      <c r="B119" s="151"/>
      <c r="C119" s="9" t="s">
        <v>3</v>
      </c>
      <c r="D119" s="8"/>
      <c r="E119" s="8"/>
      <c r="F119" s="201"/>
      <c r="G119" s="201"/>
      <c r="H119" s="8"/>
      <c r="I119" s="8"/>
      <c r="J119" s="8"/>
      <c r="K119" s="8"/>
      <c r="L119" s="8"/>
      <c r="M119" s="201"/>
      <c r="N119" s="201"/>
      <c r="O119" s="8"/>
      <c r="P119" s="8"/>
      <c r="Q119" s="8"/>
      <c r="R119" s="8"/>
      <c r="S119" s="8"/>
      <c r="T119" s="201"/>
      <c r="U119" s="201"/>
      <c r="V119" s="8"/>
      <c r="W119" s="8"/>
      <c r="X119" s="8"/>
      <c r="Y119" s="8"/>
      <c r="Z119" s="8"/>
      <c r="AA119" s="201"/>
      <c r="AB119" s="201"/>
      <c r="AC119" s="8"/>
      <c r="AD119" s="8"/>
      <c r="AE119" s="8"/>
      <c r="AF119" s="8"/>
      <c r="AG119" s="8"/>
      <c r="AH119" s="201"/>
      <c r="AI119" s="7"/>
      <c r="AJ119" s="69">
        <f t="shared" si="22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180">
        <v>8</v>
      </c>
      <c r="E120" s="180">
        <v>8</v>
      </c>
      <c r="F120" s="200"/>
      <c r="G120" s="200"/>
      <c r="H120" s="2"/>
      <c r="I120" s="2"/>
      <c r="J120" s="2"/>
      <c r="K120" s="2"/>
      <c r="L120" s="2"/>
      <c r="M120" s="200"/>
      <c r="N120" s="200"/>
      <c r="O120" s="2"/>
      <c r="P120" s="2"/>
      <c r="Q120" s="2"/>
      <c r="R120" s="2"/>
      <c r="S120" s="2"/>
      <c r="T120" s="200"/>
      <c r="U120" s="200"/>
      <c r="V120" s="2"/>
      <c r="W120" s="2"/>
      <c r="X120" s="2"/>
      <c r="Y120" s="2"/>
      <c r="Z120" s="2"/>
      <c r="AA120" s="200"/>
      <c r="AB120" s="200"/>
      <c r="AC120" s="2"/>
      <c r="AD120" s="2"/>
      <c r="AE120" s="2"/>
      <c r="AF120" s="2"/>
      <c r="AG120" s="2"/>
      <c r="AH120" s="200"/>
      <c r="AJ120" s="64">
        <f>SUM(D120:AH120)</f>
        <v>16</v>
      </c>
    </row>
    <row r="121" spans="2:36" ht="15.75" hidden="1" outlineLevel="1" thickTop="1" x14ac:dyDescent="0.25">
      <c r="B121" s="150"/>
      <c r="C121" s="1" t="s">
        <v>1</v>
      </c>
      <c r="D121" s="3"/>
      <c r="E121" s="3"/>
      <c r="F121" s="200"/>
      <c r="G121" s="200"/>
      <c r="H121" s="3"/>
      <c r="I121" s="3"/>
      <c r="J121" s="3"/>
      <c r="K121" s="3"/>
      <c r="L121" s="3"/>
      <c r="M121" s="200"/>
      <c r="N121" s="200"/>
      <c r="O121" s="3"/>
      <c r="P121" s="3"/>
      <c r="Q121" s="3"/>
      <c r="R121" s="3"/>
      <c r="S121" s="3"/>
      <c r="T121" s="200"/>
      <c r="U121" s="200"/>
      <c r="V121" s="3"/>
      <c r="W121" s="3"/>
      <c r="X121" s="3"/>
      <c r="Y121" s="3"/>
      <c r="Z121" s="3"/>
      <c r="AA121" s="200"/>
      <c r="AB121" s="200"/>
      <c r="AC121" s="3"/>
      <c r="AD121" s="3"/>
      <c r="AE121" s="3"/>
      <c r="AF121" s="3"/>
      <c r="AG121" s="3"/>
      <c r="AH121" s="200"/>
      <c r="AJ121" s="70">
        <f t="shared" ref="AJ121:AJ124" si="23">SUM(D121:AH121)</f>
        <v>0</v>
      </c>
    </row>
    <row r="122" spans="2:36" hidden="1" outlineLevel="1" x14ac:dyDescent="0.25">
      <c r="B122" s="151"/>
      <c r="C122" s="1" t="s">
        <v>2</v>
      </c>
      <c r="D122" s="4"/>
      <c r="E122" s="4"/>
      <c r="F122" s="200"/>
      <c r="G122" s="200"/>
      <c r="H122" s="4"/>
      <c r="I122" s="4"/>
      <c r="J122" s="4"/>
      <c r="K122" s="4"/>
      <c r="L122" s="4"/>
      <c r="M122" s="200"/>
      <c r="N122" s="200"/>
      <c r="O122" s="4"/>
      <c r="P122" s="4"/>
      <c r="Q122" s="4"/>
      <c r="R122" s="4"/>
      <c r="S122" s="4"/>
      <c r="T122" s="200"/>
      <c r="U122" s="200"/>
      <c r="V122" s="4"/>
      <c r="W122" s="4"/>
      <c r="X122" s="4"/>
      <c r="Y122" s="4"/>
      <c r="Z122" s="4"/>
      <c r="AA122" s="200"/>
      <c r="AB122" s="200"/>
      <c r="AC122" s="4"/>
      <c r="AD122" s="4"/>
      <c r="AE122" s="4"/>
      <c r="AF122" s="4"/>
      <c r="AG122" s="4"/>
      <c r="AH122" s="200"/>
      <c r="AJ122" s="71">
        <f t="shared" si="23"/>
        <v>0</v>
      </c>
    </row>
    <row r="123" spans="2:36" hidden="1" outlineLevel="1" x14ac:dyDescent="0.25">
      <c r="B123" s="151"/>
      <c r="C123" s="54" t="s">
        <v>77</v>
      </c>
      <c r="D123" s="5"/>
      <c r="E123" s="5"/>
      <c r="F123" s="200"/>
      <c r="G123" s="200"/>
      <c r="H123" s="5"/>
      <c r="I123" s="5"/>
      <c r="J123" s="5"/>
      <c r="K123" s="5"/>
      <c r="L123" s="5"/>
      <c r="M123" s="200"/>
      <c r="N123" s="200"/>
      <c r="O123" s="5"/>
      <c r="P123" s="5"/>
      <c r="Q123" s="5"/>
      <c r="R123" s="5"/>
      <c r="S123" s="5"/>
      <c r="T123" s="200"/>
      <c r="U123" s="200"/>
      <c r="V123" s="5"/>
      <c r="W123" s="5"/>
      <c r="X123" s="5"/>
      <c r="Y123" s="5"/>
      <c r="Z123" s="5"/>
      <c r="AA123" s="200"/>
      <c r="AB123" s="200"/>
      <c r="AC123" s="5"/>
      <c r="AD123" s="5"/>
      <c r="AE123" s="5"/>
      <c r="AF123" s="5"/>
      <c r="AG123" s="5"/>
      <c r="AH123" s="200"/>
      <c r="AJ123" s="72">
        <f t="shared" si="23"/>
        <v>0</v>
      </c>
    </row>
    <row r="124" spans="2:36" ht="15.75" hidden="1" outlineLevel="1" thickBot="1" x14ac:dyDescent="0.3">
      <c r="B124" s="151"/>
      <c r="C124" s="9" t="s">
        <v>3</v>
      </c>
      <c r="D124" s="8"/>
      <c r="E124" s="8"/>
      <c r="F124" s="201"/>
      <c r="G124" s="201"/>
      <c r="H124" s="8"/>
      <c r="I124" s="8"/>
      <c r="J124" s="8"/>
      <c r="K124" s="8"/>
      <c r="L124" s="8"/>
      <c r="M124" s="201"/>
      <c r="N124" s="201"/>
      <c r="O124" s="8"/>
      <c r="P124" s="8"/>
      <c r="Q124" s="8"/>
      <c r="R124" s="8"/>
      <c r="S124" s="8"/>
      <c r="T124" s="201"/>
      <c r="U124" s="201"/>
      <c r="V124" s="8"/>
      <c r="W124" s="8"/>
      <c r="X124" s="8"/>
      <c r="Y124" s="8"/>
      <c r="Z124" s="8"/>
      <c r="AA124" s="201"/>
      <c r="AB124" s="201"/>
      <c r="AC124" s="8"/>
      <c r="AD124" s="8"/>
      <c r="AE124" s="8"/>
      <c r="AF124" s="8"/>
      <c r="AG124" s="8"/>
      <c r="AH124" s="201"/>
      <c r="AI124" s="7"/>
      <c r="AJ124" s="69">
        <f t="shared" si="23"/>
        <v>0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2"/>
      <c r="E125" s="2"/>
      <c r="F125" s="200"/>
      <c r="G125" s="200"/>
      <c r="H125" s="2"/>
      <c r="I125" s="2"/>
      <c r="J125" s="2"/>
      <c r="K125" s="2"/>
      <c r="L125" s="256"/>
      <c r="M125" s="200"/>
      <c r="N125" s="200"/>
      <c r="O125" s="2"/>
      <c r="P125" s="2"/>
      <c r="Q125" s="2"/>
      <c r="R125" s="2"/>
      <c r="S125" s="2"/>
      <c r="T125" s="200"/>
      <c r="U125" s="200"/>
      <c r="V125" s="2"/>
      <c r="W125" s="2">
        <v>8</v>
      </c>
      <c r="X125" s="2"/>
      <c r="Y125" s="2"/>
      <c r="Z125" s="2"/>
      <c r="AA125" s="200"/>
      <c r="AB125" s="200"/>
      <c r="AC125" s="2"/>
      <c r="AD125" s="2"/>
      <c r="AE125" s="2"/>
      <c r="AF125" s="2"/>
      <c r="AG125" s="2"/>
      <c r="AH125" s="200"/>
      <c r="AJ125" s="64">
        <f>SUM(D125:AH125)</f>
        <v>8</v>
      </c>
    </row>
    <row r="126" spans="2:36" ht="15.75" hidden="1" outlineLevel="1" thickTop="1" x14ac:dyDescent="0.25">
      <c r="B126" s="150"/>
      <c r="C126" s="1" t="s">
        <v>1</v>
      </c>
      <c r="D126" s="3"/>
      <c r="E126" s="3"/>
      <c r="F126" s="200"/>
      <c r="G126" s="200"/>
      <c r="H126" s="3"/>
      <c r="I126" s="3"/>
      <c r="J126" s="3"/>
      <c r="K126" s="3"/>
      <c r="L126" s="3"/>
      <c r="M126" s="200"/>
      <c r="N126" s="200"/>
      <c r="O126" s="3"/>
      <c r="P126" s="3"/>
      <c r="Q126" s="3"/>
      <c r="R126" s="3"/>
      <c r="S126" s="3"/>
      <c r="T126" s="200"/>
      <c r="U126" s="200"/>
      <c r="V126" s="3"/>
      <c r="W126" s="3"/>
      <c r="X126" s="3"/>
      <c r="Y126" s="3"/>
      <c r="Z126" s="3"/>
      <c r="AA126" s="200"/>
      <c r="AB126" s="200"/>
      <c r="AC126" s="3"/>
      <c r="AD126" s="3"/>
      <c r="AE126" s="3"/>
      <c r="AF126" s="3"/>
      <c r="AG126" s="3"/>
      <c r="AH126" s="200"/>
      <c r="AJ126" s="70">
        <f t="shared" ref="AJ126:AJ129" si="24">SUM(D126:AH126)</f>
        <v>0</v>
      </c>
    </row>
    <row r="127" spans="2:36" hidden="1" outlineLevel="1" x14ac:dyDescent="0.25">
      <c r="B127" s="151"/>
      <c r="C127" s="1" t="s">
        <v>2</v>
      </c>
      <c r="D127" s="4"/>
      <c r="E127" s="4"/>
      <c r="F127" s="200"/>
      <c r="G127" s="200"/>
      <c r="H127" s="4"/>
      <c r="I127" s="4"/>
      <c r="J127" s="4"/>
      <c r="K127" s="4"/>
      <c r="L127" s="4"/>
      <c r="M127" s="200"/>
      <c r="N127" s="200"/>
      <c r="O127" s="4"/>
      <c r="P127" s="4"/>
      <c r="Q127" s="4"/>
      <c r="R127" s="4"/>
      <c r="S127" s="4"/>
      <c r="T127" s="200"/>
      <c r="U127" s="200"/>
      <c r="V127" s="4"/>
      <c r="W127" s="4"/>
      <c r="X127" s="4"/>
      <c r="Y127" s="4"/>
      <c r="Z127" s="4"/>
      <c r="AA127" s="200"/>
      <c r="AB127" s="200"/>
      <c r="AC127" s="4"/>
      <c r="AD127" s="4"/>
      <c r="AE127" s="4"/>
      <c r="AF127" s="4"/>
      <c r="AG127" s="4"/>
      <c r="AH127" s="200"/>
      <c r="AJ127" s="71">
        <f t="shared" si="24"/>
        <v>0</v>
      </c>
    </row>
    <row r="128" spans="2:36" hidden="1" outlineLevel="1" x14ac:dyDescent="0.25">
      <c r="B128" s="151"/>
      <c r="C128" s="54" t="s">
        <v>77</v>
      </c>
      <c r="D128" s="5"/>
      <c r="E128" s="5"/>
      <c r="F128" s="200"/>
      <c r="G128" s="200"/>
      <c r="H128" s="5"/>
      <c r="I128" s="5"/>
      <c r="J128" s="5"/>
      <c r="K128" s="5"/>
      <c r="L128" s="5"/>
      <c r="M128" s="200"/>
      <c r="N128" s="200"/>
      <c r="O128" s="5"/>
      <c r="P128" s="5"/>
      <c r="Q128" s="5"/>
      <c r="R128" s="5"/>
      <c r="S128" s="5"/>
      <c r="T128" s="200"/>
      <c r="U128" s="200"/>
      <c r="V128" s="5"/>
      <c r="W128" s="5"/>
      <c r="X128" s="5"/>
      <c r="Y128" s="5"/>
      <c r="Z128" s="5"/>
      <c r="AA128" s="200"/>
      <c r="AB128" s="200"/>
      <c r="AC128" s="5"/>
      <c r="AD128" s="5"/>
      <c r="AE128" s="5"/>
      <c r="AF128" s="5"/>
      <c r="AG128" s="5"/>
      <c r="AH128" s="200"/>
      <c r="AJ128" s="72">
        <f t="shared" si="24"/>
        <v>0</v>
      </c>
    </row>
    <row r="129" spans="2:36" ht="15.75" hidden="1" outlineLevel="1" thickBot="1" x14ac:dyDescent="0.3">
      <c r="B129" s="151"/>
      <c r="C129" s="9" t="s">
        <v>3</v>
      </c>
      <c r="D129" s="8"/>
      <c r="E129" s="8"/>
      <c r="F129" s="201"/>
      <c r="G129" s="201"/>
      <c r="H129" s="8"/>
      <c r="I129" s="8"/>
      <c r="J129" s="8"/>
      <c r="K129" s="8"/>
      <c r="L129" s="8"/>
      <c r="M129" s="201"/>
      <c r="N129" s="201"/>
      <c r="O129" s="8"/>
      <c r="P129" s="8"/>
      <c r="Q129" s="8"/>
      <c r="R129" s="8"/>
      <c r="S129" s="8"/>
      <c r="T129" s="201"/>
      <c r="U129" s="201"/>
      <c r="V129" s="8"/>
      <c r="W129" s="8"/>
      <c r="X129" s="8"/>
      <c r="Y129" s="8"/>
      <c r="Z129" s="8"/>
      <c r="AA129" s="201"/>
      <c r="AB129" s="201"/>
      <c r="AC129" s="8"/>
      <c r="AD129" s="8"/>
      <c r="AE129" s="8"/>
      <c r="AF129" s="8"/>
      <c r="AG129" s="8"/>
      <c r="AH129" s="201"/>
      <c r="AI129" s="7"/>
      <c r="AJ129" s="69">
        <f t="shared" si="24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2"/>
      <c r="E130" s="255">
        <v>0</v>
      </c>
      <c r="F130" s="200"/>
      <c r="G130" s="200"/>
      <c r="H130" s="2">
        <v>8</v>
      </c>
      <c r="I130" s="2">
        <v>8</v>
      </c>
      <c r="J130" s="2">
        <v>8</v>
      </c>
      <c r="K130" s="2">
        <v>8</v>
      </c>
      <c r="L130" s="255">
        <v>0</v>
      </c>
      <c r="M130" s="200"/>
      <c r="N130" s="200"/>
      <c r="O130" s="2"/>
      <c r="P130" s="2"/>
      <c r="Q130" s="2"/>
      <c r="R130" s="2"/>
      <c r="S130" s="255">
        <v>0</v>
      </c>
      <c r="T130" s="200"/>
      <c r="U130" s="200"/>
      <c r="V130" s="2"/>
      <c r="W130" s="2"/>
      <c r="X130" s="2"/>
      <c r="Y130" s="2"/>
      <c r="Z130" s="255">
        <v>0</v>
      </c>
      <c r="AA130" s="200"/>
      <c r="AB130" s="200"/>
      <c r="AC130" s="2"/>
      <c r="AD130" s="2"/>
      <c r="AE130" s="2"/>
      <c r="AF130" s="2"/>
      <c r="AG130" s="255">
        <v>0</v>
      </c>
      <c r="AH130" s="200"/>
      <c r="AJ130" s="64">
        <f>SUM(D130:AH130)</f>
        <v>32</v>
      </c>
    </row>
    <row r="131" spans="2:36" ht="15.75" hidden="1" outlineLevel="1" thickTop="1" x14ac:dyDescent="0.25">
      <c r="B131" s="150"/>
      <c r="C131" s="1" t="s">
        <v>1</v>
      </c>
      <c r="D131" s="3"/>
      <c r="E131" s="3"/>
      <c r="F131" s="200"/>
      <c r="G131" s="200"/>
      <c r="H131" s="3"/>
      <c r="I131" s="3"/>
      <c r="J131" s="3"/>
      <c r="K131" s="3"/>
      <c r="L131" s="3"/>
      <c r="M131" s="200"/>
      <c r="N131" s="200"/>
      <c r="O131" s="3"/>
      <c r="P131" s="3"/>
      <c r="Q131" s="3"/>
      <c r="R131" s="3"/>
      <c r="S131" s="3"/>
      <c r="T131" s="200"/>
      <c r="U131" s="200"/>
      <c r="V131" s="3"/>
      <c r="W131" s="3"/>
      <c r="X131" s="3"/>
      <c r="Y131" s="3"/>
      <c r="Z131" s="3"/>
      <c r="AA131" s="200"/>
      <c r="AB131" s="200"/>
      <c r="AC131" s="3"/>
      <c r="AD131" s="3"/>
      <c r="AE131" s="3"/>
      <c r="AF131" s="3"/>
      <c r="AG131" s="3"/>
      <c r="AH131" s="200"/>
      <c r="AJ131" s="70">
        <f t="shared" ref="AJ131:AJ134" si="25">SUM(D131:AH131)</f>
        <v>0</v>
      </c>
    </row>
    <row r="132" spans="2:36" hidden="1" outlineLevel="1" x14ac:dyDescent="0.25">
      <c r="B132" s="151"/>
      <c r="C132" s="1" t="s">
        <v>2</v>
      </c>
      <c r="D132" s="4"/>
      <c r="E132" s="4"/>
      <c r="F132" s="200"/>
      <c r="G132" s="200"/>
      <c r="H132" s="4"/>
      <c r="I132" s="4"/>
      <c r="J132" s="4"/>
      <c r="K132" s="4"/>
      <c r="L132" s="4"/>
      <c r="M132" s="200"/>
      <c r="N132" s="200"/>
      <c r="O132" s="4"/>
      <c r="P132" s="4"/>
      <c r="Q132" s="4"/>
      <c r="R132" s="4"/>
      <c r="S132" s="4"/>
      <c r="T132" s="200"/>
      <c r="U132" s="200"/>
      <c r="V132" s="4"/>
      <c r="W132" s="4"/>
      <c r="X132" s="4"/>
      <c r="Y132" s="4"/>
      <c r="Z132" s="4"/>
      <c r="AA132" s="200"/>
      <c r="AB132" s="200"/>
      <c r="AC132" s="4"/>
      <c r="AD132" s="4"/>
      <c r="AE132" s="4"/>
      <c r="AF132" s="4"/>
      <c r="AG132" s="4"/>
      <c r="AH132" s="200"/>
      <c r="AJ132" s="71">
        <f t="shared" si="25"/>
        <v>0</v>
      </c>
    </row>
    <row r="133" spans="2:36" hidden="1" outlineLevel="1" x14ac:dyDescent="0.25">
      <c r="B133" s="151"/>
      <c r="C133" s="54" t="s">
        <v>77</v>
      </c>
      <c r="D133" s="5"/>
      <c r="E133" s="5"/>
      <c r="F133" s="200"/>
      <c r="G133" s="200"/>
      <c r="H133" s="5"/>
      <c r="I133" s="5"/>
      <c r="J133" s="5"/>
      <c r="K133" s="5"/>
      <c r="L133" s="5"/>
      <c r="M133" s="200"/>
      <c r="N133" s="200"/>
      <c r="O133" s="5"/>
      <c r="P133" s="5"/>
      <c r="Q133" s="5"/>
      <c r="R133" s="5"/>
      <c r="S133" s="5"/>
      <c r="T133" s="200"/>
      <c r="U133" s="200"/>
      <c r="V133" s="5"/>
      <c r="W133" s="5"/>
      <c r="X133" s="5"/>
      <c r="Y133" s="5"/>
      <c r="Z133" s="5"/>
      <c r="AA133" s="200"/>
      <c r="AB133" s="200"/>
      <c r="AC133" s="5"/>
      <c r="AD133" s="5"/>
      <c r="AE133" s="5"/>
      <c r="AF133" s="5"/>
      <c r="AG133" s="5"/>
      <c r="AH133" s="200"/>
      <c r="AJ133" s="72">
        <f t="shared" si="25"/>
        <v>0</v>
      </c>
    </row>
    <row r="134" spans="2:36" ht="15.75" hidden="1" outlineLevel="1" thickBot="1" x14ac:dyDescent="0.3">
      <c r="B134" s="151"/>
      <c r="C134" s="9" t="s">
        <v>3</v>
      </c>
      <c r="D134" s="8"/>
      <c r="E134" s="8"/>
      <c r="F134" s="201"/>
      <c r="G134" s="201"/>
      <c r="H134" s="8"/>
      <c r="I134" s="8"/>
      <c r="J134" s="8"/>
      <c r="K134" s="8"/>
      <c r="L134" s="8"/>
      <c r="M134" s="201"/>
      <c r="N134" s="201"/>
      <c r="O134" s="8"/>
      <c r="P134" s="8"/>
      <c r="Q134" s="8"/>
      <c r="R134" s="8"/>
      <c r="S134" s="8"/>
      <c r="T134" s="201"/>
      <c r="U134" s="201"/>
      <c r="V134" s="8"/>
      <c r="W134" s="8"/>
      <c r="X134" s="8"/>
      <c r="Y134" s="8"/>
      <c r="Z134" s="8"/>
      <c r="AA134" s="201"/>
      <c r="AB134" s="201"/>
      <c r="AC134" s="8"/>
      <c r="AD134" s="8"/>
      <c r="AE134" s="8"/>
      <c r="AF134" s="8"/>
      <c r="AG134" s="8"/>
      <c r="AH134" s="201"/>
      <c r="AI134" s="7"/>
      <c r="AJ134" s="69">
        <f t="shared" si="25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2"/>
      <c r="E135" s="2"/>
      <c r="F135" s="200"/>
      <c r="G135" s="200"/>
      <c r="H135" s="2"/>
      <c r="I135" s="2"/>
      <c r="J135" s="2"/>
      <c r="K135" s="2"/>
      <c r="L135" s="2">
        <v>8</v>
      </c>
      <c r="M135" s="200"/>
      <c r="N135" s="200"/>
      <c r="O135" s="2"/>
      <c r="P135" s="2"/>
      <c r="Q135" s="2"/>
      <c r="R135" s="2"/>
      <c r="S135" s="2"/>
      <c r="T135" s="200"/>
      <c r="U135" s="200"/>
      <c r="V135" s="2"/>
      <c r="W135" s="2"/>
      <c r="X135" s="2"/>
      <c r="Y135" s="2"/>
      <c r="Z135" s="2"/>
      <c r="AA135" s="200"/>
      <c r="AB135" s="200"/>
      <c r="AC135" s="2"/>
      <c r="AD135" s="2"/>
      <c r="AE135" s="2"/>
      <c r="AF135" s="2"/>
      <c r="AG135" s="2">
        <v>8</v>
      </c>
      <c r="AH135" s="200"/>
      <c r="AJ135" s="64">
        <f>SUM(D135:AH135)</f>
        <v>16</v>
      </c>
    </row>
    <row r="136" spans="2:36" ht="15.75" hidden="1" outlineLevel="1" thickTop="1" x14ac:dyDescent="0.25">
      <c r="B136" s="150"/>
      <c r="C136" s="1" t="s">
        <v>1</v>
      </c>
      <c r="D136" s="3"/>
      <c r="E136" s="3"/>
      <c r="F136" s="200"/>
      <c r="G136" s="200"/>
      <c r="H136" s="3"/>
      <c r="I136" s="3"/>
      <c r="J136" s="3"/>
      <c r="K136" s="3"/>
      <c r="L136" s="3"/>
      <c r="M136" s="200"/>
      <c r="N136" s="200"/>
      <c r="O136" s="3"/>
      <c r="P136" s="3"/>
      <c r="Q136" s="3"/>
      <c r="R136" s="3"/>
      <c r="S136" s="3"/>
      <c r="T136" s="200"/>
      <c r="U136" s="200"/>
      <c r="V136" s="3"/>
      <c r="W136" s="3"/>
      <c r="X136" s="3"/>
      <c r="Y136" s="3"/>
      <c r="Z136" s="3"/>
      <c r="AA136" s="200"/>
      <c r="AB136" s="200"/>
      <c r="AC136" s="3"/>
      <c r="AD136" s="3"/>
      <c r="AE136" s="3"/>
      <c r="AF136" s="3"/>
      <c r="AG136" s="3"/>
      <c r="AH136" s="200"/>
      <c r="AJ136" s="70">
        <f t="shared" ref="AJ136:AJ139" si="26">SUM(D136:AH136)</f>
        <v>0</v>
      </c>
    </row>
    <row r="137" spans="2:36" hidden="1" outlineLevel="1" x14ac:dyDescent="0.25">
      <c r="B137" s="151"/>
      <c r="C137" s="1" t="s">
        <v>2</v>
      </c>
      <c r="D137" s="4"/>
      <c r="E137" s="4"/>
      <c r="F137" s="200"/>
      <c r="G137" s="200"/>
      <c r="H137" s="4"/>
      <c r="I137" s="4"/>
      <c r="J137" s="4"/>
      <c r="K137" s="4"/>
      <c r="L137" s="4"/>
      <c r="M137" s="200"/>
      <c r="N137" s="200"/>
      <c r="O137" s="4"/>
      <c r="P137" s="4"/>
      <c r="Q137" s="4"/>
      <c r="R137" s="4"/>
      <c r="S137" s="4"/>
      <c r="T137" s="200"/>
      <c r="U137" s="200"/>
      <c r="V137" s="4"/>
      <c r="W137" s="4"/>
      <c r="X137" s="4"/>
      <c r="Y137" s="4"/>
      <c r="Z137" s="4"/>
      <c r="AA137" s="200"/>
      <c r="AB137" s="200"/>
      <c r="AC137" s="4"/>
      <c r="AD137" s="4"/>
      <c r="AE137" s="4"/>
      <c r="AF137" s="4"/>
      <c r="AG137" s="4"/>
      <c r="AH137" s="200"/>
      <c r="AJ137" s="71">
        <f t="shared" si="26"/>
        <v>0</v>
      </c>
    </row>
    <row r="138" spans="2:36" hidden="1" outlineLevel="1" x14ac:dyDescent="0.25">
      <c r="B138" s="151"/>
      <c r="C138" s="54" t="s">
        <v>77</v>
      </c>
      <c r="D138" s="5"/>
      <c r="E138" s="5"/>
      <c r="F138" s="200"/>
      <c r="G138" s="200"/>
      <c r="H138" s="5"/>
      <c r="I138" s="5"/>
      <c r="J138" s="5"/>
      <c r="K138" s="5"/>
      <c r="L138" s="5"/>
      <c r="M138" s="200"/>
      <c r="N138" s="200"/>
      <c r="O138" s="5"/>
      <c r="P138" s="5"/>
      <c r="Q138" s="5"/>
      <c r="R138" s="5"/>
      <c r="S138" s="5"/>
      <c r="T138" s="200"/>
      <c r="U138" s="200"/>
      <c r="V138" s="5"/>
      <c r="W138" s="5"/>
      <c r="X138" s="5"/>
      <c r="Y138" s="5"/>
      <c r="Z138" s="5"/>
      <c r="AA138" s="200"/>
      <c r="AB138" s="200"/>
      <c r="AC138" s="5"/>
      <c r="AD138" s="5"/>
      <c r="AE138" s="5"/>
      <c r="AF138" s="5"/>
      <c r="AG138" s="5"/>
      <c r="AH138" s="200"/>
      <c r="AJ138" s="72">
        <f t="shared" si="26"/>
        <v>0</v>
      </c>
    </row>
    <row r="139" spans="2:36" ht="15.75" hidden="1" outlineLevel="1" thickBot="1" x14ac:dyDescent="0.3">
      <c r="B139" s="151"/>
      <c r="C139" s="9" t="s">
        <v>3</v>
      </c>
      <c r="D139" s="8"/>
      <c r="E139" s="8"/>
      <c r="F139" s="201"/>
      <c r="G139" s="201"/>
      <c r="H139" s="8"/>
      <c r="I139" s="8"/>
      <c r="J139" s="8"/>
      <c r="K139" s="8"/>
      <c r="L139" s="8"/>
      <c r="M139" s="201"/>
      <c r="N139" s="201"/>
      <c r="O139" s="8"/>
      <c r="P139" s="8"/>
      <c r="Q139" s="8"/>
      <c r="R139" s="8"/>
      <c r="S139" s="8"/>
      <c r="T139" s="201"/>
      <c r="U139" s="201"/>
      <c r="V139" s="8"/>
      <c r="W139" s="8"/>
      <c r="X139" s="8"/>
      <c r="Y139" s="8"/>
      <c r="Z139" s="8"/>
      <c r="AA139" s="201"/>
      <c r="AB139" s="201"/>
      <c r="AC139" s="8"/>
      <c r="AD139" s="8"/>
      <c r="AE139" s="8"/>
      <c r="AF139" s="8"/>
      <c r="AG139" s="8"/>
      <c r="AH139" s="201"/>
      <c r="AI139" s="7"/>
      <c r="AJ139" s="69">
        <f t="shared" si="26"/>
        <v>0</v>
      </c>
    </row>
    <row r="140" spans="2:36" ht="16.5" hidden="1" collapsed="1" thickTop="1" thickBot="1" x14ac:dyDescent="0.3">
      <c r="B140" s="253" t="str">
        <f>'Hours Scheduled'!B31</f>
        <v>Thom van Bodegraven</v>
      </c>
      <c r="C140" t="s">
        <v>0</v>
      </c>
      <c r="D140" s="180"/>
      <c r="E140" s="180"/>
      <c r="F140" s="198"/>
      <c r="G140" s="198"/>
      <c r="H140" s="180"/>
      <c r="I140" s="180"/>
      <c r="J140" s="180"/>
      <c r="K140" s="180"/>
      <c r="L140" s="180"/>
      <c r="M140" s="198"/>
      <c r="N140" s="198"/>
      <c r="O140" s="180"/>
      <c r="P140" s="180"/>
      <c r="Q140" s="180"/>
      <c r="R140" s="180"/>
      <c r="S140" s="180"/>
      <c r="T140" s="198"/>
      <c r="U140" s="198"/>
      <c r="V140" s="180"/>
      <c r="W140" s="180"/>
      <c r="X140" s="180"/>
      <c r="Y140" s="180"/>
      <c r="Z140" s="180"/>
      <c r="AA140" s="198"/>
      <c r="AB140" s="198"/>
      <c r="AC140" s="180"/>
      <c r="AD140" s="180"/>
      <c r="AE140" s="180"/>
      <c r="AF140" s="180"/>
      <c r="AG140" s="180"/>
      <c r="AH140" s="198"/>
      <c r="AI140" s="97"/>
      <c r="AJ140" s="172">
        <f>SUM(D140:AH140)</f>
        <v>0</v>
      </c>
    </row>
    <row r="141" spans="2:36" ht="15.75" hidden="1" outlineLevel="2" thickTop="1" x14ac:dyDescent="0.25">
      <c r="B141" s="150"/>
      <c r="C141" s="1" t="s">
        <v>1</v>
      </c>
      <c r="D141" s="181"/>
      <c r="E141" s="181"/>
      <c r="F141" s="198"/>
      <c r="G141" s="198"/>
      <c r="H141" s="181"/>
      <c r="I141" s="181"/>
      <c r="J141" s="181"/>
      <c r="K141" s="181"/>
      <c r="L141" s="181"/>
      <c r="M141" s="198"/>
      <c r="N141" s="198"/>
      <c r="O141" s="181"/>
      <c r="P141" s="181"/>
      <c r="Q141" s="181"/>
      <c r="R141" s="181"/>
      <c r="S141" s="181"/>
      <c r="T141" s="198"/>
      <c r="U141" s="198"/>
      <c r="V141" s="181"/>
      <c r="W141" s="181"/>
      <c r="X141" s="181"/>
      <c r="Y141" s="181"/>
      <c r="Z141" s="181"/>
      <c r="AA141" s="198"/>
      <c r="AB141" s="198"/>
      <c r="AC141" s="181"/>
      <c r="AD141" s="181"/>
      <c r="AE141" s="181"/>
      <c r="AF141" s="181"/>
      <c r="AG141" s="181"/>
      <c r="AH141" s="198"/>
      <c r="AI141" s="97"/>
      <c r="AJ141" s="174">
        <f t="shared" ref="AJ141:AJ144" si="27">SUM(D141:AH141)</f>
        <v>0</v>
      </c>
    </row>
    <row r="142" spans="2:36" hidden="1" outlineLevel="2" x14ac:dyDescent="0.25">
      <c r="B142" s="151"/>
      <c r="C142" s="1" t="s">
        <v>2</v>
      </c>
      <c r="D142" s="182"/>
      <c r="E142" s="182"/>
      <c r="F142" s="198"/>
      <c r="G142" s="198"/>
      <c r="H142" s="182"/>
      <c r="I142" s="182"/>
      <c r="J142" s="182"/>
      <c r="K142" s="182"/>
      <c r="L142" s="182"/>
      <c r="M142" s="198"/>
      <c r="N142" s="198"/>
      <c r="O142" s="182"/>
      <c r="P142" s="182"/>
      <c r="Q142" s="182"/>
      <c r="R142" s="182"/>
      <c r="S142" s="182"/>
      <c r="T142" s="198"/>
      <c r="U142" s="198"/>
      <c r="V142" s="182"/>
      <c r="W142" s="182"/>
      <c r="X142" s="182"/>
      <c r="Y142" s="182"/>
      <c r="Z142" s="182"/>
      <c r="AA142" s="198"/>
      <c r="AB142" s="198"/>
      <c r="AC142" s="182"/>
      <c r="AD142" s="182"/>
      <c r="AE142" s="182"/>
      <c r="AF142" s="182"/>
      <c r="AG142" s="182"/>
      <c r="AH142" s="198"/>
      <c r="AI142" s="97"/>
      <c r="AJ142" s="175">
        <f t="shared" si="27"/>
        <v>0</v>
      </c>
    </row>
    <row r="143" spans="2:36" hidden="1" outlineLevel="2" x14ac:dyDescent="0.25">
      <c r="B143" s="151"/>
      <c r="C143" s="54" t="s">
        <v>77</v>
      </c>
      <c r="D143" s="183"/>
      <c r="E143" s="183"/>
      <c r="F143" s="198"/>
      <c r="G143" s="198"/>
      <c r="H143" s="183"/>
      <c r="I143" s="183"/>
      <c r="J143" s="183"/>
      <c r="K143" s="183"/>
      <c r="L143" s="183"/>
      <c r="M143" s="198"/>
      <c r="N143" s="198"/>
      <c r="O143" s="183"/>
      <c r="P143" s="183"/>
      <c r="Q143" s="183"/>
      <c r="R143" s="183"/>
      <c r="S143" s="183"/>
      <c r="T143" s="198"/>
      <c r="U143" s="198"/>
      <c r="V143" s="183"/>
      <c r="W143" s="183"/>
      <c r="X143" s="183"/>
      <c r="Y143" s="183"/>
      <c r="Z143" s="183"/>
      <c r="AA143" s="198"/>
      <c r="AB143" s="198"/>
      <c r="AC143" s="183"/>
      <c r="AD143" s="183"/>
      <c r="AE143" s="183"/>
      <c r="AF143" s="183"/>
      <c r="AG143" s="183"/>
      <c r="AH143" s="198"/>
      <c r="AI143" s="97"/>
      <c r="AJ143" s="176">
        <f t="shared" si="27"/>
        <v>0</v>
      </c>
    </row>
    <row r="144" spans="2:36" ht="15.75" hidden="1" outlineLevel="2" thickBot="1" x14ac:dyDescent="0.3">
      <c r="B144" s="151"/>
      <c r="C144" s="9" t="s">
        <v>3</v>
      </c>
      <c r="D144" s="184"/>
      <c r="E144" s="184"/>
      <c r="F144" s="199"/>
      <c r="G144" s="199"/>
      <c r="H144" s="184"/>
      <c r="I144" s="184"/>
      <c r="J144" s="184"/>
      <c r="K144" s="184"/>
      <c r="L144" s="184"/>
      <c r="M144" s="199"/>
      <c r="N144" s="199"/>
      <c r="O144" s="184"/>
      <c r="P144" s="184"/>
      <c r="Q144" s="184"/>
      <c r="R144" s="184"/>
      <c r="S144" s="184"/>
      <c r="T144" s="199"/>
      <c r="U144" s="199"/>
      <c r="V144" s="184"/>
      <c r="W144" s="184"/>
      <c r="X144" s="184"/>
      <c r="Y144" s="184"/>
      <c r="Z144" s="184"/>
      <c r="AA144" s="199"/>
      <c r="AB144" s="199"/>
      <c r="AC144" s="184"/>
      <c r="AD144" s="184"/>
      <c r="AE144" s="184"/>
      <c r="AF144" s="184"/>
      <c r="AG144" s="184"/>
      <c r="AH144" s="199"/>
      <c r="AI144" s="186"/>
      <c r="AJ144" s="177">
        <f t="shared" si="27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180"/>
      <c r="E145" s="180"/>
      <c r="F145" s="198"/>
      <c r="G145" s="198"/>
      <c r="H145" s="180"/>
      <c r="I145" s="180"/>
      <c r="J145" s="180"/>
      <c r="K145" s="180"/>
      <c r="L145" s="180"/>
      <c r="M145" s="198"/>
      <c r="N145" s="198"/>
      <c r="O145" s="180"/>
      <c r="P145" s="180"/>
      <c r="Q145" s="180"/>
      <c r="R145" s="180"/>
      <c r="S145" s="180"/>
      <c r="T145" s="198"/>
      <c r="U145" s="198"/>
      <c r="V145" s="180"/>
      <c r="W145" s="180"/>
      <c r="X145" s="180"/>
      <c r="Y145" s="180"/>
      <c r="Z145" s="180"/>
      <c r="AA145" s="198"/>
      <c r="AB145" s="198"/>
      <c r="AC145" s="180"/>
      <c r="AD145" s="180"/>
      <c r="AE145" s="180"/>
      <c r="AF145" s="180"/>
      <c r="AG145" s="180"/>
      <c r="AH145" s="198"/>
      <c r="AI145" s="97"/>
      <c r="AJ145" s="172">
        <f>SUM(D145:AH145)</f>
        <v>0</v>
      </c>
    </row>
    <row r="146" spans="2:36" ht="15.75" hidden="1" outlineLevel="1" thickTop="1" x14ac:dyDescent="0.25">
      <c r="B146" s="150"/>
      <c r="C146" s="1" t="s">
        <v>1</v>
      </c>
      <c r="D146" s="181"/>
      <c r="E146" s="181"/>
      <c r="F146" s="198"/>
      <c r="G146" s="198"/>
      <c r="H146" s="181"/>
      <c r="I146" s="181"/>
      <c r="J146" s="181"/>
      <c r="K146" s="181"/>
      <c r="L146" s="181"/>
      <c r="M146" s="198"/>
      <c r="N146" s="198"/>
      <c r="O146" s="181"/>
      <c r="P146" s="181"/>
      <c r="Q146" s="181"/>
      <c r="R146" s="181"/>
      <c r="S146" s="181"/>
      <c r="T146" s="198"/>
      <c r="U146" s="198"/>
      <c r="V146" s="181"/>
      <c r="W146" s="181"/>
      <c r="X146" s="181"/>
      <c r="Y146" s="181"/>
      <c r="Z146" s="181"/>
      <c r="AA146" s="198"/>
      <c r="AB146" s="198"/>
      <c r="AC146" s="181"/>
      <c r="AD146" s="181"/>
      <c r="AE146" s="181"/>
      <c r="AF146" s="181"/>
      <c r="AG146" s="181"/>
      <c r="AH146" s="198"/>
      <c r="AI146" s="97"/>
      <c r="AJ146" s="174">
        <f t="shared" ref="AJ146:AJ149" si="28">SUM(D146:AH146)</f>
        <v>0</v>
      </c>
    </row>
    <row r="147" spans="2:36" hidden="1" outlineLevel="1" x14ac:dyDescent="0.25">
      <c r="B147" s="151"/>
      <c r="C147" s="1" t="s">
        <v>2</v>
      </c>
      <c r="D147" s="182"/>
      <c r="E147" s="182"/>
      <c r="F147" s="198"/>
      <c r="G147" s="198"/>
      <c r="H147" s="182"/>
      <c r="I147" s="182"/>
      <c r="J147" s="182"/>
      <c r="K147" s="182"/>
      <c r="L147" s="182"/>
      <c r="M147" s="198"/>
      <c r="N147" s="198"/>
      <c r="O147" s="182"/>
      <c r="P147" s="182"/>
      <c r="Q147" s="182"/>
      <c r="R147" s="182"/>
      <c r="S147" s="182"/>
      <c r="T147" s="198"/>
      <c r="U147" s="198"/>
      <c r="V147" s="182"/>
      <c r="W147" s="182"/>
      <c r="X147" s="182"/>
      <c r="Y147" s="182"/>
      <c r="Z147" s="182"/>
      <c r="AA147" s="198"/>
      <c r="AB147" s="198"/>
      <c r="AC147" s="182"/>
      <c r="AD147" s="182"/>
      <c r="AE147" s="182"/>
      <c r="AF147" s="182"/>
      <c r="AG147" s="182"/>
      <c r="AH147" s="198"/>
      <c r="AI147" s="97"/>
      <c r="AJ147" s="175">
        <f t="shared" si="28"/>
        <v>0</v>
      </c>
    </row>
    <row r="148" spans="2:36" hidden="1" outlineLevel="1" x14ac:dyDescent="0.25">
      <c r="B148" s="151"/>
      <c r="C148" s="54" t="s">
        <v>77</v>
      </c>
      <c r="D148" s="183"/>
      <c r="E148" s="183"/>
      <c r="F148" s="198"/>
      <c r="G148" s="198"/>
      <c r="H148" s="183"/>
      <c r="I148" s="183"/>
      <c r="J148" s="183"/>
      <c r="K148" s="183"/>
      <c r="L148" s="183"/>
      <c r="M148" s="198"/>
      <c r="N148" s="198"/>
      <c r="O148" s="183"/>
      <c r="P148" s="183"/>
      <c r="Q148" s="183"/>
      <c r="R148" s="183"/>
      <c r="S148" s="183"/>
      <c r="T148" s="198"/>
      <c r="U148" s="198"/>
      <c r="V148" s="183"/>
      <c r="W148" s="183"/>
      <c r="X148" s="183"/>
      <c r="Y148" s="183"/>
      <c r="Z148" s="183"/>
      <c r="AA148" s="198"/>
      <c r="AB148" s="198"/>
      <c r="AC148" s="183"/>
      <c r="AD148" s="183"/>
      <c r="AE148" s="183"/>
      <c r="AF148" s="183"/>
      <c r="AG148" s="183"/>
      <c r="AH148" s="198"/>
      <c r="AI148" s="97"/>
      <c r="AJ148" s="176">
        <f t="shared" si="28"/>
        <v>0</v>
      </c>
    </row>
    <row r="149" spans="2:36" ht="15.75" hidden="1" outlineLevel="1" thickBot="1" x14ac:dyDescent="0.3">
      <c r="B149" s="151"/>
      <c r="C149" s="9" t="s">
        <v>3</v>
      </c>
      <c r="D149" s="184"/>
      <c r="E149" s="184"/>
      <c r="F149" s="199"/>
      <c r="G149" s="199"/>
      <c r="H149" s="184"/>
      <c r="I149" s="184"/>
      <c r="J149" s="184"/>
      <c r="K149" s="184"/>
      <c r="L149" s="184"/>
      <c r="M149" s="199"/>
      <c r="N149" s="199"/>
      <c r="O149" s="184"/>
      <c r="P149" s="184"/>
      <c r="Q149" s="184"/>
      <c r="R149" s="184"/>
      <c r="S149" s="184"/>
      <c r="T149" s="199"/>
      <c r="U149" s="199"/>
      <c r="V149" s="184"/>
      <c r="W149" s="184"/>
      <c r="X149" s="184"/>
      <c r="Y149" s="184"/>
      <c r="Z149" s="184"/>
      <c r="AA149" s="199"/>
      <c r="AB149" s="199"/>
      <c r="AC149" s="184"/>
      <c r="AD149" s="184"/>
      <c r="AE149" s="184"/>
      <c r="AF149" s="184"/>
      <c r="AG149" s="184"/>
      <c r="AH149" s="199"/>
      <c r="AI149" s="186"/>
      <c r="AJ149" s="177">
        <f t="shared" si="28"/>
        <v>0</v>
      </c>
    </row>
    <row r="150" spans="2:36" ht="16.5" collapsed="1" thickTop="1" thickBot="1" x14ac:dyDescent="0.3">
      <c r="B150" s="149" t="str">
        <f>'Hours Scheduled'!B33</f>
        <v>Erik Jaspers</v>
      </c>
      <c r="C150" t="s">
        <v>0</v>
      </c>
      <c r="D150" s="180"/>
      <c r="E150" s="180"/>
      <c r="F150" s="198"/>
      <c r="G150" s="198"/>
      <c r="H150" s="180"/>
      <c r="I150" s="180"/>
      <c r="J150" s="180"/>
      <c r="K150" s="180"/>
      <c r="L150" s="180"/>
      <c r="M150" s="198"/>
      <c r="N150" s="198"/>
      <c r="O150" s="180"/>
      <c r="P150" s="180"/>
      <c r="Q150" s="180"/>
      <c r="R150" s="180"/>
      <c r="S150" s="180"/>
      <c r="T150" s="198"/>
      <c r="U150" s="198"/>
      <c r="V150" s="180"/>
      <c r="W150" s="180"/>
      <c r="X150" s="180"/>
      <c r="Y150" s="180"/>
      <c r="Z150" s="180"/>
      <c r="AA150" s="198"/>
      <c r="AB150" s="198"/>
      <c r="AC150" s="180"/>
      <c r="AD150" s="180"/>
      <c r="AE150" s="180"/>
      <c r="AF150" s="180"/>
      <c r="AG150" s="180"/>
      <c r="AH150" s="198"/>
      <c r="AI150" s="97"/>
      <c r="AJ150" s="172">
        <f>SUM(D150:AH150)</f>
        <v>0</v>
      </c>
    </row>
    <row r="151" spans="2:36" ht="15.75" hidden="1" outlineLevel="1" thickTop="1" x14ac:dyDescent="0.25">
      <c r="B151" s="150"/>
      <c r="C151" s="1" t="s">
        <v>1</v>
      </c>
      <c r="D151" s="181"/>
      <c r="E151" s="181"/>
      <c r="F151" s="198"/>
      <c r="G151" s="198"/>
      <c r="H151" s="181"/>
      <c r="I151" s="181"/>
      <c r="J151" s="181"/>
      <c r="K151" s="181"/>
      <c r="L151" s="181"/>
      <c r="M151" s="198"/>
      <c r="N151" s="198"/>
      <c r="O151" s="181"/>
      <c r="P151" s="181"/>
      <c r="Q151" s="181"/>
      <c r="R151" s="181"/>
      <c r="S151" s="181"/>
      <c r="T151" s="198"/>
      <c r="U151" s="198"/>
      <c r="V151" s="181"/>
      <c r="W151" s="181"/>
      <c r="X151" s="181"/>
      <c r="Y151" s="181"/>
      <c r="Z151" s="181"/>
      <c r="AA151" s="198"/>
      <c r="AB151" s="198"/>
      <c r="AC151" s="181"/>
      <c r="AD151" s="181"/>
      <c r="AE151" s="181"/>
      <c r="AF151" s="181"/>
      <c r="AG151" s="181"/>
      <c r="AH151" s="198"/>
      <c r="AI151" s="97"/>
      <c r="AJ151" s="174">
        <f t="shared" ref="AJ151:AJ154" si="29">SUM(D151:AH151)</f>
        <v>0</v>
      </c>
    </row>
    <row r="152" spans="2:36" hidden="1" outlineLevel="1" x14ac:dyDescent="0.25">
      <c r="B152" s="151"/>
      <c r="C152" s="1" t="s">
        <v>2</v>
      </c>
      <c r="D152" s="182"/>
      <c r="E152" s="182"/>
      <c r="F152" s="198"/>
      <c r="G152" s="198"/>
      <c r="H152" s="182"/>
      <c r="I152" s="182"/>
      <c r="J152" s="182"/>
      <c r="K152" s="182"/>
      <c r="L152" s="182"/>
      <c r="M152" s="198"/>
      <c r="N152" s="198"/>
      <c r="O152" s="182"/>
      <c r="P152" s="182"/>
      <c r="Q152" s="182"/>
      <c r="R152" s="182"/>
      <c r="S152" s="182"/>
      <c r="T152" s="198"/>
      <c r="U152" s="198"/>
      <c r="V152" s="182"/>
      <c r="W152" s="182"/>
      <c r="X152" s="182"/>
      <c r="Y152" s="182"/>
      <c r="Z152" s="182"/>
      <c r="AA152" s="198"/>
      <c r="AB152" s="198"/>
      <c r="AC152" s="182"/>
      <c r="AD152" s="182"/>
      <c r="AE152" s="182"/>
      <c r="AF152" s="182"/>
      <c r="AG152" s="182"/>
      <c r="AH152" s="198"/>
      <c r="AI152" s="97"/>
      <c r="AJ152" s="175">
        <f t="shared" si="29"/>
        <v>0</v>
      </c>
    </row>
    <row r="153" spans="2:36" hidden="1" outlineLevel="1" x14ac:dyDescent="0.25">
      <c r="B153" s="151"/>
      <c r="C153" s="54" t="s">
        <v>77</v>
      </c>
      <c r="D153" s="183"/>
      <c r="E153" s="183"/>
      <c r="F153" s="198"/>
      <c r="G153" s="198"/>
      <c r="H153" s="183"/>
      <c r="I153" s="183"/>
      <c r="J153" s="183"/>
      <c r="K153" s="183"/>
      <c r="L153" s="183"/>
      <c r="M153" s="198"/>
      <c r="N153" s="198"/>
      <c r="O153" s="183"/>
      <c r="P153" s="183"/>
      <c r="Q153" s="183"/>
      <c r="R153" s="183"/>
      <c r="S153" s="183"/>
      <c r="T153" s="198"/>
      <c r="U153" s="198"/>
      <c r="V153" s="183"/>
      <c r="W153" s="183"/>
      <c r="X153" s="183"/>
      <c r="Y153" s="183"/>
      <c r="Z153" s="183"/>
      <c r="AA153" s="198"/>
      <c r="AB153" s="198"/>
      <c r="AC153" s="183"/>
      <c r="AD153" s="183"/>
      <c r="AE153" s="183"/>
      <c r="AF153" s="183"/>
      <c r="AG153" s="183"/>
      <c r="AH153" s="198"/>
      <c r="AI153" s="97"/>
      <c r="AJ153" s="176">
        <f t="shared" si="29"/>
        <v>0</v>
      </c>
    </row>
    <row r="154" spans="2:36" ht="15.75" hidden="1" outlineLevel="1" thickBot="1" x14ac:dyDescent="0.3">
      <c r="B154" s="151"/>
      <c r="C154" s="9" t="s">
        <v>3</v>
      </c>
      <c r="D154" s="184"/>
      <c r="E154" s="184"/>
      <c r="F154" s="199"/>
      <c r="G154" s="199"/>
      <c r="H154" s="184"/>
      <c r="I154" s="184"/>
      <c r="J154" s="184"/>
      <c r="K154" s="184"/>
      <c r="L154" s="184"/>
      <c r="M154" s="199"/>
      <c r="N154" s="199"/>
      <c r="O154" s="184"/>
      <c r="P154" s="184"/>
      <c r="Q154" s="184"/>
      <c r="R154" s="184"/>
      <c r="S154" s="184"/>
      <c r="T154" s="199"/>
      <c r="U154" s="199"/>
      <c r="V154" s="184"/>
      <c r="W154" s="184"/>
      <c r="X154" s="184"/>
      <c r="Y154" s="184"/>
      <c r="Z154" s="184"/>
      <c r="AA154" s="199"/>
      <c r="AB154" s="199"/>
      <c r="AC154" s="184"/>
      <c r="AD154" s="184"/>
      <c r="AE154" s="184"/>
      <c r="AF154" s="184"/>
      <c r="AG154" s="184"/>
      <c r="AH154" s="199"/>
      <c r="AI154" s="186"/>
      <c r="AJ154" s="177">
        <f t="shared" si="29"/>
        <v>0</v>
      </c>
    </row>
    <row r="155" spans="2:36" ht="16.5" collapsed="1" thickTop="1" thickBot="1" x14ac:dyDescent="0.3">
      <c r="B155" s="149" t="str">
        <f>'Hours Scheduled'!B34</f>
        <v>Leo Wijnands</v>
      </c>
      <c r="C155" t="s">
        <v>0</v>
      </c>
      <c r="D155" s="180"/>
      <c r="E155" s="180"/>
      <c r="F155" s="198"/>
      <c r="G155" s="198"/>
      <c r="H155" s="180"/>
      <c r="I155" s="180"/>
      <c r="J155" s="180"/>
      <c r="K155" s="180"/>
      <c r="L155" s="180"/>
      <c r="M155" s="198"/>
      <c r="N155" s="198"/>
      <c r="O155" s="180"/>
      <c r="P155" s="180"/>
      <c r="Q155" s="180"/>
      <c r="R155" s="180"/>
      <c r="S155" s="180"/>
      <c r="T155" s="198"/>
      <c r="U155" s="198"/>
      <c r="V155" s="180"/>
      <c r="W155" s="180"/>
      <c r="X155" s="180"/>
      <c r="Y155" s="180"/>
      <c r="Z155" s="180"/>
      <c r="AA155" s="198"/>
      <c r="AB155" s="198"/>
      <c r="AC155" s="180"/>
      <c r="AD155" s="180"/>
      <c r="AE155" s="180"/>
      <c r="AF155" s="180"/>
      <c r="AG155" s="180"/>
      <c r="AH155" s="198"/>
      <c r="AI155" s="97"/>
      <c r="AJ155" s="172">
        <f>SUM(D155:AH155)</f>
        <v>0</v>
      </c>
    </row>
    <row r="156" spans="2:36" ht="15.75" hidden="1" outlineLevel="1" thickTop="1" x14ac:dyDescent="0.25">
      <c r="B156" s="150"/>
      <c r="C156" s="1" t="s">
        <v>1</v>
      </c>
      <c r="D156" s="181"/>
      <c r="E156" s="181"/>
      <c r="F156" s="198"/>
      <c r="G156" s="198"/>
      <c r="H156" s="181"/>
      <c r="I156" s="181"/>
      <c r="J156" s="181"/>
      <c r="K156" s="181"/>
      <c r="L156" s="181"/>
      <c r="M156" s="198"/>
      <c r="N156" s="198"/>
      <c r="O156" s="181"/>
      <c r="P156" s="181"/>
      <c r="Q156" s="181"/>
      <c r="R156" s="181"/>
      <c r="S156" s="181"/>
      <c r="T156" s="198"/>
      <c r="U156" s="198"/>
      <c r="V156" s="181"/>
      <c r="W156" s="181"/>
      <c r="X156" s="181"/>
      <c r="Y156" s="181"/>
      <c r="Z156" s="181"/>
      <c r="AA156" s="198"/>
      <c r="AB156" s="198"/>
      <c r="AC156" s="181"/>
      <c r="AD156" s="181"/>
      <c r="AE156" s="181"/>
      <c r="AF156" s="181"/>
      <c r="AG156" s="181"/>
      <c r="AH156" s="198"/>
      <c r="AI156" s="97"/>
      <c r="AJ156" s="174">
        <f t="shared" ref="AJ156:AJ159" si="30">SUM(D156:AH156)</f>
        <v>0</v>
      </c>
    </row>
    <row r="157" spans="2:36" hidden="1" outlineLevel="1" x14ac:dyDescent="0.25">
      <c r="B157" s="151"/>
      <c r="C157" s="1" t="s">
        <v>2</v>
      </c>
      <c r="D157" s="182"/>
      <c r="E157" s="182"/>
      <c r="F157" s="198"/>
      <c r="G157" s="198"/>
      <c r="H157" s="182"/>
      <c r="I157" s="182"/>
      <c r="J157" s="182"/>
      <c r="K157" s="182"/>
      <c r="L157" s="182"/>
      <c r="M157" s="198"/>
      <c r="N157" s="198"/>
      <c r="O157" s="182"/>
      <c r="P157" s="182"/>
      <c r="Q157" s="182"/>
      <c r="R157" s="182"/>
      <c r="S157" s="182"/>
      <c r="T157" s="198"/>
      <c r="U157" s="198"/>
      <c r="V157" s="182"/>
      <c r="W157" s="182"/>
      <c r="X157" s="182"/>
      <c r="Y157" s="182"/>
      <c r="Z157" s="182"/>
      <c r="AA157" s="198"/>
      <c r="AB157" s="198"/>
      <c r="AC157" s="182"/>
      <c r="AD157" s="182"/>
      <c r="AE157" s="182"/>
      <c r="AF157" s="182"/>
      <c r="AG157" s="182"/>
      <c r="AH157" s="198"/>
      <c r="AI157" s="97"/>
      <c r="AJ157" s="175">
        <f t="shared" si="30"/>
        <v>0</v>
      </c>
    </row>
    <row r="158" spans="2:36" hidden="1" outlineLevel="1" x14ac:dyDescent="0.25">
      <c r="B158" s="151"/>
      <c r="C158" s="54" t="s">
        <v>77</v>
      </c>
      <c r="D158" s="183"/>
      <c r="E158" s="183"/>
      <c r="F158" s="198"/>
      <c r="G158" s="198"/>
      <c r="H158" s="183"/>
      <c r="I158" s="183"/>
      <c r="J158" s="183"/>
      <c r="K158" s="183"/>
      <c r="L158" s="183"/>
      <c r="M158" s="198"/>
      <c r="N158" s="198"/>
      <c r="O158" s="183"/>
      <c r="P158" s="183"/>
      <c r="Q158" s="183"/>
      <c r="R158" s="183"/>
      <c r="S158" s="183"/>
      <c r="T158" s="198"/>
      <c r="U158" s="198"/>
      <c r="V158" s="183"/>
      <c r="W158" s="183"/>
      <c r="X158" s="183"/>
      <c r="Y158" s="183"/>
      <c r="Z158" s="183"/>
      <c r="AA158" s="198"/>
      <c r="AB158" s="198"/>
      <c r="AC158" s="183"/>
      <c r="AD158" s="183"/>
      <c r="AE158" s="183"/>
      <c r="AF158" s="183"/>
      <c r="AG158" s="183"/>
      <c r="AH158" s="198"/>
      <c r="AI158" s="97"/>
      <c r="AJ158" s="176">
        <f t="shared" si="30"/>
        <v>0</v>
      </c>
    </row>
    <row r="159" spans="2:36" ht="15.75" hidden="1" outlineLevel="1" thickBot="1" x14ac:dyDescent="0.3">
      <c r="B159" s="151"/>
      <c r="C159" s="9" t="s">
        <v>3</v>
      </c>
      <c r="D159" s="184"/>
      <c r="E159" s="184"/>
      <c r="F159" s="199"/>
      <c r="G159" s="199"/>
      <c r="H159" s="184"/>
      <c r="I159" s="184"/>
      <c r="J159" s="184"/>
      <c r="K159" s="184"/>
      <c r="L159" s="184"/>
      <c r="M159" s="199"/>
      <c r="N159" s="199"/>
      <c r="O159" s="184"/>
      <c r="P159" s="184"/>
      <c r="Q159" s="184"/>
      <c r="R159" s="184"/>
      <c r="S159" s="184"/>
      <c r="T159" s="199"/>
      <c r="U159" s="199"/>
      <c r="V159" s="184"/>
      <c r="W159" s="184"/>
      <c r="X159" s="184"/>
      <c r="Y159" s="184"/>
      <c r="Z159" s="184"/>
      <c r="AA159" s="199"/>
      <c r="AB159" s="199"/>
      <c r="AC159" s="184"/>
      <c r="AD159" s="184"/>
      <c r="AE159" s="184"/>
      <c r="AF159" s="184"/>
      <c r="AG159" s="184"/>
      <c r="AH159" s="199"/>
      <c r="AI159" s="186"/>
      <c r="AJ159" s="177">
        <f t="shared" si="30"/>
        <v>0</v>
      </c>
    </row>
    <row r="160" spans="2:36" ht="16.5" collapsed="1" thickTop="1" thickBot="1" x14ac:dyDescent="0.3">
      <c r="B160" s="149" t="str">
        <f>'Hours Scheduled'!B35</f>
        <v>Danny Ummels</v>
      </c>
      <c r="C160" t="s">
        <v>0</v>
      </c>
      <c r="D160" s="180">
        <v>8</v>
      </c>
      <c r="E160" s="180">
        <v>8</v>
      </c>
      <c r="F160" s="198"/>
      <c r="G160" s="198"/>
      <c r="H160" s="180"/>
      <c r="I160" s="180"/>
      <c r="J160" s="180"/>
      <c r="K160" s="180"/>
      <c r="L160" s="180"/>
      <c r="M160" s="198"/>
      <c r="N160" s="198"/>
      <c r="O160" s="180"/>
      <c r="P160" s="180"/>
      <c r="Q160" s="180"/>
      <c r="R160" s="180"/>
      <c r="S160" s="180"/>
      <c r="T160" s="198"/>
      <c r="U160" s="198"/>
      <c r="V160" s="180"/>
      <c r="W160" s="180"/>
      <c r="X160" s="180"/>
      <c r="Y160" s="180"/>
      <c r="Z160" s="180"/>
      <c r="AA160" s="198"/>
      <c r="AB160" s="198"/>
      <c r="AC160" s="180"/>
      <c r="AD160" s="180"/>
      <c r="AE160" s="180"/>
      <c r="AF160" s="180"/>
      <c r="AG160" s="180"/>
      <c r="AH160" s="198"/>
      <c r="AI160" s="97"/>
      <c r="AJ160" s="172">
        <f>SUM(D160:AH160)</f>
        <v>16</v>
      </c>
    </row>
    <row r="161" spans="2:36" ht="15.75" hidden="1" outlineLevel="1" thickTop="1" x14ac:dyDescent="0.25">
      <c r="B161" s="150"/>
      <c r="C161" s="1" t="s">
        <v>1</v>
      </c>
      <c r="D161" s="181"/>
      <c r="E161" s="181"/>
      <c r="F161" s="198"/>
      <c r="G161" s="198"/>
      <c r="H161" s="181"/>
      <c r="I161" s="181"/>
      <c r="J161" s="181"/>
      <c r="K161" s="181"/>
      <c r="L161" s="181"/>
      <c r="M161" s="198"/>
      <c r="N161" s="198"/>
      <c r="O161" s="181"/>
      <c r="P161" s="181"/>
      <c r="Q161" s="181"/>
      <c r="R161" s="181"/>
      <c r="S161" s="181"/>
      <c r="T161" s="198"/>
      <c r="U161" s="198"/>
      <c r="V161" s="181"/>
      <c r="W161" s="181"/>
      <c r="X161" s="181"/>
      <c r="Y161" s="181"/>
      <c r="Z161" s="181"/>
      <c r="AA161" s="198"/>
      <c r="AB161" s="198"/>
      <c r="AC161" s="181"/>
      <c r="AD161" s="181"/>
      <c r="AE161" s="181"/>
      <c r="AF161" s="181"/>
      <c r="AG161" s="181"/>
      <c r="AH161" s="198"/>
      <c r="AI161" s="97"/>
      <c r="AJ161" s="174">
        <f t="shared" ref="AJ161:AJ164" si="31">SUM(D161:AH161)</f>
        <v>0</v>
      </c>
    </row>
    <row r="162" spans="2:36" hidden="1" outlineLevel="1" x14ac:dyDescent="0.25">
      <c r="B162" s="151"/>
      <c r="C162" s="1" t="s">
        <v>2</v>
      </c>
      <c r="D162" s="182"/>
      <c r="E162" s="182"/>
      <c r="F162" s="198"/>
      <c r="G162" s="198"/>
      <c r="H162" s="182"/>
      <c r="I162" s="182"/>
      <c r="J162" s="182"/>
      <c r="K162" s="182"/>
      <c r="L162" s="182"/>
      <c r="M162" s="198"/>
      <c r="N162" s="198"/>
      <c r="O162" s="182"/>
      <c r="P162" s="182"/>
      <c r="Q162" s="182"/>
      <c r="R162" s="182"/>
      <c r="S162" s="182"/>
      <c r="T162" s="198"/>
      <c r="U162" s="198"/>
      <c r="V162" s="182"/>
      <c r="W162" s="182"/>
      <c r="X162" s="182"/>
      <c r="Y162" s="182"/>
      <c r="Z162" s="182"/>
      <c r="AA162" s="198"/>
      <c r="AB162" s="198"/>
      <c r="AC162" s="182"/>
      <c r="AD162" s="182"/>
      <c r="AE162" s="182"/>
      <c r="AF162" s="182"/>
      <c r="AG162" s="182"/>
      <c r="AH162" s="198"/>
      <c r="AI162" s="97"/>
      <c r="AJ162" s="175">
        <f t="shared" si="31"/>
        <v>0</v>
      </c>
    </row>
    <row r="163" spans="2:36" hidden="1" outlineLevel="1" x14ac:dyDescent="0.25">
      <c r="B163" s="151"/>
      <c r="C163" s="54" t="s">
        <v>77</v>
      </c>
      <c r="D163" s="183"/>
      <c r="E163" s="183"/>
      <c r="F163" s="198"/>
      <c r="G163" s="198"/>
      <c r="H163" s="183"/>
      <c r="I163" s="183"/>
      <c r="J163" s="183"/>
      <c r="K163" s="183"/>
      <c r="L163" s="183"/>
      <c r="M163" s="198"/>
      <c r="N163" s="198"/>
      <c r="O163" s="183"/>
      <c r="P163" s="183"/>
      <c r="Q163" s="183"/>
      <c r="R163" s="183"/>
      <c r="S163" s="183"/>
      <c r="T163" s="198"/>
      <c r="U163" s="198"/>
      <c r="V163" s="183"/>
      <c r="W163" s="183"/>
      <c r="X163" s="183"/>
      <c r="Y163" s="183"/>
      <c r="Z163" s="183"/>
      <c r="AA163" s="198"/>
      <c r="AB163" s="198"/>
      <c r="AC163" s="183"/>
      <c r="AD163" s="183"/>
      <c r="AE163" s="183">
        <v>8</v>
      </c>
      <c r="AF163" s="183"/>
      <c r="AG163" s="183"/>
      <c r="AH163" s="198"/>
      <c r="AI163" s="97"/>
      <c r="AJ163" s="176">
        <f t="shared" si="31"/>
        <v>8</v>
      </c>
    </row>
    <row r="164" spans="2:36" ht="15.75" hidden="1" outlineLevel="1" thickBot="1" x14ac:dyDescent="0.3">
      <c r="B164" s="151"/>
      <c r="C164" s="9" t="s">
        <v>3</v>
      </c>
      <c r="D164" s="184"/>
      <c r="E164" s="184"/>
      <c r="F164" s="199"/>
      <c r="G164" s="199"/>
      <c r="H164" s="184"/>
      <c r="I164" s="184"/>
      <c r="J164" s="184"/>
      <c r="K164" s="184"/>
      <c r="L164" s="184"/>
      <c r="M164" s="199"/>
      <c r="N164" s="199"/>
      <c r="O164" s="184"/>
      <c r="P164" s="184"/>
      <c r="Q164" s="184"/>
      <c r="R164" s="184"/>
      <c r="S164" s="184"/>
      <c r="T164" s="199"/>
      <c r="U164" s="199"/>
      <c r="V164" s="184"/>
      <c r="W164" s="184"/>
      <c r="X164" s="184"/>
      <c r="Y164" s="184"/>
      <c r="Z164" s="184"/>
      <c r="AA164" s="199"/>
      <c r="AB164" s="199"/>
      <c r="AC164" s="184"/>
      <c r="AD164" s="184"/>
      <c r="AE164" s="184"/>
      <c r="AF164" s="184"/>
      <c r="AG164" s="184"/>
      <c r="AH164" s="199"/>
      <c r="AI164" s="186"/>
      <c r="AJ164" s="177">
        <f t="shared" si="31"/>
        <v>0</v>
      </c>
    </row>
    <row r="165" spans="2:36" ht="15.75" collapsed="1" thickTop="1" x14ac:dyDescent="0.25">
      <c r="B165"/>
    </row>
    <row r="166" spans="2:36" x14ac:dyDescent="0.25">
      <c r="B166"/>
    </row>
    <row r="167" spans="2:36" x14ac:dyDescent="0.25">
      <c r="B167"/>
    </row>
    <row r="168" spans="2:36" x14ac:dyDescent="0.25">
      <c r="B168"/>
    </row>
    <row r="169" spans="2:36" x14ac:dyDescent="0.25">
      <c r="B169"/>
    </row>
  </sheetData>
  <autoFilter ref="B4:AJ164"/>
  <customSheetViews>
    <customSheetView guid="{98CBC5BF-8C89-48A4-860E-9C56014CD200}" scale="90" showGridLines="0" fitToPage="1" showAutoFilter="1" hiddenRows="1" topLeftCell="A2">
      <pane ySplit="2" topLeftCell="A30" activePane="bottomLeft" state="frozenSplit"/>
      <selection pane="bottomLeft" activeCell="X110" sqref="X110"/>
      <pageMargins left="0.70866141732283472" right="0.70866141732283472" top="0.74803149606299213" bottom="0.74803149606299213" header="0.31496062992125984" footer="0.31496062992125984"/>
      <pageSetup paperSize="9" scale="44" orientation="landscape" horizontalDpi="1200" r:id="rId1"/>
      <autoFilter ref="B4:AJ164"/>
    </customSheetView>
    <customSheetView guid="{1BC25061-32D5-45DE-83F9-EFA3A1092E03}" scale="90" showGridLines="0" fitToPage="1" showAutoFilter="1" hiddenRows="1" topLeftCell="A2">
      <pane ySplit="3" topLeftCell="A5" activePane="bottomLeft" state="frozenSplit"/>
      <selection pane="bottomLeft" activeCell="F61" sqref="F61"/>
      <pageMargins left="0.70866141732283472" right="0.70866141732283472" top="0.74803149606299213" bottom="0.74803149606299213" header="0.31496062992125984" footer="0.31496062992125984"/>
      <pageSetup paperSize="9" scale="44" orientation="landscape" horizontalDpi="1200" r:id="rId2"/>
      <autoFilter ref="B4:AJ145"/>
    </customSheetView>
    <customSheetView guid="{CF917189-7AB9-4E55-816F-ACFC7FA45C05}" scale="90" showGridLines="0" fitToPage="1" showAutoFilter="1" hiddenRows="1" topLeftCell="A2">
      <pane ySplit="2" topLeftCell="A5" activePane="bottomLeft" state="frozenSplit"/>
      <selection pane="bottomLeft" activeCell="F61" sqref="F61"/>
      <pageMargins left="0.70866141732283472" right="0.70866141732283472" top="0.74803149606299213" bottom="0.74803149606299213" header="0.31496062992125984" footer="0.31496062992125984"/>
      <pageSetup paperSize="9" scale="44" orientation="landscape" horizontalDpi="1200" r:id="rId3"/>
      <autoFilter ref="B4:AJ145"/>
    </customSheetView>
    <customSheetView guid="{4155806E-C0D0-4CC9-9B31-04245B7DD4C8}" showGridLines="0" fitToPage="1" showAutoFilter="1" hiddenRows="1" topLeftCell="A2">
      <pane ySplit="3" topLeftCell="A5" activePane="bottomLeft" state="frozenSplit"/>
      <selection pane="bottomLeft" activeCell="AK85" sqref="AK85"/>
      <pageMargins left="0.70866141732283472" right="0.70866141732283472" top="0.74803149606299213" bottom="0.74803149606299213" header="0.31496062992125984" footer="0.31496062992125984"/>
      <pageSetup paperSize="9" scale="44" orientation="landscape" horizontalDpi="1200" r:id="rId4"/>
      <autoFilter ref="B4:AJ145"/>
    </customSheetView>
    <customSheetView guid="{1587CBCC-2CC7-4525-8A49-E261AB2E1606}" scale="90" showGridLines="0" fitToPage="1" showAutoFilter="1" hiddenRows="1" topLeftCell="A2">
      <pane ySplit="2" topLeftCell="A20" activePane="bottomLeft" state="frozenSplit"/>
      <selection pane="bottomLeft" activeCell="H120" sqref="H120"/>
      <pageMargins left="0.70866141732283472" right="0.70866141732283472" top="0.74803149606299213" bottom="0.74803149606299213" header="0.31496062992125984" footer="0.31496062992125984"/>
      <pageSetup paperSize="9" scale="44" orientation="landscape" horizontalDpi="1200" r:id="rId5"/>
      <autoFilter ref="B4:AJ164"/>
    </customSheetView>
    <customSheetView guid="{C5D9000A-81ED-4920-B6AF-4B234775AEC9}" scale="90" showGridLines="0" fitToPage="1" showAutoFilter="1" hiddenRows="1" topLeftCell="A2">
      <pane ySplit="2" topLeftCell="A4" activePane="bottomLeft" state="frozenSplit"/>
      <selection pane="bottomLeft"/>
      <pageMargins left="0.70866141732283472" right="0.70866141732283472" top="0.74803149606299213" bottom="0.74803149606299213" header="0.31496062992125984" footer="0.31496062992125984"/>
      <pageSetup paperSize="9" scale="44" orientation="landscape" horizontalDpi="1200" r:id="rId6"/>
      <autoFilter ref="B4:AJ164"/>
    </customSheetView>
  </customSheetViews>
  <conditionalFormatting sqref="D3:AH3">
    <cfRule type="expression" dxfId="37" priority="11">
      <formula>WEEKDAY(D3:AH3)=1</formula>
    </cfRule>
    <cfRule type="expression" dxfId="36" priority="12">
      <formula>WEEKDAY(D3:AH3)=7</formula>
    </cfRule>
  </conditionalFormatting>
  <conditionalFormatting sqref="A11:A140">
    <cfRule type="cellIs" dxfId="35" priority="10" operator="equal">
      <formula>"08:00/16:30"</formula>
    </cfRule>
  </conditionalFormatting>
  <conditionalFormatting sqref="A15:A140">
    <cfRule type="cellIs" dxfId="34" priority="9" operator="equal">
      <formula>"09:30/18:00"</formula>
    </cfRule>
  </conditionalFormatting>
  <conditionalFormatting sqref="A5:A10">
    <cfRule type="cellIs" dxfId="33" priority="2" operator="equal">
      <formula>"08:00/16:30"</formula>
    </cfRule>
  </conditionalFormatting>
  <conditionalFormatting sqref="A5:A10">
    <cfRule type="cellIs" dxfId="32" priority="1" operator="equal">
      <formula>"09:30/18:00"</formula>
    </cfRule>
  </conditionalFormatting>
  <dataValidations count="2">
    <dataValidation type="list" allowBlank="1" showInputMessage="1" sqref="A140 A115 A120 A125 A130 A135 A5 A10 A15 A20 A25 A30 A35 A40 A50 A55 A60 A65 A70 A75 A80 A85 A90 A95:A110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0866141732283472" right="0.70866141732283472" top="0.74803149606299213" bottom="0.74803149606299213" header="0.31496062992125984" footer="0.31496062992125984"/>
  <pageSetup paperSize="9" scale="44" orientation="landscape" horizontalDpi="1200" r:id="rId7"/>
  <legacyDrawing r:id="rId8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CCFFCC"/>
  </sheetPr>
  <dimension ref="A1:AJ185"/>
  <sheetViews>
    <sheetView showGridLines="0" topLeftCell="A2" zoomScale="90" zoomScaleNormal="90" workbookViewId="0">
      <pane ySplit="2" topLeftCell="A30" activePane="bottomLeft" state="frozenSplit"/>
      <selection activeCell="A2" sqref="A2"/>
      <selection pane="bottomLeft" activeCell="A2" sqref="A2"/>
    </sheetView>
  </sheetViews>
  <sheetFormatPr defaultRowHeight="15" outlineLevelRow="1" x14ac:dyDescent="0.25"/>
  <cols>
    <col min="1" max="1" width="5.140625" bestFit="1" customWidth="1"/>
    <col min="2" max="2" width="18.85546875" style="152" bestFit="1" customWidth="1"/>
    <col min="3" max="3" width="11.5703125" bestFit="1" customWidth="1"/>
    <col min="4" max="33" width="3.42578125" bestFit="1" customWidth="1"/>
    <col min="34" max="34" width="3.28515625" bestFit="1" customWidth="1"/>
    <col min="35" max="35" width="3.7109375" customWidth="1"/>
    <col min="36" max="36" width="4.140625" bestFit="1" customWidth="1"/>
    <col min="37" max="37" width="5.5703125" customWidth="1"/>
    <col min="38" max="38" width="2.7109375" customWidth="1"/>
    <col min="39" max="39" width="29.5703125" bestFit="1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x14ac:dyDescent="0.25">
      <c r="B2" s="153" t="s">
        <v>15</v>
      </c>
    </row>
    <row r="3" spans="1:36" ht="140.25" customHeight="1" x14ac:dyDescent="0.25">
      <c r="A3" t="s">
        <v>163</v>
      </c>
      <c r="B3" s="152" t="s">
        <v>4</v>
      </c>
      <c r="D3" s="78">
        <f>DATE(Title!$F$12,9,D1)</f>
        <v>41518</v>
      </c>
      <c r="E3" s="78">
        <f>DATE(Title!$F$12,9,E1)</f>
        <v>41519</v>
      </c>
      <c r="F3" s="78">
        <f>DATE(Title!$F$12,9,F1)</f>
        <v>41520</v>
      </c>
      <c r="G3" s="78">
        <f>DATE(Title!$F$12,9,G1)</f>
        <v>41521</v>
      </c>
      <c r="H3" s="78">
        <f>DATE(Title!$F$12,9,H1)</f>
        <v>41522</v>
      </c>
      <c r="I3" s="78">
        <f>DATE(Title!$F$12,9,I1)</f>
        <v>41523</v>
      </c>
      <c r="J3" s="78">
        <f>DATE(Title!$F$12,9,J1)</f>
        <v>41524</v>
      </c>
      <c r="K3" s="78">
        <f>DATE(Title!$F$12,9,K1)</f>
        <v>41525</v>
      </c>
      <c r="L3" s="78">
        <f>DATE(Title!$F$12,9,L1)</f>
        <v>41526</v>
      </c>
      <c r="M3" s="78">
        <f>DATE(Title!$F$12,9,M1)</f>
        <v>41527</v>
      </c>
      <c r="N3" s="78">
        <f>DATE(Title!$F$12,9,N1)</f>
        <v>41528</v>
      </c>
      <c r="O3" s="78">
        <f>DATE(Title!$F$12,9,O1)</f>
        <v>41529</v>
      </c>
      <c r="P3" s="78">
        <f>DATE(Title!$F$12,9,P1)</f>
        <v>41530</v>
      </c>
      <c r="Q3" s="78">
        <f>DATE(Title!$F$12,9,Q1)</f>
        <v>41531</v>
      </c>
      <c r="R3" s="78">
        <f>DATE(Title!$F$12,9,R1)</f>
        <v>41532</v>
      </c>
      <c r="S3" s="78">
        <f>DATE(Title!$F$12,9,S1)</f>
        <v>41533</v>
      </c>
      <c r="T3" s="78">
        <f>DATE(Title!$F$12,9,T1)</f>
        <v>41534</v>
      </c>
      <c r="U3" s="78">
        <f>DATE(Title!$F$12,9,U1)</f>
        <v>41535</v>
      </c>
      <c r="V3" s="78">
        <f>DATE(Title!$F$12,9,V1)</f>
        <v>41536</v>
      </c>
      <c r="W3" s="78">
        <f>DATE(Title!$F$12,9,W1)</f>
        <v>41537</v>
      </c>
      <c r="X3" s="78">
        <f>DATE(Title!$F$12,9,X1)</f>
        <v>41538</v>
      </c>
      <c r="Y3" s="78">
        <f>DATE(Title!$F$12,9,Y1)</f>
        <v>41539</v>
      </c>
      <c r="Z3" s="78">
        <f>DATE(Title!$F$12,9,Z1)</f>
        <v>41540</v>
      </c>
      <c r="AA3" s="78">
        <f>DATE(Title!$F$12,9,AA1)</f>
        <v>41541</v>
      </c>
      <c r="AB3" s="78">
        <f>DATE(Title!$F$12,9,AB1)</f>
        <v>41542</v>
      </c>
      <c r="AC3" s="78">
        <f>DATE(Title!$F$12,9,AC1)</f>
        <v>41543</v>
      </c>
      <c r="AD3" s="78">
        <f>DATE(Title!$F$12,9,AD1)</f>
        <v>41544</v>
      </c>
      <c r="AE3" s="78">
        <f>DATE(Title!$F$12,9,AE1)</f>
        <v>41545</v>
      </c>
      <c r="AF3" s="78">
        <f>DATE(Title!$F$12,9,AF1)</f>
        <v>41546</v>
      </c>
      <c r="AG3" s="78">
        <f>DATE(Title!$F$12,9,AG1)</f>
        <v>41547</v>
      </c>
      <c r="AH3" s="110"/>
      <c r="AJ3" s="6" t="s">
        <v>5</v>
      </c>
    </row>
    <row r="5" spans="1:36" ht="15.75" thickBot="1" x14ac:dyDescent="0.3">
      <c r="B5" s="149" t="str">
        <f>'Hours Scheduled'!B4</f>
        <v>Barry Berendhuysen</v>
      </c>
      <c r="C5" t="s">
        <v>0</v>
      </c>
      <c r="D5" s="200"/>
      <c r="E5" s="2"/>
      <c r="F5" s="2"/>
      <c r="G5" s="2"/>
      <c r="H5" s="2"/>
      <c r="I5" s="2"/>
      <c r="J5" s="200"/>
      <c r="K5" s="200"/>
      <c r="L5" s="2"/>
      <c r="M5" s="2"/>
      <c r="N5" s="2"/>
      <c r="O5" s="2"/>
      <c r="P5" s="2"/>
      <c r="Q5" s="200"/>
      <c r="R5" s="200"/>
      <c r="S5" s="2"/>
      <c r="T5" s="2"/>
      <c r="U5" s="2"/>
      <c r="V5" s="2"/>
      <c r="W5" s="2"/>
      <c r="X5" s="200"/>
      <c r="Y5" s="200"/>
      <c r="Z5" s="2"/>
      <c r="AA5" s="2"/>
      <c r="AB5" s="2"/>
      <c r="AC5" s="2"/>
      <c r="AD5" s="2"/>
      <c r="AE5" s="200"/>
      <c r="AF5" s="200"/>
      <c r="AG5" s="2"/>
      <c r="AH5" s="2"/>
      <c r="AJ5" s="64">
        <f>SUM(D5:AH5)</f>
        <v>0</v>
      </c>
    </row>
    <row r="6" spans="1:36" ht="15.75" hidden="1" outlineLevel="1" thickTop="1" x14ac:dyDescent="0.25">
      <c r="B6" s="150"/>
      <c r="C6" s="1" t="s">
        <v>1</v>
      </c>
      <c r="D6" s="200"/>
      <c r="E6" s="3"/>
      <c r="F6" s="3"/>
      <c r="G6" s="3"/>
      <c r="H6" s="3"/>
      <c r="I6" s="3"/>
      <c r="J6" s="200"/>
      <c r="K6" s="200"/>
      <c r="L6" s="3"/>
      <c r="M6" s="3"/>
      <c r="N6" s="3"/>
      <c r="O6" s="3"/>
      <c r="P6" s="3"/>
      <c r="Q6" s="200"/>
      <c r="R6" s="200"/>
      <c r="S6" s="3"/>
      <c r="T6" s="3"/>
      <c r="U6" s="3"/>
      <c r="V6" s="3"/>
      <c r="W6" s="3"/>
      <c r="X6" s="200"/>
      <c r="Y6" s="200"/>
      <c r="Z6" s="3"/>
      <c r="AA6" s="3"/>
      <c r="AB6" s="3"/>
      <c r="AC6" s="3"/>
      <c r="AD6" s="3"/>
      <c r="AE6" s="200"/>
      <c r="AF6" s="200"/>
      <c r="AG6" s="3"/>
      <c r="AH6" s="3"/>
      <c r="AJ6" s="70">
        <f t="shared" ref="AJ6:AJ9" si="0">SUM(D6:AH6)</f>
        <v>0</v>
      </c>
    </row>
    <row r="7" spans="1:36" hidden="1" outlineLevel="1" x14ac:dyDescent="0.25">
      <c r="B7" s="151"/>
      <c r="C7" s="1" t="s">
        <v>2</v>
      </c>
      <c r="D7" s="200"/>
      <c r="E7" s="4"/>
      <c r="F7" s="4"/>
      <c r="G7" s="4"/>
      <c r="H7" s="4"/>
      <c r="I7" s="4"/>
      <c r="J7" s="200"/>
      <c r="K7" s="200"/>
      <c r="L7" s="4"/>
      <c r="M7" s="4"/>
      <c r="N7" s="4"/>
      <c r="O7" s="4"/>
      <c r="P7" s="4"/>
      <c r="Q7" s="200"/>
      <c r="R7" s="200"/>
      <c r="S7" s="4"/>
      <c r="T7" s="4"/>
      <c r="U7" s="4"/>
      <c r="V7" s="4"/>
      <c r="W7" s="4"/>
      <c r="X7" s="200"/>
      <c r="Y7" s="200"/>
      <c r="Z7" s="4"/>
      <c r="AA7" s="4"/>
      <c r="AB7" s="4"/>
      <c r="AC7" s="4"/>
      <c r="AD7" s="4"/>
      <c r="AE7" s="200"/>
      <c r="AF7" s="200"/>
      <c r="AG7" s="4"/>
      <c r="AH7" s="4"/>
      <c r="AJ7" s="71">
        <f t="shared" si="0"/>
        <v>0</v>
      </c>
    </row>
    <row r="8" spans="1:36" hidden="1" outlineLevel="1" x14ac:dyDescent="0.25">
      <c r="B8" s="151"/>
      <c r="C8" s="54" t="s">
        <v>77</v>
      </c>
      <c r="D8" s="200"/>
      <c r="E8" s="5"/>
      <c r="F8" s="5"/>
      <c r="G8" s="5"/>
      <c r="H8" s="5"/>
      <c r="I8" s="5"/>
      <c r="J8" s="200"/>
      <c r="K8" s="200"/>
      <c r="L8" s="5"/>
      <c r="M8" s="5"/>
      <c r="N8" s="5"/>
      <c r="O8" s="5"/>
      <c r="P8" s="5"/>
      <c r="Q8" s="200"/>
      <c r="R8" s="200"/>
      <c r="S8" s="5"/>
      <c r="T8" s="5"/>
      <c r="U8" s="5"/>
      <c r="V8" s="5"/>
      <c r="W8" s="5"/>
      <c r="X8" s="200"/>
      <c r="Y8" s="200"/>
      <c r="Z8" s="5"/>
      <c r="AA8" s="5"/>
      <c r="AB8" s="5"/>
      <c r="AC8" s="5"/>
      <c r="AD8" s="5"/>
      <c r="AE8" s="200"/>
      <c r="AF8" s="200"/>
      <c r="AG8" s="5"/>
      <c r="AH8" s="5"/>
      <c r="AJ8" s="72">
        <f t="shared" si="0"/>
        <v>0</v>
      </c>
    </row>
    <row r="9" spans="1:36" ht="15.75" hidden="1" outlineLevel="1" thickBot="1" x14ac:dyDescent="0.3">
      <c r="B9" s="151"/>
      <c r="C9" s="9" t="s">
        <v>3</v>
      </c>
      <c r="D9" s="201"/>
      <c r="E9" s="8"/>
      <c r="F9" s="8"/>
      <c r="G9" s="8"/>
      <c r="H9" s="8"/>
      <c r="I9" s="8"/>
      <c r="J9" s="201"/>
      <c r="K9" s="201"/>
      <c r="L9" s="8"/>
      <c r="M9" s="8"/>
      <c r="N9" s="8"/>
      <c r="O9" s="8"/>
      <c r="P9" s="8"/>
      <c r="Q9" s="201"/>
      <c r="R9" s="201"/>
      <c r="S9" s="8"/>
      <c r="T9" s="8"/>
      <c r="U9" s="8"/>
      <c r="V9" s="8"/>
      <c r="W9" s="8"/>
      <c r="X9" s="201"/>
      <c r="Y9" s="201"/>
      <c r="Z9" s="8"/>
      <c r="AA9" s="8"/>
      <c r="AB9" s="8"/>
      <c r="AC9" s="8"/>
      <c r="AD9" s="8"/>
      <c r="AE9" s="201"/>
      <c r="AF9" s="201"/>
      <c r="AG9" s="8"/>
      <c r="AH9" s="8"/>
      <c r="AI9" s="7"/>
      <c r="AJ9" s="69">
        <f t="shared" si="0"/>
        <v>0</v>
      </c>
    </row>
    <row r="10" spans="1:36" ht="16.5" collapsed="1" thickTop="1" thickBot="1" x14ac:dyDescent="0.3">
      <c r="B10" s="253" t="str">
        <f>'Hours Scheduled'!B5</f>
        <v>Bas Boermans</v>
      </c>
      <c r="C10" t="s">
        <v>0</v>
      </c>
      <c r="D10" s="200"/>
      <c r="E10" s="2"/>
      <c r="F10" s="2"/>
      <c r="G10" s="2"/>
      <c r="H10" s="2"/>
      <c r="I10" s="2"/>
      <c r="J10" s="200"/>
      <c r="K10" s="200"/>
      <c r="L10" s="2"/>
      <c r="M10" s="2"/>
      <c r="N10" s="2"/>
      <c r="O10" s="2"/>
      <c r="P10" s="2"/>
      <c r="Q10" s="200"/>
      <c r="R10" s="200"/>
      <c r="S10" s="2"/>
      <c r="T10" s="2"/>
      <c r="U10" s="2"/>
      <c r="V10" s="2"/>
      <c r="W10" s="2"/>
      <c r="X10" s="200"/>
      <c r="Y10" s="200"/>
      <c r="Z10" s="2"/>
      <c r="AA10" s="2"/>
      <c r="AB10" s="2"/>
      <c r="AC10" s="2"/>
      <c r="AD10" s="2"/>
      <c r="AE10" s="200"/>
      <c r="AF10" s="200"/>
      <c r="AG10" s="2"/>
      <c r="AH10" s="2"/>
      <c r="AJ10" s="64">
        <f>SUM(D10:AH10)</f>
        <v>0</v>
      </c>
    </row>
    <row r="11" spans="1:36" ht="15.75" hidden="1" outlineLevel="1" thickTop="1" x14ac:dyDescent="0.25">
      <c r="B11" s="150"/>
      <c r="C11" s="1" t="s">
        <v>1</v>
      </c>
      <c r="D11" s="200"/>
      <c r="E11" s="3"/>
      <c r="F11" s="3"/>
      <c r="G11" s="3"/>
      <c r="H11" s="3"/>
      <c r="I11" s="3"/>
      <c r="J11" s="200"/>
      <c r="K11" s="200"/>
      <c r="L11" s="3"/>
      <c r="M11" s="3"/>
      <c r="N11" s="3"/>
      <c r="O11" s="3"/>
      <c r="P11" s="3"/>
      <c r="Q11" s="200"/>
      <c r="R11" s="200"/>
      <c r="S11" s="3"/>
      <c r="T11" s="3"/>
      <c r="U11" s="3"/>
      <c r="V11" s="3"/>
      <c r="W11" s="3"/>
      <c r="X11" s="200"/>
      <c r="Y11" s="200"/>
      <c r="Z11" s="3"/>
      <c r="AA11" s="3"/>
      <c r="AB11" s="3"/>
      <c r="AC11" s="3"/>
      <c r="AD11" s="3"/>
      <c r="AE11" s="200"/>
      <c r="AF11" s="200"/>
      <c r="AG11" s="3"/>
      <c r="AH11" s="3"/>
      <c r="AJ11" s="70">
        <f t="shared" ref="AJ11:AJ14" si="1">SUM(D11:AH11)</f>
        <v>0</v>
      </c>
    </row>
    <row r="12" spans="1:36" hidden="1" outlineLevel="1" x14ac:dyDescent="0.25">
      <c r="B12" s="151"/>
      <c r="C12" s="1" t="s">
        <v>2</v>
      </c>
      <c r="D12" s="200"/>
      <c r="E12" s="4"/>
      <c r="F12" s="4"/>
      <c r="G12" s="4"/>
      <c r="H12" s="4"/>
      <c r="I12" s="4"/>
      <c r="J12" s="200"/>
      <c r="K12" s="200"/>
      <c r="L12" s="4"/>
      <c r="M12" s="4"/>
      <c r="N12" s="4"/>
      <c r="O12" s="4"/>
      <c r="P12" s="4"/>
      <c r="Q12" s="200"/>
      <c r="R12" s="200"/>
      <c r="S12" s="4"/>
      <c r="T12" s="4"/>
      <c r="U12" s="4"/>
      <c r="V12" s="4"/>
      <c r="W12" s="4"/>
      <c r="X12" s="200"/>
      <c r="Y12" s="200"/>
      <c r="Z12" s="4"/>
      <c r="AA12" s="4"/>
      <c r="AB12" s="4"/>
      <c r="AC12" s="4"/>
      <c r="AD12" s="4"/>
      <c r="AE12" s="200"/>
      <c r="AF12" s="200"/>
      <c r="AG12" s="4"/>
      <c r="AH12" s="4"/>
      <c r="AJ12" s="71">
        <f t="shared" si="1"/>
        <v>0</v>
      </c>
    </row>
    <row r="13" spans="1:36" hidden="1" outlineLevel="1" x14ac:dyDescent="0.25">
      <c r="B13" s="151"/>
      <c r="C13" s="54" t="s">
        <v>77</v>
      </c>
      <c r="D13" s="200"/>
      <c r="E13" s="5"/>
      <c r="F13" s="5"/>
      <c r="G13" s="5"/>
      <c r="H13" s="5"/>
      <c r="I13" s="5"/>
      <c r="J13" s="200"/>
      <c r="K13" s="200"/>
      <c r="L13" s="5"/>
      <c r="M13" s="5"/>
      <c r="N13" s="5"/>
      <c r="O13" s="5"/>
      <c r="P13" s="5"/>
      <c r="Q13" s="200"/>
      <c r="R13" s="200"/>
      <c r="S13" s="5"/>
      <c r="T13" s="5"/>
      <c r="U13" s="5"/>
      <c r="V13" s="5"/>
      <c r="W13" s="5"/>
      <c r="X13" s="200"/>
      <c r="Y13" s="200"/>
      <c r="Z13" s="5"/>
      <c r="AA13" s="5"/>
      <c r="AB13" s="5"/>
      <c r="AC13" s="5"/>
      <c r="AD13" s="5"/>
      <c r="AE13" s="200"/>
      <c r="AF13" s="200"/>
      <c r="AG13" s="5"/>
      <c r="AH13" s="5"/>
      <c r="AJ13" s="72">
        <f t="shared" si="1"/>
        <v>0</v>
      </c>
    </row>
    <row r="14" spans="1:36" ht="15.75" hidden="1" outlineLevel="1" thickBot="1" x14ac:dyDescent="0.3">
      <c r="B14" s="151"/>
      <c r="C14" s="9" t="s">
        <v>3</v>
      </c>
      <c r="D14" s="201"/>
      <c r="E14" s="8"/>
      <c r="F14" s="8"/>
      <c r="G14" s="8"/>
      <c r="H14" s="8"/>
      <c r="I14" s="8"/>
      <c r="J14" s="201"/>
      <c r="K14" s="201"/>
      <c r="L14" s="8"/>
      <c r="M14" s="8"/>
      <c r="N14" s="8"/>
      <c r="O14" s="8"/>
      <c r="P14" s="8"/>
      <c r="Q14" s="201"/>
      <c r="R14" s="201"/>
      <c r="S14" s="8"/>
      <c r="T14" s="8"/>
      <c r="U14" s="8"/>
      <c r="V14" s="8"/>
      <c r="W14" s="8"/>
      <c r="X14" s="201"/>
      <c r="Y14" s="201"/>
      <c r="Z14" s="8"/>
      <c r="AA14" s="8"/>
      <c r="AB14" s="8"/>
      <c r="AC14" s="8"/>
      <c r="AD14" s="8"/>
      <c r="AE14" s="201"/>
      <c r="AF14" s="201"/>
      <c r="AG14" s="8"/>
      <c r="AH14" s="8"/>
      <c r="AI14" s="7"/>
      <c r="AJ14" s="69">
        <f t="shared" si="1"/>
        <v>0</v>
      </c>
    </row>
    <row r="15" spans="1:36" ht="16.5" collapsed="1" thickTop="1" thickBot="1" x14ac:dyDescent="0.3">
      <c r="B15" s="253" t="str">
        <f>'Hours Scheduled'!B6</f>
        <v>Bastiaan Franssen</v>
      </c>
      <c r="C15" t="s">
        <v>0</v>
      </c>
      <c r="D15" s="200"/>
      <c r="E15" s="2"/>
      <c r="F15" s="2"/>
      <c r="G15" s="2"/>
      <c r="H15" s="2"/>
      <c r="I15" s="2"/>
      <c r="J15" s="200"/>
      <c r="K15" s="200"/>
      <c r="L15" s="2"/>
      <c r="M15" s="2"/>
      <c r="N15" s="2"/>
      <c r="O15" s="2"/>
      <c r="P15" s="2"/>
      <c r="Q15" s="200"/>
      <c r="R15" s="200"/>
      <c r="S15" s="2"/>
      <c r="T15" s="2"/>
      <c r="U15" s="2"/>
      <c r="V15" s="2"/>
      <c r="W15" s="2"/>
      <c r="X15" s="200"/>
      <c r="Y15" s="200"/>
      <c r="Z15" s="2"/>
      <c r="AA15" s="2"/>
      <c r="AB15" s="2"/>
      <c r="AC15" s="2"/>
      <c r="AD15" s="2"/>
      <c r="AE15" s="200"/>
      <c r="AF15" s="200"/>
      <c r="AG15" s="2"/>
      <c r="AH15" s="2"/>
      <c r="AJ15" s="64">
        <f>SUM(D15:AH15)</f>
        <v>0</v>
      </c>
    </row>
    <row r="16" spans="1:36" ht="15.75" hidden="1" outlineLevel="1" thickTop="1" x14ac:dyDescent="0.25">
      <c r="B16" s="150"/>
      <c r="C16" s="1" t="s">
        <v>1</v>
      </c>
      <c r="D16" s="218"/>
      <c r="E16" s="216"/>
      <c r="F16" s="216"/>
      <c r="G16" s="216"/>
      <c r="H16" s="216"/>
      <c r="I16" s="216"/>
      <c r="J16" s="218"/>
      <c r="K16" s="218"/>
      <c r="L16" s="216"/>
      <c r="M16" s="216"/>
      <c r="N16" s="216"/>
      <c r="O16" s="216"/>
      <c r="P16" s="216"/>
      <c r="Q16" s="218"/>
      <c r="R16" s="218"/>
      <c r="S16" s="216"/>
      <c r="T16" s="216"/>
      <c r="U16" s="216"/>
      <c r="V16" s="216"/>
      <c r="W16" s="216"/>
      <c r="X16" s="218"/>
      <c r="Y16" s="218"/>
      <c r="Z16" s="216"/>
      <c r="AA16" s="216"/>
      <c r="AB16" s="216"/>
      <c r="AC16" s="216"/>
      <c r="AD16" s="216"/>
      <c r="AE16" s="218"/>
      <c r="AF16" s="218"/>
      <c r="AG16" s="216"/>
      <c r="AH16" s="216"/>
      <c r="AJ16" s="70">
        <f t="shared" ref="AJ16:AJ19" si="2">SUM(D16:AH16)</f>
        <v>0</v>
      </c>
    </row>
    <row r="17" spans="2:36" hidden="1" outlineLevel="1" x14ac:dyDescent="0.25">
      <c r="B17" s="151"/>
      <c r="C17" s="1" t="s">
        <v>2</v>
      </c>
      <c r="D17" s="200"/>
      <c r="E17" s="4"/>
      <c r="F17" s="4"/>
      <c r="G17" s="4"/>
      <c r="H17" s="4"/>
      <c r="I17" s="4"/>
      <c r="J17" s="200"/>
      <c r="K17" s="200"/>
      <c r="L17" s="4"/>
      <c r="M17" s="4"/>
      <c r="N17" s="4"/>
      <c r="O17" s="4"/>
      <c r="P17" s="4"/>
      <c r="Q17" s="200"/>
      <c r="R17" s="200"/>
      <c r="S17" s="4"/>
      <c r="T17" s="4"/>
      <c r="U17" s="4"/>
      <c r="V17" s="4"/>
      <c r="W17" s="4"/>
      <c r="X17" s="200"/>
      <c r="Y17" s="200"/>
      <c r="Z17" s="4"/>
      <c r="AA17" s="4"/>
      <c r="AB17" s="4"/>
      <c r="AC17" s="4"/>
      <c r="AD17" s="4"/>
      <c r="AE17" s="200"/>
      <c r="AF17" s="200"/>
      <c r="AG17" s="4"/>
      <c r="AH17" s="4"/>
      <c r="AJ17" s="71">
        <f t="shared" si="2"/>
        <v>0</v>
      </c>
    </row>
    <row r="18" spans="2:36" hidden="1" outlineLevel="1" x14ac:dyDescent="0.25">
      <c r="B18" s="151"/>
      <c r="C18" s="54" t="s">
        <v>77</v>
      </c>
      <c r="D18" s="200"/>
      <c r="E18" s="5"/>
      <c r="F18" s="5"/>
      <c r="G18" s="5"/>
      <c r="H18" s="5"/>
      <c r="I18" s="5"/>
      <c r="J18" s="200"/>
      <c r="K18" s="200"/>
      <c r="L18" s="5"/>
      <c r="M18" s="5"/>
      <c r="N18" s="5"/>
      <c r="O18" s="5"/>
      <c r="P18" s="5"/>
      <c r="Q18" s="200"/>
      <c r="R18" s="200"/>
      <c r="S18" s="5"/>
      <c r="T18" s="5"/>
      <c r="U18" s="5"/>
      <c r="V18" s="5"/>
      <c r="W18" s="5"/>
      <c r="X18" s="200"/>
      <c r="Y18" s="200"/>
      <c r="Z18" s="5"/>
      <c r="AA18" s="5"/>
      <c r="AB18" s="5"/>
      <c r="AC18" s="5"/>
      <c r="AD18" s="5"/>
      <c r="AE18" s="200"/>
      <c r="AF18" s="200"/>
      <c r="AG18" s="5"/>
      <c r="AH18" s="5"/>
      <c r="AJ18" s="72">
        <f t="shared" si="2"/>
        <v>0</v>
      </c>
    </row>
    <row r="19" spans="2:36" ht="15.75" hidden="1" outlineLevel="1" thickBot="1" x14ac:dyDescent="0.3">
      <c r="B19" s="151"/>
      <c r="C19" s="9" t="s">
        <v>3</v>
      </c>
      <c r="D19" s="201"/>
      <c r="E19" s="8"/>
      <c r="F19" s="8"/>
      <c r="G19" s="8"/>
      <c r="H19" s="8"/>
      <c r="I19" s="8"/>
      <c r="J19" s="201"/>
      <c r="K19" s="201"/>
      <c r="L19" s="8"/>
      <c r="M19" s="8"/>
      <c r="N19" s="8"/>
      <c r="O19" s="8"/>
      <c r="P19" s="8"/>
      <c r="Q19" s="201"/>
      <c r="R19" s="201"/>
      <c r="S19" s="8"/>
      <c r="T19" s="8"/>
      <c r="U19" s="8"/>
      <c r="V19" s="8"/>
      <c r="W19" s="8"/>
      <c r="X19" s="201"/>
      <c r="Y19" s="201"/>
      <c r="Z19" s="8"/>
      <c r="AA19" s="8"/>
      <c r="AB19" s="8"/>
      <c r="AC19" s="8"/>
      <c r="AD19" s="8"/>
      <c r="AE19" s="201"/>
      <c r="AF19" s="201"/>
      <c r="AG19" s="8"/>
      <c r="AH19" s="8"/>
      <c r="AI19" s="7"/>
      <c r="AJ19" s="69">
        <f t="shared" si="2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200"/>
      <c r="E20" s="2"/>
      <c r="F20" s="2"/>
      <c r="G20" s="2"/>
      <c r="H20" s="2"/>
      <c r="I20" s="2"/>
      <c r="J20" s="200"/>
      <c r="K20" s="200"/>
      <c r="L20" s="2"/>
      <c r="M20" s="2"/>
      <c r="N20" s="2"/>
      <c r="O20" s="2"/>
      <c r="P20" s="2"/>
      <c r="Q20" s="200"/>
      <c r="R20" s="200"/>
      <c r="S20" s="2"/>
      <c r="T20" s="2"/>
      <c r="U20" s="2"/>
      <c r="V20" s="2"/>
      <c r="W20" s="2"/>
      <c r="X20" s="200"/>
      <c r="Y20" s="200"/>
      <c r="Z20" s="2"/>
      <c r="AA20" s="2"/>
      <c r="AB20" s="2"/>
      <c r="AC20" s="2"/>
      <c r="AD20" s="2"/>
      <c r="AE20" s="200"/>
      <c r="AF20" s="200"/>
      <c r="AG20" s="2"/>
      <c r="AH20" s="2"/>
      <c r="AJ20" s="64">
        <f>SUM(D20:AH20)</f>
        <v>0</v>
      </c>
    </row>
    <row r="21" spans="2:36" ht="15.75" hidden="1" outlineLevel="1" thickTop="1" x14ac:dyDescent="0.25">
      <c r="B21" s="150"/>
      <c r="C21" s="1" t="s">
        <v>1</v>
      </c>
      <c r="D21" s="200"/>
      <c r="E21" s="3"/>
      <c r="F21" s="3"/>
      <c r="G21" s="3"/>
      <c r="H21" s="3"/>
      <c r="I21" s="3"/>
      <c r="J21" s="200"/>
      <c r="K21" s="200"/>
      <c r="L21" s="3"/>
      <c r="M21" s="3"/>
      <c r="N21" s="3"/>
      <c r="O21" s="3"/>
      <c r="P21" s="3"/>
      <c r="Q21" s="200"/>
      <c r="R21" s="200"/>
      <c r="S21" s="3"/>
      <c r="T21" s="3"/>
      <c r="U21" s="3"/>
      <c r="V21" s="3"/>
      <c r="W21" s="3"/>
      <c r="X21" s="200"/>
      <c r="Y21" s="200"/>
      <c r="Z21" s="3"/>
      <c r="AA21" s="3"/>
      <c r="AB21" s="3"/>
      <c r="AC21" s="3"/>
      <c r="AD21" s="3"/>
      <c r="AE21" s="200"/>
      <c r="AF21" s="200"/>
      <c r="AG21" s="3"/>
      <c r="AH21" s="3"/>
      <c r="AJ21" s="70">
        <f t="shared" ref="AJ21:AJ24" si="3">SUM(D21:AH21)</f>
        <v>0</v>
      </c>
    </row>
    <row r="22" spans="2:36" hidden="1" outlineLevel="1" x14ac:dyDescent="0.25">
      <c r="B22" s="151"/>
      <c r="C22" s="1" t="s">
        <v>2</v>
      </c>
      <c r="D22" s="200"/>
      <c r="E22" s="4"/>
      <c r="F22" s="4"/>
      <c r="G22" s="4"/>
      <c r="H22" s="4"/>
      <c r="I22" s="4"/>
      <c r="J22" s="200"/>
      <c r="K22" s="200"/>
      <c r="L22" s="4"/>
      <c r="M22" s="4"/>
      <c r="N22" s="4"/>
      <c r="O22" s="4"/>
      <c r="P22" s="4"/>
      <c r="Q22" s="200"/>
      <c r="R22" s="200"/>
      <c r="S22" s="4"/>
      <c r="T22" s="4"/>
      <c r="U22" s="4"/>
      <c r="V22" s="4"/>
      <c r="W22" s="4"/>
      <c r="X22" s="200"/>
      <c r="Y22" s="200"/>
      <c r="Z22" s="4"/>
      <c r="AA22" s="4"/>
      <c r="AB22" s="4"/>
      <c r="AC22" s="4"/>
      <c r="AD22" s="4"/>
      <c r="AE22" s="200"/>
      <c r="AF22" s="200"/>
      <c r="AG22" s="4"/>
      <c r="AH22" s="4"/>
      <c r="AJ22" s="71">
        <f t="shared" si="3"/>
        <v>0</v>
      </c>
    </row>
    <row r="23" spans="2:36" hidden="1" outlineLevel="1" x14ac:dyDescent="0.25">
      <c r="B23" s="151"/>
      <c r="C23" s="54" t="s">
        <v>77</v>
      </c>
      <c r="D23" s="200"/>
      <c r="E23" s="5"/>
      <c r="F23" s="5"/>
      <c r="G23" s="5"/>
      <c r="H23" s="5"/>
      <c r="I23" s="5"/>
      <c r="J23" s="200"/>
      <c r="K23" s="200"/>
      <c r="L23" s="5"/>
      <c r="M23" s="5"/>
      <c r="N23" s="5"/>
      <c r="O23" s="5"/>
      <c r="P23" s="5"/>
      <c r="Q23" s="200"/>
      <c r="R23" s="200"/>
      <c r="S23" s="5"/>
      <c r="T23" s="5"/>
      <c r="U23" s="5"/>
      <c r="V23" s="5"/>
      <c r="W23" s="5"/>
      <c r="X23" s="200"/>
      <c r="Y23" s="200"/>
      <c r="Z23" s="5"/>
      <c r="AA23" s="5"/>
      <c r="AB23" s="5"/>
      <c r="AC23" s="5"/>
      <c r="AD23" s="5"/>
      <c r="AE23" s="200"/>
      <c r="AF23" s="200"/>
      <c r="AG23" s="5"/>
      <c r="AH23" s="5"/>
      <c r="AJ23" s="72">
        <f t="shared" si="3"/>
        <v>0</v>
      </c>
    </row>
    <row r="24" spans="2:36" ht="15.75" hidden="1" outlineLevel="1" thickBot="1" x14ac:dyDescent="0.3">
      <c r="B24" s="151"/>
      <c r="C24" s="9" t="s">
        <v>3</v>
      </c>
      <c r="D24" s="201"/>
      <c r="E24" s="8"/>
      <c r="F24" s="8"/>
      <c r="G24" s="8"/>
      <c r="H24" s="8"/>
      <c r="I24" s="8"/>
      <c r="J24" s="201"/>
      <c r="K24" s="201"/>
      <c r="L24" s="8"/>
      <c r="M24" s="8"/>
      <c r="N24" s="8"/>
      <c r="O24" s="8"/>
      <c r="P24" s="8"/>
      <c r="Q24" s="201"/>
      <c r="R24" s="201"/>
      <c r="S24" s="8"/>
      <c r="T24" s="8"/>
      <c r="U24" s="8"/>
      <c r="V24" s="8"/>
      <c r="W24" s="8"/>
      <c r="X24" s="201"/>
      <c r="Y24" s="201"/>
      <c r="Z24" s="8"/>
      <c r="AA24" s="8"/>
      <c r="AB24" s="8"/>
      <c r="AC24" s="8"/>
      <c r="AD24" s="8"/>
      <c r="AE24" s="201"/>
      <c r="AF24" s="201"/>
      <c r="AG24" s="8"/>
      <c r="AH24" s="8"/>
      <c r="AI24" s="7"/>
      <c r="AJ24" s="69">
        <f t="shared" si="3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200"/>
      <c r="E25" s="2"/>
      <c r="F25" s="2"/>
      <c r="G25" s="2"/>
      <c r="H25" s="2"/>
      <c r="I25" s="2"/>
      <c r="J25" s="200"/>
      <c r="K25" s="200"/>
      <c r="L25" s="2"/>
      <c r="M25" s="2"/>
      <c r="N25" s="2"/>
      <c r="O25" s="2"/>
      <c r="P25" s="2"/>
      <c r="Q25" s="200"/>
      <c r="R25" s="200"/>
      <c r="S25" s="2"/>
      <c r="T25" s="2"/>
      <c r="U25" s="2"/>
      <c r="V25" s="2"/>
      <c r="W25" s="2"/>
      <c r="X25" s="200"/>
      <c r="Y25" s="200"/>
      <c r="Z25" s="2"/>
      <c r="AA25" s="2"/>
      <c r="AB25" s="2"/>
      <c r="AC25" s="2"/>
      <c r="AD25" s="2"/>
      <c r="AE25" s="200"/>
      <c r="AF25" s="200"/>
      <c r="AG25" s="2"/>
      <c r="AH25" s="2"/>
      <c r="AJ25" s="64">
        <f>SUM(D25:AH25)</f>
        <v>0</v>
      </c>
    </row>
    <row r="26" spans="2:36" ht="15.75" hidden="1" outlineLevel="1" thickTop="1" x14ac:dyDescent="0.25">
      <c r="B26" s="150"/>
      <c r="C26" s="1" t="s">
        <v>1</v>
      </c>
      <c r="D26" s="200"/>
      <c r="E26" s="3"/>
      <c r="F26" s="3"/>
      <c r="G26" s="3"/>
      <c r="H26" s="3"/>
      <c r="I26" s="3"/>
      <c r="J26" s="200"/>
      <c r="K26" s="200"/>
      <c r="L26" s="3"/>
      <c r="M26" s="3"/>
      <c r="N26" s="3"/>
      <c r="O26" s="3"/>
      <c r="P26" s="3"/>
      <c r="Q26" s="200"/>
      <c r="R26" s="200"/>
      <c r="S26" s="3"/>
      <c r="T26" s="3"/>
      <c r="U26" s="3"/>
      <c r="V26" s="3"/>
      <c r="W26" s="3"/>
      <c r="X26" s="200"/>
      <c r="Y26" s="200"/>
      <c r="Z26" s="3"/>
      <c r="AA26" s="3"/>
      <c r="AB26" s="3"/>
      <c r="AC26" s="3"/>
      <c r="AD26" s="3"/>
      <c r="AE26" s="200"/>
      <c r="AF26" s="200"/>
      <c r="AG26" s="3"/>
      <c r="AH26" s="3"/>
      <c r="AJ26" s="70">
        <f t="shared" ref="AJ26:AJ29" si="4">SUM(D26:AH26)</f>
        <v>0</v>
      </c>
    </row>
    <row r="27" spans="2:36" hidden="1" outlineLevel="1" x14ac:dyDescent="0.25">
      <c r="B27" s="151"/>
      <c r="C27" s="1" t="s">
        <v>2</v>
      </c>
      <c r="D27" s="200"/>
      <c r="E27" s="4"/>
      <c r="F27" s="4"/>
      <c r="G27" s="4"/>
      <c r="H27" s="4"/>
      <c r="I27" s="4"/>
      <c r="J27" s="200"/>
      <c r="K27" s="200"/>
      <c r="L27" s="4"/>
      <c r="M27" s="4"/>
      <c r="N27" s="4"/>
      <c r="O27" s="4"/>
      <c r="P27" s="4"/>
      <c r="Q27" s="200"/>
      <c r="R27" s="200"/>
      <c r="S27" s="4"/>
      <c r="T27" s="4"/>
      <c r="U27" s="4"/>
      <c r="V27" s="4"/>
      <c r="W27" s="4"/>
      <c r="X27" s="200"/>
      <c r="Y27" s="200"/>
      <c r="Z27" s="4"/>
      <c r="AA27" s="4"/>
      <c r="AB27" s="4"/>
      <c r="AC27" s="4"/>
      <c r="AD27" s="4"/>
      <c r="AE27" s="200"/>
      <c r="AF27" s="200"/>
      <c r="AG27" s="4"/>
      <c r="AH27" s="4"/>
      <c r="AJ27" s="71">
        <f t="shared" si="4"/>
        <v>0</v>
      </c>
    </row>
    <row r="28" spans="2:36" hidden="1" outlineLevel="1" x14ac:dyDescent="0.25">
      <c r="B28" s="151"/>
      <c r="C28" s="54" t="s">
        <v>77</v>
      </c>
      <c r="D28" s="200"/>
      <c r="E28" s="5"/>
      <c r="F28" s="5"/>
      <c r="G28" s="5"/>
      <c r="H28" s="5"/>
      <c r="I28" s="5"/>
      <c r="J28" s="200"/>
      <c r="K28" s="200"/>
      <c r="L28" s="5"/>
      <c r="M28" s="5"/>
      <c r="N28" s="5"/>
      <c r="O28" s="5"/>
      <c r="P28" s="5"/>
      <c r="Q28" s="200"/>
      <c r="R28" s="200"/>
      <c r="S28" s="5"/>
      <c r="T28" s="5"/>
      <c r="U28" s="5"/>
      <c r="V28" s="5"/>
      <c r="W28" s="5"/>
      <c r="X28" s="200"/>
      <c r="Y28" s="200"/>
      <c r="Z28" s="5"/>
      <c r="AA28" s="5"/>
      <c r="AB28" s="5"/>
      <c r="AC28" s="5"/>
      <c r="AD28" s="5"/>
      <c r="AE28" s="200"/>
      <c r="AF28" s="200"/>
      <c r="AG28" s="5"/>
      <c r="AH28" s="5"/>
      <c r="AJ28" s="72">
        <f t="shared" si="4"/>
        <v>0</v>
      </c>
    </row>
    <row r="29" spans="2:36" ht="15.75" hidden="1" outlineLevel="1" thickBot="1" x14ac:dyDescent="0.3">
      <c r="B29" s="151"/>
      <c r="C29" s="9" t="s">
        <v>3</v>
      </c>
      <c r="D29" s="201"/>
      <c r="E29" s="8"/>
      <c r="F29" s="8"/>
      <c r="G29" s="8"/>
      <c r="H29" s="8"/>
      <c r="I29" s="8"/>
      <c r="J29" s="201"/>
      <c r="K29" s="201"/>
      <c r="L29" s="8"/>
      <c r="M29" s="8"/>
      <c r="N29" s="8"/>
      <c r="O29" s="8"/>
      <c r="P29" s="8"/>
      <c r="Q29" s="201"/>
      <c r="R29" s="201"/>
      <c r="S29" s="8"/>
      <c r="T29" s="8"/>
      <c r="U29" s="8"/>
      <c r="V29" s="8"/>
      <c r="W29" s="8"/>
      <c r="X29" s="201"/>
      <c r="Y29" s="201"/>
      <c r="Z29" s="8"/>
      <c r="AA29" s="8"/>
      <c r="AB29" s="8"/>
      <c r="AC29" s="8"/>
      <c r="AD29" s="8"/>
      <c r="AE29" s="201"/>
      <c r="AF29" s="201"/>
      <c r="AG29" s="8"/>
      <c r="AH29" s="8"/>
      <c r="AI29" s="7"/>
      <c r="AJ29" s="69">
        <f t="shared" si="4"/>
        <v>0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200"/>
      <c r="E30" s="2"/>
      <c r="F30" s="2"/>
      <c r="G30" s="2"/>
      <c r="H30" s="2"/>
      <c r="I30" s="2"/>
      <c r="J30" s="200"/>
      <c r="K30" s="200"/>
      <c r="L30" s="2"/>
      <c r="M30" s="2"/>
      <c r="N30" s="2"/>
      <c r="O30" s="2"/>
      <c r="P30" s="2"/>
      <c r="Q30" s="200"/>
      <c r="R30" s="200"/>
      <c r="S30" s="2"/>
      <c r="T30" s="2"/>
      <c r="U30" s="2"/>
      <c r="V30" s="2"/>
      <c r="W30" s="2"/>
      <c r="X30" s="200"/>
      <c r="Y30" s="200"/>
      <c r="Z30" s="2"/>
      <c r="AA30" s="2"/>
      <c r="AB30" s="2"/>
      <c r="AC30" s="2"/>
      <c r="AD30" s="2"/>
      <c r="AE30" s="200"/>
      <c r="AF30" s="200"/>
      <c r="AG30" s="2"/>
      <c r="AH30" s="2"/>
      <c r="AJ30" s="64">
        <f>SUM(D30:AH30)</f>
        <v>0</v>
      </c>
    </row>
    <row r="31" spans="2:36" ht="15.75" hidden="1" outlineLevel="1" thickTop="1" x14ac:dyDescent="0.25">
      <c r="B31" s="150"/>
      <c r="C31" s="1" t="s">
        <v>1</v>
      </c>
      <c r="D31" s="200"/>
      <c r="E31" s="3"/>
      <c r="F31" s="3"/>
      <c r="G31" s="3"/>
      <c r="H31" s="3"/>
      <c r="I31" s="3"/>
      <c r="J31" s="200"/>
      <c r="K31" s="200"/>
      <c r="L31" s="3"/>
      <c r="M31" s="3"/>
      <c r="N31" s="3"/>
      <c r="O31" s="3"/>
      <c r="P31" s="3"/>
      <c r="Q31" s="200"/>
      <c r="R31" s="200"/>
      <c r="S31" s="3"/>
      <c r="T31" s="3"/>
      <c r="U31" s="3"/>
      <c r="V31" s="3"/>
      <c r="W31" s="3"/>
      <c r="X31" s="200"/>
      <c r="Y31" s="200"/>
      <c r="Z31" s="3"/>
      <c r="AA31" s="3"/>
      <c r="AB31" s="3"/>
      <c r="AC31" s="3"/>
      <c r="AD31" s="3"/>
      <c r="AE31" s="200"/>
      <c r="AF31" s="200"/>
      <c r="AG31" s="3"/>
      <c r="AH31" s="3"/>
      <c r="AJ31" s="70">
        <f t="shared" ref="AJ31:AJ34" si="5">SUM(D31:AH31)</f>
        <v>0</v>
      </c>
    </row>
    <row r="32" spans="2:36" hidden="1" outlineLevel="1" x14ac:dyDescent="0.25">
      <c r="B32" s="151"/>
      <c r="C32" s="1" t="s">
        <v>2</v>
      </c>
      <c r="D32" s="200"/>
      <c r="E32" s="4"/>
      <c r="F32" s="4"/>
      <c r="G32" s="4"/>
      <c r="H32" s="4"/>
      <c r="I32" s="4"/>
      <c r="J32" s="200"/>
      <c r="K32" s="200"/>
      <c r="L32" s="4"/>
      <c r="M32" s="4"/>
      <c r="N32" s="4"/>
      <c r="O32" s="4"/>
      <c r="P32" s="4"/>
      <c r="Q32" s="200"/>
      <c r="R32" s="200"/>
      <c r="S32" s="4"/>
      <c r="T32" s="4"/>
      <c r="U32" s="4"/>
      <c r="V32" s="4"/>
      <c r="W32" s="4"/>
      <c r="X32" s="200"/>
      <c r="Y32" s="200"/>
      <c r="Z32" s="4"/>
      <c r="AA32" s="4"/>
      <c r="AB32" s="4"/>
      <c r="AC32" s="4"/>
      <c r="AD32" s="4"/>
      <c r="AE32" s="200"/>
      <c r="AF32" s="200"/>
      <c r="AG32" s="4"/>
      <c r="AH32" s="4"/>
      <c r="AJ32" s="71">
        <f t="shared" si="5"/>
        <v>0</v>
      </c>
    </row>
    <row r="33" spans="2:36" hidden="1" outlineLevel="1" x14ac:dyDescent="0.25">
      <c r="B33" s="151"/>
      <c r="C33" s="54" t="s">
        <v>77</v>
      </c>
      <c r="D33" s="200"/>
      <c r="E33" s="5"/>
      <c r="F33" s="5"/>
      <c r="G33" s="5"/>
      <c r="H33" s="5"/>
      <c r="I33" s="5"/>
      <c r="J33" s="200"/>
      <c r="K33" s="200"/>
      <c r="L33" s="5"/>
      <c r="M33" s="5"/>
      <c r="N33" s="5"/>
      <c r="O33" s="5"/>
      <c r="P33" s="5"/>
      <c r="Q33" s="200"/>
      <c r="R33" s="200"/>
      <c r="S33" s="5"/>
      <c r="T33" s="5"/>
      <c r="U33" s="5"/>
      <c r="V33" s="5"/>
      <c r="W33" s="5"/>
      <c r="X33" s="200"/>
      <c r="Y33" s="200"/>
      <c r="Z33" s="5"/>
      <c r="AA33" s="5"/>
      <c r="AB33" s="5"/>
      <c r="AC33" s="5"/>
      <c r="AD33" s="5"/>
      <c r="AE33" s="200"/>
      <c r="AF33" s="200"/>
      <c r="AG33" s="5"/>
      <c r="AH33" s="5"/>
      <c r="AJ33" s="72">
        <f t="shared" si="5"/>
        <v>0</v>
      </c>
    </row>
    <row r="34" spans="2:36" ht="15.75" hidden="1" outlineLevel="1" thickBot="1" x14ac:dyDescent="0.3">
      <c r="B34" s="151"/>
      <c r="C34" s="9" t="s">
        <v>3</v>
      </c>
      <c r="D34" s="201"/>
      <c r="E34" s="8"/>
      <c r="F34" s="8"/>
      <c r="G34" s="8"/>
      <c r="H34" s="8"/>
      <c r="I34" s="8"/>
      <c r="J34" s="201"/>
      <c r="K34" s="201"/>
      <c r="L34" s="8"/>
      <c r="M34" s="8"/>
      <c r="N34" s="8"/>
      <c r="O34" s="8"/>
      <c r="P34" s="8"/>
      <c r="Q34" s="201"/>
      <c r="R34" s="201"/>
      <c r="S34" s="8"/>
      <c r="T34" s="8"/>
      <c r="U34" s="8"/>
      <c r="V34" s="8"/>
      <c r="W34" s="8"/>
      <c r="X34" s="201"/>
      <c r="Y34" s="201"/>
      <c r="Z34" s="8"/>
      <c r="AA34" s="8"/>
      <c r="AB34" s="8"/>
      <c r="AC34" s="8"/>
      <c r="AD34" s="8"/>
      <c r="AE34" s="201"/>
      <c r="AF34" s="201"/>
      <c r="AG34" s="8"/>
      <c r="AH34" s="8"/>
      <c r="AI34" s="7"/>
      <c r="AJ34" s="69">
        <f t="shared" si="5"/>
        <v>0</v>
      </c>
    </row>
    <row r="35" spans="2:36" ht="16.5" collapsed="1" thickTop="1" thickBot="1" x14ac:dyDescent="0.3">
      <c r="B35" s="253" t="str">
        <f>'Hours Scheduled'!B10</f>
        <v>Dennis van 't Hul</v>
      </c>
      <c r="C35" t="s">
        <v>0</v>
      </c>
      <c r="D35" s="200"/>
      <c r="E35" s="2"/>
      <c r="F35" s="2"/>
      <c r="G35" s="2"/>
      <c r="H35" s="2"/>
      <c r="I35" s="2"/>
      <c r="J35" s="200"/>
      <c r="K35" s="200"/>
      <c r="L35" s="2"/>
      <c r="M35" s="2"/>
      <c r="N35" s="2"/>
      <c r="O35" s="2"/>
      <c r="P35" s="2"/>
      <c r="Q35" s="200"/>
      <c r="R35" s="200"/>
      <c r="S35" s="2"/>
      <c r="T35" s="2"/>
      <c r="U35" s="2"/>
      <c r="V35" s="2"/>
      <c r="W35" s="2"/>
      <c r="X35" s="200"/>
      <c r="Y35" s="200"/>
      <c r="Z35" s="2"/>
      <c r="AA35" s="2"/>
      <c r="AB35" s="2"/>
      <c r="AC35" s="2"/>
      <c r="AD35" s="2"/>
      <c r="AE35" s="200"/>
      <c r="AF35" s="200"/>
      <c r="AG35" s="2"/>
      <c r="AH35" s="2"/>
      <c r="AJ35" s="64">
        <f>SUM(D35:AH35)</f>
        <v>0</v>
      </c>
    </row>
    <row r="36" spans="2:36" ht="15.75" hidden="1" outlineLevel="1" thickTop="1" x14ac:dyDescent="0.25">
      <c r="B36" s="150"/>
      <c r="C36" s="1" t="s">
        <v>1</v>
      </c>
      <c r="D36" s="200"/>
      <c r="E36" s="3"/>
      <c r="F36" s="3"/>
      <c r="G36" s="3"/>
      <c r="H36" s="3"/>
      <c r="I36" s="3"/>
      <c r="J36" s="200"/>
      <c r="K36" s="200"/>
      <c r="L36" s="3"/>
      <c r="M36" s="3"/>
      <c r="N36" s="3"/>
      <c r="O36" s="3"/>
      <c r="P36" s="3"/>
      <c r="Q36" s="200"/>
      <c r="R36" s="200"/>
      <c r="S36" s="3"/>
      <c r="T36" s="3"/>
      <c r="U36" s="3"/>
      <c r="V36" s="3"/>
      <c r="W36" s="3"/>
      <c r="X36" s="200"/>
      <c r="Y36" s="200"/>
      <c r="Z36" s="3"/>
      <c r="AA36" s="3"/>
      <c r="AB36" s="3"/>
      <c r="AC36" s="3"/>
      <c r="AD36" s="3"/>
      <c r="AE36" s="200"/>
      <c r="AF36" s="200"/>
      <c r="AG36" s="3"/>
      <c r="AH36" s="3"/>
      <c r="AJ36" s="70">
        <f t="shared" ref="AJ36:AJ39" si="6">SUM(D36:AH36)</f>
        <v>0</v>
      </c>
    </row>
    <row r="37" spans="2:36" hidden="1" outlineLevel="1" x14ac:dyDescent="0.25">
      <c r="B37" s="151"/>
      <c r="C37" s="1" t="s">
        <v>2</v>
      </c>
      <c r="D37" s="200"/>
      <c r="E37" s="4"/>
      <c r="F37" s="4"/>
      <c r="G37" s="4"/>
      <c r="H37" s="4"/>
      <c r="I37" s="4"/>
      <c r="J37" s="200"/>
      <c r="K37" s="200"/>
      <c r="L37" s="4"/>
      <c r="M37" s="4"/>
      <c r="N37" s="4"/>
      <c r="O37" s="4"/>
      <c r="P37" s="4"/>
      <c r="Q37" s="200"/>
      <c r="R37" s="200"/>
      <c r="S37" s="4"/>
      <c r="T37" s="4"/>
      <c r="U37" s="4"/>
      <c r="V37" s="4"/>
      <c r="W37" s="4"/>
      <c r="X37" s="200"/>
      <c r="Y37" s="200"/>
      <c r="Z37" s="4"/>
      <c r="AA37" s="4"/>
      <c r="AB37" s="4"/>
      <c r="AC37" s="4"/>
      <c r="AD37" s="4"/>
      <c r="AE37" s="200"/>
      <c r="AF37" s="200"/>
      <c r="AG37" s="4"/>
      <c r="AH37" s="4"/>
      <c r="AJ37" s="71">
        <f t="shared" si="6"/>
        <v>0</v>
      </c>
    </row>
    <row r="38" spans="2:36" hidden="1" outlineLevel="1" x14ac:dyDescent="0.25">
      <c r="B38" s="151"/>
      <c r="C38" s="54" t="s">
        <v>77</v>
      </c>
      <c r="D38" s="200"/>
      <c r="E38" s="5"/>
      <c r="F38" s="5"/>
      <c r="G38" s="5"/>
      <c r="H38" s="5"/>
      <c r="I38" s="5"/>
      <c r="J38" s="200"/>
      <c r="K38" s="200"/>
      <c r="L38" s="5"/>
      <c r="M38" s="5"/>
      <c r="N38" s="5"/>
      <c r="O38" s="5"/>
      <c r="P38" s="5"/>
      <c r="Q38" s="200"/>
      <c r="R38" s="200"/>
      <c r="S38" s="5"/>
      <c r="T38" s="5"/>
      <c r="U38" s="5"/>
      <c r="V38" s="5"/>
      <c r="W38" s="5"/>
      <c r="X38" s="200"/>
      <c r="Y38" s="200"/>
      <c r="Z38" s="5"/>
      <c r="AA38" s="5"/>
      <c r="AB38" s="5"/>
      <c r="AC38" s="5"/>
      <c r="AD38" s="5"/>
      <c r="AE38" s="200"/>
      <c r="AF38" s="200"/>
      <c r="AG38" s="5"/>
      <c r="AH38" s="5"/>
      <c r="AJ38" s="72">
        <f t="shared" si="6"/>
        <v>0</v>
      </c>
    </row>
    <row r="39" spans="2:36" ht="15.75" hidden="1" outlineLevel="1" thickBot="1" x14ac:dyDescent="0.3">
      <c r="B39" s="151"/>
      <c r="C39" s="9" t="s">
        <v>3</v>
      </c>
      <c r="D39" s="201"/>
      <c r="E39" s="8"/>
      <c r="F39" s="8"/>
      <c r="G39" s="8"/>
      <c r="H39" s="8"/>
      <c r="I39" s="8"/>
      <c r="J39" s="201"/>
      <c r="K39" s="201"/>
      <c r="L39" s="8"/>
      <c r="M39" s="8"/>
      <c r="N39" s="8"/>
      <c r="O39" s="8"/>
      <c r="P39" s="8"/>
      <c r="Q39" s="201"/>
      <c r="R39" s="201"/>
      <c r="S39" s="8"/>
      <c r="T39" s="8"/>
      <c r="U39" s="8"/>
      <c r="V39" s="8"/>
      <c r="W39" s="8"/>
      <c r="X39" s="201"/>
      <c r="Y39" s="201"/>
      <c r="Z39" s="8"/>
      <c r="AA39" s="8"/>
      <c r="AB39" s="8"/>
      <c r="AC39" s="8"/>
      <c r="AD39" s="8"/>
      <c r="AE39" s="201"/>
      <c r="AF39" s="201"/>
      <c r="AG39" s="8"/>
      <c r="AH39" s="8"/>
      <c r="AI39" s="7"/>
      <c r="AJ39" s="69">
        <f t="shared" si="6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200"/>
      <c r="E40" s="2">
        <v>8</v>
      </c>
      <c r="F40" s="2">
        <v>8</v>
      </c>
      <c r="G40" s="2">
        <v>8</v>
      </c>
      <c r="H40" s="2">
        <v>8</v>
      </c>
      <c r="I40" s="2">
        <v>8</v>
      </c>
      <c r="J40" s="200"/>
      <c r="K40" s="200"/>
      <c r="L40" s="2"/>
      <c r="M40" s="2"/>
      <c r="N40" s="2"/>
      <c r="O40" s="2"/>
      <c r="P40" s="2"/>
      <c r="Q40" s="200"/>
      <c r="R40" s="200"/>
      <c r="S40" s="2"/>
      <c r="T40" s="2"/>
      <c r="U40" s="2"/>
      <c r="V40" s="2"/>
      <c r="W40" s="2"/>
      <c r="X40" s="200"/>
      <c r="Y40" s="200"/>
      <c r="Z40" s="2"/>
      <c r="AA40" s="2"/>
      <c r="AB40" s="2"/>
      <c r="AC40" s="2"/>
      <c r="AD40" s="2"/>
      <c r="AE40" s="200"/>
      <c r="AF40" s="200"/>
      <c r="AG40" s="2"/>
      <c r="AH40" s="2"/>
      <c r="AJ40" s="64">
        <f>SUM(D40:AH40)</f>
        <v>40</v>
      </c>
    </row>
    <row r="41" spans="2:36" ht="15.75" hidden="1" outlineLevel="1" thickTop="1" x14ac:dyDescent="0.25">
      <c r="B41" s="150"/>
      <c r="C41" s="1" t="s">
        <v>1</v>
      </c>
      <c r="D41" s="200"/>
      <c r="E41" s="3"/>
      <c r="F41" s="3"/>
      <c r="G41" s="3"/>
      <c r="H41" s="3"/>
      <c r="I41" s="3"/>
      <c r="J41" s="200"/>
      <c r="K41" s="200"/>
      <c r="L41" s="3"/>
      <c r="M41" s="3"/>
      <c r="N41" s="3"/>
      <c r="O41" s="3"/>
      <c r="P41" s="3"/>
      <c r="Q41" s="200"/>
      <c r="R41" s="200"/>
      <c r="S41" s="3"/>
      <c r="T41" s="3"/>
      <c r="U41" s="3"/>
      <c r="V41" s="3"/>
      <c r="W41" s="3"/>
      <c r="X41" s="200"/>
      <c r="Y41" s="200"/>
      <c r="Z41" s="3"/>
      <c r="AA41" s="3"/>
      <c r="AB41" s="3"/>
      <c r="AC41" s="3"/>
      <c r="AD41" s="3"/>
      <c r="AE41" s="200"/>
      <c r="AF41" s="200"/>
      <c r="AG41" s="3"/>
      <c r="AH41" s="3"/>
      <c r="AJ41" s="70">
        <f t="shared" ref="AJ41:AJ44" si="7">SUM(D41:AH41)</f>
        <v>0</v>
      </c>
    </row>
    <row r="42" spans="2:36" hidden="1" outlineLevel="1" x14ac:dyDescent="0.25">
      <c r="B42" s="151"/>
      <c r="C42" s="1" t="s">
        <v>2</v>
      </c>
      <c r="D42" s="200"/>
      <c r="E42" s="4"/>
      <c r="F42" s="4"/>
      <c r="G42" s="4"/>
      <c r="H42" s="4"/>
      <c r="I42" s="4"/>
      <c r="J42" s="200"/>
      <c r="K42" s="200"/>
      <c r="L42" s="4"/>
      <c r="M42" s="4"/>
      <c r="N42" s="4"/>
      <c r="O42" s="4"/>
      <c r="P42" s="4"/>
      <c r="Q42" s="200"/>
      <c r="R42" s="200"/>
      <c r="S42" s="4"/>
      <c r="T42" s="4"/>
      <c r="U42" s="4"/>
      <c r="V42" s="4"/>
      <c r="W42" s="4"/>
      <c r="X42" s="200"/>
      <c r="Y42" s="200"/>
      <c r="Z42" s="4"/>
      <c r="AA42" s="4"/>
      <c r="AB42" s="4"/>
      <c r="AC42" s="4"/>
      <c r="AD42" s="4"/>
      <c r="AE42" s="200"/>
      <c r="AF42" s="200"/>
      <c r="AG42" s="4"/>
      <c r="AH42" s="4"/>
      <c r="AJ42" s="71">
        <f t="shared" si="7"/>
        <v>0</v>
      </c>
    </row>
    <row r="43" spans="2:36" hidden="1" outlineLevel="1" x14ac:dyDescent="0.25">
      <c r="B43" s="151"/>
      <c r="C43" s="54" t="s">
        <v>77</v>
      </c>
      <c r="D43" s="200"/>
      <c r="E43" s="5"/>
      <c r="F43" s="5"/>
      <c r="G43" s="5"/>
      <c r="H43" s="5"/>
      <c r="I43" s="5"/>
      <c r="J43" s="200"/>
      <c r="K43" s="200"/>
      <c r="L43" s="5"/>
      <c r="M43" s="5"/>
      <c r="N43" s="5"/>
      <c r="O43" s="5"/>
      <c r="P43" s="5"/>
      <c r="Q43" s="200"/>
      <c r="R43" s="200"/>
      <c r="S43" s="5"/>
      <c r="T43" s="5"/>
      <c r="U43" s="5"/>
      <c r="V43" s="5"/>
      <c r="W43" s="5"/>
      <c r="X43" s="200"/>
      <c r="Y43" s="200"/>
      <c r="Z43" s="5"/>
      <c r="AA43" s="5"/>
      <c r="AB43" s="5"/>
      <c r="AC43" s="5"/>
      <c r="AD43" s="5"/>
      <c r="AE43" s="200"/>
      <c r="AF43" s="200"/>
      <c r="AG43" s="5"/>
      <c r="AH43" s="5"/>
      <c r="AJ43" s="72">
        <f t="shared" si="7"/>
        <v>0</v>
      </c>
    </row>
    <row r="44" spans="2:36" ht="15.75" hidden="1" outlineLevel="1" thickBot="1" x14ac:dyDescent="0.3">
      <c r="B44" s="151"/>
      <c r="C44" s="9" t="s">
        <v>3</v>
      </c>
      <c r="D44" s="201"/>
      <c r="E44" s="8"/>
      <c r="F44" s="8"/>
      <c r="G44" s="8"/>
      <c r="H44" s="8"/>
      <c r="I44" s="8"/>
      <c r="J44" s="201"/>
      <c r="K44" s="201"/>
      <c r="L44" s="8"/>
      <c r="M44" s="8"/>
      <c r="N44" s="8"/>
      <c r="O44" s="8"/>
      <c r="P44" s="8"/>
      <c r="Q44" s="201"/>
      <c r="R44" s="201"/>
      <c r="S44" s="8"/>
      <c r="T44" s="8"/>
      <c r="U44" s="8"/>
      <c r="V44" s="8"/>
      <c r="W44" s="8"/>
      <c r="X44" s="201"/>
      <c r="Y44" s="201"/>
      <c r="Z44" s="8"/>
      <c r="AA44" s="8"/>
      <c r="AB44" s="8"/>
      <c r="AC44" s="8"/>
      <c r="AD44" s="8"/>
      <c r="AE44" s="201"/>
      <c r="AF44" s="201"/>
      <c r="AG44" s="8"/>
      <c r="AH44" s="8"/>
      <c r="AI44" s="7"/>
      <c r="AJ44" s="69">
        <f t="shared" si="7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200"/>
      <c r="E45" s="2">
        <v>8</v>
      </c>
      <c r="F45" s="2">
        <v>8</v>
      </c>
      <c r="G45" s="2">
        <v>8</v>
      </c>
      <c r="H45" s="2">
        <v>8</v>
      </c>
      <c r="I45" s="2">
        <v>8</v>
      </c>
      <c r="J45" s="200"/>
      <c r="K45" s="200"/>
      <c r="L45" s="2">
        <v>8</v>
      </c>
      <c r="M45" s="2">
        <v>8</v>
      </c>
      <c r="N45" s="2">
        <v>8</v>
      </c>
      <c r="O45" s="2">
        <v>8</v>
      </c>
      <c r="P45" s="2">
        <v>8</v>
      </c>
      <c r="Q45" s="200"/>
      <c r="R45" s="200"/>
      <c r="S45" s="2"/>
      <c r="T45" s="2"/>
      <c r="U45" s="2"/>
      <c r="V45" s="2"/>
      <c r="W45" s="2"/>
      <c r="X45" s="200"/>
      <c r="Y45" s="200"/>
      <c r="Z45" s="2"/>
      <c r="AA45" s="2"/>
      <c r="AB45" s="2"/>
      <c r="AC45" s="2"/>
      <c r="AD45" s="2"/>
      <c r="AE45" s="200"/>
      <c r="AF45" s="200"/>
      <c r="AG45" s="2"/>
      <c r="AH45" s="2"/>
      <c r="AJ45" s="64">
        <f>SUM(D45:AH45)</f>
        <v>80</v>
      </c>
    </row>
    <row r="46" spans="2:36" ht="15.75" hidden="1" outlineLevel="1" thickTop="1" x14ac:dyDescent="0.25">
      <c r="B46" s="150"/>
      <c r="C46" s="1" t="s">
        <v>1</v>
      </c>
      <c r="D46" s="200"/>
      <c r="E46" s="3"/>
      <c r="F46" s="3"/>
      <c r="G46" s="3"/>
      <c r="H46" s="3"/>
      <c r="I46" s="3"/>
      <c r="J46" s="200"/>
      <c r="K46" s="200"/>
      <c r="L46" s="3"/>
      <c r="M46" s="3"/>
      <c r="N46" s="3"/>
      <c r="O46" s="3"/>
      <c r="P46" s="3"/>
      <c r="Q46" s="200"/>
      <c r="R46" s="200"/>
      <c r="S46" s="3"/>
      <c r="T46" s="3"/>
      <c r="U46" s="3"/>
      <c r="V46" s="3"/>
      <c r="W46" s="3"/>
      <c r="X46" s="200"/>
      <c r="Y46" s="200"/>
      <c r="Z46" s="3"/>
      <c r="AA46" s="3"/>
      <c r="AB46" s="3"/>
      <c r="AC46" s="3"/>
      <c r="AD46" s="3"/>
      <c r="AE46" s="200"/>
      <c r="AF46" s="200"/>
      <c r="AG46" s="3"/>
      <c r="AH46" s="3"/>
      <c r="AJ46" s="70">
        <f t="shared" ref="AJ46:AJ49" si="8">SUM(D46:AH46)</f>
        <v>0</v>
      </c>
    </row>
    <row r="47" spans="2:36" hidden="1" outlineLevel="1" x14ac:dyDescent="0.25">
      <c r="B47" s="151"/>
      <c r="C47" s="1" t="s">
        <v>2</v>
      </c>
      <c r="D47" s="200"/>
      <c r="E47" s="4"/>
      <c r="F47" s="4"/>
      <c r="G47" s="4"/>
      <c r="H47" s="4"/>
      <c r="I47" s="4"/>
      <c r="J47" s="200"/>
      <c r="K47" s="200"/>
      <c r="L47" s="4"/>
      <c r="M47" s="4"/>
      <c r="N47" s="4"/>
      <c r="O47" s="4"/>
      <c r="P47" s="4"/>
      <c r="Q47" s="200"/>
      <c r="R47" s="200"/>
      <c r="S47" s="4"/>
      <c r="T47" s="4"/>
      <c r="U47" s="4"/>
      <c r="V47" s="4"/>
      <c r="W47" s="4"/>
      <c r="X47" s="200"/>
      <c r="Y47" s="200"/>
      <c r="Z47" s="4"/>
      <c r="AA47" s="4"/>
      <c r="AB47" s="4"/>
      <c r="AC47" s="4"/>
      <c r="AD47" s="4"/>
      <c r="AE47" s="200"/>
      <c r="AF47" s="200"/>
      <c r="AG47" s="4"/>
      <c r="AH47" s="4"/>
      <c r="AJ47" s="71">
        <f t="shared" si="8"/>
        <v>0</v>
      </c>
    </row>
    <row r="48" spans="2:36" hidden="1" outlineLevel="1" x14ac:dyDescent="0.25">
      <c r="B48" s="151"/>
      <c r="C48" s="54" t="s">
        <v>77</v>
      </c>
      <c r="D48" s="200"/>
      <c r="E48" s="5"/>
      <c r="F48" s="5"/>
      <c r="G48" s="5"/>
      <c r="H48" s="5"/>
      <c r="I48" s="5"/>
      <c r="J48" s="200"/>
      <c r="K48" s="200"/>
      <c r="L48" s="5"/>
      <c r="M48" s="5"/>
      <c r="N48" s="5"/>
      <c r="O48" s="5"/>
      <c r="P48" s="5"/>
      <c r="Q48" s="200"/>
      <c r="R48" s="200"/>
      <c r="S48" s="5"/>
      <c r="T48" s="5"/>
      <c r="U48" s="5"/>
      <c r="V48" s="5"/>
      <c r="W48" s="5"/>
      <c r="X48" s="200"/>
      <c r="Y48" s="200"/>
      <c r="Z48" s="5"/>
      <c r="AA48" s="5"/>
      <c r="AB48" s="5"/>
      <c r="AC48" s="5"/>
      <c r="AD48" s="5"/>
      <c r="AE48" s="200"/>
      <c r="AF48" s="200"/>
      <c r="AG48" s="5"/>
      <c r="AH48" s="5"/>
      <c r="AJ48" s="72">
        <f t="shared" si="8"/>
        <v>0</v>
      </c>
    </row>
    <row r="49" spans="2:36" ht="15.75" hidden="1" outlineLevel="1" thickBot="1" x14ac:dyDescent="0.3">
      <c r="B49" s="151"/>
      <c r="C49" s="9" t="s">
        <v>3</v>
      </c>
      <c r="D49" s="205"/>
      <c r="E49" s="73"/>
      <c r="F49" s="73"/>
      <c r="G49" s="73"/>
      <c r="H49" s="73"/>
      <c r="I49" s="73"/>
      <c r="J49" s="205"/>
      <c r="K49" s="205"/>
      <c r="L49" s="73"/>
      <c r="M49" s="73"/>
      <c r="N49" s="73"/>
      <c r="O49" s="73"/>
      <c r="P49" s="73"/>
      <c r="Q49" s="205"/>
      <c r="R49" s="205"/>
      <c r="S49" s="73"/>
      <c r="T49" s="73"/>
      <c r="U49" s="73"/>
      <c r="V49" s="73"/>
      <c r="W49" s="73"/>
      <c r="X49" s="205"/>
      <c r="Y49" s="205"/>
      <c r="Z49" s="73"/>
      <c r="AA49" s="73"/>
      <c r="AB49" s="73"/>
      <c r="AC49" s="73"/>
      <c r="AD49" s="73"/>
      <c r="AE49" s="205"/>
      <c r="AF49" s="205"/>
      <c r="AG49" s="73"/>
      <c r="AH49" s="73"/>
      <c r="AI49" s="7"/>
      <c r="AJ49" s="69">
        <f t="shared" si="8"/>
        <v>0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200"/>
      <c r="E50" s="2"/>
      <c r="F50" s="2"/>
      <c r="G50" s="2"/>
      <c r="H50" s="2"/>
      <c r="I50" s="2"/>
      <c r="J50" s="200"/>
      <c r="K50" s="200"/>
      <c r="L50" s="2"/>
      <c r="M50" s="2"/>
      <c r="N50" s="2"/>
      <c r="O50" s="2"/>
      <c r="P50" s="2"/>
      <c r="Q50" s="200"/>
      <c r="R50" s="200"/>
      <c r="S50" s="2"/>
      <c r="T50" s="2"/>
      <c r="U50" s="2"/>
      <c r="V50" s="2"/>
      <c r="W50" s="2"/>
      <c r="X50" s="200"/>
      <c r="Y50" s="200"/>
      <c r="Z50" s="2"/>
      <c r="AA50" s="2"/>
      <c r="AB50" s="2"/>
      <c r="AC50" s="2"/>
      <c r="AD50" s="2"/>
      <c r="AE50" s="200"/>
      <c r="AF50" s="200"/>
      <c r="AG50" s="2"/>
      <c r="AH50" s="2"/>
      <c r="AJ50" s="64">
        <f>SUM(D50:AH50)</f>
        <v>0</v>
      </c>
    </row>
    <row r="51" spans="2:36" ht="15.75" hidden="1" outlineLevel="1" thickTop="1" x14ac:dyDescent="0.25">
      <c r="B51" s="150"/>
      <c r="C51" s="1" t="s">
        <v>1</v>
      </c>
      <c r="D51" s="200"/>
      <c r="E51" s="3"/>
      <c r="F51" s="3"/>
      <c r="G51" s="3"/>
      <c r="H51" s="3"/>
      <c r="I51" s="3"/>
      <c r="J51" s="200"/>
      <c r="K51" s="200"/>
      <c r="L51" s="3"/>
      <c r="M51" s="3"/>
      <c r="N51" s="3"/>
      <c r="O51" s="3"/>
      <c r="P51" s="3"/>
      <c r="Q51" s="200"/>
      <c r="R51" s="200"/>
      <c r="S51" s="3"/>
      <c r="T51" s="3"/>
      <c r="U51" s="3"/>
      <c r="V51" s="3"/>
      <c r="W51" s="3"/>
      <c r="X51" s="200"/>
      <c r="Y51" s="200"/>
      <c r="Z51" s="3"/>
      <c r="AA51" s="3"/>
      <c r="AB51" s="3"/>
      <c r="AC51" s="3"/>
      <c r="AD51" s="3"/>
      <c r="AE51" s="200"/>
      <c r="AF51" s="200"/>
      <c r="AG51" s="3"/>
      <c r="AH51" s="3"/>
      <c r="AJ51" s="70">
        <f t="shared" ref="AJ51:AJ54" si="9">SUM(D51:AH51)</f>
        <v>0</v>
      </c>
    </row>
    <row r="52" spans="2:36" hidden="1" outlineLevel="1" x14ac:dyDescent="0.25">
      <c r="B52" s="151"/>
      <c r="C52" s="1" t="s">
        <v>2</v>
      </c>
      <c r="D52" s="200"/>
      <c r="E52" s="4"/>
      <c r="F52" s="4"/>
      <c r="G52" s="4"/>
      <c r="H52" s="4"/>
      <c r="I52" s="4"/>
      <c r="J52" s="200"/>
      <c r="K52" s="200"/>
      <c r="L52" s="4"/>
      <c r="M52" s="4"/>
      <c r="N52" s="4"/>
      <c r="O52" s="4"/>
      <c r="P52" s="4"/>
      <c r="Q52" s="200"/>
      <c r="R52" s="200"/>
      <c r="S52" s="4"/>
      <c r="T52" s="4"/>
      <c r="U52" s="4"/>
      <c r="V52" s="4"/>
      <c r="W52" s="4"/>
      <c r="X52" s="200"/>
      <c r="Y52" s="200"/>
      <c r="Z52" s="4"/>
      <c r="AA52" s="4"/>
      <c r="AB52" s="4"/>
      <c r="AC52" s="4"/>
      <c r="AD52" s="4"/>
      <c r="AE52" s="200"/>
      <c r="AF52" s="200"/>
      <c r="AG52" s="4"/>
      <c r="AH52" s="4"/>
      <c r="AJ52" s="71">
        <f t="shared" si="9"/>
        <v>0</v>
      </c>
    </row>
    <row r="53" spans="2:36" hidden="1" outlineLevel="1" x14ac:dyDescent="0.25">
      <c r="B53" s="151"/>
      <c r="C53" s="54" t="s">
        <v>77</v>
      </c>
      <c r="D53" s="200"/>
      <c r="E53" s="5"/>
      <c r="F53" s="5"/>
      <c r="G53" s="5"/>
      <c r="H53" s="5"/>
      <c r="I53" s="5"/>
      <c r="J53" s="200"/>
      <c r="K53" s="200"/>
      <c r="L53" s="5"/>
      <c r="M53" s="5"/>
      <c r="N53" s="5"/>
      <c r="O53" s="5"/>
      <c r="P53" s="5"/>
      <c r="Q53" s="200"/>
      <c r="R53" s="200"/>
      <c r="S53" s="5"/>
      <c r="T53" s="5"/>
      <c r="U53" s="5"/>
      <c r="V53" s="5"/>
      <c r="W53" s="5"/>
      <c r="X53" s="200"/>
      <c r="Y53" s="200"/>
      <c r="Z53" s="5"/>
      <c r="AA53" s="5"/>
      <c r="AB53" s="5"/>
      <c r="AC53" s="5"/>
      <c r="AD53" s="5"/>
      <c r="AE53" s="200"/>
      <c r="AF53" s="200"/>
      <c r="AG53" s="5"/>
      <c r="AH53" s="5"/>
      <c r="AJ53" s="72">
        <f t="shared" si="9"/>
        <v>0</v>
      </c>
    </row>
    <row r="54" spans="2:36" ht="15.75" hidden="1" outlineLevel="1" thickBot="1" x14ac:dyDescent="0.3">
      <c r="B54" s="151"/>
      <c r="C54" s="9" t="s">
        <v>3</v>
      </c>
      <c r="D54" s="201"/>
      <c r="E54" s="8"/>
      <c r="F54" s="8"/>
      <c r="G54" s="8"/>
      <c r="H54" s="8"/>
      <c r="I54" s="8"/>
      <c r="J54" s="201"/>
      <c r="K54" s="201"/>
      <c r="L54" s="8"/>
      <c r="M54" s="8"/>
      <c r="N54" s="8"/>
      <c r="O54" s="8"/>
      <c r="P54" s="8"/>
      <c r="Q54" s="201"/>
      <c r="R54" s="201"/>
      <c r="S54" s="8"/>
      <c r="T54" s="8"/>
      <c r="U54" s="8"/>
      <c r="V54" s="8"/>
      <c r="W54" s="8"/>
      <c r="X54" s="201"/>
      <c r="Y54" s="201"/>
      <c r="Z54" s="8"/>
      <c r="AA54" s="8"/>
      <c r="AB54" s="8"/>
      <c r="AC54" s="8"/>
      <c r="AD54" s="8"/>
      <c r="AE54" s="201"/>
      <c r="AF54" s="201"/>
      <c r="AG54" s="8"/>
      <c r="AH54" s="8"/>
      <c r="AI54" s="7"/>
      <c r="AJ54" s="69">
        <f t="shared" si="9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200"/>
      <c r="E55" s="2"/>
      <c r="F55" s="2"/>
      <c r="G55" s="2"/>
      <c r="H55" s="2"/>
      <c r="I55" s="2"/>
      <c r="J55" s="200"/>
      <c r="K55" s="200"/>
      <c r="L55" s="2"/>
      <c r="M55" s="2"/>
      <c r="N55" s="2"/>
      <c r="O55" s="2"/>
      <c r="P55" s="2"/>
      <c r="Q55" s="200"/>
      <c r="R55" s="200"/>
      <c r="S55" s="2"/>
      <c r="T55" s="2"/>
      <c r="U55" s="2"/>
      <c r="V55" s="2"/>
      <c r="W55" s="2"/>
      <c r="X55" s="200"/>
      <c r="Y55" s="200"/>
      <c r="Z55" s="2"/>
      <c r="AA55" s="2"/>
      <c r="AB55" s="2"/>
      <c r="AC55" s="2"/>
      <c r="AD55" s="2"/>
      <c r="AE55" s="200"/>
      <c r="AF55" s="200"/>
      <c r="AG55" s="2"/>
      <c r="AH55" s="2"/>
      <c r="AJ55" s="64">
        <f>SUM(D55:AH55)</f>
        <v>0</v>
      </c>
    </row>
    <row r="56" spans="2:36" ht="15.75" hidden="1" outlineLevel="1" thickTop="1" x14ac:dyDescent="0.25">
      <c r="B56" s="150"/>
      <c r="C56" s="1" t="s">
        <v>1</v>
      </c>
      <c r="D56" s="200"/>
      <c r="E56" s="3"/>
      <c r="F56" s="3"/>
      <c r="G56" s="3"/>
      <c r="H56" s="3"/>
      <c r="I56" s="3"/>
      <c r="J56" s="200"/>
      <c r="K56" s="200"/>
      <c r="L56" s="3"/>
      <c r="M56" s="3"/>
      <c r="N56" s="3"/>
      <c r="O56" s="3"/>
      <c r="P56" s="3"/>
      <c r="Q56" s="200"/>
      <c r="R56" s="200"/>
      <c r="S56" s="3"/>
      <c r="T56" s="3"/>
      <c r="U56" s="3"/>
      <c r="V56" s="3"/>
      <c r="W56" s="3"/>
      <c r="X56" s="200"/>
      <c r="Y56" s="200"/>
      <c r="Z56" s="3"/>
      <c r="AA56" s="3"/>
      <c r="AB56" s="3"/>
      <c r="AC56" s="3"/>
      <c r="AD56" s="3"/>
      <c r="AE56" s="200"/>
      <c r="AF56" s="200"/>
      <c r="AG56" s="3"/>
      <c r="AH56" s="3"/>
      <c r="AJ56" s="70">
        <f t="shared" ref="AJ56:AJ59" si="10">SUM(D56:AH56)</f>
        <v>0</v>
      </c>
    </row>
    <row r="57" spans="2:36" hidden="1" outlineLevel="1" x14ac:dyDescent="0.25">
      <c r="B57" s="151"/>
      <c r="C57" s="1" t="s">
        <v>2</v>
      </c>
      <c r="D57" s="200"/>
      <c r="E57" s="4"/>
      <c r="F57" s="4"/>
      <c r="G57" s="4"/>
      <c r="H57" s="4"/>
      <c r="I57" s="4"/>
      <c r="J57" s="200"/>
      <c r="K57" s="200"/>
      <c r="L57" s="4"/>
      <c r="M57" s="4"/>
      <c r="N57" s="4"/>
      <c r="O57" s="4"/>
      <c r="P57" s="4"/>
      <c r="Q57" s="200"/>
      <c r="R57" s="200"/>
      <c r="S57" s="4"/>
      <c r="T57" s="4"/>
      <c r="U57" s="4"/>
      <c r="V57" s="4"/>
      <c r="W57" s="4"/>
      <c r="X57" s="200"/>
      <c r="Y57" s="200"/>
      <c r="Z57" s="4"/>
      <c r="AA57" s="4"/>
      <c r="AB57" s="4"/>
      <c r="AC57" s="4"/>
      <c r="AD57" s="4"/>
      <c r="AE57" s="200"/>
      <c r="AF57" s="200"/>
      <c r="AG57" s="4"/>
      <c r="AH57" s="4"/>
      <c r="AJ57" s="71">
        <f t="shared" si="10"/>
        <v>0</v>
      </c>
    </row>
    <row r="58" spans="2:36" hidden="1" outlineLevel="1" x14ac:dyDescent="0.25">
      <c r="B58" s="151"/>
      <c r="C58" s="54" t="s">
        <v>77</v>
      </c>
      <c r="D58" s="200"/>
      <c r="E58" s="5"/>
      <c r="F58" s="5"/>
      <c r="G58" s="5"/>
      <c r="H58" s="5"/>
      <c r="I58" s="5"/>
      <c r="J58" s="200"/>
      <c r="K58" s="200"/>
      <c r="L58" s="5"/>
      <c r="M58" s="5"/>
      <c r="N58" s="5"/>
      <c r="O58" s="5"/>
      <c r="P58" s="5"/>
      <c r="Q58" s="200"/>
      <c r="R58" s="200"/>
      <c r="S58" s="5"/>
      <c r="T58" s="5"/>
      <c r="U58" s="5"/>
      <c r="V58" s="5"/>
      <c r="W58" s="5"/>
      <c r="X58" s="200"/>
      <c r="Y58" s="200"/>
      <c r="Z58" s="5"/>
      <c r="AA58" s="5"/>
      <c r="AB58" s="5"/>
      <c r="AC58" s="5"/>
      <c r="AD58" s="5"/>
      <c r="AE58" s="200"/>
      <c r="AF58" s="200"/>
      <c r="AG58" s="5"/>
      <c r="AH58" s="5"/>
      <c r="AJ58" s="72">
        <f t="shared" si="10"/>
        <v>0</v>
      </c>
    </row>
    <row r="59" spans="2:36" ht="15.75" hidden="1" outlineLevel="1" thickBot="1" x14ac:dyDescent="0.3">
      <c r="B59" s="151"/>
      <c r="C59" s="9" t="s">
        <v>3</v>
      </c>
      <c r="D59" s="201"/>
      <c r="E59" s="8"/>
      <c r="F59" s="8"/>
      <c r="G59" s="8"/>
      <c r="H59" s="8"/>
      <c r="I59" s="8"/>
      <c r="J59" s="201"/>
      <c r="K59" s="201"/>
      <c r="L59" s="8"/>
      <c r="M59" s="8"/>
      <c r="N59" s="8"/>
      <c r="O59" s="8"/>
      <c r="P59" s="8"/>
      <c r="Q59" s="201"/>
      <c r="R59" s="201"/>
      <c r="S59" s="8"/>
      <c r="T59" s="8"/>
      <c r="U59" s="8"/>
      <c r="V59" s="8"/>
      <c r="W59" s="8"/>
      <c r="X59" s="201"/>
      <c r="Y59" s="201"/>
      <c r="Z59" s="8"/>
      <c r="AA59" s="8"/>
      <c r="AB59" s="8"/>
      <c r="AC59" s="8"/>
      <c r="AD59" s="8"/>
      <c r="AE59" s="201"/>
      <c r="AF59" s="201"/>
      <c r="AG59" s="8"/>
      <c r="AH59" s="8"/>
      <c r="AI59" s="7"/>
      <c r="AJ59" s="69">
        <f t="shared" si="10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200"/>
      <c r="E60" s="2"/>
      <c r="F60" s="2"/>
      <c r="G60" s="200"/>
      <c r="H60" s="2"/>
      <c r="I60" s="2"/>
      <c r="J60" s="200"/>
      <c r="K60" s="200"/>
      <c r="L60" s="2"/>
      <c r="M60" s="2"/>
      <c r="N60" s="200"/>
      <c r="O60" s="2"/>
      <c r="P60" s="2"/>
      <c r="Q60" s="200"/>
      <c r="R60" s="200"/>
      <c r="S60" s="2"/>
      <c r="T60" s="2"/>
      <c r="U60" s="200"/>
      <c r="V60" s="2"/>
      <c r="W60" s="2"/>
      <c r="X60" s="200"/>
      <c r="Y60" s="200"/>
      <c r="Z60" s="2"/>
      <c r="AA60" s="2"/>
      <c r="AB60" s="200"/>
      <c r="AC60" s="2"/>
      <c r="AD60" s="2"/>
      <c r="AE60" s="200"/>
      <c r="AF60" s="200"/>
      <c r="AG60" s="2"/>
      <c r="AH60" s="2"/>
      <c r="AJ60" s="64">
        <f>SUM(D60:AH60)</f>
        <v>0</v>
      </c>
    </row>
    <row r="61" spans="2:36" ht="15.75" hidden="1" outlineLevel="1" thickTop="1" x14ac:dyDescent="0.25">
      <c r="B61" s="150"/>
      <c r="C61" s="1" t="s">
        <v>1</v>
      </c>
      <c r="D61" s="232"/>
      <c r="E61" s="75"/>
      <c r="F61" s="75"/>
      <c r="G61" s="75"/>
      <c r="H61" s="75"/>
      <c r="I61" s="75"/>
      <c r="J61" s="232"/>
      <c r="K61" s="232"/>
      <c r="L61" s="75"/>
      <c r="M61" s="75"/>
      <c r="N61" s="75"/>
      <c r="O61" s="75"/>
      <c r="P61" s="75"/>
      <c r="Q61" s="232"/>
      <c r="R61" s="232"/>
      <c r="S61" s="75"/>
      <c r="T61" s="75"/>
      <c r="U61" s="75"/>
      <c r="V61" s="75"/>
      <c r="W61" s="75"/>
      <c r="X61" s="232"/>
      <c r="Y61" s="232"/>
      <c r="Z61" s="75"/>
      <c r="AA61" s="75"/>
      <c r="AB61" s="75"/>
      <c r="AC61" s="75"/>
      <c r="AD61" s="75"/>
      <c r="AE61" s="232"/>
      <c r="AF61" s="232"/>
      <c r="AG61" s="75"/>
      <c r="AH61" s="75"/>
      <c r="AJ61" s="70">
        <f t="shared" ref="AJ61:AJ64" si="11">SUM(D61:AH61)</f>
        <v>0</v>
      </c>
    </row>
    <row r="62" spans="2:36" hidden="1" outlineLevel="1" x14ac:dyDescent="0.25">
      <c r="B62" s="151"/>
      <c r="C62" s="1" t="s">
        <v>2</v>
      </c>
      <c r="D62" s="200"/>
      <c r="E62" s="4"/>
      <c r="F62" s="4"/>
      <c r="G62" s="4"/>
      <c r="H62" s="4"/>
      <c r="I62" s="4"/>
      <c r="J62" s="200"/>
      <c r="K62" s="200"/>
      <c r="L62" s="4"/>
      <c r="M62" s="4"/>
      <c r="N62" s="4"/>
      <c r="O62" s="4"/>
      <c r="P62" s="4"/>
      <c r="Q62" s="200"/>
      <c r="R62" s="200"/>
      <c r="S62" s="4"/>
      <c r="T62" s="4"/>
      <c r="U62" s="4"/>
      <c r="V62" s="4"/>
      <c r="W62" s="4"/>
      <c r="X62" s="200"/>
      <c r="Y62" s="200"/>
      <c r="Z62" s="4"/>
      <c r="AA62" s="4"/>
      <c r="AB62" s="4"/>
      <c r="AC62" s="4"/>
      <c r="AD62" s="4"/>
      <c r="AE62" s="200"/>
      <c r="AF62" s="200"/>
      <c r="AG62" s="4"/>
      <c r="AH62" s="4"/>
      <c r="AJ62" s="71">
        <f t="shared" si="11"/>
        <v>0</v>
      </c>
    </row>
    <row r="63" spans="2:36" hidden="1" outlineLevel="1" x14ac:dyDescent="0.25">
      <c r="B63" s="151"/>
      <c r="C63" s="54" t="s">
        <v>77</v>
      </c>
      <c r="D63" s="200"/>
      <c r="E63" s="5"/>
      <c r="F63" s="5"/>
      <c r="G63" s="5"/>
      <c r="H63" s="5"/>
      <c r="I63" s="5"/>
      <c r="J63" s="200"/>
      <c r="K63" s="200"/>
      <c r="L63" s="5"/>
      <c r="M63" s="5"/>
      <c r="N63" s="5"/>
      <c r="O63" s="5"/>
      <c r="P63" s="5"/>
      <c r="Q63" s="200"/>
      <c r="R63" s="200"/>
      <c r="S63" s="5"/>
      <c r="T63" s="5"/>
      <c r="U63" s="5"/>
      <c r="V63" s="5"/>
      <c r="W63" s="5"/>
      <c r="X63" s="200"/>
      <c r="Y63" s="200"/>
      <c r="Z63" s="5"/>
      <c r="AA63" s="5"/>
      <c r="AB63" s="5"/>
      <c r="AC63" s="5"/>
      <c r="AD63" s="5"/>
      <c r="AE63" s="200"/>
      <c r="AF63" s="200"/>
      <c r="AG63" s="5"/>
      <c r="AH63" s="5"/>
      <c r="AJ63" s="72">
        <f t="shared" si="11"/>
        <v>0</v>
      </c>
    </row>
    <row r="64" spans="2:36" ht="15.75" hidden="1" outlineLevel="1" thickBot="1" x14ac:dyDescent="0.3">
      <c r="B64" s="151"/>
      <c r="C64" s="9" t="s">
        <v>3</v>
      </c>
      <c r="D64" s="201"/>
      <c r="E64" s="8"/>
      <c r="F64" s="8"/>
      <c r="G64" s="8"/>
      <c r="H64" s="8"/>
      <c r="I64" s="8"/>
      <c r="J64" s="201"/>
      <c r="K64" s="201"/>
      <c r="L64" s="8"/>
      <c r="M64" s="8"/>
      <c r="N64" s="8"/>
      <c r="O64" s="8"/>
      <c r="P64" s="8"/>
      <c r="Q64" s="201"/>
      <c r="R64" s="201"/>
      <c r="S64" s="8"/>
      <c r="T64" s="8"/>
      <c r="U64" s="8"/>
      <c r="V64" s="8"/>
      <c r="W64" s="8"/>
      <c r="X64" s="201"/>
      <c r="Y64" s="201"/>
      <c r="Z64" s="8"/>
      <c r="AA64" s="8"/>
      <c r="AB64" s="8"/>
      <c r="AC64" s="8"/>
      <c r="AD64" s="8"/>
      <c r="AE64" s="201"/>
      <c r="AF64" s="201"/>
      <c r="AG64" s="8"/>
      <c r="AH64" s="8"/>
      <c r="AI64" s="7"/>
      <c r="AJ64" s="69">
        <f t="shared" si="11"/>
        <v>0</v>
      </c>
    </row>
    <row r="65" spans="2:36" ht="16.5" collapsed="1" thickTop="1" thickBot="1" x14ac:dyDescent="0.3">
      <c r="B65" s="253" t="str">
        <f>'Hours Scheduled'!B16</f>
        <v>Jim van der Weijden</v>
      </c>
      <c r="C65" t="s">
        <v>0</v>
      </c>
      <c r="D65" s="200"/>
      <c r="E65" s="2"/>
      <c r="F65" s="2"/>
      <c r="G65" s="2"/>
      <c r="H65" s="2"/>
      <c r="I65" s="2"/>
      <c r="J65" s="200"/>
      <c r="K65" s="200"/>
      <c r="L65" s="2"/>
      <c r="M65" s="2"/>
      <c r="N65" s="2"/>
      <c r="O65" s="2"/>
      <c r="P65" s="2"/>
      <c r="Q65" s="200"/>
      <c r="R65" s="200"/>
      <c r="S65" s="2"/>
      <c r="T65" s="2"/>
      <c r="U65" s="2"/>
      <c r="V65" s="2"/>
      <c r="W65" s="2"/>
      <c r="X65" s="200"/>
      <c r="Y65" s="200"/>
      <c r="Z65" s="2"/>
      <c r="AA65" s="2"/>
      <c r="AB65" s="2"/>
      <c r="AC65" s="2"/>
      <c r="AD65" s="2"/>
      <c r="AE65" s="200"/>
      <c r="AF65" s="200"/>
      <c r="AG65" s="2"/>
      <c r="AH65" s="2"/>
      <c r="AJ65" s="64">
        <f>SUM(D65:AH65)</f>
        <v>0</v>
      </c>
    </row>
    <row r="66" spans="2:36" ht="15.75" hidden="1" outlineLevel="1" thickTop="1" x14ac:dyDescent="0.25">
      <c r="B66" s="150"/>
      <c r="C66" s="1" t="s">
        <v>1</v>
      </c>
      <c r="D66" s="200"/>
      <c r="E66" s="3"/>
      <c r="F66" s="3"/>
      <c r="G66" s="3"/>
      <c r="H66" s="3"/>
      <c r="I66" s="3"/>
      <c r="J66" s="200"/>
      <c r="K66" s="200"/>
      <c r="L66" s="3"/>
      <c r="M66" s="3"/>
      <c r="N66" s="3"/>
      <c r="O66" s="3"/>
      <c r="P66" s="3"/>
      <c r="Q66" s="200"/>
      <c r="R66" s="200"/>
      <c r="S66" s="3"/>
      <c r="T66" s="3"/>
      <c r="U66" s="3"/>
      <c r="V66" s="3"/>
      <c r="W66" s="3"/>
      <c r="X66" s="200"/>
      <c r="Y66" s="200"/>
      <c r="Z66" s="3"/>
      <c r="AA66" s="3"/>
      <c r="AB66" s="3"/>
      <c r="AC66" s="3"/>
      <c r="AD66" s="3"/>
      <c r="AE66" s="200"/>
      <c r="AF66" s="200"/>
      <c r="AG66" s="3"/>
      <c r="AH66" s="3"/>
      <c r="AJ66" s="70">
        <f t="shared" ref="AJ66:AJ69" si="12">SUM(D66:AH66)</f>
        <v>0</v>
      </c>
    </row>
    <row r="67" spans="2:36" hidden="1" outlineLevel="1" x14ac:dyDescent="0.25">
      <c r="B67" s="151"/>
      <c r="C67" s="1" t="s">
        <v>2</v>
      </c>
      <c r="D67" s="200"/>
      <c r="E67" s="4"/>
      <c r="F67" s="4"/>
      <c r="G67" s="4"/>
      <c r="H67" s="4"/>
      <c r="I67" s="4"/>
      <c r="J67" s="200"/>
      <c r="K67" s="200"/>
      <c r="L67" s="4"/>
      <c r="M67" s="4"/>
      <c r="N67" s="4"/>
      <c r="O67" s="4"/>
      <c r="P67" s="4"/>
      <c r="Q67" s="200"/>
      <c r="R67" s="200"/>
      <c r="S67" s="4"/>
      <c r="T67" s="4"/>
      <c r="U67" s="4"/>
      <c r="V67" s="4"/>
      <c r="W67" s="4"/>
      <c r="X67" s="200"/>
      <c r="Y67" s="200"/>
      <c r="Z67" s="4"/>
      <c r="AA67" s="4"/>
      <c r="AB67" s="4"/>
      <c r="AC67" s="4"/>
      <c r="AD67" s="4"/>
      <c r="AE67" s="200"/>
      <c r="AF67" s="200"/>
      <c r="AG67" s="4"/>
      <c r="AH67" s="4"/>
      <c r="AJ67" s="71">
        <f t="shared" si="12"/>
        <v>0</v>
      </c>
    </row>
    <row r="68" spans="2:36" hidden="1" outlineLevel="1" x14ac:dyDescent="0.25">
      <c r="B68" s="151"/>
      <c r="C68" s="54" t="s">
        <v>77</v>
      </c>
      <c r="D68" s="200"/>
      <c r="E68" s="5"/>
      <c r="F68" s="5"/>
      <c r="G68" s="5"/>
      <c r="H68" s="5"/>
      <c r="I68" s="5"/>
      <c r="J68" s="200"/>
      <c r="K68" s="200"/>
      <c r="L68" s="5"/>
      <c r="M68" s="5"/>
      <c r="N68" s="5"/>
      <c r="O68" s="5"/>
      <c r="P68" s="5"/>
      <c r="Q68" s="200"/>
      <c r="R68" s="200"/>
      <c r="S68" s="5"/>
      <c r="T68" s="5"/>
      <c r="U68" s="5"/>
      <c r="V68" s="5"/>
      <c r="W68" s="5"/>
      <c r="X68" s="200"/>
      <c r="Y68" s="200"/>
      <c r="Z68" s="5"/>
      <c r="AA68" s="5"/>
      <c r="AB68" s="5"/>
      <c r="AC68" s="5"/>
      <c r="AD68" s="5"/>
      <c r="AE68" s="200"/>
      <c r="AF68" s="200"/>
      <c r="AG68" s="5"/>
      <c r="AH68" s="5"/>
      <c r="AJ68" s="72">
        <f t="shared" si="12"/>
        <v>0</v>
      </c>
    </row>
    <row r="69" spans="2:36" ht="15.75" hidden="1" outlineLevel="1" thickBot="1" x14ac:dyDescent="0.3">
      <c r="B69" s="151"/>
      <c r="C69" s="9" t="s">
        <v>3</v>
      </c>
      <c r="D69" s="201"/>
      <c r="E69" s="8"/>
      <c r="F69" s="8"/>
      <c r="G69" s="8"/>
      <c r="H69" s="8"/>
      <c r="I69" s="8"/>
      <c r="J69" s="201"/>
      <c r="K69" s="201"/>
      <c r="L69" s="8"/>
      <c r="M69" s="8"/>
      <c r="N69" s="8"/>
      <c r="O69" s="8"/>
      <c r="P69" s="8"/>
      <c r="Q69" s="201"/>
      <c r="R69" s="201"/>
      <c r="S69" s="8"/>
      <c r="T69" s="8"/>
      <c r="U69" s="8"/>
      <c r="V69" s="8"/>
      <c r="W69" s="8"/>
      <c r="X69" s="201"/>
      <c r="Y69" s="201"/>
      <c r="Z69" s="8"/>
      <c r="AA69" s="8"/>
      <c r="AB69" s="8"/>
      <c r="AC69" s="8"/>
      <c r="AD69" s="8"/>
      <c r="AE69" s="201"/>
      <c r="AF69" s="201"/>
      <c r="AG69" s="8"/>
      <c r="AH69" s="8"/>
      <c r="AI69" s="7"/>
      <c r="AJ69" s="69">
        <f t="shared" si="1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200"/>
      <c r="E70" s="2"/>
      <c r="F70" s="2"/>
      <c r="G70" s="2"/>
      <c r="H70" s="2"/>
      <c r="I70" s="2"/>
      <c r="J70" s="200"/>
      <c r="K70" s="200"/>
      <c r="L70" s="2"/>
      <c r="M70" s="2"/>
      <c r="N70" s="2"/>
      <c r="O70" s="2"/>
      <c r="P70" s="2"/>
      <c r="Q70" s="200"/>
      <c r="R70" s="200"/>
      <c r="S70" s="2"/>
      <c r="T70" s="2"/>
      <c r="U70" s="2"/>
      <c r="V70" s="2"/>
      <c r="W70" s="2"/>
      <c r="X70" s="200"/>
      <c r="Y70" s="200"/>
      <c r="Z70" s="2"/>
      <c r="AA70" s="2"/>
      <c r="AB70" s="2"/>
      <c r="AC70" s="2"/>
      <c r="AD70" s="2"/>
      <c r="AE70" s="200"/>
      <c r="AF70" s="200"/>
      <c r="AG70" s="2"/>
      <c r="AH70" s="2"/>
      <c r="AJ70" s="64">
        <f>SUM(D70:AH70)</f>
        <v>0</v>
      </c>
    </row>
    <row r="71" spans="2:36" ht="15.75" hidden="1" outlineLevel="1" thickTop="1" x14ac:dyDescent="0.25">
      <c r="B71" s="150"/>
      <c r="C71" s="1" t="s">
        <v>1</v>
      </c>
      <c r="D71" s="200"/>
      <c r="E71" s="3"/>
      <c r="F71" s="3"/>
      <c r="G71" s="3"/>
      <c r="H71" s="3"/>
      <c r="I71" s="3"/>
      <c r="J71" s="200"/>
      <c r="K71" s="200"/>
      <c r="L71" s="3"/>
      <c r="M71" s="3"/>
      <c r="N71" s="3"/>
      <c r="O71" s="3"/>
      <c r="P71" s="3"/>
      <c r="Q71" s="200"/>
      <c r="R71" s="200"/>
      <c r="S71" s="3"/>
      <c r="T71" s="3"/>
      <c r="U71" s="3"/>
      <c r="V71" s="3"/>
      <c r="W71" s="3"/>
      <c r="X71" s="200"/>
      <c r="Y71" s="200"/>
      <c r="Z71" s="3"/>
      <c r="AA71" s="3"/>
      <c r="AB71" s="3"/>
      <c r="AC71" s="3"/>
      <c r="AD71" s="3"/>
      <c r="AE71" s="200"/>
      <c r="AF71" s="200"/>
      <c r="AG71" s="3"/>
      <c r="AH71" s="3"/>
      <c r="AJ71" s="70">
        <f t="shared" ref="AJ71:AJ74" si="13">SUM(D71:AH71)</f>
        <v>0</v>
      </c>
    </row>
    <row r="72" spans="2:36" hidden="1" outlineLevel="1" x14ac:dyDescent="0.25">
      <c r="B72" s="151"/>
      <c r="C72" s="1" t="s">
        <v>2</v>
      </c>
      <c r="D72" s="200"/>
      <c r="E72" s="4"/>
      <c r="F72" s="4"/>
      <c r="G72" s="4"/>
      <c r="H72" s="4"/>
      <c r="I72" s="4"/>
      <c r="J72" s="200"/>
      <c r="K72" s="200"/>
      <c r="L72" s="4"/>
      <c r="M72" s="4"/>
      <c r="N72" s="4"/>
      <c r="O72" s="4"/>
      <c r="P72" s="4"/>
      <c r="Q72" s="200"/>
      <c r="R72" s="200"/>
      <c r="S72" s="4"/>
      <c r="T72" s="4"/>
      <c r="U72" s="4"/>
      <c r="V72" s="4"/>
      <c r="W72" s="4"/>
      <c r="X72" s="200"/>
      <c r="Y72" s="200"/>
      <c r="Z72" s="4"/>
      <c r="AA72" s="4"/>
      <c r="AB72" s="4"/>
      <c r="AC72" s="4"/>
      <c r="AD72" s="4"/>
      <c r="AE72" s="200"/>
      <c r="AF72" s="200"/>
      <c r="AG72" s="4"/>
      <c r="AH72" s="4"/>
      <c r="AJ72" s="71">
        <f t="shared" si="13"/>
        <v>0</v>
      </c>
    </row>
    <row r="73" spans="2:36" hidden="1" outlineLevel="1" x14ac:dyDescent="0.25">
      <c r="B73" s="151"/>
      <c r="C73" s="54" t="s">
        <v>77</v>
      </c>
      <c r="D73" s="200"/>
      <c r="E73" s="5"/>
      <c r="F73" s="5"/>
      <c r="G73" s="5"/>
      <c r="H73" s="5"/>
      <c r="I73" s="5"/>
      <c r="J73" s="200"/>
      <c r="K73" s="200"/>
      <c r="L73" s="5"/>
      <c r="M73" s="5"/>
      <c r="N73" s="5"/>
      <c r="O73" s="5"/>
      <c r="P73" s="5"/>
      <c r="Q73" s="200"/>
      <c r="R73" s="200"/>
      <c r="S73" s="5"/>
      <c r="T73" s="5"/>
      <c r="U73" s="5"/>
      <c r="V73" s="5"/>
      <c r="W73" s="5"/>
      <c r="X73" s="200"/>
      <c r="Y73" s="200"/>
      <c r="Z73" s="5"/>
      <c r="AA73" s="5"/>
      <c r="AB73" s="5"/>
      <c r="AC73" s="5"/>
      <c r="AD73" s="5"/>
      <c r="AE73" s="200"/>
      <c r="AF73" s="200"/>
      <c r="AG73" s="5"/>
      <c r="AH73" s="5"/>
      <c r="AJ73" s="72">
        <f t="shared" si="13"/>
        <v>0</v>
      </c>
    </row>
    <row r="74" spans="2:36" ht="15.75" hidden="1" outlineLevel="1" thickBot="1" x14ac:dyDescent="0.3">
      <c r="B74" s="151"/>
      <c r="C74" s="9" t="s">
        <v>3</v>
      </c>
      <c r="D74" s="201"/>
      <c r="E74" s="8"/>
      <c r="F74" s="8"/>
      <c r="G74" s="8"/>
      <c r="H74" s="8"/>
      <c r="I74" s="8"/>
      <c r="J74" s="201"/>
      <c r="K74" s="201"/>
      <c r="L74" s="8"/>
      <c r="M74" s="8"/>
      <c r="N74" s="8"/>
      <c r="O74" s="8"/>
      <c r="P74" s="8"/>
      <c r="Q74" s="201"/>
      <c r="R74" s="201"/>
      <c r="S74" s="8"/>
      <c r="T74" s="8"/>
      <c r="U74" s="8"/>
      <c r="V74" s="8"/>
      <c r="W74" s="8"/>
      <c r="X74" s="201"/>
      <c r="Y74" s="201"/>
      <c r="Z74" s="8"/>
      <c r="AA74" s="8"/>
      <c r="AB74" s="8"/>
      <c r="AC74" s="8"/>
      <c r="AD74" s="8"/>
      <c r="AE74" s="201"/>
      <c r="AF74" s="201"/>
      <c r="AG74" s="8"/>
      <c r="AH74" s="8"/>
      <c r="AI74" s="7"/>
      <c r="AJ74" s="69">
        <f t="shared" si="13"/>
        <v>0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200"/>
      <c r="E75" s="2"/>
      <c r="F75" s="2"/>
      <c r="G75" s="2"/>
      <c r="H75" s="2"/>
      <c r="I75" s="2"/>
      <c r="J75" s="200"/>
      <c r="K75" s="200"/>
      <c r="L75" s="2"/>
      <c r="M75" s="2"/>
      <c r="N75" s="2"/>
      <c r="O75" s="2"/>
      <c r="P75" s="2"/>
      <c r="Q75" s="200"/>
      <c r="R75" s="200"/>
      <c r="S75" s="2"/>
      <c r="T75" s="2"/>
      <c r="U75" s="2"/>
      <c r="V75" s="2"/>
      <c r="W75" s="2"/>
      <c r="X75" s="200"/>
      <c r="Y75" s="200"/>
      <c r="Z75" s="2"/>
      <c r="AA75" s="2"/>
      <c r="AB75" s="2"/>
      <c r="AC75" s="2"/>
      <c r="AD75" s="2"/>
      <c r="AE75" s="200"/>
      <c r="AF75" s="200"/>
      <c r="AG75" s="2"/>
      <c r="AH75" s="2"/>
      <c r="AJ75" s="64">
        <f>SUM(D75:AH75)</f>
        <v>0</v>
      </c>
    </row>
    <row r="76" spans="2:36" ht="15.75" hidden="1" outlineLevel="1" thickTop="1" x14ac:dyDescent="0.25">
      <c r="B76" s="150"/>
      <c r="C76" s="1" t="s">
        <v>1</v>
      </c>
      <c r="D76" s="200"/>
      <c r="E76" s="3"/>
      <c r="F76" s="3"/>
      <c r="G76" s="3"/>
      <c r="H76" s="3"/>
      <c r="I76" s="3"/>
      <c r="J76" s="200"/>
      <c r="K76" s="200"/>
      <c r="L76" s="3"/>
      <c r="M76" s="3"/>
      <c r="N76" s="3"/>
      <c r="O76" s="3"/>
      <c r="P76" s="3"/>
      <c r="Q76" s="200"/>
      <c r="R76" s="200"/>
      <c r="S76" s="3"/>
      <c r="T76" s="3"/>
      <c r="U76" s="3"/>
      <c r="V76" s="3"/>
      <c r="W76" s="3"/>
      <c r="X76" s="200"/>
      <c r="Y76" s="200"/>
      <c r="Z76" s="3"/>
      <c r="AA76" s="3"/>
      <c r="AB76" s="3"/>
      <c r="AC76" s="3"/>
      <c r="AD76" s="3"/>
      <c r="AE76" s="200"/>
      <c r="AF76" s="200"/>
      <c r="AG76" s="3"/>
      <c r="AH76" s="3"/>
      <c r="AJ76" s="70">
        <f t="shared" ref="AJ76:AJ79" si="14">SUM(D76:AH76)</f>
        <v>0</v>
      </c>
    </row>
    <row r="77" spans="2:36" hidden="1" outlineLevel="1" x14ac:dyDescent="0.25">
      <c r="B77" s="151"/>
      <c r="C77" s="1" t="s">
        <v>2</v>
      </c>
      <c r="D77" s="200"/>
      <c r="E77" s="4"/>
      <c r="F77" s="4"/>
      <c r="G77" s="4"/>
      <c r="H77" s="4"/>
      <c r="I77" s="4"/>
      <c r="J77" s="200"/>
      <c r="K77" s="200"/>
      <c r="L77" s="4"/>
      <c r="M77" s="4"/>
      <c r="N77" s="4"/>
      <c r="O77" s="4"/>
      <c r="P77" s="4"/>
      <c r="Q77" s="200"/>
      <c r="R77" s="200"/>
      <c r="S77" s="4"/>
      <c r="T77" s="4"/>
      <c r="U77" s="4"/>
      <c r="V77" s="4"/>
      <c r="W77" s="4"/>
      <c r="X77" s="200"/>
      <c r="Y77" s="200"/>
      <c r="Z77" s="4"/>
      <c r="AA77" s="4"/>
      <c r="AB77" s="4"/>
      <c r="AC77" s="4"/>
      <c r="AD77" s="4"/>
      <c r="AE77" s="200"/>
      <c r="AF77" s="200"/>
      <c r="AG77" s="4"/>
      <c r="AH77" s="4"/>
      <c r="AJ77" s="71">
        <f t="shared" si="14"/>
        <v>0</v>
      </c>
    </row>
    <row r="78" spans="2:36" hidden="1" outlineLevel="1" x14ac:dyDescent="0.25">
      <c r="B78" s="151"/>
      <c r="C78" s="54" t="s">
        <v>77</v>
      </c>
      <c r="D78" s="200"/>
      <c r="E78" s="5"/>
      <c r="F78" s="5"/>
      <c r="G78" s="5"/>
      <c r="H78" s="5"/>
      <c r="I78" s="5"/>
      <c r="J78" s="200"/>
      <c r="K78" s="200"/>
      <c r="L78" s="5"/>
      <c r="M78" s="5"/>
      <c r="N78" s="5"/>
      <c r="O78" s="5"/>
      <c r="P78" s="5"/>
      <c r="Q78" s="200"/>
      <c r="R78" s="200"/>
      <c r="S78" s="5"/>
      <c r="T78" s="5"/>
      <c r="U78" s="5"/>
      <c r="V78" s="5"/>
      <c r="W78" s="5"/>
      <c r="X78" s="200"/>
      <c r="Y78" s="200"/>
      <c r="Z78" s="5"/>
      <c r="AA78" s="5"/>
      <c r="AB78" s="5"/>
      <c r="AC78" s="5"/>
      <c r="AD78" s="5"/>
      <c r="AE78" s="200"/>
      <c r="AF78" s="200"/>
      <c r="AG78" s="5"/>
      <c r="AH78" s="5"/>
      <c r="AJ78" s="72">
        <f t="shared" si="14"/>
        <v>0</v>
      </c>
    </row>
    <row r="79" spans="2:36" ht="15.75" hidden="1" outlineLevel="1" thickBot="1" x14ac:dyDescent="0.3">
      <c r="B79" s="151"/>
      <c r="C79" s="9" t="s">
        <v>3</v>
      </c>
      <c r="D79" s="201"/>
      <c r="E79" s="8"/>
      <c r="F79" s="8"/>
      <c r="G79" s="8"/>
      <c r="H79" s="8"/>
      <c r="I79" s="8"/>
      <c r="J79" s="201"/>
      <c r="K79" s="201"/>
      <c r="L79" s="8"/>
      <c r="M79" s="8"/>
      <c r="N79" s="8"/>
      <c r="O79" s="8"/>
      <c r="P79" s="8"/>
      <c r="Q79" s="201"/>
      <c r="R79" s="201"/>
      <c r="S79" s="8"/>
      <c r="T79" s="8"/>
      <c r="U79" s="8"/>
      <c r="V79" s="8"/>
      <c r="W79" s="8"/>
      <c r="X79" s="201"/>
      <c r="Y79" s="201"/>
      <c r="Z79" s="8"/>
      <c r="AA79" s="8"/>
      <c r="AB79" s="8"/>
      <c r="AC79" s="8"/>
      <c r="AD79" s="8"/>
      <c r="AE79" s="201"/>
      <c r="AF79" s="201"/>
      <c r="AG79" s="8"/>
      <c r="AH79" s="8"/>
      <c r="AI79" s="7"/>
      <c r="AJ79" s="69">
        <f t="shared" si="14"/>
        <v>0</v>
      </c>
    </row>
    <row r="80" spans="2:36" ht="16.5" collapsed="1" thickTop="1" thickBot="1" x14ac:dyDescent="0.3">
      <c r="B80" s="253" t="str">
        <f>'Hours Scheduled'!B19</f>
        <v>Loek Moling</v>
      </c>
      <c r="C80" t="s">
        <v>0</v>
      </c>
      <c r="D80" s="200"/>
      <c r="E80" s="2"/>
      <c r="F80" s="2"/>
      <c r="G80" s="2"/>
      <c r="H80" s="2"/>
      <c r="I80" s="2"/>
      <c r="J80" s="200"/>
      <c r="K80" s="200"/>
      <c r="L80" s="2"/>
      <c r="M80" s="2"/>
      <c r="N80" s="2"/>
      <c r="O80" s="2"/>
      <c r="P80" s="2"/>
      <c r="Q80" s="200"/>
      <c r="R80" s="200"/>
      <c r="S80" s="2"/>
      <c r="T80" s="2"/>
      <c r="U80" s="2"/>
      <c r="V80" s="2"/>
      <c r="W80" s="2"/>
      <c r="X80" s="200"/>
      <c r="Y80" s="200"/>
      <c r="Z80" s="2"/>
      <c r="AA80" s="2"/>
      <c r="AB80" s="2"/>
      <c r="AC80" s="2"/>
      <c r="AD80" s="2"/>
      <c r="AE80" s="200"/>
      <c r="AF80" s="200"/>
      <c r="AG80" s="2"/>
      <c r="AH80" s="2"/>
      <c r="AJ80" s="64">
        <f>SUM(D80:AH80)</f>
        <v>0</v>
      </c>
    </row>
    <row r="81" spans="2:36" ht="15.75" hidden="1" outlineLevel="1" thickTop="1" x14ac:dyDescent="0.25">
      <c r="B81" s="150"/>
      <c r="C81" s="1" t="s">
        <v>1</v>
      </c>
      <c r="D81" s="200"/>
      <c r="E81" s="3"/>
      <c r="F81" s="3"/>
      <c r="G81" s="3"/>
      <c r="H81" s="3"/>
      <c r="I81" s="3"/>
      <c r="J81" s="200"/>
      <c r="K81" s="200"/>
      <c r="L81" s="3"/>
      <c r="M81" s="3"/>
      <c r="N81" s="3"/>
      <c r="O81" s="3"/>
      <c r="P81" s="3"/>
      <c r="Q81" s="200"/>
      <c r="R81" s="200"/>
      <c r="S81" s="3"/>
      <c r="T81" s="3"/>
      <c r="U81" s="3"/>
      <c r="V81" s="3"/>
      <c r="W81" s="3"/>
      <c r="X81" s="200"/>
      <c r="Y81" s="200"/>
      <c r="Z81" s="3"/>
      <c r="AA81" s="3"/>
      <c r="AB81" s="3"/>
      <c r="AC81" s="3"/>
      <c r="AD81" s="3"/>
      <c r="AE81" s="200"/>
      <c r="AF81" s="200"/>
      <c r="AG81" s="3"/>
      <c r="AH81" s="3"/>
      <c r="AJ81" s="70">
        <f t="shared" ref="AJ81:AJ84" si="15">SUM(D81:AH81)</f>
        <v>0</v>
      </c>
    </row>
    <row r="82" spans="2:36" hidden="1" outlineLevel="1" x14ac:dyDescent="0.25">
      <c r="B82" s="151"/>
      <c r="C82" s="1" t="s">
        <v>2</v>
      </c>
      <c r="D82" s="200"/>
      <c r="E82" s="4"/>
      <c r="F82" s="4"/>
      <c r="G82" s="4"/>
      <c r="H82" s="4"/>
      <c r="I82" s="4"/>
      <c r="J82" s="200"/>
      <c r="K82" s="200"/>
      <c r="L82" s="4"/>
      <c r="M82" s="4"/>
      <c r="N82" s="4"/>
      <c r="O82" s="4"/>
      <c r="P82" s="4"/>
      <c r="Q82" s="200"/>
      <c r="R82" s="200"/>
      <c r="S82" s="4"/>
      <c r="T82" s="4"/>
      <c r="U82" s="4"/>
      <c r="V82" s="4"/>
      <c r="W82" s="4"/>
      <c r="X82" s="200"/>
      <c r="Y82" s="200"/>
      <c r="Z82" s="4"/>
      <c r="AA82" s="4"/>
      <c r="AB82" s="4"/>
      <c r="AC82" s="4"/>
      <c r="AD82" s="4"/>
      <c r="AE82" s="200"/>
      <c r="AF82" s="200"/>
      <c r="AG82" s="4"/>
      <c r="AH82" s="4"/>
      <c r="AJ82" s="71">
        <f t="shared" si="15"/>
        <v>0</v>
      </c>
    </row>
    <row r="83" spans="2:36" hidden="1" outlineLevel="1" x14ac:dyDescent="0.25">
      <c r="B83" s="151"/>
      <c r="C83" s="54" t="s">
        <v>77</v>
      </c>
      <c r="D83" s="200"/>
      <c r="E83" s="5"/>
      <c r="F83" s="5"/>
      <c r="G83" s="5"/>
      <c r="H83" s="5"/>
      <c r="I83" s="5"/>
      <c r="J83" s="200"/>
      <c r="K83" s="200"/>
      <c r="L83" s="5"/>
      <c r="M83" s="5"/>
      <c r="N83" s="5"/>
      <c r="O83" s="5"/>
      <c r="P83" s="5"/>
      <c r="Q83" s="200"/>
      <c r="R83" s="200"/>
      <c r="S83" s="5"/>
      <c r="T83" s="5"/>
      <c r="U83" s="5"/>
      <c r="V83" s="5"/>
      <c r="W83" s="5"/>
      <c r="X83" s="200"/>
      <c r="Y83" s="200"/>
      <c r="Z83" s="5"/>
      <c r="AA83" s="5"/>
      <c r="AB83" s="5"/>
      <c r="AC83" s="5"/>
      <c r="AD83" s="5"/>
      <c r="AE83" s="200"/>
      <c r="AF83" s="200"/>
      <c r="AG83" s="5"/>
      <c r="AH83" s="5"/>
      <c r="AJ83" s="72">
        <f t="shared" si="15"/>
        <v>0</v>
      </c>
    </row>
    <row r="84" spans="2:36" ht="15.75" hidden="1" outlineLevel="1" thickBot="1" x14ac:dyDescent="0.3">
      <c r="B84" s="151"/>
      <c r="C84" s="9" t="s">
        <v>3</v>
      </c>
      <c r="D84" s="201"/>
      <c r="E84" s="8"/>
      <c r="F84" s="8"/>
      <c r="G84" s="8"/>
      <c r="H84" s="8"/>
      <c r="I84" s="8"/>
      <c r="J84" s="201"/>
      <c r="K84" s="201"/>
      <c r="L84" s="8"/>
      <c r="M84" s="8"/>
      <c r="N84" s="8"/>
      <c r="O84" s="8"/>
      <c r="P84" s="8"/>
      <c r="Q84" s="201"/>
      <c r="R84" s="201"/>
      <c r="S84" s="8"/>
      <c r="T84" s="8"/>
      <c r="U84" s="8"/>
      <c r="V84" s="8"/>
      <c r="W84" s="8"/>
      <c r="X84" s="201"/>
      <c r="Y84" s="201"/>
      <c r="Z84" s="8"/>
      <c r="AA84" s="8"/>
      <c r="AB84" s="8"/>
      <c r="AC84" s="8"/>
      <c r="AD84" s="8"/>
      <c r="AE84" s="201"/>
      <c r="AF84" s="201"/>
      <c r="AG84" s="8"/>
      <c r="AH84" s="8"/>
      <c r="AI84" s="7"/>
      <c r="AJ84" s="69">
        <f t="shared" si="15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200"/>
      <c r="E85" s="2"/>
      <c r="F85" s="2"/>
      <c r="G85" s="2"/>
      <c r="H85" s="2"/>
      <c r="I85" s="2"/>
      <c r="J85" s="200"/>
      <c r="K85" s="200"/>
      <c r="L85" s="2"/>
      <c r="M85" s="2"/>
      <c r="N85" s="2"/>
      <c r="O85" s="2"/>
      <c r="P85" s="2"/>
      <c r="Q85" s="200"/>
      <c r="R85" s="200"/>
      <c r="S85" s="2"/>
      <c r="T85" s="2"/>
      <c r="U85" s="2"/>
      <c r="V85" s="2"/>
      <c r="W85" s="2"/>
      <c r="X85" s="200"/>
      <c r="Y85" s="200"/>
      <c r="Z85" s="2"/>
      <c r="AA85" s="2"/>
      <c r="AB85" s="2"/>
      <c r="AC85" s="2"/>
      <c r="AD85" s="2"/>
      <c r="AE85" s="200"/>
      <c r="AF85" s="200"/>
      <c r="AG85" s="2"/>
      <c r="AH85" s="2"/>
      <c r="AJ85" s="64">
        <f>SUM(D85:AH85)</f>
        <v>0</v>
      </c>
    </row>
    <row r="86" spans="2:36" ht="15.75" hidden="1" outlineLevel="1" thickTop="1" x14ac:dyDescent="0.25">
      <c r="B86" s="150"/>
      <c r="C86" s="1" t="s">
        <v>1</v>
      </c>
      <c r="D86" s="200"/>
      <c r="E86" s="3"/>
      <c r="F86" s="3"/>
      <c r="G86" s="3"/>
      <c r="H86" s="3"/>
      <c r="I86" s="3"/>
      <c r="J86" s="200"/>
      <c r="K86" s="200"/>
      <c r="L86" s="3"/>
      <c r="M86" s="3"/>
      <c r="N86" s="3"/>
      <c r="O86" s="3"/>
      <c r="P86" s="3"/>
      <c r="Q86" s="200"/>
      <c r="R86" s="200"/>
      <c r="S86" s="3"/>
      <c r="T86" s="3"/>
      <c r="U86" s="3"/>
      <c r="V86" s="3"/>
      <c r="W86" s="3"/>
      <c r="X86" s="200"/>
      <c r="Y86" s="200"/>
      <c r="Z86" s="3"/>
      <c r="AA86" s="3"/>
      <c r="AB86" s="3"/>
      <c r="AC86" s="3"/>
      <c r="AD86" s="3"/>
      <c r="AE86" s="200"/>
      <c r="AF86" s="200"/>
      <c r="AG86" s="3"/>
      <c r="AH86" s="3"/>
      <c r="AJ86" s="70">
        <f t="shared" ref="AJ86:AJ89" si="16">SUM(D86:AH86)</f>
        <v>0</v>
      </c>
    </row>
    <row r="87" spans="2:36" hidden="1" outlineLevel="1" x14ac:dyDescent="0.25">
      <c r="B87" s="151"/>
      <c r="C87" s="1" t="s">
        <v>2</v>
      </c>
      <c r="D87" s="200"/>
      <c r="E87" s="4"/>
      <c r="F87" s="4"/>
      <c r="G87" s="4"/>
      <c r="H87" s="4"/>
      <c r="I87" s="4"/>
      <c r="J87" s="200"/>
      <c r="K87" s="200"/>
      <c r="L87" s="4"/>
      <c r="M87" s="4"/>
      <c r="N87" s="4"/>
      <c r="O87" s="4"/>
      <c r="P87" s="4"/>
      <c r="Q87" s="200"/>
      <c r="R87" s="200"/>
      <c r="S87" s="4"/>
      <c r="T87" s="4"/>
      <c r="U87" s="4"/>
      <c r="V87" s="4"/>
      <c r="W87" s="4"/>
      <c r="X87" s="200"/>
      <c r="Y87" s="200"/>
      <c r="Z87" s="4"/>
      <c r="AA87" s="4"/>
      <c r="AB87" s="4"/>
      <c r="AC87" s="4"/>
      <c r="AD87" s="4"/>
      <c r="AE87" s="200"/>
      <c r="AF87" s="200"/>
      <c r="AG87" s="4"/>
      <c r="AH87" s="4"/>
      <c r="AJ87" s="71">
        <f t="shared" si="16"/>
        <v>0</v>
      </c>
    </row>
    <row r="88" spans="2:36" hidden="1" outlineLevel="1" x14ac:dyDescent="0.25">
      <c r="B88" s="151"/>
      <c r="C88" s="54" t="s">
        <v>77</v>
      </c>
      <c r="D88" s="200"/>
      <c r="E88" s="5"/>
      <c r="F88" s="5"/>
      <c r="G88" s="5"/>
      <c r="H88" s="5"/>
      <c r="I88" s="5"/>
      <c r="J88" s="200"/>
      <c r="K88" s="200"/>
      <c r="L88" s="5"/>
      <c r="M88" s="5"/>
      <c r="N88" s="5"/>
      <c r="O88" s="5"/>
      <c r="P88" s="5"/>
      <c r="Q88" s="200"/>
      <c r="R88" s="200"/>
      <c r="S88" s="5"/>
      <c r="T88" s="5"/>
      <c r="U88" s="5"/>
      <c r="V88" s="5"/>
      <c r="W88" s="5"/>
      <c r="X88" s="200"/>
      <c r="Y88" s="200"/>
      <c r="Z88" s="5"/>
      <c r="AA88" s="5"/>
      <c r="AB88" s="5"/>
      <c r="AC88" s="5"/>
      <c r="AD88" s="5"/>
      <c r="AE88" s="200"/>
      <c r="AF88" s="200"/>
      <c r="AG88" s="5"/>
      <c r="AH88" s="5"/>
      <c r="AJ88" s="72">
        <f t="shared" si="16"/>
        <v>0</v>
      </c>
    </row>
    <row r="89" spans="2:36" ht="15.75" hidden="1" outlineLevel="1" thickBot="1" x14ac:dyDescent="0.3">
      <c r="B89" s="151"/>
      <c r="C89" s="9" t="s">
        <v>3</v>
      </c>
      <c r="D89" s="201"/>
      <c r="E89" s="8"/>
      <c r="F89" s="8"/>
      <c r="G89" s="8"/>
      <c r="H89" s="8"/>
      <c r="I89" s="8"/>
      <c r="J89" s="201"/>
      <c r="K89" s="201"/>
      <c r="L89" s="8"/>
      <c r="M89" s="8"/>
      <c r="N89" s="8"/>
      <c r="O89" s="8"/>
      <c r="P89" s="8"/>
      <c r="Q89" s="201"/>
      <c r="R89" s="201"/>
      <c r="S89" s="8"/>
      <c r="T89" s="8"/>
      <c r="U89" s="8"/>
      <c r="V89" s="8"/>
      <c r="W89" s="8"/>
      <c r="X89" s="201"/>
      <c r="Y89" s="201"/>
      <c r="Z89" s="8"/>
      <c r="AA89" s="8"/>
      <c r="AB89" s="8"/>
      <c r="AC89" s="8"/>
      <c r="AD89" s="8"/>
      <c r="AE89" s="201"/>
      <c r="AF89" s="201"/>
      <c r="AG89" s="8"/>
      <c r="AH89" s="8"/>
      <c r="AI89" s="7"/>
      <c r="AJ89" s="69">
        <f t="shared" si="16"/>
        <v>0</v>
      </c>
    </row>
    <row r="90" spans="2:36" ht="16.5" collapsed="1" thickTop="1" thickBot="1" x14ac:dyDescent="0.3">
      <c r="B90" s="253" t="str">
        <f>'Hours Scheduled'!B21</f>
        <v>Manuel Sperti</v>
      </c>
      <c r="C90" t="s">
        <v>0</v>
      </c>
      <c r="D90" s="200"/>
      <c r="E90" s="2"/>
      <c r="F90" s="2"/>
      <c r="G90" s="2"/>
      <c r="H90" s="2"/>
      <c r="I90" s="2"/>
      <c r="J90" s="200"/>
      <c r="K90" s="200"/>
      <c r="L90" s="2"/>
      <c r="M90" s="2"/>
      <c r="N90" s="2"/>
      <c r="O90" s="2"/>
      <c r="P90" s="2"/>
      <c r="Q90" s="200"/>
      <c r="R90" s="200"/>
      <c r="S90" s="2"/>
      <c r="T90" s="2"/>
      <c r="U90" s="2"/>
      <c r="V90" s="2"/>
      <c r="W90" s="2"/>
      <c r="X90" s="200"/>
      <c r="Y90" s="200"/>
      <c r="Z90" s="2"/>
      <c r="AA90" s="2"/>
      <c r="AB90" s="2"/>
      <c r="AC90" s="2"/>
      <c r="AD90" s="2"/>
      <c r="AE90" s="200"/>
      <c r="AF90" s="200"/>
      <c r="AG90" s="2"/>
      <c r="AH90" s="2"/>
      <c r="AJ90" s="64">
        <f>SUM(D90:AH90)</f>
        <v>0</v>
      </c>
    </row>
    <row r="91" spans="2:36" ht="15.75" hidden="1" outlineLevel="1" thickTop="1" x14ac:dyDescent="0.25">
      <c r="B91" s="150"/>
      <c r="C91" s="1" t="s">
        <v>1</v>
      </c>
      <c r="D91" s="200"/>
      <c r="E91" s="3"/>
      <c r="F91" s="3"/>
      <c r="G91" s="3"/>
      <c r="H91" s="3"/>
      <c r="I91" s="3"/>
      <c r="J91" s="200"/>
      <c r="K91" s="200"/>
      <c r="L91" s="3"/>
      <c r="M91" s="3"/>
      <c r="N91" s="3"/>
      <c r="O91" s="3"/>
      <c r="P91" s="3"/>
      <c r="Q91" s="200"/>
      <c r="R91" s="200"/>
      <c r="S91" s="3"/>
      <c r="T91" s="3"/>
      <c r="U91" s="3"/>
      <c r="V91" s="3"/>
      <c r="W91" s="3"/>
      <c r="X91" s="200"/>
      <c r="Y91" s="200"/>
      <c r="Z91" s="3"/>
      <c r="AA91" s="3"/>
      <c r="AB91" s="3"/>
      <c r="AC91" s="3"/>
      <c r="AD91" s="3"/>
      <c r="AE91" s="200"/>
      <c r="AF91" s="200"/>
      <c r="AG91" s="3"/>
      <c r="AH91" s="3"/>
      <c r="AJ91" s="70">
        <f t="shared" ref="AJ91:AJ94" si="17">SUM(D91:AH91)</f>
        <v>0</v>
      </c>
    </row>
    <row r="92" spans="2:36" hidden="1" outlineLevel="1" x14ac:dyDescent="0.25">
      <c r="B92" s="151"/>
      <c r="C92" s="1" t="s">
        <v>2</v>
      </c>
      <c r="D92" s="200"/>
      <c r="E92" s="4"/>
      <c r="F92" s="4"/>
      <c r="G92" s="4"/>
      <c r="H92" s="4"/>
      <c r="I92" s="4"/>
      <c r="J92" s="200"/>
      <c r="K92" s="200"/>
      <c r="L92" s="4"/>
      <c r="M92" s="4"/>
      <c r="N92" s="4"/>
      <c r="O92" s="4"/>
      <c r="P92" s="4"/>
      <c r="Q92" s="200"/>
      <c r="R92" s="200"/>
      <c r="S92" s="4"/>
      <c r="T92" s="4"/>
      <c r="U92" s="4"/>
      <c r="V92" s="4"/>
      <c r="W92" s="4"/>
      <c r="X92" s="200"/>
      <c r="Y92" s="200"/>
      <c r="Z92" s="4"/>
      <c r="AA92" s="4"/>
      <c r="AB92" s="4"/>
      <c r="AC92" s="4"/>
      <c r="AD92" s="4"/>
      <c r="AE92" s="200"/>
      <c r="AF92" s="200"/>
      <c r="AG92" s="4"/>
      <c r="AH92" s="4"/>
      <c r="AJ92" s="71">
        <f t="shared" si="17"/>
        <v>0</v>
      </c>
    </row>
    <row r="93" spans="2:36" hidden="1" outlineLevel="1" x14ac:dyDescent="0.25">
      <c r="B93" s="151"/>
      <c r="C93" s="54" t="s">
        <v>77</v>
      </c>
      <c r="D93" s="200"/>
      <c r="E93" s="5"/>
      <c r="F93" s="5"/>
      <c r="G93" s="5"/>
      <c r="H93" s="5"/>
      <c r="I93" s="5"/>
      <c r="J93" s="200"/>
      <c r="K93" s="200"/>
      <c r="L93" s="5"/>
      <c r="M93" s="5"/>
      <c r="N93" s="5"/>
      <c r="O93" s="5"/>
      <c r="P93" s="5"/>
      <c r="Q93" s="200"/>
      <c r="R93" s="200"/>
      <c r="S93" s="5"/>
      <c r="T93" s="5"/>
      <c r="U93" s="5"/>
      <c r="V93" s="5"/>
      <c r="W93" s="5"/>
      <c r="X93" s="200"/>
      <c r="Y93" s="200"/>
      <c r="Z93" s="5"/>
      <c r="AA93" s="5"/>
      <c r="AB93" s="5"/>
      <c r="AC93" s="5"/>
      <c r="AD93" s="5"/>
      <c r="AE93" s="200"/>
      <c r="AF93" s="200"/>
      <c r="AG93" s="5"/>
      <c r="AH93" s="5"/>
      <c r="AJ93" s="72">
        <f t="shared" si="17"/>
        <v>0</v>
      </c>
    </row>
    <row r="94" spans="2:36" ht="15.75" hidden="1" outlineLevel="1" thickBot="1" x14ac:dyDescent="0.3">
      <c r="B94" s="151"/>
      <c r="C94" s="9" t="s">
        <v>3</v>
      </c>
      <c r="D94" s="201"/>
      <c r="E94" s="8"/>
      <c r="F94" s="8"/>
      <c r="G94" s="8"/>
      <c r="H94" s="8"/>
      <c r="I94" s="8"/>
      <c r="J94" s="201"/>
      <c r="K94" s="201"/>
      <c r="L94" s="8"/>
      <c r="M94" s="8"/>
      <c r="N94" s="8"/>
      <c r="O94" s="8"/>
      <c r="P94" s="8"/>
      <c r="Q94" s="201"/>
      <c r="R94" s="201"/>
      <c r="S94" s="8"/>
      <c r="T94" s="8"/>
      <c r="U94" s="8"/>
      <c r="V94" s="8"/>
      <c r="W94" s="8"/>
      <c r="X94" s="201"/>
      <c r="Y94" s="201"/>
      <c r="Z94" s="8"/>
      <c r="AA94" s="8"/>
      <c r="AB94" s="8"/>
      <c r="AC94" s="8"/>
      <c r="AD94" s="8"/>
      <c r="AE94" s="201"/>
      <c r="AF94" s="201"/>
      <c r="AG94" s="8"/>
      <c r="AH94" s="8"/>
      <c r="AI94" s="7"/>
      <c r="AJ94" s="69">
        <f t="shared" si="17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200"/>
      <c r="E95" s="2"/>
      <c r="F95" s="2"/>
      <c r="G95" s="2"/>
      <c r="H95" s="2"/>
      <c r="I95" s="2"/>
      <c r="J95" s="200"/>
      <c r="K95" s="200"/>
      <c r="L95" s="2"/>
      <c r="M95" s="2"/>
      <c r="N95" s="2"/>
      <c r="O95" s="2"/>
      <c r="P95" s="2"/>
      <c r="Q95" s="200"/>
      <c r="R95" s="200"/>
      <c r="S95" s="2"/>
      <c r="T95" s="2"/>
      <c r="U95" s="2"/>
      <c r="V95" s="2"/>
      <c r="W95" s="2"/>
      <c r="X95" s="200"/>
      <c r="Y95" s="200"/>
      <c r="Z95" s="2"/>
      <c r="AA95" s="2"/>
      <c r="AB95" s="2"/>
      <c r="AC95" s="2"/>
      <c r="AD95" s="2"/>
      <c r="AE95" s="200"/>
      <c r="AF95" s="200"/>
      <c r="AG95" s="2"/>
      <c r="AH95" s="2"/>
      <c r="AJ95" s="64">
        <f>SUM(D95:AH95)</f>
        <v>0</v>
      </c>
    </row>
    <row r="96" spans="2:36" ht="15.75" hidden="1" outlineLevel="1" thickTop="1" x14ac:dyDescent="0.25">
      <c r="B96" s="150"/>
      <c r="C96" s="1" t="s">
        <v>1</v>
      </c>
      <c r="D96" s="200"/>
      <c r="E96" s="3"/>
      <c r="F96" s="3"/>
      <c r="G96" s="3"/>
      <c r="H96" s="3"/>
      <c r="I96" s="3"/>
      <c r="J96" s="200"/>
      <c r="K96" s="200"/>
      <c r="L96" s="3"/>
      <c r="M96" s="3"/>
      <c r="N96" s="3"/>
      <c r="O96" s="3"/>
      <c r="P96" s="3"/>
      <c r="Q96" s="200"/>
      <c r="R96" s="200"/>
      <c r="S96" s="3"/>
      <c r="T96" s="3"/>
      <c r="U96" s="3"/>
      <c r="V96" s="3"/>
      <c r="W96" s="3"/>
      <c r="X96" s="200"/>
      <c r="Y96" s="200"/>
      <c r="Z96" s="3"/>
      <c r="AA96" s="3"/>
      <c r="AB96" s="3"/>
      <c r="AC96" s="3"/>
      <c r="AD96" s="3"/>
      <c r="AE96" s="200"/>
      <c r="AF96" s="200"/>
      <c r="AG96" s="3"/>
      <c r="AH96" s="3"/>
      <c r="AJ96" s="70">
        <f t="shared" ref="AJ96:AJ99" si="18">SUM(D96:AH96)</f>
        <v>0</v>
      </c>
    </row>
    <row r="97" spans="2:36" hidden="1" outlineLevel="1" x14ac:dyDescent="0.25">
      <c r="B97" s="151"/>
      <c r="C97" s="1" t="s">
        <v>2</v>
      </c>
      <c r="D97" s="200"/>
      <c r="E97" s="4"/>
      <c r="F97" s="4"/>
      <c r="G97" s="4"/>
      <c r="H97" s="4"/>
      <c r="I97" s="4"/>
      <c r="J97" s="200"/>
      <c r="K97" s="200"/>
      <c r="L97" s="4"/>
      <c r="M97" s="4"/>
      <c r="N97" s="4"/>
      <c r="O97" s="4"/>
      <c r="P97" s="4"/>
      <c r="Q97" s="200"/>
      <c r="R97" s="200"/>
      <c r="S97" s="4"/>
      <c r="T97" s="4"/>
      <c r="U97" s="4"/>
      <c r="V97" s="4"/>
      <c r="W97" s="4"/>
      <c r="X97" s="200"/>
      <c r="Y97" s="200"/>
      <c r="Z97" s="4"/>
      <c r="AA97" s="4"/>
      <c r="AB97" s="4"/>
      <c r="AC97" s="4"/>
      <c r="AD97" s="4"/>
      <c r="AE97" s="200"/>
      <c r="AF97" s="200"/>
      <c r="AG97" s="4"/>
      <c r="AH97" s="4"/>
      <c r="AJ97" s="71">
        <f t="shared" si="18"/>
        <v>0</v>
      </c>
    </row>
    <row r="98" spans="2:36" hidden="1" outlineLevel="1" x14ac:dyDescent="0.25">
      <c r="B98" s="151"/>
      <c r="C98" s="54" t="s">
        <v>77</v>
      </c>
      <c r="D98" s="200"/>
      <c r="E98" s="5"/>
      <c r="F98" s="5"/>
      <c r="G98" s="5"/>
      <c r="H98" s="5"/>
      <c r="I98" s="5"/>
      <c r="J98" s="200"/>
      <c r="K98" s="200"/>
      <c r="L98" s="5"/>
      <c r="M98" s="5"/>
      <c r="N98" s="5"/>
      <c r="O98" s="5"/>
      <c r="P98" s="5"/>
      <c r="Q98" s="200"/>
      <c r="R98" s="200"/>
      <c r="S98" s="5"/>
      <c r="T98" s="5"/>
      <c r="U98" s="5"/>
      <c r="V98" s="5"/>
      <c r="W98" s="5"/>
      <c r="X98" s="200"/>
      <c r="Y98" s="200"/>
      <c r="Z98" s="5"/>
      <c r="AA98" s="5"/>
      <c r="AB98" s="5"/>
      <c r="AC98" s="5"/>
      <c r="AD98" s="5"/>
      <c r="AE98" s="200"/>
      <c r="AF98" s="200"/>
      <c r="AG98" s="5"/>
      <c r="AH98" s="5"/>
      <c r="AJ98" s="72">
        <f t="shared" si="18"/>
        <v>0</v>
      </c>
    </row>
    <row r="99" spans="2:36" ht="15.75" hidden="1" outlineLevel="1" thickBot="1" x14ac:dyDescent="0.3">
      <c r="B99" s="151"/>
      <c r="C99" s="9" t="s">
        <v>3</v>
      </c>
      <c r="D99" s="201"/>
      <c r="E99" s="8"/>
      <c r="F99" s="8"/>
      <c r="G99" s="8"/>
      <c r="H99" s="8"/>
      <c r="I99" s="8"/>
      <c r="J99" s="201"/>
      <c r="K99" s="201"/>
      <c r="L99" s="8"/>
      <c r="M99" s="8"/>
      <c r="N99" s="8"/>
      <c r="O99" s="8"/>
      <c r="P99" s="8"/>
      <c r="Q99" s="201"/>
      <c r="R99" s="201"/>
      <c r="S99" s="8"/>
      <c r="T99" s="8"/>
      <c r="U99" s="8"/>
      <c r="V99" s="8"/>
      <c r="W99" s="8"/>
      <c r="X99" s="201"/>
      <c r="Y99" s="201"/>
      <c r="Z99" s="8"/>
      <c r="AA99" s="8"/>
      <c r="AB99" s="8"/>
      <c r="AC99" s="8"/>
      <c r="AD99" s="8"/>
      <c r="AE99" s="201"/>
      <c r="AF99" s="201"/>
      <c r="AG99" s="8"/>
      <c r="AH99" s="8"/>
      <c r="AI99" s="7"/>
      <c r="AJ99" s="69">
        <f t="shared" si="18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200"/>
      <c r="E100" s="2"/>
      <c r="F100" s="2"/>
      <c r="G100" s="2"/>
      <c r="H100" s="2"/>
      <c r="I100" s="2"/>
      <c r="J100" s="200"/>
      <c r="K100" s="200"/>
      <c r="L100" s="2"/>
      <c r="M100" s="2"/>
      <c r="N100" s="2"/>
      <c r="O100" s="2"/>
      <c r="P100" s="2"/>
      <c r="Q100" s="200"/>
      <c r="R100" s="200"/>
      <c r="S100" s="2"/>
      <c r="T100" s="2"/>
      <c r="U100" s="2"/>
      <c r="V100" s="2"/>
      <c r="W100" s="2"/>
      <c r="X100" s="200"/>
      <c r="Y100" s="200"/>
      <c r="Z100" s="2"/>
      <c r="AA100" s="2"/>
      <c r="AB100" s="2"/>
      <c r="AC100" s="2"/>
      <c r="AD100" s="2"/>
      <c r="AE100" s="200"/>
      <c r="AF100" s="200"/>
      <c r="AG100" s="2"/>
      <c r="AH100" s="2"/>
      <c r="AJ100" s="64">
        <f>SUM(D100:AH100)</f>
        <v>0</v>
      </c>
    </row>
    <row r="101" spans="2:36" ht="15.75" hidden="1" outlineLevel="1" thickTop="1" x14ac:dyDescent="0.25">
      <c r="B101" s="150"/>
      <c r="C101" s="1" t="s">
        <v>1</v>
      </c>
      <c r="D101" s="200"/>
      <c r="E101" s="3"/>
      <c r="F101" s="3"/>
      <c r="G101" s="3"/>
      <c r="H101" s="3"/>
      <c r="I101" s="3"/>
      <c r="J101" s="200"/>
      <c r="K101" s="200"/>
      <c r="L101" s="3"/>
      <c r="M101" s="3"/>
      <c r="N101" s="3"/>
      <c r="O101" s="3"/>
      <c r="P101" s="3"/>
      <c r="Q101" s="200"/>
      <c r="R101" s="200"/>
      <c r="S101" s="3"/>
      <c r="T101" s="3"/>
      <c r="U101" s="3"/>
      <c r="V101" s="3"/>
      <c r="W101" s="3"/>
      <c r="X101" s="200"/>
      <c r="Y101" s="200"/>
      <c r="Z101" s="3"/>
      <c r="AA101" s="3"/>
      <c r="AB101" s="3"/>
      <c r="AC101" s="3"/>
      <c r="AD101" s="3"/>
      <c r="AE101" s="200"/>
      <c r="AF101" s="200"/>
      <c r="AG101" s="3"/>
      <c r="AH101" s="3"/>
      <c r="AJ101" s="70">
        <f t="shared" ref="AJ101:AJ104" si="19">SUM(D101:AH101)</f>
        <v>0</v>
      </c>
    </row>
    <row r="102" spans="2:36" hidden="1" outlineLevel="1" x14ac:dyDescent="0.25">
      <c r="B102" s="151"/>
      <c r="C102" s="1" t="s">
        <v>2</v>
      </c>
      <c r="D102" s="200"/>
      <c r="E102" s="4"/>
      <c r="F102" s="4"/>
      <c r="G102" s="4"/>
      <c r="H102" s="4"/>
      <c r="I102" s="4"/>
      <c r="J102" s="200"/>
      <c r="K102" s="200"/>
      <c r="L102" s="4"/>
      <c r="M102" s="4"/>
      <c r="N102" s="4"/>
      <c r="O102" s="4"/>
      <c r="P102" s="4"/>
      <c r="Q102" s="200"/>
      <c r="R102" s="200"/>
      <c r="S102" s="4"/>
      <c r="T102" s="4"/>
      <c r="U102" s="4"/>
      <c r="V102" s="4"/>
      <c r="W102" s="4"/>
      <c r="X102" s="200"/>
      <c r="Y102" s="200"/>
      <c r="Z102" s="4"/>
      <c r="AA102" s="4"/>
      <c r="AB102" s="4"/>
      <c r="AC102" s="4"/>
      <c r="AD102" s="4"/>
      <c r="AE102" s="200"/>
      <c r="AF102" s="200"/>
      <c r="AG102" s="4"/>
      <c r="AH102" s="4"/>
      <c r="AJ102" s="71">
        <f t="shared" si="19"/>
        <v>0</v>
      </c>
    </row>
    <row r="103" spans="2:36" hidden="1" outlineLevel="1" x14ac:dyDescent="0.25">
      <c r="B103" s="151"/>
      <c r="C103" s="54" t="s">
        <v>77</v>
      </c>
      <c r="D103" s="200"/>
      <c r="E103" s="5"/>
      <c r="F103" s="5"/>
      <c r="G103" s="5"/>
      <c r="H103" s="5"/>
      <c r="I103" s="5"/>
      <c r="J103" s="200"/>
      <c r="K103" s="200"/>
      <c r="L103" s="5"/>
      <c r="M103" s="5"/>
      <c r="N103" s="5"/>
      <c r="O103" s="5"/>
      <c r="P103" s="5"/>
      <c r="Q103" s="200"/>
      <c r="R103" s="200"/>
      <c r="S103" s="5"/>
      <c r="T103" s="5"/>
      <c r="U103" s="5"/>
      <c r="V103" s="5"/>
      <c r="W103" s="5"/>
      <c r="X103" s="200"/>
      <c r="Y103" s="200"/>
      <c r="Z103" s="5"/>
      <c r="AA103" s="5"/>
      <c r="AB103" s="5"/>
      <c r="AC103" s="5"/>
      <c r="AD103" s="5"/>
      <c r="AE103" s="200"/>
      <c r="AF103" s="200"/>
      <c r="AG103" s="5"/>
      <c r="AH103" s="5"/>
      <c r="AJ103" s="72">
        <f t="shared" si="19"/>
        <v>0</v>
      </c>
    </row>
    <row r="104" spans="2:36" ht="15.75" hidden="1" outlineLevel="1" thickBot="1" x14ac:dyDescent="0.3">
      <c r="B104" s="151"/>
      <c r="C104" s="9" t="s">
        <v>3</v>
      </c>
      <c r="D104" s="201"/>
      <c r="E104" s="8"/>
      <c r="F104" s="8"/>
      <c r="G104" s="8"/>
      <c r="H104" s="8"/>
      <c r="I104" s="8"/>
      <c r="J104" s="201"/>
      <c r="K104" s="201"/>
      <c r="L104" s="8"/>
      <c r="M104" s="8"/>
      <c r="N104" s="8"/>
      <c r="O104" s="8"/>
      <c r="P104" s="8"/>
      <c r="Q104" s="201"/>
      <c r="R104" s="201"/>
      <c r="S104" s="8"/>
      <c r="T104" s="8"/>
      <c r="U104" s="8"/>
      <c r="V104" s="8"/>
      <c r="W104" s="8"/>
      <c r="X104" s="201"/>
      <c r="Y104" s="201"/>
      <c r="Z104" s="8"/>
      <c r="AA104" s="8"/>
      <c r="AB104" s="8"/>
      <c r="AC104" s="8"/>
      <c r="AD104" s="8"/>
      <c r="AE104" s="201"/>
      <c r="AF104" s="201"/>
      <c r="AG104" s="8"/>
      <c r="AH104" s="8"/>
      <c r="AI104" s="7"/>
      <c r="AJ104" s="69">
        <f t="shared" si="19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200"/>
      <c r="E105" s="2"/>
      <c r="F105" s="2"/>
      <c r="G105" s="2"/>
      <c r="H105" s="2"/>
      <c r="I105" s="2"/>
      <c r="J105" s="200"/>
      <c r="K105" s="200"/>
      <c r="L105" s="2"/>
      <c r="M105" s="2"/>
      <c r="N105" s="2"/>
      <c r="O105" s="2"/>
      <c r="P105" s="2"/>
      <c r="Q105" s="200"/>
      <c r="R105" s="200"/>
      <c r="S105" s="2"/>
      <c r="T105" s="2"/>
      <c r="U105" s="2"/>
      <c r="V105" s="2"/>
      <c r="W105" s="2"/>
      <c r="X105" s="200"/>
      <c r="Y105" s="200"/>
      <c r="Z105" s="2"/>
      <c r="AA105" s="2"/>
      <c r="AB105" s="2"/>
      <c r="AC105" s="2"/>
      <c r="AD105" s="2"/>
      <c r="AE105" s="200"/>
      <c r="AF105" s="200"/>
      <c r="AG105" s="2"/>
      <c r="AH105" s="2"/>
      <c r="AJ105" s="64">
        <f>SUM(D105:AH105)</f>
        <v>0</v>
      </c>
    </row>
    <row r="106" spans="2:36" ht="15.75" hidden="1" outlineLevel="1" thickTop="1" x14ac:dyDescent="0.25">
      <c r="B106" s="150"/>
      <c r="C106" s="1" t="s">
        <v>1</v>
      </c>
      <c r="D106" s="200"/>
      <c r="E106" s="3"/>
      <c r="F106" s="3"/>
      <c r="G106" s="3"/>
      <c r="H106" s="3"/>
      <c r="I106" s="3"/>
      <c r="J106" s="200"/>
      <c r="K106" s="200"/>
      <c r="L106" s="3"/>
      <c r="M106" s="3"/>
      <c r="N106" s="3"/>
      <c r="O106" s="3"/>
      <c r="P106" s="3"/>
      <c r="Q106" s="200"/>
      <c r="R106" s="200"/>
      <c r="S106" s="3"/>
      <c r="T106" s="3"/>
      <c r="U106" s="3"/>
      <c r="V106" s="3"/>
      <c r="W106" s="3"/>
      <c r="X106" s="200"/>
      <c r="Y106" s="200"/>
      <c r="Z106" s="3"/>
      <c r="AA106" s="3"/>
      <c r="AB106" s="3"/>
      <c r="AC106" s="3"/>
      <c r="AD106" s="3"/>
      <c r="AE106" s="200"/>
      <c r="AF106" s="200"/>
      <c r="AG106" s="3"/>
      <c r="AH106" s="3"/>
      <c r="AJ106" s="70">
        <f t="shared" ref="AJ106:AJ109" si="20">SUM(D106:AH106)</f>
        <v>0</v>
      </c>
    </row>
    <row r="107" spans="2:36" hidden="1" outlineLevel="1" x14ac:dyDescent="0.25">
      <c r="B107" s="151"/>
      <c r="C107" s="1" t="s">
        <v>2</v>
      </c>
      <c r="D107" s="200"/>
      <c r="E107" s="4"/>
      <c r="F107" s="4"/>
      <c r="G107" s="4"/>
      <c r="H107" s="4"/>
      <c r="I107" s="4"/>
      <c r="J107" s="200"/>
      <c r="K107" s="200"/>
      <c r="L107" s="4"/>
      <c r="M107" s="4"/>
      <c r="N107" s="4"/>
      <c r="O107" s="4"/>
      <c r="P107" s="4"/>
      <c r="Q107" s="200"/>
      <c r="R107" s="200"/>
      <c r="S107" s="4"/>
      <c r="T107" s="4"/>
      <c r="U107" s="4"/>
      <c r="V107" s="4"/>
      <c r="W107" s="4"/>
      <c r="X107" s="200"/>
      <c r="Y107" s="200"/>
      <c r="Z107" s="4"/>
      <c r="AA107" s="4"/>
      <c r="AB107" s="4"/>
      <c r="AC107" s="4"/>
      <c r="AD107" s="4"/>
      <c r="AE107" s="200"/>
      <c r="AF107" s="200"/>
      <c r="AG107" s="4"/>
      <c r="AH107" s="4"/>
      <c r="AJ107" s="71">
        <f t="shared" si="20"/>
        <v>0</v>
      </c>
    </row>
    <row r="108" spans="2:36" hidden="1" outlineLevel="1" x14ac:dyDescent="0.25">
      <c r="B108" s="151"/>
      <c r="C108" s="54" t="s">
        <v>77</v>
      </c>
      <c r="D108" s="200"/>
      <c r="E108" s="5"/>
      <c r="F108" s="5"/>
      <c r="G108" s="5"/>
      <c r="H108" s="5"/>
      <c r="I108" s="5"/>
      <c r="J108" s="200"/>
      <c r="K108" s="200"/>
      <c r="L108" s="5"/>
      <c r="M108" s="5"/>
      <c r="N108" s="5"/>
      <c r="O108" s="5"/>
      <c r="P108" s="5"/>
      <c r="Q108" s="200"/>
      <c r="R108" s="200"/>
      <c r="S108" s="5"/>
      <c r="T108" s="5"/>
      <c r="U108" s="5"/>
      <c r="V108" s="5"/>
      <c r="W108" s="5"/>
      <c r="X108" s="200"/>
      <c r="Y108" s="200"/>
      <c r="Z108" s="5"/>
      <c r="AA108" s="5"/>
      <c r="AB108" s="5"/>
      <c r="AC108" s="5"/>
      <c r="AD108" s="5"/>
      <c r="AE108" s="200"/>
      <c r="AF108" s="200"/>
      <c r="AG108" s="5"/>
      <c r="AH108" s="5"/>
      <c r="AJ108" s="72">
        <f t="shared" si="20"/>
        <v>0</v>
      </c>
    </row>
    <row r="109" spans="2:36" ht="15.75" hidden="1" outlineLevel="1" thickBot="1" x14ac:dyDescent="0.3">
      <c r="B109" s="151"/>
      <c r="C109" s="9" t="s">
        <v>3</v>
      </c>
      <c r="D109" s="201"/>
      <c r="E109" s="8"/>
      <c r="F109" s="8"/>
      <c r="G109" s="8"/>
      <c r="H109" s="8"/>
      <c r="I109" s="8"/>
      <c r="J109" s="201"/>
      <c r="K109" s="201"/>
      <c r="L109" s="8"/>
      <c r="M109" s="8"/>
      <c r="N109" s="8"/>
      <c r="O109" s="8"/>
      <c r="P109" s="8"/>
      <c r="Q109" s="201"/>
      <c r="R109" s="201"/>
      <c r="S109" s="8"/>
      <c r="T109" s="8"/>
      <c r="U109" s="8"/>
      <c r="V109" s="8"/>
      <c r="W109" s="8"/>
      <c r="X109" s="201"/>
      <c r="Y109" s="201"/>
      <c r="Z109" s="8"/>
      <c r="AA109" s="8"/>
      <c r="AB109" s="8"/>
      <c r="AC109" s="8"/>
      <c r="AD109" s="8"/>
      <c r="AE109" s="201"/>
      <c r="AF109" s="201"/>
      <c r="AG109" s="8"/>
      <c r="AH109" s="8"/>
      <c r="AI109" s="7"/>
      <c r="AJ109" s="69">
        <f t="shared" si="20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200"/>
      <c r="E110" s="2"/>
      <c r="F110" s="2"/>
      <c r="G110" s="2"/>
      <c r="H110" s="2"/>
      <c r="I110" s="2"/>
      <c r="J110" s="200"/>
      <c r="K110" s="200"/>
      <c r="L110" s="2"/>
      <c r="M110" s="2"/>
      <c r="N110" s="2"/>
      <c r="O110" s="2"/>
      <c r="P110" s="2"/>
      <c r="Q110" s="200"/>
      <c r="R110" s="200"/>
      <c r="S110" s="2"/>
      <c r="T110" s="2"/>
      <c r="U110" s="2"/>
      <c r="V110" s="2"/>
      <c r="W110" s="2"/>
      <c r="X110" s="200"/>
      <c r="Y110" s="200"/>
      <c r="Z110" s="2"/>
      <c r="AA110" s="2"/>
      <c r="AB110" s="2"/>
      <c r="AC110" s="2"/>
      <c r="AD110" s="2"/>
      <c r="AE110" s="200"/>
      <c r="AF110" s="200"/>
      <c r="AG110" s="2"/>
      <c r="AH110" s="2"/>
      <c r="AJ110" s="64">
        <f>SUM(D110:AH110)</f>
        <v>0</v>
      </c>
    </row>
    <row r="111" spans="2:36" ht="15.75" hidden="1" outlineLevel="1" thickTop="1" x14ac:dyDescent="0.25">
      <c r="B111" s="150"/>
      <c r="C111" s="1" t="s">
        <v>1</v>
      </c>
      <c r="D111" s="200"/>
      <c r="E111" s="2"/>
      <c r="F111" s="2"/>
      <c r="G111" s="2"/>
      <c r="H111" s="2"/>
      <c r="I111" s="2"/>
      <c r="J111" s="200"/>
      <c r="K111" s="200"/>
      <c r="L111" s="3"/>
      <c r="M111" s="3"/>
      <c r="N111" s="3"/>
      <c r="O111" s="3"/>
      <c r="P111" s="3"/>
      <c r="Q111" s="200"/>
      <c r="R111" s="200"/>
      <c r="S111" s="3"/>
      <c r="T111" s="3"/>
      <c r="U111" s="3"/>
      <c r="V111" s="3"/>
      <c r="W111" s="3"/>
      <c r="X111" s="200"/>
      <c r="Y111" s="200"/>
      <c r="Z111" s="3"/>
      <c r="AA111" s="3"/>
      <c r="AB111" s="3"/>
      <c r="AC111" s="3"/>
      <c r="AD111" s="3"/>
      <c r="AE111" s="200"/>
      <c r="AF111" s="200"/>
      <c r="AG111" s="3"/>
      <c r="AH111" s="3"/>
      <c r="AJ111" s="70">
        <f t="shared" ref="AJ111:AJ114" si="21">SUM(D111:AH111)</f>
        <v>0</v>
      </c>
    </row>
    <row r="112" spans="2:36" hidden="1" outlineLevel="1" x14ac:dyDescent="0.25">
      <c r="B112" s="151"/>
      <c r="C112" s="1" t="s">
        <v>2</v>
      </c>
      <c r="D112" s="200"/>
      <c r="E112" s="2"/>
      <c r="F112" s="2"/>
      <c r="G112" s="2"/>
      <c r="H112" s="2"/>
      <c r="I112" s="2"/>
      <c r="J112" s="200"/>
      <c r="K112" s="200"/>
      <c r="L112" s="4"/>
      <c r="M112" s="4"/>
      <c r="N112" s="4"/>
      <c r="O112" s="4"/>
      <c r="P112" s="4"/>
      <c r="Q112" s="200"/>
      <c r="R112" s="200"/>
      <c r="S112" s="4"/>
      <c r="T112" s="4"/>
      <c r="U112" s="4"/>
      <c r="V112" s="4"/>
      <c r="W112" s="4"/>
      <c r="X112" s="200"/>
      <c r="Y112" s="200"/>
      <c r="Z112" s="4"/>
      <c r="AA112" s="4"/>
      <c r="AB112" s="4"/>
      <c r="AC112" s="4"/>
      <c r="AD112" s="4"/>
      <c r="AE112" s="200"/>
      <c r="AF112" s="200"/>
      <c r="AG112" s="4"/>
      <c r="AH112" s="4"/>
      <c r="AJ112" s="71">
        <f t="shared" si="21"/>
        <v>0</v>
      </c>
    </row>
    <row r="113" spans="2:36" hidden="1" outlineLevel="1" x14ac:dyDescent="0.25">
      <c r="B113" s="151"/>
      <c r="C113" s="54" t="s">
        <v>77</v>
      </c>
      <c r="D113" s="200"/>
      <c r="E113" s="2"/>
      <c r="F113" s="2"/>
      <c r="G113" s="2"/>
      <c r="H113" s="2"/>
      <c r="I113" s="2"/>
      <c r="J113" s="200"/>
      <c r="K113" s="200"/>
      <c r="L113" s="5"/>
      <c r="M113" s="5"/>
      <c r="N113" s="5"/>
      <c r="O113" s="5"/>
      <c r="P113" s="5"/>
      <c r="Q113" s="200"/>
      <c r="R113" s="200"/>
      <c r="S113" s="5"/>
      <c r="T113" s="5"/>
      <c r="U113" s="5"/>
      <c r="V113" s="5"/>
      <c r="W113" s="5"/>
      <c r="X113" s="200"/>
      <c r="Y113" s="200"/>
      <c r="Z113" s="5"/>
      <c r="AA113" s="5"/>
      <c r="AB113" s="5"/>
      <c r="AC113" s="5"/>
      <c r="AD113" s="5"/>
      <c r="AE113" s="200"/>
      <c r="AF113" s="200"/>
      <c r="AG113" s="5"/>
      <c r="AH113" s="5"/>
      <c r="AJ113" s="72">
        <f t="shared" si="21"/>
        <v>0</v>
      </c>
    </row>
    <row r="114" spans="2:36" ht="15.75" hidden="1" outlineLevel="1" thickBot="1" x14ac:dyDescent="0.3">
      <c r="B114" s="151"/>
      <c r="C114" s="9" t="s">
        <v>3</v>
      </c>
      <c r="D114" s="201"/>
      <c r="E114" s="2"/>
      <c r="F114" s="2"/>
      <c r="G114" s="2"/>
      <c r="H114" s="2"/>
      <c r="I114" s="2"/>
      <c r="J114" s="201"/>
      <c r="K114" s="201"/>
      <c r="L114" s="8"/>
      <c r="M114" s="8"/>
      <c r="N114" s="8"/>
      <c r="O114" s="8"/>
      <c r="P114" s="8"/>
      <c r="Q114" s="201"/>
      <c r="R114" s="201"/>
      <c r="S114" s="8"/>
      <c r="T114" s="8"/>
      <c r="U114" s="8"/>
      <c r="V114" s="8"/>
      <c r="W114" s="8"/>
      <c r="X114" s="201"/>
      <c r="Y114" s="201"/>
      <c r="Z114" s="8"/>
      <c r="AA114" s="8"/>
      <c r="AB114" s="8"/>
      <c r="AC114" s="8"/>
      <c r="AD114" s="8"/>
      <c r="AE114" s="201"/>
      <c r="AF114" s="201"/>
      <c r="AG114" s="8"/>
      <c r="AH114" s="8"/>
      <c r="AI114" s="7"/>
      <c r="AJ114" s="69">
        <f t="shared" si="21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200"/>
      <c r="E115" s="260"/>
      <c r="F115" s="260"/>
      <c r="G115" s="260"/>
      <c r="H115" s="260"/>
      <c r="I115" s="260"/>
      <c r="J115" s="200"/>
      <c r="K115" s="200"/>
      <c r="L115" s="2"/>
      <c r="M115" s="2"/>
      <c r="N115" s="2"/>
      <c r="O115" s="2"/>
      <c r="P115" s="2"/>
      <c r="Q115" s="200"/>
      <c r="R115" s="200"/>
      <c r="S115" s="2"/>
      <c r="T115" s="2"/>
      <c r="U115" s="2"/>
      <c r="V115" s="2"/>
      <c r="W115" s="2"/>
      <c r="X115" s="200"/>
      <c r="Y115" s="200"/>
      <c r="Z115" s="2"/>
      <c r="AA115" s="2"/>
      <c r="AB115" s="2"/>
      <c r="AC115" s="2"/>
      <c r="AD115" s="2"/>
      <c r="AE115" s="200"/>
      <c r="AF115" s="200"/>
      <c r="AG115" s="2"/>
      <c r="AH115" s="2"/>
      <c r="AJ115" s="64">
        <f>SUM(D115:AH115)</f>
        <v>0</v>
      </c>
    </row>
    <row r="116" spans="2:36" ht="15.75" hidden="1" outlineLevel="1" thickTop="1" x14ac:dyDescent="0.25">
      <c r="B116" s="150"/>
      <c r="C116" s="1" t="s">
        <v>1</v>
      </c>
      <c r="D116" s="200"/>
      <c r="E116" s="3"/>
      <c r="F116" s="3"/>
      <c r="G116" s="3"/>
      <c r="H116" s="3"/>
      <c r="I116" s="3"/>
      <c r="J116" s="200"/>
      <c r="K116" s="200"/>
      <c r="L116" s="3"/>
      <c r="M116" s="3"/>
      <c r="N116" s="3"/>
      <c r="O116" s="3"/>
      <c r="P116" s="3"/>
      <c r="Q116" s="200"/>
      <c r="R116" s="200"/>
      <c r="S116" s="3"/>
      <c r="T116" s="3"/>
      <c r="U116" s="3"/>
      <c r="V116" s="3"/>
      <c r="W116" s="3"/>
      <c r="X116" s="200"/>
      <c r="Y116" s="200"/>
      <c r="Z116" s="3"/>
      <c r="AA116" s="3"/>
      <c r="AB116" s="3"/>
      <c r="AC116" s="3"/>
      <c r="AD116" s="3"/>
      <c r="AE116" s="200"/>
      <c r="AF116" s="200"/>
      <c r="AG116" s="3"/>
      <c r="AH116" s="3"/>
      <c r="AJ116" s="70">
        <f t="shared" ref="AJ116:AJ119" si="22">SUM(D116:AH116)</f>
        <v>0</v>
      </c>
    </row>
    <row r="117" spans="2:36" hidden="1" outlineLevel="1" x14ac:dyDescent="0.25">
      <c r="B117" s="151"/>
      <c r="C117" s="1" t="s">
        <v>2</v>
      </c>
      <c r="D117" s="200"/>
      <c r="E117" s="4"/>
      <c r="F117" s="4"/>
      <c r="G117" s="4"/>
      <c r="H117" s="4"/>
      <c r="I117" s="4"/>
      <c r="J117" s="200"/>
      <c r="K117" s="200"/>
      <c r="L117" s="4"/>
      <c r="M117" s="4"/>
      <c r="N117" s="4"/>
      <c r="O117" s="4"/>
      <c r="P117" s="4"/>
      <c r="Q117" s="200"/>
      <c r="R117" s="200"/>
      <c r="S117" s="4"/>
      <c r="T117" s="4"/>
      <c r="U117" s="4"/>
      <c r="V117" s="4"/>
      <c r="W117" s="4"/>
      <c r="X117" s="200"/>
      <c r="Y117" s="200"/>
      <c r="Z117" s="4"/>
      <c r="AA117" s="4"/>
      <c r="AB117" s="4"/>
      <c r="AC117" s="4"/>
      <c r="AD117" s="4"/>
      <c r="AE117" s="200"/>
      <c r="AF117" s="200"/>
      <c r="AG117" s="4"/>
      <c r="AH117" s="4"/>
      <c r="AJ117" s="71">
        <f t="shared" si="22"/>
        <v>0</v>
      </c>
    </row>
    <row r="118" spans="2:36" hidden="1" outlineLevel="1" x14ac:dyDescent="0.25">
      <c r="B118" s="151"/>
      <c r="C118" s="54" t="s">
        <v>77</v>
      </c>
      <c r="D118" s="200"/>
      <c r="E118" s="5"/>
      <c r="F118" s="5"/>
      <c r="G118" s="5"/>
      <c r="H118" s="5"/>
      <c r="I118" s="5"/>
      <c r="J118" s="200"/>
      <c r="K118" s="200"/>
      <c r="L118" s="5"/>
      <c r="M118" s="5"/>
      <c r="N118" s="5"/>
      <c r="O118" s="5"/>
      <c r="P118" s="5"/>
      <c r="Q118" s="200"/>
      <c r="R118" s="200"/>
      <c r="S118" s="5"/>
      <c r="T118" s="5"/>
      <c r="U118" s="5"/>
      <c r="V118" s="5"/>
      <c r="W118" s="5"/>
      <c r="X118" s="200"/>
      <c r="Y118" s="200"/>
      <c r="Z118" s="5"/>
      <c r="AA118" s="5"/>
      <c r="AB118" s="5"/>
      <c r="AC118" s="5"/>
      <c r="AD118" s="5"/>
      <c r="AE118" s="200"/>
      <c r="AF118" s="200"/>
      <c r="AG118" s="5"/>
      <c r="AH118" s="5"/>
      <c r="AJ118" s="72">
        <f t="shared" si="22"/>
        <v>0</v>
      </c>
    </row>
    <row r="119" spans="2:36" ht="15.75" hidden="1" outlineLevel="1" thickBot="1" x14ac:dyDescent="0.3">
      <c r="B119" s="151"/>
      <c r="C119" s="9" t="s">
        <v>3</v>
      </c>
      <c r="D119" s="201"/>
      <c r="E119" s="8"/>
      <c r="F119" s="8"/>
      <c r="G119" s="8"/>
      <c r="H119" s="8"/>
      <c r="I119" s="8"/>
      <c r="J119" s="201"/>
      <c r="K119" s="201"/>
      <c r="L119" s="8"/>
      <c r="M119" s="8"/>
      <c r="N119" s="8"/>
      <c r="O119" s="8"/>
      <c r="P119" s="8"/>
      <c r="Q119" s="201"/>
      <c r="R119" s="201"/>
      <c r="S119" s="8"/>
      <c r="T119" s="8"/>
      <c r="U119" s="8"/>
      <c r="V119" s="8"/>
      <c r="W119" s="8"/>
      <c r="X119" s="201"/>
      <c r="Y119" s="201"/>
      <c r="Z119" s="8"/>
      <c r="AA119" s="8"/>
      <c r="AB119" s="8"/>
      <c r="AC119" s="8"/>
      <c r="AD119" s="8"/>
      <c r="AE119" s="201"/>
      <c r="AF119" s="201"/>
      <c r="AG119" s="8"/>
      <c r="AH119" s="8"/>
      <c r="AI119" s="7"/>
      <c r="AJ119" s="69">
        <f t="shared" si="22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200"/>
      <c r="E120" s="2"/>
      <c r="F120" s="2"/>
      <c r="G120" s="2"/>
      <c r="H120" s="2"/>
      <c r="I120" s="2"/>
      <c r="J120" s="200"/>
      <c r="K120" s="200"/>
      <c r="L120" s="2"/>
      <c r="M120" s="2"/>
      <c r="N120" s="2"/>
      <c r="O120" s="2"/>
      <c r="P120" s="2"/>
      <c r="Q120" s="200"/>
      <c r="R120" s="200"/>
      <c r="S120" s="2"/>
      <c r="T120" s="2"/>
      <c r="U120" s="2"/>
      <c r="V120" s="2"/>
      <c r="W120" s="2"/>
      <c r="X120" s="200"/>
      <c r="Y120" s="200"/>
      <c r="Z120" s="2"/>
      <c r="AA120" s="2"/>
      <c r="AB120" s="2"/>
      <c r="AC120" s="2"/>
      <c r="AD120" s="2"/>
      <c r="AE120" s="200"/>
      <c r="AF120" s="200"/>
      <c r="AG120" s="2"/>
      <c r="AH120" s="2"/>
      <c r="AJ120" s="64">
        <f>SUM(D120:AH120)</f>
        <v>0</v>
      </c>
    </row>
    <row r="121" spans="2:36" ht="15.75" hidden="1" outlineLevel="1" thickTop="1" x14ac:dyDescent="0.25">
      <c r="B121" s="150"/>
      <c r="C121" s="1" t="s">
        <v>1</v>
      </c>
      <c r="D121" s="200"/>
      <c r="E121" s="3"/>
      <c r="F121" s="3"/>
      <c r="G121" s="3"/>
      <c r="H121" s="3"/>
      <c r="I121" s="3"/>
      <c r="J121" s="200"/>
      <c r="K121" s="200"/>
      <c r="L121" s="3"/>
      <c r="M121" s="3"/>
      <c r="N121" s="3"/>
      <c r="O121" s="3"/>
      <c r="P121" s="3"/>
      <c r="Q121" s="200"/>
      <c r="R121" s="200"/>
      <c r="S121" s="3"/>
      <c r="T121" s="3"/>
      <c r="U121" s="3"/>
      <c r="V121" s="3"/>
      <c r="W121" s="3"/>
      <c r="X121" s="200"/>
      <c r="Y121" s="200"/>
      <c r="Z121" s="3"/>
      <c r="AA121" s="3"/>
      <c r="AB121" s="3"/>
      <c r="AC121" s="3"/>
      <c r="AD121" s="3"/>
      <c r="AE121" s="200"/>
      <c r="AF121" s="200"/>
      <c r="AG121" s="3"/>
      <c r="AH121" s="3"/>
      <c r="AJ121" s="70">
        <f t="shared" ref="AJ121:AJ124" si="23">SUM(D121:AH121)</f>
        <v>0</v>
      </c>
    </row>
    <row r="122" spans="2:36" hidden="1" outlineLevel="1" x14ac:dyDescent="0.25">
      <c r="B122" s="151"/>
      <c r="C122" s="1" t="s">
        <v>2</v>
      </c>
      <c r="D122" s="200"/>
      <c r="E122" s="4"/>
      <c r="F122" s="4"/>
      <c r="G122" s="4"/>
      <c r="H122" s="4"/>
      <c r="I122" s="4"/>
      <c r="J122" s="200"/>
      <c r="K122" s="200"/>
      <c r="L122" s="4"/>
      <c r="M122" s="4"/>
      <c r="N122" s="4"/>
      <c r="O122" s="4"/>
      <c r="P122" s="4"/>
      <c r="Q122" s="200"/>
      <c r="R122" s="200"/>
      <c r="S122" s="4"/>
      <c r="T122" s="4"/>
      <c r="U122" s="4"/>
      <c r="V122" s="4"/>
      <c r="W122" s="4"/>
      <c r="X122" s="200"/>
      <c r="Y122" s="200"/>
      <c r="Z122" s="4"/>
      <c r="AA122" s="4"/>
      <c r="AB122" s="4"/>
      <c r="AC122" s="4"/>
      <c r="AD122" s="4"/>
      <c r="AE122" s="200"/>
      <c r="AF122" s="200"/>
      <c r="AG122" s="4"/>
      <c r="AH122" s="4"/>
      <c r="AJ122" s="71">
        <f t="shared" si="23"/>
        <v>0</v>
      </c>
    </row>
    <row r="123" spans="2:36" hidden="1" outlineLevel="1" x14ac:dyDescent="0.25">
      <c r="B123" s="151"/>
      <c r="C123" s="54" t="s">
        <v>77</v>
      </c>
      <c r="D123" s="200"/>
      <c r="E123" s="5"/>
      <c r="F123" s="5"/>
      <c r="G123" s="5"/>
      <c r="H123" s="5"/>
      <c r="I123" s="5"/>
      <c r="J123" s="200"/>
      <c r="K123" s="200"/>
      <c r="L123" s="5"/>
      <c r="M123" s="5"/>
      <c r="N123" s="5"/>
      <c r="O123" s="5"/>
      <c r="P123" s="5"/>
      <c r="Q123" s="200"/>
      <c r="R123" s="200"/>
      <c r="S123" s="5"/>
      <c r="T123" s="5"/>
      <c r="U123" s="5"/>
      <c r="V123" s="5"/>
      <c r="W123" s="5"/>
      <c r="X123" s="200"/>
      <c r="Y123" s="200"/>
      <c r="Z123" s="5"/>
      <c r="AA123" s="5"/>
      <c r="AB123" s="5"/>
      <c r="AC123" s="5"/>
      <c r="AD123" s="5"/>
      <c r="AE123" s="200"/>
      <c r="AF123" s="200"/>
      <c r="AG123" s="5"/>
      <c r="AH123" s="5"/>
      <c r="AJ123" s="72">
        <f t="shared" si="23"/>
        <v>0</v>
      </c>
    </row>
    <row r="124" spans="2:36" ht="15.75" hidden="1" outlineLevel="1" thickBot="1" x14ac:dyDescent="0.3">
      <c r="B124" s="151"/>
      <c r="C124" s="9" t="s">
        <v>3</v>
      </c>
      <c r="D124" s="201"/>
      <c r="E124" s="8"/>
      <c r="F124" s="8"/>
      <c r="G124" s="8"/>
      <c r="H124" s="8"/>
      <c r="I124" s="8"/>
      <c r="J124" s="201"/>
      <c r="K124" s="201"/>
      <c r="L124" s="8"/>
      <c r="M124" s="8"/>
      <c r="N124" s="8"/>
      <c r="O124" s="8"/>
      <c r="P124" s="8"/>
      <c r="Q124" s="201"/>
      <c r="R124" s="201"/>
      <c r="S124" s="8"/>
      <c r="T124" s="8"/>
      <c r="U124" s="8"/>
      <c r="V124" s="8"/>
      <c r="W124" s="8"/>
      <c r="X124" s="201"/>
      <c r="Y124" s="201"/>
      <c r="Z124" s="8"/>
      <c r="AA124" s="8"/>
      <c r="AB124" s="8"/>
      <c r="AC124" s="8"/>
      <c r="AD124" s="8"/>
      <c r="AE124" s="201"/>
      <c r="AF124" s="201"/>
      <c r="AG124" s="8"/>
      <c r="AH124" s="8"/>
      <c r="AI124" s="7"/>
      <c r="AJ124" s="69">
        <f t="shared" si="23"/>
        <v>0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200"/>
      <c r="E125" s="2"/>
      <c r="F125" s="2"/>
      <c r="G125" s="2"/>
      <c r="H125" s="2"/>
      <c r="I125" s="2"/>
      <c r="J125" s="200"/>
      <c r="K125" s="200"/>
      <c r="L125" s="2"/>
      <c r="M125" s="2"/>
      <c r="N125" s="2"/>
      <c r="O125" s="2"/>
      <c r="P125" s="2"/>
      <c r="Q125" s="200"/>
      <c r="R125" s="200"/>
      <c r="S125" s="2"/>
      <c r="T125" s="2"/>
      <c r="U125" s="2"/>
      <c r="V125" s="2"/>
      <c r="W125" s="2"/>
      <c r="X125" s="200"/>
      <c r="Y125" s="200"/>
      <c r="Z125" s="2"/>
      <c r="AA125" s="2"/>
      <c r="AB125" s="2"/>
      <c r="AC125" s="2"/>
      <c r="AD125" s="2"/>
      <c r="AE125" s="200"/>
      <c r="AF125" s="200"/>
      <c r="AG125" s="2"/>
      <c r="AH125" s="2"/>
      <c r="AJ125" s="64">
        <f>SUM(D125:AH125)</f>
        <v>0</v>
      </c>
    </row>
    <row r="126" spans="2:36" ht="15.75" hidden="1" outlineLevel="1" thickTop="1" x14ac:dyDescent="0.25">
      <c r="B126" s="150"/>
      <c r="C126" s="1" t="s">
        <v>1</v>
      </c>
      <c r="D126" s="200"/>
      <c r="E126" s="3"/>
      <c r="F126" s="3"/>
      <c r="G126" s="3"/>
      <c r="H126" s="3"/>
      <c r="I126" s="3"/>
      <c r="J126" s="200"/>
      <c r="K126" s="200"/>
      <c r="L126" s="3"/>
      <c r="M126" s="3"/>
      <c r="N126" s="3"/>
      <c r="O126" s="3"/>
      <c r="P126" s="3"/>
      <c r="Q126" s="200"/>
      <c r="R126" s="200"/>
      <c r="S126" s="3"/>
      <c r="T126" s="3"/>
      <c r="U126" s="3"/>
      <c r="V126" s="3"/>
      <c r="W126" s="3"/>
      <c r="X126" s="200"/>
      <c r="Y126" s="200"/>
      <c r="Z126" s="3"/>
      <c r="AA126" s="3"/>
      <c r="AB126" s="3"/>
      <c r="AC126" s="3"/>
      <c r="AD126" s="3"/>
      <c r="AE126" s="200"/>
      <c r="AF126" s="200"/>
      <c r="AG126" s="3"/>
      <c r="AH126" s="3"/>
      <c r="AJ126" s="70">
        <f t="shared" ref="AJ126:AJ129" si="24">SUM(D126:AH126)</f>
        <v>0</v>
      </c>
    </row>
    <row r="127" spans="2:36" hidden="1" outlineLevel="1" x14ac:dyDescent="0.25">
      <c r="B127" s="151"/>
      <c r="C127" s="1" t="s">
        <v>2</v>
      </c>
      <c r="D127" s="200"/>
      <c r="E127" s="4"/>
      <c r="F127" s="4"/>
      <c r="G127" s="4"/>
      <c r="H127" s="4"/>
      <c r="I127" s="4"/>
      <c r="J127" s="200"/>
      <c r="K127" s="200"/>
      <c r="L127" s="4"/>
      <c r="M127" s="4"/>
      <c r="N127" s="4"/>
      <c r="O127" s="4"/>
      <c r="P127" s="4"/>
      <c r="Q127" s="200"/>
      <c r="R127" s="200"/>
      <c r="S127" s="4"/>
      <c r="T127" s="4"/>
      <c r="U127" s="4"/>
      <c r="V127" s="4"/>
      <c r="W127" s="4"/>
      <c r="X127" s="200"/>
      <c r="Y127" s="200"/>
      <c r="Z127" s="4"/>
      <c r="AA127" s="4"/>
      <c r="AB127" s="4"/>
      <c r="AC127" s="4"/>
      <c r="AD127" s="4"/>
      <c r="AE127" s="200"/>
      <c r="AF127" s="200"/>
      <c r="AG127" s="4"/>
      <c r="AH127" s="4"/>
      <c r="AJ127" s="71">
        <f t="shared" si="24"/>
        <v>0</v>
      </c>
    </row>
    <row r="128" spans="2:36" hidden="1" outlineLevel="1" x14ac:dyDescent="0.25">
      <c r="B128" s="151"/>
      <c r="C128" s="54" t="s">
        <v>77</v>
      </c>
      <c r="D128" s="200"/>
      <c r="E128" s="5"/>
      <c r="F128" s="5"/>
      <c r="G128" s="5"/>
      <c r="H128" s="5"/>
      <c r="I128" s="5"/>
      <c r="J128" s="200"/>
      <c r="K128" s="200"/>
      <c r="L128" s="5"/>
      <c r="M128" s="5"/>
      <c r="N128" s="5"/>
      <c r="O128" s="5"/>
      <c r="P128" s="5"/>
      <c r="Q128" s="200"/>
      <c r="R128" s="200"/>
      <c r="S128" s="5"/>
      <c r="T128" s="5"/>
      <c r="U128" s="5"/>
      <c r="V128" s="5"/>
      <c r="W128" s="5"/>
      <c r="X128" s="200"/>
      <c r="Y128" s="200"/>
      <c r="Z128" s="5"/>
      <c r="AA128" s="5"/>
      <c r="AB128" s="5"/>
      <c r="AC128" s="5"/>
      <c r="AD128" s="5"/>
      <c r="AE128" s="200"/>
      <c r="AF128" s="200"/>
      <c r="AG128" s="5"/>
      <c r="AH128" s="5"/>
      <c r="AJ128" s="72">
        <f t="shared" si="24"/>
        <v>0</v>
      </c>
    </row>
    <row r="129" spans="2:36" ht="15.75" hidden="1" outlineLevel="1" thickBot="1" x14ac:dyDescent="0.3">
      <c r="B129" s="151"/>
      <c r="C129" s="9" t="s">
        <v>3</v>
      </c>
      <c r="D129" s="201"/>
      <c r="E129" s="8"/>
      <c r="F129" s="8"/>
      <c r="G129" s="8"/>
      <c r="H129" s="8"/>
      <c r="I129" s="8"/>
      <c r="J129" s="201"/>
      <c r="K129" s="201"/>
      <c r="L129" s="8"/>
      <c r="M129" s="8"/>
      <c r="N129" s="8"/>
      <c r="O129" s="8"/>
      <c r="P129" s="8"/>
      <c r="Q129" s="201"/>
      <c r="R129" s="201"/>
      <c r="S129" s="8"/>
      <c r="T129" s="8"/>
      <c r="U129" s="8"/>
      <c r="V129" s="8"/>
      <c r="W129" s="8"/>
      <c r="X129" s="201"/>
      <c r="Y129" s="201"/>
      <c r="Z129" s="8"/>
      <c r="AA129" s="8"/>
      <c r="AB129" s="8"/>
      <c r="AC129" s="8"/>
      <c r="AD129" s="8"/>
      <c r="AE129" s="201"/>
      <c r="AF129" s="201"/>
      <c r="AG129" s="8"/>
      <c r="AH129" s="8"/>
      <c r="AI129" s="7"/>
      <c r="AJ129" s="69">
        <f t="shared" si="24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200"/>
      <c r="E130" s="2"/>
      <c r="F130" s="2"/>
      <c r="G130" s="2"/>
      <c r="H130" s="2"/>
      <c r="I130" s="255">
        <v>0</v>
      </c>
      <c r="J130" s="200"/>
      <c r="K130" s="200"/>
      <c r="L130" s="2"/>
      <c r="M130" s="2"/>
      <c r="N130" s="2"/>
      <c r="O130" s="2"/>
      <c r="P130" s="255">
        <v>0</v>
      </c>
      <c r="Q130" s="200"/>
      <c r="R130" s="200"/>
      <c r="S130" s="2"/>
      <c r="T130" s="2"/>
      <c r="U130" s="2"/>
      <c r="V130" s="2"/>
      <c r="W130" s="255">
        <v>0</v>
      </c>
      <c r="X130" s="200"/>
      <c r="Y130" s="200"/>
      <c r="Z130" s="2"/>
      <c r="AA130" s="2"/>
      <c r="AB130" s="2"/>
      <c r="AC130" s="2"/>
      <c r="AD130" s="255">
        <v>0</v>
      </c>
      <c r="AE130" s="200"/>
      <c r="AF130" s="200"/>
      <c r="AG130" s="2"/>
      <c r="AH130" s="2"/>
      <c r="AJ130" s="64">
        <f>SUM(D130:AH130)</f>
        <v>0</v>
      </c>
    </row>
    <row r="131" spans="2:36" ht="15.75" hidden="1" outlineLevel="1" thickTop="1" x14ac:dyDescent="0.25">
      <c r="B131" s="150"/>
      <c r="C131" s="1" t="s">
        <v>1</v>
      </c>
      <c r="D131" s="200"/>
      <c r="E131" s="3"/>
      <c r="F131" s="3"/>
      <c r="G131" s="3"/>
      <c r="H131" s="3"/>
      <c r="I131" s="3"/>
      <c r="J131" s="200"/>
      <c r="K131" s="200"/>
      <c r="L131" s="3"/>
      <c r="M131" s="3"/>
      <c r="N131" s="3"/>
      <c r="O131" s="3"/>
      <c r="P131" s="3"/>
      <c r="Q131" s="200"/>
      <c r="R131" s="200"/>
      <c r="S131" s="3"/>
      <c r="T131" s="3"/>
      <c r="U131" s="3"/>
      <c r="V131" s="3"/>
      <c r="W131" s="3"/>
      <c r="X131" s="200"/>
      <c r="Y131" s="200"/>
      <c r="Z131" s="3"/>
      <c r="AA131" s="3"/>
      <c r="AB131" s="3"/>
      <c r="AC131" s="3"/>
      <c r="AD131" s="3"/>
      <c r="AE131" s="200"/>
      <c r="AF131" s="200"/>
      <c r="AG131" s="3"/>
      <c r="AH131" s="3"/>
      <c r="AJ131" s="70">
        <f t="shared" ref="AJ131:AJ134" si="25">SUM(D131:AH131)</f>
        <v>0</v>
      </c>
    </row>
    <row r="132" spans="2:36" hidden="1" outlineLevel="1" x14ac:dyDescent="0.25">
      <c r="B132" s="151"/>
      <c r="C132" s="1" t="s">
        <v>2</v>
      </c>
      <c r="D132" s="200"/>
      <c r="E132" s="4"/>
      <c r="F132" s="4"/>
      <c r="G132" s="4"/>
      <c r="H132" s="4"/>
      <c r="I132" s="4"/>
      <c r="J132" s="200"/>
      <c r="K132" s="200"/>
      <c r="L132" s="4"/>
      <c r="M132" s="4"/>
      <c r="N132" s="4"/>
      <c r="O132" s="4"/>
      <c r="P132" s="4"/>
      <c r="Q132" s="200"/>
      <c r="R132" s="200"/>
      <c r="S132" s="4"/>
      <c r="T132" s="4"/>
      <c r="U132" s="4"/>
      <c r="V132" s="4"/>
      <c r="W132" s="4"/>
      <c r="X132" s="200"/>
      <c r="Y132" s="200"/>
      <c r="Z132" s="4"/>
      <c r="AA132" s="4"/>
      <c r="AB132" s="4"/>
      <c r="AC132" s="4"/>
      <c r="AD132" s="4"/>
      <c r="AE132" s="200"/>
      <c r="AF132" s="200"/>
      <c r="AG132" s="4"/>
      <c r="AH132" s="4"/>
      <c r="AJ132" s="71">
        <f t="shared" si="25"/>
        <v>0</v>
      </c>
    </row>
    <row r="133" spans="2:36" hidden="1" outlineLevel="1" x14ac:dyDescent="0.25">
      <c r="B133" s="151"/>
      <c r="C133" s="54" t="s">
        <v>77</v>
      </c>
      <c r="D133" s="200"/>
      <c r="E133" s="5"/>
      <c r="F133" s="5"/>
      <c r="G133" s="5"/>
      <c r="H133" s="5"/>
      <c r="I133" s="5"/>
      <c r="J133" s="200"/>
      <c r="K133" s="200"/>
      <c r="L133" s="5"/>
      <c r="M133" s="5"/>
      <c r="N133" s="5"/>
      <c r="O133" s="5"/>
      <c r="P133" s="5"/>
      <c r="Q133" s="200"/>
      <c r="R133" s="200"/>
      <c r="S133" s="5"/>
      <c r="T133" s="5"/>
      <c r="U133" s="5"/>
      <c r="V133" s="5"/>
      <c r="W133" s="5"/>
      <c r="X133" s="200"/>
      <c r="Y133" s="200"/>
      <c r="Z133" s="5"/>
      <c r="AA133" s="5"/>
      <c r="AB133" s="5"/>
      <c r="AC133" s="5"/>
      <c r="AD133" s="5"/>
      <c r="AE133" s="200"/>
      <c r="AF133" s="200"/>
      <c r="AG133" s="5"/>
      <c r="AH133" s="5"/>
      <c r="AJ133" s="72">
        <f t="shared" si="25"/>
        <v>0</v>
      </c>
    </row>
    <row r="134" spans="2:36" ht="15.75" hidden="1" outlineLevel="1" thickBot="1" x14ac:dyDescent="0.3">
      <c r="B134" s="151"/>
      <c r="C134" s="9" t="s">
        <v>3</v>
      </c>
      <c r="D134" s="201"/>
      <c r="E134" s="8"/>
      <c r="F134" s="8"/>
      <c r="G134" s="8"/>
      <c r="H134" s="8"/>
      <c r="I134" s="8"/>
      <c r="J134" s="201"/>
      <c r="K134" s="201"/>
      <c r="L134" s="8"/>
      <c r="M134" s="8"/>
      <c r="N134" s="8"/>
      <c r="O134" s="8"/>
      <c r="P134" s="8"/>
      <c r="Q134" s="201"/>
      <c r="R134" s="201"/>
      <c r="S134" s="8"/>
      <c r="T134" s="8"/>
      <c r="U134" s="8"/>
      <c r="V134" s="8"/>
      <c r="W134" s="8"/>
      <c r="X134" s="201"/>
      <c r="Y134" s="201"/>
      <c r="Z134" s="8"/>
      <c r="AA134" s="8"/>
      <c r="AB134" s="8"/>
      <c r="AC134" s="8"/>
      <c r="AD134" s="8"/>
      <c r="AE134" s="201"/>
      <c r="AF134" s="201"/>
      <c r="AG134" s="8"/>
      <c r="AH134" s="8"/>
      <c r="AI134" s="7"/>
      <c r="AJ134" s="69">
        <f t="shared" si="25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200"/>
      <c r="E135" s="2">
        <v>8</v>
      </c>
      <c r="F135" s="2"/>
      <c r="G135" s="2"/>
      <c r="H135" s="2"/>
      <c r="I135" s="2">
        <v>8</v>
      </c>
      <c r="J135" s="200"/>
      <c r="K135" s="200"/>
      <c r="L135" s="2"/>
      <c r="M135" s="2"/>
      <c r="N135" s="2"/>
      <c r="O135" s="2"/>
      <c r="P135" s="2"/>
      <c r="Q135" s="200"/>
      <c r="R135" s="200"/>
      <c r="S135" s="2"/>
      <c r="T135" s="2"/>
      <c r="U135" s="2"/>
      <c r="V135" s="2"/>
      <c r="W135" s="2">
        <v>8</v>
      </c>
      <c r="X135" s="200"/>
      <c r="Y135" s="200"/>
      <c r="Z135" s="2">
        <v>8</v>
      </c>
      <c r="AA135" s="2">
        <v>8</v>
      </c>
      <c r="AB135" s="2">
        <v>8</v>
      </c>
      <c r="AC135" s="2">
        <v>8</v>
      </c>
      <c r="AD135" s="2">
        <v>8</v>
      </c>
      <c r="AE135" s="200"/>
      <c r="AF135" s="200"/>
      <c r="AG135" s="2">
        <v>8</v>
      </c>
      <c r="AH135" s="2"/>
      <c r="AJ135" s="64">
        <f>SUM(D135:AH135)</f>
        <v>72</v>
      </c>
    </row>
    <row r="136" spans="2:36" ht="15.75" hidden="1" outlineLevel="1" thickTop="1" x14ac:dyDescent="0.25">
      <c r="B136" s="150"/>
      <c r="C136" s="1" t="s">
        <v>1</v>
      </c>
      <c r="D136" s="200"/>
      <c r="E136" s="3"/>
      <c r="F136" s="3"/>
      <c r="G136" s="3"/>
      <c r="H136" s="3"/>
      <c r="I136" s="3"/>
      <c r="J136" s="200"/>
      <c r="K136" s="200"/>
      <c r="L136" s="3"/>
      <c r="M136" s="3"/>
      <c r="N136" s="3"/>
      <c r="O136" s="3"/>
      <c r="P136" s="3"/>
      <c r="Q136" s="200"/>
      <c r="R136" s="200"/>
      <c r="S136" s="3"/>
      <c r="T136" s="3"/>
      <c r="U136" s="3"/>
      <c r="V136" s="3"/>
      <c r="W136" s="3"/>
      <c r="X136" s="200"/>
      <c r="Y136" s="200"/>
      <c r="Z136" s="3"/>
      <c r="AA136" s="3"/>
      <c r="AB136" s="3"/>
      <c r="AC136" s="3"/>
      <c r="AD136" s="3"/>
      <c r="AE136" s="200"/>
      <c r="AF136" s="200"/>
      <c r="AG136" s="3"/>
      <c r="AH136" s="3"/>
      <c r="AJ136" s="70">
        <f t="shared" ref="AJ136:AJ139" si="26">SUM(D136:AH136)</f>
        <v>0</v>
      </c>
    </row>
    <row r="137" spans="2:36" hidden="1" outlineLevel="1" x14ac:dyDescent="0.25">
      <c r="B137" s="151"/>
      <c r="C137" s="1" t="s">
        <v>2</v>
      </c>
      <c r="D137" s="200"/>
      <c r="E137" s="4"/>
      <c r="F137" s="4"/>
      <c r="G137" s="4"/>
      <c r="H137" s="4"/>
      <c r="I137" s="4"/>
      <c r="J137" s="200"/>
      <c r="K137" s="200"/>
      <c r="L137" s="4"/>
      <c r="M137" s="4"/>
      <c r="N137" s="4"/>
      <c r="O137" s="4"/>
      <c r="P137" s="4"/>
      <c r="Q137" s="200"/>
      <c r="R137" s="200"/>
      <c r="S137" s="4"/>
      <c r="T137" s="4"/>
      <c r="U137" s="4"/>
      <c r="V137" s="4"/>
      <c r="W137" s="4"/>
      <c r="X137" s="200"/>
      <c r="Y137" s="200"/>
      <c r="Z137" s="4"/>
      <c r="AA137" s="4"/>
      <c r="AB137" s="4"/>
      <c r="AC137" s="4"/>
      <c r="AD137" s="4"/>
      <c r="AE137" s="200"/>
      <c r="AF137" s="200"/>
      <c r="AG137" s="4"/>
      <c r="AH137" s="4"/>
      <c r="AJ137" s="71">
        <f t="shared" si="26"/>
        <v>0</v>
      </c>
    </row>
    <row r="138" spans="2:36" hidden="1" outlineLevel="1" x14ac:dyDescent="0.25">
      <c r="B138" s="151"/>
      <c r="C138" s="54" t="s">
        <v>77</v>
      </c>
      <c r="D138" s="200"/>
      <c r="E138" s="5"/>
      <c r="F138" s="5"/>
      <c r="G138" s="5"/>
      <c r="H138" s="5"/>
      <c r="I138" s="5"/>
      <c r="J138" s="200"/>
      <c r="K138" s="200"/>
      <c r="L138" s="5"/>
      <c r="M138" s="5"/>
      <c r="N138" s="5"/>
      <c r="O138" s="5"/>
      <c r="P138" s="5"/>
      <c r="Q138" s="200"/>
      <c r="R138" s="200"/>
      <c r="S138" s="5"/>
      <c r="T138" s="5"/>
      <c r="U138" s="5"/>
      <c r="V138" s="5"/>
      <c r="W138" s="5"/>
      <c r="X138" s="200"/>
      <c r="Y138" s="200"/>
      <c r="Z138" s="5"/>
      <c r="AA138" s="5"/>
      <c r="AB138" s="5"/>
      <c r="AC138" s="5"/>
      <c r="AD138" s="5"/>
      <c r="AE138" s="200"/>
      <c r="AF138" s="200"/>
      <c r="AG138" s="5"/>
      <c r="AH138" s="5"/>
      <c r="AJ138" s="72">
        <f t="shared" si="26"/>
        <v>0</v>
      </c>
    </row>
    <row r="139" spans="2:36" ht="15.75" hidden="1" outlineLevel="1" thickBot="1" x14ac:dyDescent="0.3">
      <c r="B139" s="151"/>
      <c r="C139" s="9" t="s">
        <v>3</v>
      </c>
      <c r="D139" s="201"/>
      <c r="E139" s="8"/>
      <c r="F139" s="8"/>
      <c r="G139" s="8"/>
      <c r="H139" s="8"/>
      <c r="I139" s="8"/>
      <c r="J139" s="201"/>
      <c r="K139" s="201"/>
      <c r="L139" s="8"/>
      <c r="M139" s="8"/>
      <c r="N139" s="8"/>
      <c r="O139" s="8"/>
      <c r="P139" s="8"/>
      <c r="Q139" s="201"/>
      <c r="R139" s="201"/>
      <c r="S139" s="8"/>
      <c r="T139" s="8"/>
      <c r="U139" s="8"/>
      <c r="V139" s="8"/>
      <c r="W139" s="8"/>
      <c r="X139" s="201"/>
      <c r="Y139" s="201"/>
      <c r="Z139" s="8"/>
      <c r="AA139" s="8"/>
      <c r="AB139" s="8"/>
      <c r="AC139" s="8"/>
      <c r="AD139" s="8"/>
      <c r="AE139" s="201"/>
      <c r="AF139" s="201"/>
      <c r="AG139" s="8"/>
      <c r="AH139" s="8"/>
      <c r="AI139" s="7"/>
      <c r="AJ139" s="69">
        <f t="shared" si="26"/>
        <v>0</v>
      </c>
    </row>
    <row r="140" spans="2:36" ht="16.5" collapsed="1" thickTop="1" thickBot="1" x14ac:dyDescent="0.3">
      <c r="B140" s="253" t="str">
        <f>'Hours Scheduled'!B31</f>
        <v>Thom van Bodegraven</v>
      </c>
      <c r="C140" t="s">
        <v>0</v>
      </c>
      <c r="D140" s="200"/>
      <c r="E140" s="2"/>
      <c r="F140" s="2"/>
      <c r="G140" s="2"/>
      <c r="H140" s="2"/>
      <c r="I140" s="2"/>
      <c r="J140" s="200"/>
      <c r="K140" s="200"/>
      <c r="L140" s="2"/>
      <c r="M140" s="2"/>
      <c r="N140" s="2"/>
      <c r="O140" s="2"/>
      <c r="P140" s="2"/>
      <c r="Q140" s="200"/>
      <c r="R140" s="200"/>
      <c r="S140" s="2"/>
      <c r="T140" s="2"/>
      <c r="U140" s="2"/>
      <c r="V140" s="2"/>
      <c r="W140" s="2"/>
      <c r="X140" s="200"/>
      <c r="Y140" s="200"/>
      <c r="Z140" s="2"/>
      <c r="AA140" s="2"/>
      <c r="AB140" s="2"/>
      <c r="AC140" s="2"/>
      <c r="AD140" s="2"/>
      <c r="AE140" s="200"/>
      <c r="AF140" s="200"/>
      <c r="AG140" s="2"/>
      <c r="AH140" s="2"/>
      <c r="AJ140" s="64">
        <f>SUM(D140:AH140)</f>
        <v>0</v>
      </c>
    </row>
    <row r="141" spans="2:36" ht="15.75" hidden="1" outlineLevel="1" thickTop="1" x14ac:dyDescent="0.25">
      <c r="B141" s="150"/>
      <c r="C141" s="1" t="s">
        <v>1</v>
      </c>
      <c r="D141" s="200"/>
      <c r="E141" s="3"/>
      <c r="F141" s="3"/>
      <c r="G141" s="3"/>
      <c r="H141" s="3"/>
      <c r="I141" s="3"/>
      <c r="J141" s="200"/>
      <c r="K141" s="200"/>
      <c r="L141" s="3"/>
      <c r="M141" s="3"/>
      <c r="N141" s="3"/>
      <c r="O141" s="3"/>
      <c r="P141" s="3"/>
      <c r="Q141" s="200"/>
      <c r="R141" s="200"/>
      <c r="S141" s="3"/>
      <c r="T141" s="3"/>
      <c r="U141" s="3"/>
      <c r="V141" s="3"/>
      <c r="W141" s="3"/>
      <c r="X141" s="200"/>
      <c r="Y141" s="200"/>
      <c r="Z141" s="3"/>
      <c r="AA141" s="3"/>
      <c r="AB141" s="3"/>
      <c r="AC141" s="3"/>
      <c r="AD141" s="3"/>
      <c r="AE141" s="200"/>
      <c r="AF141" s="200"/>
      <c r="AG141" s="3"/>
      <c r="AH141" s="3"/>
      <c r="AJ141" s="70">
        <f t="shared" ref="AJ141:AJ144" si="27">SUM(D141:AH141)</f>
        <v>0</v>
      </c>
    </row>
    <row r="142" spans="2:36" hidden="1" outlineLevel="1" x14ac:dyDescent="0.25">
      <c r="B142" s="151"/>
      <c r="C142" s="1" t="s">
        <v>2</v>
      </c>
      <c r="D142" s="200"/>
      <c r="E142" s="4"/>
      <c r="F142" s="4"/>
      <c r="G142" s="4"/>
      <c r="H142" s="4"/>
      <c r="I142" s="4"/>
      <c r="J142" s="200"/>
      <c r="K142" s="200"/>
      <c r="L142" s="4"/>
      <c r="M142" s="4"/>
      <c r="N142" s="4"/>
      <c r="O142" s="4"/>
      <c r="P142" s="4"/>
      <c r="Q142" s="200"/>
      <c r="R142" s="200"/>
      <c r="S142" s="4"/>
      <c r="T142" s="4"/>
      <c r="U142" s="4"/>
      <c r="V142" s="4"/>
      <c r="W142" s="4"/>
      <c r="X142" s="200"/>
      <c r="Y142" s="200"/>
      <c r="Z142" s="4"/>
      <c r="AA142" s="4"/>
      <c r="AB142" s="4"/>
      <c r="AC142" s="4"/>
      <c r="AD142" s="4"/>
      <c r="AE142" s="200"/>
      <c r="AF142" s="200"/>
      <c r="AG142" s="4"/>
      <c r="AH142" s="4"/>
      <c r="AJ142" s="71">
        <f t="shared" si="27"/>
        <v>0</v>
      </c>
    </row>
    <row r="143" spans="2:36" hidden="1" outlineLevel="1" x14ac:dyDescent="0.25">
      <c r="B143" s="151"/>
      <c r="C143" s="54" t="s">
        <v>77</v>
      </c>
      <c r="D143" s="200"/>
      <c r="E143" s="5"/>
      <c r="F143" s="5"/>
      <c r="G143" s="5"/>
      <c r="H143" s="5"/>
      <c r="I143" s="5"/>
      <c r="J143" s="200"/>
      <c r="K143" s="200"/>
      <c r="L143" s="5"/>
      <c r="M143" s="5"/>
      <c r="N143" s="5"/>
      <c r="O143" s="5"/>
      <c r="P143" s="5"/>
      <c r="Q143" s="200"/>
      <c r="R143" s="200"/>
      <c r="S143" s="5"/>
      <c r="T143" s="5"/>
      <c r="U143" s="5"/>
      <c r="V143" s="5"/>
      <c r="W143" s="5"/>
      <c r="X143" s="200"/>
      <c r="Y143" s="200"/>
      <c r="Z143" s="5"/>
      <c r="AA143" s="5"/>
      <c r="AB143" s="5"/>
      <c r="AC143" s="5"/>
      <c r="AD143" s="5"/>
      <c r="AE143" s="200"/>
      <c r="AF143" s="200"/>
      <c r="AG143" s="5"/>
      <c r="AH143" s="5"/>
      <c r="AJ143" s="72">
        <f t="shared" si="27"/>
        <v>0</v>
      </c>
    </row>
    <row r="144" spans="2:36" ht="15.75" hidden="1" outlineLevel="1" thickBot="1" x14ac:dyDescent="0.3">
      <c r="B144" s="151"/>
      <c r="C144" s="9" t="s">
        <v>3</v>
      </c>
      <c r="D144" s="201"/>
      <c r="E144" s="8"/>
      <c r="F144" s="8"/>
      <c r="G144" s="8"/>
      <c r="H144" s="8"/>
      <c r="I144" s="8"/>
      <c r="J144" s="201"/>
      <c r="K144" s="201"/>
      <c r="L144" s="8"/>
      <c r="M144" s="8"/>
      <c r="N144" s="8"/>
      <c r="O144" s="8"/>
      <c r="P144" s="8"/>
      <c r="Q144" s="201"/>
      <c r="R144" s="201"/>
      <c r="S144" s="8"/>
      <c r="T144" s="8"/>
      <c r="U144" s="8"/>
      <c r="V144" s="8"/>
      <c r="W144" s="8"/>
      <c r="X144" s="201"/>
      <c r="Y144" s="201"/>
      <c r="Z144" s="8"/>
      <c r="AA144" s="8"/>
      <c r="AB144" s="8"/>
      <c r="AC144" s="8"/>
      <c r="AD144" s="8"/>
      <c r="AE144" s="201"/>
      <c r="AF144" s="201"/>
      <c r="AG144" s="8"/>
      <c r="AH144" s="8"/>
      <c r="AI144" s="7"/>
      <c r="AJ144" s="69">
        <f t="shared" si="27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200"/>
      <c r="E145" s="2"/>
      <c r="F145" s="2"/>
      <c r="G145" s="2"/>
      <c r="H145" s="2"/>
      <c r="I145" s="2"/>
      <c r="J145" s="200"/>
      <c r="K145" s="200"/>
      <c r="L145" s="2"/>
      <c r="M145" s="2"/>
      <c r="N145" s="2"/>
      <c r="O145" s="2"/>
      <c r="P145" s="2"/>
      <c r="Q145" s="200"/>
      <c r="R145" s="200"/>
      <c r="S145" s="2"/>
      <c r="T145" s="2"/>
      <c r="U145" s="2"/>
      <c r="V145" s="2"/>
      <c r="W145" s="2"/>
      <c r="X145" s="200"/>
      <c r="Y145" s="200"/>
      <c r="Z145" s="2"/>
      <c r="AA145" s="2"/>
      <c r="AB145" s="2"/>
      <c r="AC145" s="2"/>
      <c r="AD145" s="2"/>
      <c r="AE145" s="200"/>
      <c r="AF145" s="200"/>
      <c r="AG145" s="2"/>
      <c r="AH145" s="2"/>
      <c r="AJ145" s="64">
        <f>SUM(D145:AH145)</f>
        <v>0</v>
      </c>
    </row>
    <row r="146" spans="2:36" ht="15.75" hidden="1" outlineLevel="1" thickTop="1" x14ac:dyDescent="0.25">
      <c r="B146" s="150"/>
      <c r="C146" s="1" t="s">
        <v>1</v>
      </c>
      <c r="D146" s="200"/>
      <c r="E146" s="3"/>
      <c r="F146" s="3"/>
      <c r="G146" s="3"/>
      <c r="H146" s="3"/>
      <c r="I146" s="3"/>
      <c r="J146" s="200"/>
      <c r="K146" s="200"/>
      <c r="L146" s="3"/>
      <c r="M146" s="3"/>
      <c r="N146" s="3"/>
      <c r="O146" s="3"/>
      <c r="P146" s="3"/>
      <c r="Q146" s="200"/>
      <c r="R146" s="200"/>
      <c r="S146" s="3"/>
      <c r="T146" s="3"/>
      <c r="U146" s="3"/>
      <c r="V146" s="3"/>
      <c r="W146" s="3"/>
      <c r="X146" s="200"/>
      <c r="Y146" s="200"/>
      <c r="Z146" s="3"/>
      <c r="AA146" s="3"/>
      <c r="AB146" s="3"/>
      <c r="AC146" s="3"/>
      <c r="AD146" s="3"/>
      <c r="AE146" s="200"/>
      <c r="AF146" s="200"/>
      <c r="AG146" s="3"/>
      <c r="AH146" s="3"/>
      <c r="AJ146" s="70">
        <f t="shared" ref="AJ146:AJ149" si="28">SUM(D146:AH146)</f>
        <v>0</v>
      </c>
    </row>
    <row r="147" spans="2:36" hidden="1" outlineLevel="1" x14ac:dyDescent="0.25">
      <c r="B147" s="151"/>
      <c r="C147" s="1" t="s">
        <v>2</v>
      </c>
      <c r="D147" s="200"/>
      <c r="E147" s="4"/>
      <c r="F147" s="4"/>
      <c r="G147" s="4"/>
      <c r="H147" s="4"/>
      <c r="I147" s="4"/>
      <c r="J147" s="200"/>
      <c r="K147" s="200"/>
      <c r="L147" s="4"/>
      <c r="M147" s="4"/>
      <c r="N147" s="4"/>
      <c r="O147" s="4"/>
      <c r="P147" s="4"/>
      <c r="Q147" s="200"/>
      <c r="R147" s="200"/>
      <c r="S147" s="4"/>
      <c r="T147" s="4"/>
      <c r="U147" s="4"/>
      <c r="V147" s="4"/>
      <c r="W147" s="4"/>
      <c r="X147" s="200"/>
      <c r="Y147" s="200"/>
      <c r="Z147" s="4"/>
      <c r="AA147" s="4"/>
      <c r="AB147" s="4"/>
      <c r="AC147" s="4"/>
      <c r="AD147" s="4"/>
      <c r="AE147" s="200"/>
      <c r="AF147" s="200"/>
      <c r="AG147" s="4"/>
      <c r="AH147" s="4"/>
      <c r="AJ147" s="71">
        <f t="shared" si="28"/>
        <v>0</v>
      </c>
    </row>
    <row r="148" spans="2:36" hidden="1" outlineLevel="1" x14ac:dyDescent="0.25">
      <c r="B148" s="151"/>
      <c r="C148" s="54" t="s">
        <v>77</v>
      </c>
      <c r="D148" s="200"/>
      <c r="E148" s="5"/>
      <c r="F148" s="5"/>
      <c r="G148" s="5"/>
      <c r="H148" s="5"/>
      <c r="I148" s="5"/>
      <c r="J148" s="200"/>
      <c r="K148" s="200"/>
      <c r="L148" s="5"/>
      <c r="M148" s="5"/>
      <c r="N148" s="5"/>
      <c r="O148" s="5"/>
      <c r="P148" s="5"/>
      <c r="Q148" s="200"/>
      <c r="R148" s="200"/>
      <c r="S148" s="5"/>
      <c r="T148" s="5"/>
      <c r="U148" s="5"/>
      <c r="V148" s="5"/>
      <c r="W148" s="5"/>
      <c r="X148" s="200"/>
      <c r="Y148" s="200"/>
      <c r="Z148" s="5"/>
      <c r="AA148" s="5"/>
      <c r="AB148" s="5"/>
      <c r="AC148" s="5"/>
      <c r="AD148" s="5"/>
      <c r="AE148" s="200"/>
      <c r="AF148" s="200"/>
      <c r="AG148" s="5"/>
      <c r="AH148" s="5"/>
      <c r="AJ148" s="72">
        <f t="shared" si="28"/>
        <v>0</v>
      </c>
    </row>
    <row r="149" spans="2:36" ht="15.75" hidden="1" outlineLevel="1" thickBot="1" x14ac:dyDescent="0.3">
      <c r="B149" s="151"/>
      <c r="C149" s="9" t="s">
        <v>3</v>
      </c>
      <c r="D149" s="201"/>
      <c r="E149" s="8"/>
      <c r="F149" s="8"/>
      <c r="G149" s="8"/>
      <c r="H149" s="8"/>
      <c r="I149" s="8"/>
      <c r="J149" s="201"/>
      <c r="K149" s="201"/>
      <c r="L149" s="8"/>
      <c r="M149" s="8"/>
      <c r="N149" s="8"/>
      <c r="O149" s="8"/>
      <c r="P149" s="8"/>
      <c r="Q149" s="201"/>
      <c r="R149" s="201"/>
      <c r="S149" s="8"/>
      <c r="T149" s="8"/>
      <c r="U149" s="8"/>
      <c r="V149" s="8"/>
      <c r="W149" s="8"/>
      <c r="X149" s="201"/>
      <c r="Y149" s="201"/>
      <c r="Z149" s="8"/>
      <c r="AA149" s="8"/>
      <c r="AB149" s="8"/>
      <c r="AC149" s="8"/>
      <c r="AD149" s="8"/>
      <c r="AE149" s="201"/>
      <c r="AF149" s="201"/>
      <c r="AG149" s="8"/>
      <c r="AH149" s="8"/>
      <c r="AI149" s="7"/>
      <c r="AJ149" s="69">
        <f t="shared" si="28"/>
        <v>0</v>
      </c>
    </row>
    <row r="150" spans="2:36" ht="16.5" collapsed="1" thickTop="1" thickBot="1" x14ac:dyDescent="0.3">
      <c r="B150" s="149" t="str">
        <f>'Hours Scheduled'!B33</f>
        <v>Erik Jaspers</v>
      </c>
      <c r="C150" t="s">
        <v>0</v>
      </c>
      <c r="D150" s="200"/>
      <c r="E150" s="2"/>
      <c r="F150" s="2"/>
      <c r="G150" s="2"/>
      <c r="H150" s="2"/>
      <c r="I150" s="2"/>
      <c r="J150" s="200"/>
      <c r="K150" s="200"/>
      <c r="L150" s="2"/>
      <c r="M150" s="2"/>
      <c r="N150" s="2"/>
      <c r="O150" s="2"/>
      <c r="P150" s="2"/>
      <c r="Q150" s="200"/>
      <c r="R150" s="200"/>
      <c r="S150" s="2"/>
      <c r="T150" s="2"/>
      <c r="U150" s="2"/>
      <c r="V150" s="2"/>
      <c r="W150" s="2"/>
      <c r="X150" s="200"/>
      <c r="Y150" s="200"/>
      <c r="Z150" s="2"/>
      <c r="AA150" s="2"/>
      <c r="AB150" s="2"/>
      <c r="AC150" s="2"/>
      <c r="AD150" s="2"/>
      <c r="AE150" s="200"/>
      <c r="AF150" s="200"/>
      <c r="AG150" s="2"/>
      <c r="AH150" s="2"/>
      <c r="AJ150" s="64">
        <f>SUM(D150:AH150)</f>
        <v>0</v>
      </c>
    </row>
    <row r="151" spans="2:36" ht="15.75" hidden="1" outlineLevel="1" thickTop="1" x14ac:dyDescent="0.25">
      <c r="B151" s="150"/>
      <c r="C151" s="1" t="s">
        <v>1</v>
      </c>
      <c r="D151" s="200"/>
      <c r="E151" s="3"/>
      <c r="F151" s="3"/>
      <c r="G151" s="3"/>
      <c r="H151" s="3"/>
      <c r="I151" s="3"/>
      <c r="J151" s="200"/>
      <c r="K151" s="200"/>
      <c r="L151" s="3"/>
      <c r="M151" s="3"/>
      <c r="N151" s="3"/>
      <c r="O151" s="3"/>
      <c r="P151" s="3"/>
      <c r="Q151" s="200"/>
      <c r="R151" s="200"/>
      <c r="S151" s="3"/>
      <c r="T151" s="3"/>
      <c r="U151" s="3"/>
      <c r="V151" s="3"/>
      <c r="W151" s="3"/>
      <c r="X151" s="200"/>
      <c r="Y151" s="200"/>
      <c r="Z151" s="3"/>
      <c r="AA151" s="3"/>
      <c r="AB151" s="3"/>
      <c r="AC151" s="3"/>
      <c r="AD151" s="3"/>
      <c r="AE151" s="200"/>
      <c r="AF151" s="200"/>
      <c r="AG151" s="3"/>
      <c r="AH151" s="3"/>
      <c r="AJ151" s="70">
        <f t="shared" ref="AJ151:AJ154" si="29">SUM(D151:AH151)</f>
        <v>0</v>
      </c>
    </row>
    <row r="152" spans="2:36" hidden="1" outlineLevel="1" x14ac:dyDescent="0.25">
      <c r="B152" s="151"/>
      <c r="C152" s="1" t="s">
        <v>2</v>
      </c>
      <c r="D152" s="200"/>
      <c r="E152" s="4"/>
      <c r="F152" s="4"/>
      <c r="G152" s="4"/>
      <c r="H152" s="4"/>
      <c r="I152" s="4"/>
      <c r="J152" s="200"/>
      <c r="K152" s="200"/>
      <c r="L152" s="4"/>
      <c r="M152" s="4"/>
      <c r="N152" s="4"/>
      <c r="O152" s="4"/>
      <c r="P152" s="4"/>
      <c r="Q152" s="200"/>
      <c r="R152" s="200"/>
      <c r="S152" s="4"/>
      <c r="T152" s="4"/>
      <c r="U152" s="4"/>
      <c r="V152" s="4"/>
      <c r="W152" s="4"/>
      <c r="X152" s="200"/>
      <c r="Y152" s="200"/>
      <c r="Z152" s="4"/>
      <c r="AA152" s="4"/>
      <c r="AB152" s="4"/>
      <c r="AC152" s="4"/>
      <c r="AD152" s="4"/>
      <c r="AE152" s="200"/>
      <c r="AF152" s="200"/>
      <c r="AG152" s="4"/>
      <c r="AH152" s="4"/>
      <c r="AJ152" s="71">
        <f t="shared" si="29"/>
        <v>0</v>
      </c>
    </row>
    <row r="153" spans="2:36" hidden="1" outlineLevel="1" x14ac:dyDescent="0.25">
      <c r="B153" s="151"/>
      <c r="C153" s="54" t="s">
        <v>77</v>
      </c>
      <c r="D153" s="200"/>
      <c r="E153" s="5"/>
      <c r="F153" s="5"/>
      <c r="G153" s="5"/>
      <c r="H153" s="5"/>
      <c r="I153" s="5"/>
      <c r="J153" s="200"/>
      <c r="K153" s="200"/>
      <c r="L153" s="5"/>
      <c r="M153" s="5"/>
      <c r="N153" s="5"/>
      <c r="O153" s="5"/>
      <c r="P153" s="5"/>
      <c r="Q153" s="200"/>
      <c r="R153" s="200"/>
      <c r="S153" s="5"/>
      <c r="T153" s="5"/>
      <c r="U153" s="5"/>
      <c r="V153" s="5"/>
      <c r="W153" s="5"/>
      <c r="X153" s="200"/>
      <c r="Y153" s="200"/>
      <c r="Z153" s="5"/>
      <c r="AA153" s="5"/>
      <c r="AB153" s="5"/>
      <c r="AC153" s="5"/>
      <c r="AD153" s="5"/>
      <c r="AE153" s="200"/>
      <c r="AF153" s="200"/>
      <c r="AG153" s="5"/>
      <c r="AH153" s="5"/>
      <c r="AJ153" s="72">
        <f t="shared" si="29"/>
        <v>0</v>
      </c>
    </row>
    <row r="154" spans="2:36" ht="15.75" hidden="1" outlineLevel="1" thickBot="1" x14ac:dyDescent="0.3">
      <c r="B154" s="151"/>
      <c r="C154" s="9" t="s">
        <v>3</v>
      </c>
      <c r="D154" s="201"/>
      <c r="E154" s="8"/>
      <c r="F154" s="8"/>
      <c r="G154" s="8"/>
      <c r="H154" s="8"/>
      <c r="I154" s="8"/>
      <c r="J154" s="201"/>
      <c r="K154" s="201"/>
      <c r="L154" s="8"/>
      <c r="M154" s="8"/>
      <c r="N154" s="8"/>
      <c r="O154" s="8"/>
      <c r="P154" s="8"/>
      <c r="Q154" s="201"/>
      <c r="R154" s="201"/>
      <c r="S154" s="8"/>
      <c r="T154" s="8"/>
      <c r="U154" s="8"/>
      <c r="V154" s="8"/>
      <c r="W154" s="8"/>
      <c r="X154" s="201"/>
      <c r="Y154" s="201"/>
      <c r="Z154" s="8"/>
      <c r="AA154" s="8"/>
      <c r="AB154" s="8"/>
      <c r="AC154" s="8"/>
      <c r="AD154" s="8"/>
      <c r="AE154" s="201"/>
      <c r="AF154" s="201"/>
      <c r="AG154" s="8"/>
      <c r="AH154" s="8"/>
      <c r="AI154" s="7"/>
      <c r="AJ154" s="69">
        <f t="shared" si="29"/>
        <v>0</v>
      </c>
    </row>
    <row r="155" spans="2:36" ht="16.5" collapsed="1" thickTop="1" thickBot="1" x14ac:dyDescent="0.3">
      <c r="B155" s="149" t="str">
        <f>'Hours Scheduled'!B34</f>
        <v>Leo Wijnands</v>
      </c>
      <c r="C155" t="s">
        <v>0</v>
      </c>
      <c r="D155" s="200"/>
      <c r="E155" s="2"/>
      <c r="F155" s="2"/>
      <c r="G155" s="2"/>
      <c r="H155" s="2"/>
      <c r="I155" s="2"/>
      <c r="J155" s="200"/>
      <c r="K155" s="200"/>
      <c r="L155" s="2"/>
      <c r="M155" s="2"/>
      <c r="N155" s="2"/>
      <c r="O155" s="2"/>
      <c r="P155" s="2"/>
      <c r="Q155" s="200"/>
      <c r="R155" s="200"/>
      <c r="S155" s="2"/>
      <c r="T155" s="2"/>
      <c r="U155" s="2"/>
      <c r="V155" s="2"/>
      <c r="W155" s="2"/>
      <c r="X155" s="200"/>
      <c r="Y155" s="200"/>
      <c r="Z155" s="2"/>
      <c r="AA155" s="2"/>
      <c r="AB155" s="2"/>
      <c r="AC155" s="2"/>
      <c r="AD155" s="2"/>
      <c r="AE155" s="200"/>
      <c r="AF155" s="200"/>
      <c r="AG155" s="2"/>
      <c r="AH155" s="2"/>
      <c r="AJ155" s="64">
        <f>SUM(D155:AH155)</f>
        <v>0</v>
      </c>
    </row>
    <row r="156" spans="2:36" ht="15.75" hidden="1" outlineLevel="1" thickTop="1" x14ac:dyDescent="0.25">
      <c r="B156" s="150"/>
      <c r="C156" s="1" t="s">
        <v>1</v>
      </c>
      <c r="D156" s="200"/>
      <c r="E156" s="3"/>
      <c r="F156" s="3"/>
      <c r="G156" s="3"/>
      <c r="H156" s="3"/>
      <c r="I156" s="3"/>
      <c r="J156" s="200"/>
      <c r="K156" s="200"/>
      <c r="L156" s="3"/>
      <c r="M156" s="3"/>
      <c r="N156" s="3"/>
      <c r="O156" s="3"/>
      <c r="P156" s="3"/>
      <c r="Q156" s="200"/>
      <c r="R156" s="200"/>
      <c r="S156" s="3"/>
      <c r="T156" s="3"/>
      <c r="U156" s="3"/>
      <c r="V156" s="3"/>
      <c r="W156" s="3"/>
      <c r="X156" s="200"/>
      <c r="Y156" s="200"/>
      <c r="Z156" s="3"/>
      <c r="AA156" s="3"/>
      <c r="AB156" s="3"/>
      <c r="AC156" s="3"/>
      <c r="AD156" s="3"/>
      <c r="AE156" s="200"/>
      <c r="AF156" s="200"/>
      <c r="AG156" s="3"/>
      <c r="AH156" s="3"/>
      <c r="AJ156" s="70">
        <f t="shared" ref="AJ156:AJ159" si="30">SUM(D156:AH156)</f>
        <v>0</v>
      </c>
    </row>
    <row r="157" spans="2:36" hidden="1" outlineLevel="1" x14ac:dyDescent="0.25">
      <c r="B157" s="151"/>
      <c r="C157" s="1" t="s">
        <v>2</v>
      </c>
      <c r="D157" s="200"/>
      <c r="E157" s="4"/>
      <c r="F157" s="4"/>
      <c r="G157" s="4"/>
      <c r="H157" s="4"/>
      <c r="I157" s="4"/>
      <c r="J157" s="200"/>
      <c r="K157" s="200"/>
      <c r="L157" s="4"/>
      <c r="M157" s="4"/>
      <c r="N157" s="4"/>
      <c r="O157" s="4"/>
      <c r="P157" s="4"/>
      <c r="Q157" s="200"/>
      <c r="R157" s="200"/>
      <c r="S157" s="4"/>
      <c r="T157" s="4"/>
      <c r="U157" s="4"/>
      <c r="V157" s="4"/>
      <c r="W157" s="4"/>
      <c r="X157" s="200"/>
      <c r="Y157" s="200"/>
      <c r="Z157" s="4"/>
      <c r="AA157" s="4"/>
      <c r="AB157" s="4"/>
      <c r="AC157" s="4"/>
      <c r="AD157" s="4"/>
      <c r="AE157" s="200"/>
      <c r="AF157" s="200"/>
      <c r="AG157" s="4"/>
      <c r="AH157" s="4"/>
      <c r="AJ157" s="71">
        <f t="shared" si="30"/>
        <v>0</v>
      </c>
    </row>
    <row r="158" spans="2:36" hidden="1" outlineLevel="1" x14ac:dyDescent="0.25">
      <c r="B158" s="151"/>
      <c r="C158" s="54" t="s">
        <v>77</v>
      </c>
      <c r="D158" s="200"/>
      <c r="E158" s="5"/>
      <c r="F158" s="5"/>
      <c r="G158" s="5"/>
      <c r="H158" s="5"/>
      <c r="I158" s="5"/>
      <c r="J158" s="200"/>
      <c r="K158" s="200"/>
      <c r="L158" s="5"/>
      <c r="M158" s="5"/>
      <c r="N158" s="5"/>
      <c r="O158" s="5"/>
      <c r="P158" s="5"/>
      <c r="Q158" s="200"/>
      <c r="R158" s="200"/>
      <c r="S158" s="5"/>
      <c r="T158" s="5"/>
      <c r="U158" s="5"/>
      <c r="V158" s="5"/>
      <c r="W158" s="5"/>
      <c r="X158" s="200"/>
      <c r="Y158" s="200"/>
      <c r="Z158" s="5"/>
      <c r="AA158" s="5"/>
      <c r="AB158" s="5"/>
      <c r="AC158" s="5"/>
      <c r="AD158" s="5"/>
      <c r="AE158" s="200"/>
      <c r="AF158" s="200"/>
      <c r="AG158" s="5"/>
      <c r="AH158" s="5"/>
      <c r="AJ158" s="72">
        <f t="shared" si="30"/>
        <v>0</v>
      </c>
    </row>
    <row r="159" spans="2:36" ht="15.75" hidden="1" outlineLevel="1" thickBot="1" x14ac:dyDescent="0.3">
      <c r="B159" s="151"/>
      <c r="C159" s="9" t="s">
        <v>3</v>
      </c>
      <c r="D159" s="201"/>
      <c r="E159" s="8"/>
      <c r="F159" s="8"/>
      <c r="G159" s="8"/>
      <c r="H159" s="8"/>
      <c r="I159" s="8"/>
      <c r="J159" s="201"/>
      <c r="K159" s="201"/>
      <c r="L159" s="8"/>
      <c r="M159" s="8"/>
      <c r="N159" s="8"/>
      <c r="O159" s="8"/>
      <c r="P159" s="8"/>
      <c r="Q159" s="201"/>
      <c r="R159" s="201"/>
      <c r="S159" s="8"/>
      <c r="T159" s="8"/>
      <c r="U159" s="8"/>
      <c r="V159" s="8"/>
      <c r="W159" s="8"/>
      <c r="X159" s="201"/>
      <c r="Y159" s="201"/>
      <c r="Z159" s="8"/>
      <c r="AA159" s="8"/>
      <c r="AB159" s="8"/>
      <c r="AC159" s="8"/>
      <c r="AD159" s="8"/>
      <c r="AE159" s="201"/>
      <c r="AF159" s="201"/>
      <c r="AG159" s="8"/>
      <c r="AH159" s="8"/>
      <c r="AI159" s="7"/>
      <c r="AJ159" s="69">
        <f t="shared" si="30"/>
        <v>0</v>
      </c>
    </row>
    <row r="160" spans="2:36" ht="16.5" collapsed="1" thickTop="1" thickBot="1" x14ac:dyDescent="0.3">
      <c r="B160" s="149" t="str">
        <f>'Hours Scheduled'!B35</f>
        <v>Danny Ummels</v>
      </c>
      <c r="C160" t="s">
        <v>0</v>
      </c>
      <c r="D160" s="200"/>
      <c r="E160" s="2"/>
      <c r="F160" s="2"/>
      <c r="G160" s="2"/>
      <c r="H160" s="2"/>
      <c r="I160" s="2"/>
      <c r="J160" s="200"/>
      <c r="K160" s="200"/>
      <c r="L160" s="2"/>
      <c r="M160" s="2"/>
      <c r="N160" s="2"/>
      <c r="O160" s="2"/>
      <c r="P160" s="2"/>
      <c r="Q160" s="200"/>
      <c r="R160" s="200"/>
      <c r="S160" s="2"/>
      <c r="T160" s="2"/>
      <c r="U160" s="2"/>
      <c r="V160" s="2"/>
      <c r="W160" s="2"/>
      <c r="X160" s="200"/>
      <c r="Y160" s="200"/>
      <c r="Z160" s="2"/>
      <c r="AA160" s="2"/>
      <c r="AB160" s="2"/>
      <c r="AC160" s="2"/>
      <c r="AD160" s="2"/>
      <c r="AE160" s="200"/>
      <c r="AF160" s="200"/>
      <c r="AG160" s="2"/>
      <c r="AH160" s="2"/>
      <c r="AJ160" s="64">
        <f>SUM(D160:AH160)</f>
        <v>0</v>
      </c>
    </row>
    <row r="161" spans="2:36" ht="15.75" hidden="1" outlineLevel="1" thickTop="1" x14ac:dyDescent="0.25">
      <c r="B161" s="150"/>
      <c r="C161" s="1" t="s">
        <v>1</v>
      </c>
      <c r="D161" s="200"/>
      <c r="E161" s="3"/>
      <c r="F161" s="3"/>
      <c r="G161" s="3"/>
      <c r="H161" s="3"/>
      <c r="I161" s="3"/>
      <c r="J161" s="200"/>
      <c r="K161" s="200"/>
      <c r="L161" s="3"/>
      <c r="M161" s="3"/>
      <c r="N161" s="3"/>
      <c r="O161" s="3"/>
      <c r="P161" s="3"/>
      <c r="Q161" s="200"/>
      <c r="R161" s="200"/>
      <c r="S161" s="3"/>
      <c r="T161" s="3"/>
      <c r="U161" s="3"/>
      <c r="V161" s="3"/>
      <c r="W161" s="3"/>
      <c r="X161" s="200"/>
      <c r="Y161" s="200"/>
      <c r="Z161" s="3"/>
      <c r="AA161" s="3"/>
      <c r="AB161" s="3"/>
      <c r="AC161" s="3"/>
      <c r="AD161" s="3"/>
      <c r="AE161" s="200"/>
      <c r="AF161" s="200"/>
      <c r="AG161" s="3"/>
      <c r="AH161" s="3"/>
      <c r="AJ161" s="70">
        <f t="shared" ref="AJ161:AJ164" si="31">SUM(D161:AH161)</f>
        <v>0</v>
      </c>
    </row>
    <row r="162" spans="2:36" hidden="1" outlineLevel="1" x14ac:dyDescent="0.25">
      <c r="B162" s="151"/>
      <c r="C162" s="1" t="s">
        <v>2</v>
      </c>
      <c r="D162" s="200"/>
      <c r="E162" s="4"/>
      <c r="F162" s="4"/>
      <c r="G162" s="4"/>
      <c r="H162" s="4"/>
      <c r="I162" s="4"/>
      <c r="J162" s="200"/>
      <c r="K162" s="200"/>
      <c r="L162" s="4"/>
      <c r="M162" s="4"/>
      <c r="N162" s="4"/>
      <c r="O162" s="4"/>
      <c r="P162" s="4"/>
      <c r="Q162" s="200"/>
      <c r="R162" s="200"/>
      <c r="S162" s="4"/>
      <c r="T162" s="4"/>
      <c r="U162" s="4"/>
      <c r="V162" s="4"/>
      <c r="W162" s="4"/>
      <c r="X162" s="200"/>
      <c r="Y162" s="200"/>
      <c r="Z162" s="4"/>
      <c r="AA162" s="4"/>
      <c r="AB162" s="4"/>
      <c r="AC162" s="4"/>
      <c r="AD162" s="4"/>
      <c r="AE162" s="200"/>
      <c r="AF162" s="200"/>
      <c r="AG162" s="4"/>
      <c r="AH162" s="4"/>
      <c r="AJ162" s="71">
        <f t="shared" si="31"/>
        <v>0</v>
      </c>
    </row>
    <row r="163" spans="2:36" hidden="1" outlineLevel="1" x14ac:dyDescent="0.25">
      <c r="B163" s="151"/>
      <c r="C163" s="54" t="s">
        <v>77</v>
      </c>
      <c r="D163" s="200"/>
      <c r="E163" s="5"/>
      <c r="F163" s="5"/>
      <c r="G163" s="5"/>
      <c r="H163" s="5"/>
      <c r="I163" s="5"/>
      <c r="J163" s="200"/>
      <c r="K163" s="200"/>
      <c r="L163" s="5"/>
      <c r="M163" s="5"/>
      <c r="N163" s="5"/>
      <c r="O163" s="5"/>
      <c r="P163" s="5"/>
      <c r="Q163" s="200"/>
      <c r="R163" s="200"/>
      <c r="S163" s="5"/>
      <c r="T163" s="5"/>
      <c r="U163" s="5"/>
      <c r="V163" s="5"/>
      <c r="W163" s="5"/>
      <c r="X163" s="200"/>
      <c r="Y163" s="200"/>
      <c r="Z163" s="5"/>
      <c r="AA163" s="5"/>
      <c r="AB163" s="5"/>
      <c r="AC163" s="5"/>
      <c r="AD163" s="5"/>
      <c r="AE163" s="200"/>
      <c r="AF163" s="200"/>
      <c r="AG163" s="5"/>
      <c r="AH163" s="5"/>
      <c r="AJ163" s="72">
        <f t="shared" si="31"/>
        <v>0</v>
      </c>
    </row>
    <row r="164" spans="2:36" ht="15.75" hidden="1" outlineLevel="1" thickBot="1" x14ac:dyDescent="0.3">
      <c r="B164" s="151"/>
      <c r="C164" s="9" t="s">
        <v>3</v>
      </c>
      <c r="D164" s="201"/>
      <c r="E164" s="8"/>
      <c r="F164" s="8"/>
      <c r="G164" s="8"/>
      <c r="H164" s="8"/>
      <c r="I164" s="8"/>
      <c r="J164" s="201"/>
      <c r="K164" s="201"/>
      <c r="L164" s="8"/>
      <c r="M164" s="8"/>
      <c r="N164" s="8"/>
      <c r="O164" s="8"/>
      <c r="P164" s="8"/>
      <c r="Q164" s="201"/>
      <c r="R164" s="201"/>
      <c r="S164" s="8"/>
      <c r="T164" s="8"/>
      <c r="U164" s="8"/>
      <c r="V164" s="8"/>
      <c r="W164" s="8"/>
      <c r="X164" s="201"/>
      <c r="Y164" s="201"/>
      <c r="Z164" s="8"/>
      <c r="AA164" s="8"/>
      <c r="AB164" s="8"/>
      <c r="AC164" s="8"/>
      <c r="AD164" s="8"/>
      <c r="AE164" s="201"/>
      <c r="AF164" s="201"/>
      <c r="AG164" s="8"/>
      <c r="AH164" s="8"/>
      <c r="AI164" s="7"/>
      <c r="AJ164" s="69">
        <f t="shared" si="31"/>
        <v>0</v>
      </c>
    </row>
    <row r="165" spans="2:36" ht="16.5" collapsed="1" thickTop="1" thickBot="1" x14ac:dyDescent="0.3">
      <c r="B165" s="149">
        <f>'Hours Scheduled'!B36</f>
        <v>0</v>
      </c>
      <c r="C165" t="s">
        <v>0</v>
      </c>
      <c r="D165" s="200"/>
      <c r="E165" s="2"/>
      <c r="F165" s="2"/>
      <c r="G165" s="2"/>
      <c r="H165" s="2"/>
      <c r="I165" s="2"/>
      <c r="J165" s="200"/>
      <c r="K165" s="200"/>
      <c r="L165" s="2"/>
      <c r="M165" s="2"/>
      <c r="N165" s="2"/>
      <c r="O165" s="2"/>
      <c r="P165" s="2"/>
      <c r="Q165" s="200"/>
      <c r="R165" s="200"/>
      <c r="S165" s="2"/>
      <c r="T165" s="2"/>
      <c r="U165" s="2"/>
      <c r="V165" s="2"/>
      <c r="W165" s="2"/>
      <c r="X165" s="200"/>
      <c r="Y165" s="200"/>
      <c r="Z165" s="2"/>
      <c r="AA165" s="2"/>
      <c r="AB165" s="2"/>
      <c r="AC165" s="2"/>
      <c r="AD165" s="2"/>
      <c r="AE165" s="200"/>
      <c r="AF165" s="200"/>
      <c r="AG165" s="2"/>
      <c r="AH165" s="2"/>
      <c r="AJ165" s="64">
        <f>SUM(D165:AH165)</f>
        <v>0</v>
      </c>
    </row>
    <row r="166" spans="2:36" ht="15.75" hidden="1" outlineLevel="1" thickTop="1" x14ac:dyDescent="0.25">
      <c r="B166" s="150"/>
      <c r="C166" s="1" t="s">
        <v>1</v>
      </c>
      <c r="D166" s="200"/>
      <c r="E166" s="3"/>
      <c r="F166" s="3"/>
      <c r="G166" s="3"/>
      <c r="H166" s="3"/>
      <c r="I166" s="3"/>
      <c r="J166" s="200"/>
      <c r="K166" s="200"/>
      <c r="L166" s="3"/>
      <c r="M166" s="3"/>
      <c r="N166" s="3"/>
      <c r="O166" s="3"/>
      <c r="P166" s="3"/>
      <c r="Q166" s="200"/>
      <c r="R166" s="200"/>
      <c r="S166" s="3"/>
      <c r="T166" s="3"/>
      <c r="U166" s="3"/>
      <c r="V166" s="3"/>
      <c r="W166" s="3"/>
      <c r="X166" s="200"/>
      <c r="Y166" s="200"/>
      <c r="Z166" s="3"/>
      <c r="AA166" s="3"/>
      <c r="AB166" s="3"/>
      <c r="AC166" s="3"/>
      <c r="AD166" s="3"/>
      <c r="AE166" s="200"/>
      <c r="AF166" s="200"/>
      <c r="AG166" s="3"/>
      <c r="AH166" s="3"/>
      <c r="AJ166" s="70">
        <f t="shared" ref="AJ166:AJ169" si="32">SUM(D166:AH166)</f>
        <v>0</v>
      </c>
    </row>
    <row r="167" spans="2:36" hidden="1" outlineLevel="1" x14ac:dyDescent="0.25">
      <c r="B167" s="151"/>
      <c r="C167" s="1" t="s">
        <v>2</v>
      </c>
      <c r="D167" s="200"/>
      <c r="E167" s="4"/>
      <c r="F167" s="4"/>
      <c r="G167" s="4"/>
      <c r="H167" s="4"/>
      <c r="I167" s="4"/>
      <c r="J167" s="200"/>
      <c r="K167" s="200"/>
      <c r="L167" s="4"/>
      <c r="M167" s="4"/>
      <c r="N167" s="4"/>
      <c r="O167" s="4"/>
      <c r="P167" s="4"/>
      <c r="Q167" s="200"/>
      <c r="R167" s="200"/>
      <c r="S167" s="4"/>
      <c r="T167" s="4"/>
      <c r="U167" s="4"/>
      <c r="V167" s="4"/>
      <c r="W167" s="4"/>
      <c r="X167" s="200"/>
      <c r="Y167" s="200"/>
      <c r="Z167" s="4"/>
      <c r="AA167" s="4"/>
      <c r="AB167" s="4"/>
      <c r="AC167" s="4"/>
      <c r="AD167" s="4"/>
      <c r="AE167" s="200"/>
      <c r="AF167" s="200"/>
      <c r="AG167" s="4"/>
      <c r="AH167" s="4"/>
      <c r="AJ167" s="71">
        <f t="shared" si="32"/>
        <v>0</v>
      </c>
    </row>
    <row r="168" spans="2:36" hidden="1" outlineLevel="1" x14ac:dyDescent="0.25">
      <c r="B168" s="151"/>
      <c r="C168" s="54" t="s">
        <v>77</v>
      </c>
      <c r="D168" s="200"/>
      <c r="E168" s="5"/>
      <c r="F168" s="5"/>
      <c r="G168" s="5"/>
      <c r="H168" s="5"/>
      <c r="I168" s="5"/>
      <c r="J168" s="200"/>
      <c r="K168" s="200"/>
      <c r="L168" s="5"/>
      <c r="M168" s="5"/>
      <c r="N168" s="5"/>
      <c r="O168" s="5"/>
      <c r="P168" s="5"/>
      <c r="Q168" s="200"/>
      <c r="R168" s="200"/>
      <c r="S168" s="5"/>
      <c r="T168" s="5"/>
      <c r="U168" s="5"/>
      <c r="V168" s="5"/>
      <c r="W168" s="5"/>
      <c r="X168" s="200"/>
      <c r="Y168" s="200"/>
      <c r="Z168" s="5"/>
      <c r="AA168" s="5"/>
      <c r="AB168" s="5"/>
      <c r="AC168" s="5"/>
      <c r="AD168" s="5"/>
      <c r="AE168" s="200"/>
      <c r="AF168" s="200"/>
      <c r="AG168" s="5"/>
      <c r="AH168" s="5"/>
      <c r="AJ168" s="72">
        <f t="shared" si="32"/>
        <v>0</v>
      </c>
    </row>
    <row r="169" spans="2:36" ht="15.75" hidden="1" outlineLevel="1" thickBot="1" x14ac:dyDescent="0.3">
      <c r="B169" s="151"/>
      <c r="C169" s="9" t="s">
        <v>3</v>
      </c>
      <c r="D169" s="201"/>
      <c r="E169" s="8"/>
      <c r="F169" s="8"/>
      <c r="G169" s="8"/>
      <c r="H169" s="8"/>
      <c r="I169" s="8"/>
      <c r="J169" s="201"/>
      <c r="K169" s="201"/>
      <c r="L169" s="8"/>
      <c r="M169" s="8"/>
      <c r="N169" s="8"/>
      <c r="O169" s="8"/>
      <c r="P169" s="8"/>
      <c r="Q169" s="201"/>
      <c r="R169" s="201"/>
      <c r="S169" s="8"/>
      <c r="T169" s="8"/>
      <c r="U169" s="8"/>
      <c r="V169" s="8"/>
      <c r="W169" s="8"/>
      <c r="X169" s="201"/>
      <c r="Y169" s="201"/>
      <c r="Z169" s="8"/>
      <c r="AA169" s="8"/>
      <c r="AB169" s="8"/>
      <c r="AC169" s="8"/>
      <c r="AD169" s="8"/>
      <c r="AE169" s="201"/>
      <c r="AF169" s="201"/>
      <c r="AG169" s="8"/>
      <c r="AH169" s="8"/>
      <c r="AI169" s="7"/>
      <c r="AJ169" s="69">
        <f t="shared" si="32"/>
        <v>0</v>
      </c>
    </row>
    <row r="170" spans="2:36" ht="16.5" collapsed="1" thickTop="1" thickBot="1" x14ac:dyDescent="0.3">
      <c r="B170" s="149">
        <f>'Hours Scheduled'!B37</f>
        <v>0</v>
      </c>
      <c r="C170" t="s">
        <v>0</v>
      </c>
      <c r="D170" s="200"/>
      <c r="E170" s="2"/>
      <c r="F170" s="2"/>
      <c r="G170" s="2"/>
      <c r="H170" s="2"/>
      <c r="I170" s="2"/>
      <c r="J170" s="200"/>
      <c r="K170" s="200"/>
      <c r="L170" s="2"/>
      <c r="M170" s="2"/>
      <c r="N170" s="2"/>
      <c r="O170" s="2"/>
      <c r="P170" s="2"/>
      <c r="Q170" s="200"/>
      <c r="R170" s="200"/>
      <c r="S170" s="2"/>
      <c r="T170" s="2"/>
      <c r="U170" s="2"/>
      <c r="V170" s="2"/>
      <c r="W170" s="2"/>
      <c r="X170" s="200"/>
      <c r="Y170" s="200"/>
      <c r="Z170" s="2"/>
      <c r="AA170" s="2"/>
      <c r="AB170" s="2"/>
      <c r="AC170" s="2"/>
      <c r="AD170" s="2"/>
      <c r="AE170" s="200"/>
      <c r="AF170" s="200"/>
      <c r="AG170" s="2"/>
      <c r="AH170" s="2"/>
      <c r="AJ170" s="64">
        <f>SUM(D170:AH170)</f>
        <v>0</v>
      </c>
    </row>
    <row r="171" spans="2:36" ht="15.75" hidden="1" outlineLevel="1" thickTop="1" x14ac:dyDescent="0.25">
      <c r="B171" s="150"/>
      <c r="C171" s="1" t="s">
        <v>1</v>
      </c>
      <c r="D171" s="200"/>
      <c r="E171" s="3"/>
      <c r="F171" s="3"/>
      <c r="G171" s="3"/>
      <c r="H171" s="3"/>
      <c r="I171" s="3"/>
      <c r="J171" s="200"/>
      <c r="K171" s="200"/>
      <c r="L171" s="3"/>
      <c r="M171" s="3"/>
      <c r="N171" s="3"/>
      <c r="O171" s="3"/>
      <c r="P171" s="3"/>
      <c r="Q171" s="200"/>
      <c r="R171" s="200"/>
      <c r="S171" s="3"/>
      <c r="T171" s="3"/>
      <c r="U171" s="3"/>
      <c r="V171" s="3"/>
      <c r="W171" s="3"/>
      <c r="X171" s="200"/>
      <c r="Y171" s="200"/>
      <c r="Z171" s="3"/>
      <c r="AA171" s="3"/>
      <c r="AB171" s="3"/>
      <c r="AC171" s="3"/>
      <c r="AD171" s="3"/>
      <c r="AE171" s="200"/>
      <c r="AF171" s="200"/>
      <c r="AG171" s="3"/>
      <c r="AH171" s="3"/>
      <c r="AJ171" s="70">
        <f t="shared" ref="AJ171:AJ174" si="33">SUM(D171:AH171)</f>
        <v>0</v>
      </c>
    </row>
    <row r="172" spans="2:36" hidden="1" outlineLevel="1" x14ac:dyDescent="0.25">
      <c r="B172" s="151"/>
      <c r="C172" s="1" t="s">
        <v>2</v>
      </c>
      <c r="D172" s="200"/>
      <c r="E172" s="4"/>
      <c r="F172" s="4"/>
      <c r="G172" s="4"/>
      <c r="H172" s="4"/>
      <c r="I172" s="4"/>
      <c r="J172" s="200"/>
      <c r="K172" s="200"/>
      <c r="L172" s="4"/>
      <c r="M172" s="4"/>
      <c r="N172" s="4"/>
      <c r="O172" s="4"/>
      <c r="P172" s="4"/>
      <c r="Q172" s="200"/>
      <c r="R172" s="200"/>
      <c r="S172" s="4"/>
      <c r="T172" s="4"/>
      <c r="U172" s="4"/>
      <c r="V172" s="4"/>
      <c r="W172" s="4"/>
      <c r="X172" s="200"/>
      <c r="Y172" s="200"/>
      <c r="Z172" s="4"/>
      <c r="AA172" s="4"/>
      <c r="AB172" s="4"/>
      <c r="AC172" s="4"/>
      <c r="AD172" s="4"/>
      <c r="AE172" s="200"/>
      <c r="AF172" s="200"/>
      <c r="AG172" s="4"/>
      <c r="AH172" s="4"/>
      <c r="AJ172" s="71">
        <f t="shared" si="33"/>
        <v>0</v>
      </c>
    </row>
    <row r="173" spans="2:36" hidden="1" outlineLevel="1" x14ac:dyDescent="0.25">
      <c r="B173" s="151"/>
      <c r="C173" s="54" t="s">
        <v>77</v>
      </c>
      <c r="D173" s="200"/>
      <c r="E173" s="5"/>
      <c r="F173" s="5"/>
      <c r="G173" s="5"/>
      <c r="H173" s="5"/>
      <c r="I173" s="5"/>
      <c r="J173" s="200"/>
      <c r="K173" s="200"/>
      <c r="L173" s="5"/>
      <c r="M173" s="5"/>
      <c r="N173" s="5"/>
      <c r="O173" s="5"/>
      <c r="P173" s="5"/>
      <c r="Q173" s="200"/>
      <c r="R173" s="200"/>
      <c r="S173" s="5"/>
      <c r="T173" s="5"/>
      <c r="U173" s="5"/>
      <c r="V173" s="5"/>
      <c r="W173" s="5"/>
      <c r="X173" s="200"/>
      <c r="Y173" s="200"/>
      <c r="Z173" s="5"/>
      <c r="AA173" s="5"/>
      <c r="AB173" s="5"/>
      <c r="AC173" s="5"/>
      <c r="AD173" s="5"/>
      <c r="AE173" s="200"/>
      <c r="AF173" s="200"/>
      <c r="AG173" s="5"/>
      <c r="AH173" s="5"/>
      <c r="AJ173" s="72">
        <f t="shared" si="33"/>
        <v>0</v>
      </c>
    </row>
    <row r="174" spans="2:36" ht="15.75" hidden="1" outlineLevel="1" thickBot="1" x14ac:dyDescent="0.3">
      <c r="B174" s="151"/>
      <c r="C174" s="9" t="s">
        <v>3</v>
      </c>
      <c r="D174" s="201"/>
      <c r="E174" s="8"/>
      <c r="F174" s="8"/>
      <c r="G174" s="8"/>
      <c r="H174" s="8"/>
      <c r="I174" s="8"/>
      <c r="J174" s="201"/>
      <c r="K174" s="201"/>
      <c r="L174" s="8"/>
      <c r="M174" s="8"/>
      <c r="N174" s="8"/>
      <c r="O174" s="8"/>
      <c r="P174" s="8"/>
      <c r="Q174" s="201"/>
      <c r="R174" s="201"/>
      <c r="S174" s="8"/>
      <c r="T174" s="8"/>
      <c r="U174" s="8"/>
      <c r="V174" s="8"/>
      <c r="W174" s="8"/>
      <c r="X174" s="201"/>
      <c r="Y174" s="201"/>
      <c r="Z174" s="8"/>
      <c r="AA174" s="8"/>
      <c r="AB174" s="8"/>
      <c r="AC174" s="8"/>
      <c r="AD174" s="8"/>
      <c r="AE174" s="201"/>
      <c r="AF174" s="201"/>
      <c r="AG174" s="8"/>
      <c r="AH174" s="8"/>
      <c r="AI174" s="7"/>
      <c r="AJ174" s="69">
        <f t="shared" si="33"/>
        <v>0</v>
      </c>
    </row>
    <row r="175" spans="2:36" ht="16.5" collapsed="1" thickTop="1" thickBot="1" x14ac:dyDescent="0.3">
      <c r="B175" s="149">
        <f>'Hours Scheduled'!B38</f>
        <v>0</v>
      </c>
      <c r="C175" t="s">
        <v>0</v>
      </c>
      <c r="D175" s="200"/>
      <c r="E175" s="2"/>
      <c r="F175" s="2"/>
      <c r="G175" s="2"/>
      <c r="H175" s="2"/>
      <c r="I175" s="2"/>
      <c r="J175" s="200"/>
      <c r="K175" s="200"/>
      <c r="L175" s="2"/>
      <c r="M175" s="2"/>
      <c r="N175" s="2"/>
      <c r="O175" s="2"/>
      <c r="P175" s="2"/>
      <c r="Q175" s="200"/>
      <c r="R175" s="200"/>
      <c r="S175" s="2"/>
      <c r="T175" s="2"/>
      <c r="U175" s="2"/>
      <c r="V175" s="2"/>
      <c r="W175" s="2"/>
      <c r="X175" s="200"/>
      <c r="Y175" s="200"/>
      <c r="Z175" s="2"/>
      <c r="AA175" s="2"/>
      <c r="AB175" s="2"/>
      <c r="AC175" s="2"/>
      <c r="AD175" s="2"/>
      <c r="AE175" s="200"/>
      <c r="AF175" s="200"/>
      <c r="AG175" s="2"/>
      <c r="AH175" s="2"/>
      <c r="AJ175" s="64">
        <f>SUM(D175:AH175)</f>
        <v>0</v>
      </c>
    </row>
    <row r="176" spans="2:36" ht="15.75" hidden="1" outlineLevel="1" thickTop="1" x14ac:dyDescent="0.25">
      <c r="B176" s="150"/>
      <c r="C176" s="1" t="s">
        <v>1</v>
      </c>
      <c r="D176" s="200"/>
      <c r="E176" s="3"/>
      <c r="F176" s="3"/>
      <c r="G176" s="3"/>
      <c r="H176" s="3"/>
      <c r="I176" s="3"/>
      <c r="J176" s="200"/>
      <c r="K176" s="200"/>
      <c r="L176" s="3"/>
      <c r="M176" s="3"/>
      <c r="N176" s="3"/>
      <c r="O176" s="3"/>
      <c r="P176" s="3"/>
      <c r="Q176" s="200"/>
      <c r="R176" s="200"/>
      <c r="S176" s="3"/>
      <c r="T176" s="3"/>
      <c r="U176" s="3"/>
      <c r="V176" s="3"/>
      <c r="W176" s="3"/>
      <c r="X176" s="200"/>
      <c r="Y176" s="200"/>
      <c r="Z176" s="3"/>
      <c r="AA176" s="3"/>
      <c r="AB176" s="3"/>
      <c r="AC176" s="3"/>
      <c r="AD176" s="3"/>
      <c r="AE176" s="200"/>
      <c r="AF176" s="200"/>
      <c r="AG176" s="3"/>
      <c r="AH176" s="3"/>
      <c r="AJ176" s="70">
        <f t="shared" ref="AJ176:AJ179" si="34">SUM(D176:AH176)</f>
        <v>0</v>
      </c>
    </row>
    <row r="177" spans="2:36" hidden="1" outlineLevel="1" x14ac:dyDescent="0.25">
      <c r="B177" s="151"/>
      <c r="C177" s="1" t="s">
        <v>2</v>
      </c>
      <c r="D177" s="200"/>
      <c r="E177" s="4"/>
      <c r="F177" s="4"/>
      <c r="G177" s="4"/>
      <c r="H177" s="4"/>
      <c r="I177" s="4"/>
      <c r="J177" s="200"/>
      <c r="K177" s="200"/>
      <c r="L177" s="4"/>
      <c r="M177" s="4"/>
      <c r="N177" s="4"/>
      <c r="O177" s="4"/>
      <c r="P177" s="4"/>
      <c r="Q177" s="200"/>
      <c r="R177" s="200"/>
      <c r="S177" s="4"/>
      <c r="T177" s="4"/>
      <c r="U177" s="4"/>
      <c r="V177" s="4"/>
      <c r="W177" s="4"/>
      <c r="X177" s="200"/>
      <c r="Y177" s="200"/>
      <c r="Z177" s="4"/>
      <c r="AA177" s="4"/>
      <c r="AB177" s="4"/>
      <c r="AC177" s="4"/>
      <c r="AD177" s="4"/>
      <c r="AE177" s="200"/>
      <c r="AF177" s="200"/>
      <c r="AG177" s="4"/>
      <c r="AH177" s="4"/>
      <c r="AJ177" s="71">
        <f t="shared" si="34"/>
        <v>0</v>
      </c>
    </row>
    <row r="178" spans="2:36" hidden="1" outlineLevel="1" x14ac:dyDescent="0.25">
      <c r="B178" s="151"/>
      <c r="C178" s="54" t="s">
        <v>77</v>
      </c>
      <c r="D178" s="200"/>
      <c r="E178" s="5"/>
      <c r="F178" s="5"/>
      <c r="G178" s="5"/>
      <c r="H178" s="5"/>
      <c r="I178" s="5"/>
      <c r="J178" s="200"/>
      <c r="K178" s="200"/>
      <c r="L178" s="5"/>
      <c r="M178" s="5"/>
      <c r="N178" s="5"/>
      <c r="O178" s="5"/>
      <c r="P178" s="5"/>
      <c r="Q178" s="200"/>
      <c r="R178" s="200"/>
      <c r="S178" s="5"/>
      <c r="T178" s="5"/>
      <c r="U178" s="5"/>
      <c r="V178" s="5"/>
      <c r="W178" s="5"/>
      <c r="X178" s="200"/>
      <c r="Y178" s="200"/>
      <c r="Z178" s="5"/>
      <c r="AA178" s="5"/>
      <c r="AB178" s="5"/>
      <c r="AC178" s="5"/>
      <c r="AD178" s="5"/>
      <c r="AE178" s="200"/>
      <c r="AF178" s="200"/>
      <c r="AG178" s="5"/>
      <c r="AH178" s="5"/>
      <c r="AJ178" s="72">
        <f t="shared" si="34"/>
        <v>0</v>
      </c>
    </row>
    <row r="179" spans="2:36" ht="15.75" hidden="1" outlineLevel="1" thickBot="1" x14ac:dyDescent="0.3">
      <c r="B179" s="151"/>
      <c r="C179" s="9" t="s">
        <v>3</v>
      </c>
      <c r="D179" s="201"/>
      <c r="E179" s="8"/>
      <c r="F179" s="8"/>
      <c r="G179" s="8"/>
      <c r="H179" s="8"/>
      <c r="I179" s="8"/>
      <c r="J179" s="201"/>
      <c r="K179" s="201"/>
      <c r="L179" s="8"/>
      <c r="M179" s="8"/>
      <c r="N179" s="8"/>
      <c r="O179" s="8"/>
      <c r="P179" s="8"/>
      <c r="Q179" s="201"/>
      <c r="R179" s="201"/>
      <c r="S179" s="8"/>
      <c r="T179" s="8"/>
      <c r="U179" s="8"/>
      <c r="V179" s="8"/>
      <c r="W179" s="8"/>
      <c r="X179" s="201"/>
      <c r="Y179" s="201"/>
      <c r="Z179" s="8"/>
      <c r="AA179" s="8"/>
      <c r="AB179" s="8"/>
      <c r="AC179" s="8"/>
      <c r="AD179" s="8"/>
      <c r="AE179" s="201"/>
      <c r="AF179" s="201"/>
      <c r="AG179" s="8"/>
      <c r="AH179" s="8"/>
      <c r="AI179" s="7"/>
      <c r="AJ179" s="69">
        <f t="shared" si="34"/>
        <v>0</v>
      </c>
    </row>
    <row r="180" spans="2:36" ht="16.5" collapsed="1" thickTop="1" thickBot="1" x14ac:dyDescent="0.3">
      <c r="B180" s="149">
        <f>'Hours Scheduled'!B39</f>
        <v>0</v>
      </c>
      <c r="C180" t="s">
        <v>0</v>
      </c>
      <c r="D180" s="200"/>
      <c r="E180" s="2"/>
      <c r="F180" s="2"/>
      <c r="G180" s="2"/>
      <c r="H180" s="2"/>
      <c r="I180" s="2"/>
      <c r="J180" s="200"/>
      <c r="K180" s="200"/>
      <c r="L180" s="2"/>
      <c r="M180" s="2"/>
      <c r="N180" s="2"/>
      <c r="O180" s="2"/>
      <c r="P180" s="2"/>
      <c r="Q180" s="200"/>
      <c r="R180" s="200"/>
      <c r="S180" s="2"/>
      <c r="T180" s="2"/>
      <c r="U180" s="2"/>
      <c r="V180" s="2"/>
      <c r="W180" s="2"/>
      <c r="X180" s="200"/>
      <c r="Y180" s="200"/>
      <c r="Z180" s="2"/>
      <c r="AA180" s="2"/>
      <c r="AB180" s="2"/>
      <c r="AC180" s="2"/>
      <c r="AD180" s="2"/>
      <c r="AE180" s="200"/>
      <c r="AF180" s="200"/>
      <c r="AG180" s="2"/>
      <c r="AH180" s="2"/>
      <c r="AJ180" s="64">
        <f>SUM(D180:AH180)</f>
        <v>0</v>
      </c>
    </row>
    <row r="181" spans="2:36" ht="15.75" hidden="1" outlineLevel="1" thickTop="1" x14ac:dyDescent="0.25">
      <c r="B181" s="150"/>
      <c r="C181" s="1" t="s">
        <v>1</v>
      </c>
      <c r="D181" s="200"/>
      <c r="E181" s="3"/>
      <c r="F181" s="3"/>
      <c r="G181" s="3"/>
      <c r="H181" s="3"/>
      <c r="I181" s="3"/>
      <c r="J181" s="200"/>
      <c r="K181" s="200"/>
      <c r="L181" s="3"/>
      <c r="M181" s="3"/>
      <c r="N181" s="3"/>
      <c r="O181" s="3"/>
      <c r="P181" s="3"/>
      <c r="Q181" s="200"/>
      <c r="R181" s="200"/>
      <c r="S181" s="3"/>
      <c r="T181" s="3"/>
      <c r="U181" s="3"/>
      <c r="V181" s="3"/>
      <c r="W181" s="3"/>
      <c r="X181" s="200"/>
      <c r="Y181" s="200"/>
      <c r="Z181" s="3"/>
      <c r="AA181" s="3"/>
      <c r="AB181" s="3"/>
      <c r="AC181" s="3"/>
      <c r="AD181" s="3"/>
      <c r="AE181" s="200"/>
      <c r="AF181" s="200"/>
      <c r="AG181" s="3"/>
      <c r="AH181" s="3"/>
      <c r="AJ181" s="70">
        <f t="shared" ref="AJ181:AJ184" si="35">SUM(D181:AH181)</f>
        <v>0</v>
      </c>
    </row>
    <row r="182" spans="2:36" hidden="1" outlineLevel="1" x14ac:dyDescent="0.25">
      <c r="B182" s="151"/>
      <c r="C182" s="1" t="s">
        <v>2</v>
      </c>
      <c r="D182" s="200"/>
      <c r="E182" s="4"/>
      <c r="F182" s="4"/>
      <c r="G182" s="4"/>
      <c r="H182" s="4"/>
      <c r="I182" s="4"/>
      <c r="J182" s="200"/>
      <c r="K182" s="200"/>
      <c r="L182" s="4"/>
      <c r="M182" s="4"/>
      <c r="N182" s="4"/>
      <c r="O182" s="4"/>
      <c r="P182" s="4"/>
      <c r="Q182" s="200"/>
      <c r="R182" s="200"/>
      <c r="S182" s="4"/>
      <c r="T182" s="4"/>
      <c r="U182" s="4"/>
      <c r="V182" s="4"/>
      <c r="W182" s="4"/>
      <c r="X182" s="200"/>
      <c r="Y182" s="200"/>
      <c r="Z182" s="4"/>
      <c r="AA182" s="4"/>
      <c r="AB182" s="4"/>
      <c r="AC182" s="4"/>
      <c r="AD182" s="4"/>
      <c r="AE182" s="200"/>
      <c r="AF182" s="200"/>
      <c r="AG182" s="4"/>
      <c r="AH182" s="4"/>
      <c r="AJ182" s="71">
        <f t="shared" si="35"/>
        <v>0</v>
      </c>
    </row>
    <row r="183" spans="2:36" hidden="1" outlineLevel="1" x14ac:dyDescent="0.25">
      <c r="B183" s="151"/>
      <c r="C183" s="54" t="s">
        <v>77</v>
      </c>
      <c r="D183" s="200"/>
      <c r="E183" s="5"/>
      <c r="F183" s="5"/>
      <c r="G183" s="5"/>
      <c r="H183" s="5"/>
      <c r="I183" s="5"/>
      <c r="J183" s="200"/>
      <c r="K183" s="200"/>
      <c r="L183" s="5"/>
      <c r="M183" s="5"/>
      <c r="N183" s="5"/>
      <c r="O183" s="5"/>
      <c r="P183" s="5"/>
      <c r="Q183" s="200"/>
      <c r="R183" s="200"/>
      <c r="S183" s="5"/>
      <c r="T183" s="5"/>
      <c r="U183" s="5"/>
      <c r="V183" s="5"/>
      <c r="W183" s="5"/>
      <c r="X183" s="200"/>
      <c r="Y183" s="200"/>
      <c r="Z183" s="5"/>
      <c r="AA183" s="5"/>
      <c r="AB183" s="5"/>
      <c r="AC183" s="5"/>
      <c r="AD183" s="5"/>
      <c r="AE183" s="200"/>
      <c r="AF183" s="200"/>
      <c r="AG183" s="5"/>
      <c r="AH183" s="5"/>
      <c r="AJ183" s="72">
        <f t="shared" si="35"/>
        <v>0</v>
      </c>
    </row>
    <row r="184" spans="2:36" ht="15.75" hidden="1" outlineLevel="1" thickBot="1" x14ac:dyDescent="0.3">
      <c r="B184" s="151"/>
      <c r="C184" s="9" t="s">
        <v>3</v>
      </c>
      <c r="D184" s="201"/>
      <c r="E184" s="8"/>
      <c r="F184" s="8"/>
      <c r="G184" s="8"/>
      <c r="H184" s="8"/>
      <c r="I184" s="8"/>
      <c r="J184" s="201"/>
      <c r="K184" s="201"/>
      <c r="L184" s="8"/>
      <c r="M184" s="8"/>
      <c r="N184" s="8"/>
      <c r="O184" s="8"/>
      <c r="P184" s="8"/>
      <c r="Q184" s="201"/>
      <c r="R184" s="201"/>
      <c r="S184" s="8"/>
      <c r="T184" s="8"/>
      <c r="U184" s="8"/>
      <c r="V184" s="8"/>
      <c r="W184" s="8"/>
      <c r="X184" s="201"/>
      <c r="Y184" s="201"/>
      <c r="Z184" s="8"/>
      <c r="AA184" s="8"/>
      <c r="AB184" s="8"/>
      <c r="AC184" s="8"/>
      <c r="AD184" s="8"/>
      <c r="AE184" s="201"/>
      <c r="AF184" s="201"/>
      <c r="AG184" s="8"/>
      <c r="AH184" s="8"/>
      <c r="AI184" s="7"/>
      <c r="AJ184" s="69">
        <f t="shared" si="35"/>
        <v>0</v>
      </c>
    </row>
    <row r="185" spans="2:36" ht="15.75" collapsed="1" thickTop="1" x14ac:dyDescent="0.25"/>
  </sheetData>
  <autoFilter ref="B4:AJ184"/>
  <customSheetViews>
    <customSheetView guid="{98CBC5BF-8C89-48A4-860E-9C56014CD200}" scale="90" showGridLines="0" showAutoFilter="1" hiddenRows="1" topLeftCell="A2">
      <pane ySplit="2" topLeftCell="A30" activePane="bottomLeft" state="frozenSplit"/>
      <selection pane="bottomLeft" activeCell="A2" sqref="A2"/>
      <pageMargins left="0.7" right="0.7" top="0.75" bottom="0.75" header="0.3" footer="0.3"/>
      <pageSetup paperSize="9" orientation="portrait" r:id="rId1"/>
      <autoFilter ref="B4:AJ184"/>
    </customSheetView>
    <customSheetView guid="{1BC25061-32D5-45DE-83F9-EFA3A1092E03}" scale="90" showGridLines="0" showAutoFilter="1" hiddenRows="1" topLeftCell="A2">
      <pane ySplit="3" topLeftCell="A95" activePane="bottomLeft" state="frozenSplit"/>
      <selection pane="bottomLeft" activeCell="A2" sqref="A2"/>
      <pageMargins left="0.7" right="0.7" top="0.75" bottom="0.75" header="0.3" footer="0.3"/>
      <pageSetup paperSize="9" orientation="portrait" r:id="rId2"/>
      <autoFilter ref="B4:AJ189"/>
    </customSheetView>
    <customSheetView guid="{CF917189-7AB9-4E55-816F-ACFC7FA45C05}" scale="90" showGridLines="0" showAutoFilter="1" hiddenRows="1" topLeftCell="A2">
      <pane ySplit="2" topLeftCell="A110" activePane="bottomLeft" state="frozenSplit"/>
      <selection pane="bottomLeft" activeCell="A2" sqref="A2"/>
      <pageMargins left="0.7" right="0.7" top="0.75" bottom="0.75" header="0.3" footer="0.3"/>
      <pageSetup paperSize="9" orientation="portrait" r:id="rId3"/>
      <autoFilter ref="B4:AJ189"/>
    </customSheetView>
    <customSheetView guid="{4155806E-C0D0-4CC9-9B31-04245B7DD4C8}" showGridLines="0" showAutoFilter="1" hiddenRows="1" topLeftCell="A2">
      <pane ySplit="7" topLeftCell="A10" activePane="bottomLeft" state="frozenSplit"/>
      <selection pane="bottomLeft" activeCell="Q3" sqref="Q3:T3"/>
      <pageMargins left="0.7" right="0.7" top="0.75" bottom="0.75" header="0.3" footer="0.3"/>
      <pageSetup paperSize="9" orientation="portrait" r:id="rId4"/>
      <autoFilter ref="B4:AJ179"/>
    </customSheetView>
    <customSheetView guid="{1587CBCC-2CC7-4525-8A49-E261AB2E1606}" scale="90" showGridLines="0" showAutoFilter="1" hiddenRows="1" topLeftCell="A2">
      <pane ySplit="2" topLeftCell="A20" activePane="bottomLeft" state="frozenSplit"/>
      <selection pane="bottomLeft" activeCell="F50" sqref="F50"/>
      <pageMargins left="0.7" right="0.7" top="0.75" bottom="0.75" header="0.3" footer="0.3"/>
      <pageSetup paperSize="9" orientation="portrait" r:id="rId5"/>
      <autoFilter ref="B4:AJ184"/>
    </customSheetView>
    <customSheetView guid="{C5D9000A-81ED-4920-B6AF-4B234775AEC9}" scale="90" showGridLines="0" showAutoFilter="1" hiddenRows="1" topLeftCell="A2">
      <pane ySplit="2" topLeftCell="A55" activePane="bottomLeft" state="frozenSplit"/>
      <selection pane="bottomLeft" activeCell="E115" sqref="E115"/>
      <pageMargins left="0.7" right="0.7" top="0.75" bottom="0.75" header="0.3" footer="0.3"/>
      <pageSetup paperSize="9" orientation="portrait" r:id="rId6"/>
      <autoFilter ref="B4:AJ184"/>
    </customSheetView>
  </customSheetViews>
  <conditionalFormatting sqref="D3:AG3">
    <cfRule type="expression" dxfId="31" priority="11">
      <formula>WEEKDAY(D3:AH3)=1</formula>
    </cfRule>
    <cfRule type="expression" dxfId="30" priority="12">
      <formula>WEEKDAY(D3:AH3)=7</formula>
    </cfRule>
  </conditionalFormatting>
  <conditionalFormatting sqref="A11:A140">
    <cfRule type="cellIs" dxfId="29" priority="10" operator="equal">
      <formula>"08:00/16:30"</formula>
    </cfRule>
  </conditionalFormatting>
  <conditionalFormatting sqref="A15:A140">
    <cfRule type="cellIs" dxfId="28" priority="9" operator="equal">
      <formula>"09:30/18:00"</formula>
    </cfRule>
  </conditionalFormatting>
  <conditionalFormatting sqref="A5:A10">
    <cfRule type="cellIs" dxfId="27" priority="2" operator="equal">
      <formula>"08:00/16:30"</formula>
    </cfRule>
  </conditionalFormatting>
  <conditionalFormatting sqref="A5:A10">
    <cfRule type="cellIs" dxfId="26" priority="1" operator="equal">
      <formula>"09:30/18:00"</formula>
    </cfRule>
  </conditionalFormatting>
  <dataValidations count="2">
    <dataValidation type="list" allowBlank="1" showInputMessage="1" sqref="A140 A115 A120 A125 A130 A135 A5 A10 A15 A20 A25 A30 A35 A40 A50 A55 A60 A65 A70 A75 A80 A85 A90 A95:A110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" right="0.7" top="0.75" bottom="0.75" header="0.3" footer="0.3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E97171"/>
  </sheetPr>
  <dimension ref="A1:D42"/>
  <sheetViews>
    <sheetView showGridLines="0" zoomScale="80" zoomScaleNormal="80" workbookViewId="0">
      <selection activeCell="F34" sqref="F34"/>
    </sheetView>
  </sheetViews>
  <sheetFormatPr defaultRowHeight="15" x14ac:dyDescent="0.25"/>
  <cols>
    <col min="1" max="1" width="14.140625" customWidth="1"/>
    <col min="2" max="2" width="18.85546875" bestFit="1" customWidth="1"/>
    <col min="3" max="3" width="17.42578125" bestFit="1" customWidth="1"/>
  </cols>
  <sheetData>
    <row r="1" spans="1:4" ht="18.75" x14ac:dyDescent="0.3">
      <c r="B1" s="20" t="s">
        <v>97</v>
      </c>
    </row>
    <row r="2" spans="1:4" x14ac:dyDescent="0.25">
      <c r="D2" s="36" t="s">
        <v>99</v>
      </c>
    </row>
    <row r="3" spans="1:4" ht="27" customHeight="1" x14ac:dyDescent="0.25">
      <c r="A3" s="167" t="s">
        <v>111</v>
      </c>
      <c r="B3" s="167" t="s">
        <v>98</v>
      </c>
      <c r="C3" s="167" t="s">
        <v>167</v>
      </c>
    </row>
    <row r="4" spans="1:4" x14ac:dyDescent="0.25">
      <c r="A4" s="66">
        <v>31656</v>
      </c>
      <c r="B4" s="35" t="s">
        <v>117</v>
      </c>
      <c r="C4" s="35" t="s">
        <v>169</v>
      </c>
    </row>
    <row r="5" spans="1:4" x14ac:dyDescent="0.25">
      <c r="A5" s="66">
        <v>34529</v>
      </c>
      <c r="B5" s="252" t="s">
        <v>189</v>
      </c>
      <c r="C5" s="35" t="s">
        <v>169</v>
      </c>
    </row>
    <row r="6" spans="1:4" x14ac:dyDescent="0.25">
      <c r="A6" s="66">
        <v>34576</v>
      </c>
      <c r="B6" s="252" t="s">
        <v>184</v>
      </c>
      <c r="C6" s="35" t="s">
        <v>169</v>
      </c>
    </row>
    <row r="7" spans="1:4" x14ac:dyDescent="0.25">
      <c r="A7" s="66">
        <v>30527</v>
      </c>
      <c r="B7" s="35" t="s">
        <v>104</v>
      </c>
      <c r="C7" s="35" t="s">
        <v>170</v>
      </c>
    </row>
    <row r="8" spans="1:4" x14ac:dyDescent="0.25">
      <c r="A8" s="66">
        <v>30920</v>
      </c>
      <c r="B8" s="35" t="s">
        <v>118</v>
      </c>
      <c r="C8" s="35" t="s">
        <v>170</v>
      </c>
    </row>
    <row r="9" spans="1:4" x14ac:dyDescent="0.25">
      <c r="A9" s="66">
        <v>30828</v>
      </c>
      <c r="B9" s="35" t="s">
        <v>186</v>
      </c>
      <c r="C9" s="35" t="s">
        <v>169</v>
      </c>
    </row>
    <row r="10" spans="1:4" x14ac:dyDescent="0.25">
      <c r="A10" s="66">
        <v>34561</v>
      </c>
      <c r="B10" s="252" t="s">
        <v>181</v>
      </c>
      <c r="C10" s="35" t="s">
        <v>169</v>
      </c>
    </row>
    <row r="11" spans="1:4" x14ac:dyDescent="0.25">
      <c r="A11" s="66">
        <v>20043</v>
      </c>
      <c r="B11" s="35" t="s">
        <v>105</v>
      </c>
      <c r="C11" s="35" t="s">
        <v>170</v>
      </c>
    </row>
    <row r="12" spans="1:4" x14ac:dyDescent="0.25">
      <c r="A12" s="66">
        <v>30763</v>
      </c>
      <c r="B12" s="35" t="s">
        <v>106</v>
      </c>
      <c r="C12" s="35" t="s">
        <v>170</v>
      </c>
    </row>
    <row r="13" spans="1:4" x14ac:dyDescent="0.25">
      <c r="A13" s="66">
        <v>21025</v>
      </c>
      <c r="B13" s="35" t="s">
        <v>107</v>
      </c>
      <c r="C13" s="35" t="s">
        <v>169</v>
      </c>
    </row>
    <row r="14" spans="1:4" x14ac:dyDescent="0.25">
      <c r="A14" s="66">
        <v>21167</v>
      </c>
      <c r="B14" s="35" t="s">
        <v>156</v>
      </c>
      <c r="C14" s="35" t="s">
        <v>168</v>
      </c>
    </row>
    <row r="15" spans="1:4" x14ac:dyDescent="0.25">
      <c r="A15" s="66">
        <v>30528</v>
      </c>
      <c r="B15" s="35" t="s">
        <v>157</v>
      </c>
      <c r="C15" s="35" t="s">
        <v>169</v>
      </c>
    </row>
    <row r="16" spans="1:4" x14ac:dyDescent="0.25">
      <c r="A16" s="66">
        <v>34555</v>
      </c>
      <c r="B16" s="252" t="s">
        <v>180</v>
      </c>
      <c r="C16" s="35" t="s">
        <v>169</v>
      </c>
    </row>
    <row r="17" spans="1:3" x14ac:dyDescent="0.25">
      <c r="A17" s="66">
        <v>34562</v>
      </c>
      <c r="B17" s="35" t="s">
        <v>182</v>
      </c>
      <c r="C17" s="35" t="s">
        <v>169</v>
      </c>
    </row>
    <row r="18" spans="1:3" x14ac:dyDescent="0.25">
      <c r="A18" s="66">
        <v>34579</v>
      </c>
      <c r="B18" s="252" t="s">
        <v>185</v>
      </c>
      <c r="C18" s="35" t="s">
        <v>169</v>
      </c>
    </row>
    <row r="19" spans="1:3" x14ac:dyDescent="0.25">
      <c r="A19" s="66">
        <v>34563</v>
      </c>
      <c r="B19" s="252" t="s">
        <v>183</v>
      </c>
      <c r="C19" s="35" t="s">
        <v>169</v>
      </c>
    </row>
    <row r="20" spans="1:3" x14ac:dyDescent="0.25">
      <c r="A20" s="66">
        <v>22057</v>
      </c>
      <c r="B20" s="35" t="s">
        <v>112</v>
      </c>
      <c r="C20" s="35" t="s">
        <v>169</v>
      </c>
    </row>
    <row r="21" spans="1:3" x14ac:dyDescent="0.25">
      <c r="A21" s="66">
        <v>30279</v>
      </c>
      <c r="B21" s="252" t="s">
        <v>177</v>
      </c>
      <c r="C21" s="35" t="s">
        <v>169</v>
      </c>
    </row>
    <row r="22" spans="1:3" x14ac:dyDescent="0.25">
      <c r="A22" s="66">
        <v>21122</v>
      </c>
      <c r="B22" s="35" t="s">
        <v>175</v>
      </c>
      <c r="C22" s="35" t="s">
        <v>170</v>
      </c>
    </row>
    <row r="23" spans="1:3" x14ac:dyDescent="0.25">
      <c r="A23" s="66">
        <v>20955</v>
      </c>
      <c r="B23" s="35" t="s">
        <v>113</v>
      </c>
      <c r="C23" s="35" t="s">
        <v>169</v>
      </c>
    </row>
    <row r="24" spans="1:3" x14ac:dyDescent="0.25">
      <c r="A24" s="66">
        <v>31673</v>
      </c>
      <c r="B24" s="35" t="s">
        <v>119</v>
      </c>
      <c r="C24" s="35" t="s">
        <v>170</v>
      </c>
    </row>
    <row r="25" spans="1:3" x14ac:dyDescent="0.25">
      <c r="A25" s="66">
        <v>30761</v>
      </c>
      <c r="B25" s="35" t="s">
        <v>108</v>
      </c>
      <c r="C25" s="35" t="s">
        <v>169</v>
      </c>
    </row>
    <row r="26" spans="1:3" x14ac:dyDescent="0.25">
      <c r="A26" s="66">
        <v>31039</v>
      </c>
      <c r="B26" s="35" t="s">
        <v>109</v>
      </c>
      <c r="C26" s="35" t="s">
        <v>170</v>
      </c>
    </row>
    <row r="27" spans="1:3" x14ac:dyDescent="0.25">
      <c r="A27" s="66">
        <v>34590</v>
      </c>
      <c r="B27" s="35" t="s">
        <v>187</v>
      </c>
      <c r="C27" s="35" t="s">
        <v>169</v>
      </c>
    </row>
    <row r="28" spans="1:3" x14ac:dyDescent="0.25">
      <c r="A28" s="66">
        <v>20228</v>
      </c>
      <c r="B28" s="35" t="s">
        <v>158</v>
      </c>
      <c r="C28" s="35" t="s">
        <v>168</v>
      </c>
    </row>
    <row r="29" spans="1:3" x14ac:dyDescent="0.25">
      <c r="A29" s="66">
        <v>20449</v>
      </c>
      <c r="B29" s="35" t="s">
        <v>159</v>
      </c>
      <c r="C29" s="35" t="s">
        <v>168</v>
      </c>
    </row>
    <row r="30" spans="1:3" x14ac:dyDescent="0.25">
      <c r="A30" s="66">
        <v>30038</v>
      </c>
      <c r="B30" s="35" t="s">
        <v>190</v>
      </c>
      <c r="C30" s="35" t="s">
        <v>169</v>
      </c>
    </row>
    <row r="31" spans="1:3" x14ac:dyDescent="0.25">
      <c r="A31" s="66">
        <v>34592</v>
      </c>
      <c r="B31" s="252" t="s">
        <v>188</v>
      </c>
      <c r="C31" s="35" t="s">
        <v>169</v>
      </c>
    </row>
    <row r="32" spans="1:3" x14ac:dyDescent="0.25">
      <c r="A32" s="66">
        <v>30104</v>
      </c>
      <c r="B32" s="35" t="s">
        <v>110</v>
      </c>
      <c r="C32" s="35" t="s">
        <v>170</v>
      </c>
    </row>
    <row r="33" spans="1:3" x14ac:dyDescent="0.25">
      <c r="A33" s="66">
        <v>30680</v>
      </c>
      <c r="B33" s="35" t="s">
        <v>210</v>
      </c>
      <c r="C33" s="35" t="s">
        <v>169</v>
      </c>
    </row>
    <row r="34" spans="1:3" x14ac:dyDescent="0.25">
      <c r="A34" s="66">
        <v>40296</v>
      </c>
      <c r="B34" s="35" t="s">
        <v>211</v>
      </c>
      <c r="C34" s="35" t="s">
        <v>169</v>
      </c>
    </row>
    <row r="35" spans="1:3" x14ac:dyDescent="0.25">
      <c r="A35" s="66">
        <v>40325</v>
      </c>
      <c r="B35" s="35" t="s">
        <v>212</v>
      </c>
      <c r="C35" s="35" t="s">
        <v>169</v>
      </c>
    </row>
    <row r="36" spans="1:3" x14ac:dyDescent="0.25">
      <c r="A36" s="66"/>
      <c r="B36" s="35"/>
      <c r="C36" s="35"/>
    </row>
    <row r="37" spans="1:3" x14ac:dyDescent="0.25">
      <c r="A37" s="66"/>
      <c r="B37" s="35"/>
      <c r="C37" s="35"/>
    </row>
    <row r="38" spans="1:3" x14ac:dyDescent="0.25">
      <c r="A38" s="66"/>
      <c r="B38" s="35"/>
      <c r="C38" s="35"/>
    </row>
    <row r="39" spans="1:3" x14ac:dyDescent="0.25">
      <c r="A39" s="66"/>
      <c r="B39" s="35"/>
      <c r="C39" s="35"/>
    </row>
    <row r="40" spans="1:3" x14ac:dyDescent="0.25">
      <c r="A40" s="66"/>
      <c r="B40" s="35"/>
      <c r="C40" s="35"/>
    </row>
    <row r="41" spans="1:3" x14ac:dyDescent="0.25">
      <c r="A41" s="66"/>
      <c r="B41" s="35"/>
      <c r="C41" s="35"/>
    </row>
    <row r="42" spans="1:3" x14ac:dyDescent="0.25">
      <c r="A42" s="66"/>
      <c r="B42" s="35"/>
      <c r="C42" s="35"/>
    </row>
  </sheetData>
  <autoFilter ref="A3:C35"/>
  <customSheetViews>
    <customSheetView guid="{98CBC5BF-8C89-48A4-860E-9C56014CD200}" scale="80" showGridLines="0" showAutoFilter="1">
      <selection activeCell="F34" sqref="F34"/>
      <pageMargins left="0.7" right="0.7" top="0.75" bottom="0.75" header="0.3" footer="0.3"/>
      <pageSetup paperSize="9" orientation="portrait" r:id="rId1"/>
      <autoFilter ref="A3:C35"/>
    </customSheetView>
    <customSheetView guid="{1BC25061-32D5-45DE-83F9-EFA3A1092E03}" scale="90" showGridLines="0" showAutoFilter="1" topLeftCell="A7">
      <selection activeCell="B29" sqref="B29"/>
      <pageMargins left="0.7" right="0.7" top="0.75" bottom="0.75" header="0.3" footer="0.3"/>
      <pageSetup paperSize="9" orientation="portrait" r:id="rId2"/>
      <autoFilter ref="A3:B25"/>
    </customSheetView>
    <customSheetView guid="{CF917189-7AB9-4E55-816F-ACFC7FA45C05}" scale="90" showGridLines="0" showAutoFilter="1">
      <selection activeCell="F18" sqref="F18"/>
      <pageMargins left="0.7" right="0.7" top="0.75" bottom="0.75" header="0.3" footer="0.3"/>
      <pageSetup paperSize="9" orientation="portrait" r:id="rId3"/>
      <autoFilter ref="A3:C25"/>
    </customSheetView>
    <customSheetView guid="{4155806E-C0D0-4CC9-9B31-04245B7DD4C8}" scale="90" showGridLines="0" showAutoFilter="1">
      <selection activeCell="F18" sqref="F18"/>
      <pageMargins left="0.7" right="0.7" top="0.75" bottom="0.75" header="0.3" footer="0.3"/>
      <pageSetup paperSize="9" orientation="portrait" r:id="rId4"/>
      <autoFilter ref="A3:C25"/>
    </customSheetView>
    <customSheetView guid="{1587CBCC-2CC7-4525-8A49-E261AB2E1606}" scale="90" showPageBreaks="1" showGridLines="0" showAutoFilter="1">
      <selection activeCell="F18" sqref="F18"/>
      <pageMargins left="0.7" right="0.7" top="0.75" bottom="0.75" header="0.3" footer="0.3"/>
      <pageSetup paperSize="9" orientation="portrait" r:id="rId5"/>
      <autoFilter ref="A3:C35"/>
    </customSheetView>
    <customSheetView guid="{C5D9000A-81ED-4920-B6AF-4B234775AEC9}" scale="90" showGridLines="0" showAutoFilter="1">
      <selection activeCell="F18" sqref="F18"/>
      <pageMargins left="0.7" right="0.7" top="0.75" bottom="0.75" header="0.3" footer="0.3"/>
      <pageSetup paperSize="9" orientation="portrait" r:id="rId6"/>
      <autoFilter ref="A3:C35"/>
    </customSheetView>
  </customSheetViews>
  <pageMargins left="0.7" right="0.7" top="0.75" bottom="0.75" header="0.3" footer="0.3"/>
  <pageSetup paperSize="9" orientation="portrait" r:id="rId7"/>
  <legacyDrawing r:id="rId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CCFFCC"/>
  </sheetPr>
  <dimension ref="A1:AJ194"/>
  <sheetViews>
    <sheetView showGridLines="0" topLeftCell="A2" zoomScale="90" zoomScaleNormal="90" workbookViewId="0">
      <pane ySplit="3" topLeftCell="A40" activePane="bottomLeft" state="frozenSplit"/>
      <selection activeCell="A2" sqref="A2"/>
      <selection pane="bottomLeft" activeCell="P80" sqref="P80"/>
    </sheetView>
  </sheetViews>
  <sheetFormatPr defaultRowHeight="15" outlineLevelRow="1" x14ac:dyDescent="0.25"/>
  <cols>
    <col min="1" max="1" width="12.85546875" bestFit="1" customWidth="1"/>
    <col min="2" max="2" width="18.85546875" style="152" bestFit="1" customWidth="1"/>
    <col min="3" max="3" width="11.5703125" bestFit="1" customWidth="1"/>
    <col min="4" max="34" width="3.42578125" bestFit="1" customWidth="1"/>
    <col min="35" max="35" width="3.7109375" customWidth="1"/>
    <col min="36" max="36" width="4.140625" bestFit="1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ht="16.5" customHeight="1" x14ac:dyDescent="0.25">
      <c r="B2" s="153" t="s">
        <v>16</v>
      </c>
    </row>
    <row r="3" spans="1:36" ht="117" x14ac:dyDescent="0.25">
      <c r="A3" t="s">
        <v>163</v>
      </c>
      <c r="B3" s="152" t="s">
        <v>4</v>
      </c>
      <c r="D3" s="78">
        <f>DATE(Title!$F$12,10,D1)</f>
        <v>41548</v>
      </c>
      <c r="E3" s="78">
        <f>DATE(Title!$F$12,10,E1)</f>
        <v>41549</v>
      </c>
      <c r="F3" s="78">
        <f>DATE(Title!$F$12,10,F1)</f>
        <v>41550</v>
      </c>
      <c r="G3" s="78">
        <f>DATE(Title!$F$12,10,G1)</f>
        <v>41551</v>
      </c>
      <c r="H3" s="78">
        <f>DATE(Title!$F$12,10,H1)</f>
        <v>41552</v>
      </c>
      <c r="I3" s="78">
        <f>DATE(Title!$F$12,10,I1)</f>
        <v>41553</v>
      </c>
      <c r="J3" s="78">
        <f>DATE(Title!$F$12,10,J1)</f>
        <v>41554</v>
      </c>
      <c r="K3" s="78">
        <f>DATE(Title!$F$12,10,K1)</f>
        <v>41555</v>
      </c>
      <c r="L3" s="78">
        <f>DATE(Title!$F$12,10,L1)</f>
        <v>41556</v>
      </c>
      <c r="M3" s="78">
        <f>DATE(Title!$F$12,10,M1)</f>
        <v>41557</v>
      </c>
      <c r="N3" s="78">
        <f>DATE(Title!$F$12,10,N1)</f>
        <v>41558</v>
      </c>
      <c r="O3" s="78">
        <f>DATE(Title!$F$12,10,O1)</f>
        <v>41559</v>
      </c>
      <c r="P3" s="78">
        <f>DATE(Title!$F$12,10,P1)</f>
        <v>41560</v>
      </c>
      <c r="Q3" s="78">
        <f>DATE(Title!$F$12,10,Q1)</f>
        <v>41561</v>
      </c>
      <c r="R3" s="78">
        <f>DATE(Title!$F$12,10,R1)</f>
        <v>41562</v>
      </c>
      <c r="S3" s="78">
        <f>DATE(Title!$F$12,10,S1)</f>
        <v>41563</v>
      </c>
      <c r="T3" s="78">
        <f>DATE(Title!$F$12,10,T1)</f>
        <v>41564</v>
      </c>
      <c r="U3" s="78">
        <f>DATE(Title!$F$12,10,U1)</f>
        <v>41565</v>
      </c>
      <c r="V3" s="78">
        <f>DATE(Title!$F$12,10,V1)</f>
        <v>41566</v>
      </c>
      <c r="W3" s="78">
        <f>DATE(Title!$F$12,10,W1)</f>
        <v>41567</v>
      </c>
      <c r="X3" s="78">
        <f>DATE(Title!$F$12,10,X1)</f>
        <v>41568</v>
      </c>
      <c r="Y3" s="78">
        <f>DATE(Title!$F$12,10,Y1)</f>
        <v>41569</v>
      </c>
      <c r="Z3" s="78">
        <f>DATE(Title!$F$12,10,Z1)</f>
        <v>41570</v>
      </c>
      <c r="AA3" s="78">
        <f>DATE(Title!$F$12,10,AA1)</f>
        <v>41571</v>
      </c>
      <c r="AB3" s="78">
        <f>DATE(Title!$F$12,10,AB1)</f>
        <v>41572</v>
      </c>
      <c r="AC3" s="78">
        <f>DATE(Title!$F$12,10,AC1)</f>
        <v>41573</v>
      </c>
      <c r="AD3" s="78">
        <f>DATE(Title!$F$12,10,AD1)</f>
        <v>41574</v>
      </c>
      <c r="AE3" s="78">
        <f>DATE(Title!$F$12,10,AE1)</f>
        <v>41575</v>
      </c>
      <c r="AF3" s="78">
        <f>DATE(Title!$F$12,10,AF1)</f>
        <v>41576</v>
      </c>
      <c r="AG3" s="78">
        <f>DATE(Title!$F$12,10,AG1)</f>
        <v>41577</v>
      </c>
      <c r="AH3" s="78">
        <f>DATE(Title!$F$12,10,AH1)</f>
        <v>41578</v>
      </c>
      <c r="AJ3" s="6" t="s">
        <v>5</v>
      </c>
    </row>
    <row r="5" spans="1:36" ht="15.75" thickBot="1" x14ac:dyDescent="0.3">
      <c r="B5" s="149" t="str">
        <f>'Hours Scheduled'!B4</f>
        <v>Barry Berendhuysen</v>
      </c>
      <c r="C5" t="s">
        <v>0</v>
      </c>
      <c r="D5" s="2"/>
      <c r="E5" s="2"/>
      <c r="F5" s="2"/>
      <c r="G5" s="2"/>
      <c r="H5" s="200"/>
      <c r="I5" s="200"/>
      <c r="J5" s="2"/>
      <c r="K5" s="2"/>
      <c r="L5" s="2"/>
      <c r="M5" s="2"/>
      <c r="N5" s="2"/>
      <c r="O5" s="200"/>
      <c r="P5" s="200"/>
      <c r="Q5" s="2"/>
      <c r="R5" s="2"/>
      <c r="S5" s="2"/>
      <c r="T5" s="2"/>
      <c r="U5" s="2"/>
      <c r="V5" s="200"/>
      <c r="W5" s="200"/>
      <c r="X5" s="2"/>
      <c r="Y5" s="2"/>
      <c r="Z5" s="2"/>
      <c r="AA5" s="2"/>
      <c r="AB5" s="2"/>
      <c r="AC5" s="200"/>
      <c r="AD5" s="200"/>
      <c r="AE5" s="2"/>
      <c r="AF5" s="2"/>
      <c r="AG5" s="2"/>
      <c r="AH5" s="2"/>
      <c r="AJ5" s="64">
        <f>SUM(D5:AH5)</f>
        <v>0</v>
      </c>
    </row>
    <row r="6" spans="1:36" ht="15.75" hidden="1" outlineLevel="1" thickTop="1" x14ac:dyDescent="0.25">
      <c r="B6" s="150"/>
      <c r="C6" s="1" t="s">
        <v>1</v>
      </c>
      <c r="D6" s="3"/>
      <c r="E6" s="3"/>
      <c r="F6" s="3"/>
      <c r="G6" s="3"/>
      <c r="H6" s="200"/>
      <c r="I6" s="200"/>
      <c r="J6" s="3"/>
      <c r="K6" s="3"/>
      <c r="L6" s="3"/>
      <c r="M6" s="3"/>
      <c r="N6" s="3"/>
      <c r="O6" s="200"/>
      <c r="P6" s="200"/>
      <c r="Q6" s="3"/>
      <c r="R6" s="3"/>
      <c r="S6" s="3"/>
      <c r="T6" s="3"/>
      <c r="U6" s="3"/>
      <c r="V6" s="200"/>
      <c r="W6" s="200"/>
      <c r="X6" s="3"/>
      <c r="Y6" s="3"/>
      <c r="Z6" s="3"/>
      <c r="AA6" s="3"/>
      <c r="AB6" s="3"/>
      <c r="AC6" s="200"/>
      <c r="AD6" s="200"/>
      <c r="AE6" s="3"/>
      <c r="AF6" s="3"/>
      <c r="AG6" s="3"/>
      <c r="AH6" s="3"/>
      <c r="AJ6" s="70">
        <f t="shared" ref="AJ6:AJ9" si="0">SUM(D6:AH6)</f>
        <v>0</v>
      </c>
    </row>
    <row r="7" spans="1:36" hidden="1" outlineLevel="1" x14ac:dyDescent="0.25">
      <c r="B7" s="151"/>
      <c r="C7" s="1" t="s">
        <v>2</v>
      </c>
      <c r="D7" s="4"/>
      <c r="E7" s="4"/>
      <c r="F7" s="4"/>
      <c r="G7" s="4"/>
      <c r="H7" s="200"/>
      <c r="I7" s="200"/>
      <c r="J7" s="4"/>
      <c r="K7" s="4"/>
      <c r="L7" s="4"/>
      <c r="M7" s="4"/>
      <c r="N7" s="4"/>
      <c r="O7" s="200"/>
      <c r="P7" s="200"/>
      <c r="Q7" s="4"/>
      <c r="R7" s="4"/>
      <c r="S7" s="4"/>
      <c r="T7" s="4"/>
      <c r="U7" s="4"/>
      <c r="V7" s="200"/>
      <c r="W7" s="200"/>
      <c r="X7" s="4"/>
      <c r="Y7" s="4"/>
      <c r="Z7" s="4"/>
      <c r="AA7" s="4"/>
      <c r="AB7" s="4"/>
      <c r="AC7" s="200"/>
      <c r="AD7" s="200"/>
      <c r="AE7" s="4"/>
      <c r="AF7" s="4"/>
      <c r="AG7" s="4"/>
      <c r="AH7" s="4"/>
      <c r="AJ7" s="71">
        <f t="shared" si="0"/>
        <v>0</v>
      </c>
    </row>
    <row r="8" spans="1:36" hidden="1" outlineLevel="1" x14ac:dyDescent="0.25">
      <c r="B8" s="151"/>
      <c r="C8" s="54" t="s">
        <v>77</v>
      </c>
      <c r="D8" s="5"/>
      <c r="E8" s="5"/>
      <c r="F8" s="5"/>
      <c r="G8" s="5"/>
      <c r="H8" s="200"/>
      <c r="I8" s="200"/>
      <c r="J8" s="5"/>
      <c r="K8" s="5"/>
      <c r="L8" s="5"/>
      <c r="M8" s="5"/>
      <c r="N8" s="5"/>
      <c r="O8" s="200"/>
      <c r="P8" s="200"/>
      <c r="Q8" s="5"/>
      <c r="R8" s="5"/>
      <c r="S8" s="5"/>
      <c r="T8" s="5"/>
      <c r="U8" s="5"/>
      <c r="V8" s="200"/>
      <c r="W8" s="200"/>
      <c r="X8" s="5"/>
      <c r="Y8" s="5"/>
      <c r="Z8" s="5"/>
      <c r="AA8" s="5"/>
      <c r="AB8" s="5"/>
      <c r="AC8" s="200"/>
      <c r="AD8" s="200"/>
      <c r="AE8" s="5"/>
      <c r="AF8" s="5"/>
      <c r="AG8" s="5"/>
      <c r="AH8" s="5"/>
      <c r="AJ8" s="72">
        <f t="shared" si="0"/>
        <v>0</v>
      </c>
    </row>
    <row r="9" spans="1:36" ht="15.75" hidden="1" outlineLevel="1" thickBot="1" x14ac:dyDescent="0.3">
      <c r="B9" s="151"/>
      <c r="C9" s="9" t="s">
        <v>3</v>
      </c>
      <c r="D9" s="8"/>
      <c r="E9" s="8"/>
      <c r="F9" s="8"/>
      <c r="G9" s="8"/>
      <c r="H9" s="201"/>
      <c r="I9" s="201"/>
      <c r="J9" s="8"/>
      <c r="K9" s="8"/>
      <c r="L9" s="8"/>
      <c r="M9" s="8"/>
      <c r="N9" s="8"/>
      <c r="O9" s="201"/>
      <c r="P9" s="201"/>
      <c r="Q9" s="8"/>
      <c r="R9" s="8"/>
      <c r="S9" s="8"/>
      <c r="T9" s="8"/>
      <c r="U9" s="8"/>
      <c r="V9" s="201"/>
      <c r="W9" s="201"/>
      <c r="X9" s="8"/>
      <c r="Y9" s="8"/>
      <c r="Z9" s="8"/>
      <c r="AA9" s="8"/>
      <c r="AB9" s="8"/>
      <c r="AC9" s="201"/>
      <c r="AD9" s="201"/>
      <c r="AE9" s="8"/>
      <c r="AF9" s="8"/>
      <c r="AG9" s="8"/>
      <c r="AH9" s="8"/>
      <c r="AI9" s="7"/>
      <c r="AJ9" s="69">
        <f t="shared" si="0"/>
        <v>0</v>
      </c>
    </row>
    <row r="10" spans="1:36" ht="16.5" collapsed="1" thickTop="1" thickBot="1" x14ac:dyDescent="0.3">
      <c r="B10" s="253" t="str">
        <f>'Hours Scheduled'!B5</f>
        <v>Bas Boermans</v>
      </c>
      <c r="C10" t="s">
        <v>0</v>
      </c>
      <c r="D10" s="2"/>
      <c r="E10" s="2"/>
      <c r="F10" s="2"/>
      <c r="G10" s="2"/>
      <c r="H10" s="200"/>
      <c r="I10" s="200"/>
      <c r="J10" s="2"/>
      <c r="K10" s="2"/>
      <c r="L10" s="2"/>
      <c r="M10" s="2"/>
      <c r="N10" s="2"/>
      <c r="O10" s="200"/>
      <c r="P10" s="200"/>
      <c r="Q10" s="2"/>
      <c r="R10" s="2"/>
      <c r="S10" s="2"/>
      <c r="T10" s="2"/>
      <c r="U10" s="2"/>
      <c r="V10" s="200"/>
      <c r="W10" s="200"/>
      <c r="X10" s="2"/>
      <c r="Y10" s="2"/>
      <c r="Z10" s="2"/>
      <c r="AA10" s="2"/>
      <c r="AB10" s="2"/>
      <c r="AC10" s="200"/>
      <c r="AD10" s="200"/>
      <c r="AE10" s="2"/>
      <c r="AF10" s="2"/>
      <c r="AG10" s="2"/>
      <c r="AH10" s="2"/>
      <c r="AJ10" s="64">
        <f>SUM(D10:AH10)</f>
        <v>0</v>
      </c>
    </row>
    <row r="11" spans="1:36" ht="15.75" hidden="1" outlineLevel="1" thickTop="1" x14ac:dyDescent="0.25">
      <c r="B11" s="150"/>
      <c r="C11" s="1" t="s">
        <v>1</v>
      </c>
      <c r="D11" s="3"/>
      <c r="E11" s="3"/>
      <c r="F11" s="3"/>
      <c r="G11" s="3"/>
      <c r="H11" s="200"/>
      <c r="I11" s="200"/>
      <c r="J11" s="3"/>
      <c r="K11" s="3"/>
      <c r="L11" s="3"/>
      <c r="M11" s="3"/>
      <c r="N11" s="3"/>
      <c r="O11" s="200"/>
      <c r="P11" s="200"/>
      <c r="Q11" s="3"/>
      <c r="R11" s="3"/>
      <c r="S11" s="3"/>
      <c r="T11" s="3"/>
      <c r="U11" s="3"/>
      <c r="V11" s="200"/>
      <c r="W11" s="200"/>
      <c r="X11" s="3"/>
      <c r="Y11" s="3"/>
      <c r="Z11" s="3"/>
      <c r="AA11" s="3"/>
      <c r="AB11" s="3"/>
      <c r="AC11" s="200"/>
      <c r="AD11" s="200"/>
      <c r="AE11" s="3"/>
      <c r="AF11" s="3"/>
      <c r="AG11" s="3"/>
      <c r="AH11" s="3"/>
      <c r="AJ11" s="70">
        <f t="shared" ref="AJ11:AJ14" si="1">SUM(D11:AH11)</f>
        <v>0</v>
      </c>
    </row>
    <row r="12" spans="1:36" hidden="1" outlineLevel="1" x14ac:dyDescent="0.25">
      <c r="B12" s="151"/>
      <c r="C12" s="1" t="s">
        <v>2</v>
      </c>
      <c r="D12" s="4"/>
      <c r="E12" s="4"/>
      <c r="F12" s="4"/>
      <c r="G12" s="4"/>
      <c r="H12" s="200"/>
      <c r="I12" s="200"/>
      <c r="J12" s="4"/>
      <c r="K12" s="4"/>
      <c r="L12" s="4"/>
      <c r="M12" s="4"/>
      <c r="N12" s="4"/>
      <c r="O12" s="200"/>
      <c r="P12" s="200"/>
      <c r="Q12" s="4"/>
      <c r="R12" s="4"/>
      <c r="S12" s="4"/>
      <c r="T12" s="4"/>
      <c r="U12" s="4"/>
      <c r="V12" s="200"/>
      <c r="W12" s="200"/>
      <c r="X12" s="4"/>
      <c r="Y12" s="4"/>
      <c r="Z12" s="4"/>
      <c r="AA12" s="4"/>
      <c r="AB12" s="4"/>
      <c r="AC12" s="200"/>
      <c r="AD12" s="200"/>
      <c r="AE12" s="4"/>
      <c r="AF12" s="4"/>
      <c r="AG12" s="4"/>
      <c r="AH12" s="4"/>
      <c r="AJ12" s="71">
        <f t="shared" si="1"/>
        <v>0</v>
      </c>
    </row>
    <row r="13" spans="1:36" hidden="1" outlineLevel="1" x14ac:dyDescent="0.25">
      <c r="B13" s="151"/>
      <c r="C13" s="54" t="s">
        <v>77</v>
      </c>
      <c r="D13" s="5"/>
      <c r="E13" s="5"/>
      <c r="F13" s="5"/>
      <c r="G13" s="5"/>
      <c r="H13" s="200"/>
      <c r="I13" s="200"/>
      <c r="J13" s="5"/>
      <c r="K13" s="5"/>
      <c r="L13" s="5"/>
      <c r="M13" s="5"/>
      <c r="N13" s="5"/>
      <c r="O13" s="200"/>
      <c r="P13" s="200"/>
      <c r="Q13" s="5"/>
      <c r="R13" s="5"/>
      <c r="S13" s="5"/>
      <c r="T13" s="5"/>
      <c r="U13" s="5"/>
      <c r="V13" s="200"/>
      <c r="W13" s="200"/>
      <c r="X13" s="5"/>
      <c r="Y13" s="5"/>
      <c r="Z13" s="5"/>
      <c r="AA13" s="5"/>
      <c r="AB13" s="5"/>
      <c r="AC13" s="200"/>
      <c r="AD13" s="200"/>
      <c r="AE13" s="5"/>
      <c r="AF13" s="5"/>
      <c r="AG13" s="5"/>
      <c r="AH13" s="5"/>
      <c r="AJ13" s="72">
        <f t="shared" si="1"/>
        <v>0</v>
      </c>
    </row>
    <row r="14" spans="1:36" ht="15.75" hidden="1" outlineLevel="1" thickBot="1" x14ac:dyDescent="0.3">
      <c r="B14" s="151"/>
      <c r="C14" s="9" t="s">
        <v>3</v>
      </c>
      <c r="D14" s="8"/>
      <c r="E14" s="8"/>
      <c r="F14" s="8"/>
      <c r="G14" s="8"/>
      <c r="H14" s="201"/>
      <c r="I14" s="201"/>
      <c r="J14" s="8"/>
      <c r="K14" s="8"/>
      <c r="L14" s="8"/>
      <c r="M14" s="8"/>
      <c r="N14" s="8"/>
      <c r="O14" s="201"/>
      <c r="P14" s="201"/>
      <c r="Q14" s="8"/>
      <c r="R14" s="8"/>
      <c r="S14" s="8"/>
      <c r="T14" s="8"/>
      <c r="U14" s="8"/>
      <c r="V14" s="201"/>
      <c r="W14" s="201"/>
      <c r="X14" s="8"/>
      <c r="Y14" s="8"/>
      <c r="Z14" s="8"/>
      <c r="AA14" s="8"/>
      <c r="AB14" s="8"/>
      <c r="AC14" s="201"/>
      <c r="AD14" s="201"/>
      <c r="AE14" s="8"/>
      <c r="AF14" s="8"/>
      <c r="AG14" s="8"/>
      <c r="AH14" s="8"/>
      <c r="AI14" s="7"/>
      <c r="AJ14" s="69">
        <f t="shared" si="1"/>
        <v>0</v>
      </c>
    </row>
    <row r="15" spans="1:36" ht="16.5" collapsed="1" thickTop="1" thickBot="1" x14ac:dyDescent="0.3">
      <c r="B15" s="253" t="str">
        <f>'Hours Scheduled'!B6</f>
        <v>Bastiaan Franssen</v>
      </c>
      <c r="C15" t="s">
        <v>0</v>
      </c>
      <c r="D15" s="2"/>
      <c r="E15" s="2"/>
      <c r="F15" s="2"/>
      <c r="G15" s="2"/>
      <c r="H15" s="200"/>
      <c r="I15" s="200"/>
      <c r="J15" s="2"/>
      <c r="K15" s="2"/>
      <c r="L15" s="2"/>
      <c r="M15" s="2"/>
      <c r="N15" s="2"/>
      <c r="O15" s="200"/>
      <c r="P15" s="200"/>
      <c r="Q15" s="2"/>
      <c r="R15" s="2"/>
      <c r="S15" s="2"/>
      <c r="T15" s="2"/>
      <c r="U15" s="2"/>
      <c r="V15" s="200"/>
      <c r="W15" s="200"/>
      <c r="X15" s="2"/>
      <c r="Y15" s="2"/>
      <c r="Z15" s="2"/>
      <c r="AA15" s="2"/>
      <c r="AB15" s="2"/>
      <c r="AC15" s="200"/>
      <c r="AD15" s="200"/>
      <c r="AE15" s="2"/>
      <c r="AF15" s="2"/>
      <c r="AG15" s="2"/>
      <c r="AH15" s="2"/>
      <c r="AJ15" s="64">
        <f>SUM(D15:AH15)</f>
        <v>0</v>
      </c>
    </row>
    <row r="16" spans="1:36" ht="15.75" hidden="1" outlineLevel="1" thickTop="1" x14ac:dyDescent="0.25">
      <c r="B16" s="150"/>
      <c r="C16" s="1" t="s">
        <v>1</v>
      </c>
      <c r="D16" s="3"/>
      <c r="E16" s="3"/>
      <c r="F16" s="3"/>
      <c r="G16" s="3"/>
      <c r="H16" s="200"/>
      <c r="I16" s="200"/>
      <c r="J16" s="3"/>
      <c r="K16" s="3"/>
      <c r="L16" s="3"/>
      <c r="M16" s="3"/>
      <c r="N16" s="3"/>
      <c r="O16" s="200"/>
      <c r="P16" s="200"/>
      <c r="Q16" s="3"/>
      <c r="R16" s="3"/>
      <c r="S16" s="3"/>
      <c r="T16" s="3"/>
      <c r="U16" s="3"/>
      <c r="V16" s="200"/>
      <c r="W16" s="200"/>
      <c r="X16" s="3"/>
      <c r="Y16" s="3"/>
      <c r="Z16" s="3"/>
      <c r="AA16" s="3"/>
      <c r="AB16" s="3"/>
      <c r="AC16" s="200"/>
      <c r="AD16" s="200"/>
      <c r="AE16" s="3"/>
      <c r="AF16" s="3"/>
      <c r="AG16" s="3"/>
      <c r="AH16" s="3"/>
      <c r="AJ16" s="70">
        <f t="shared" ref="AJ16:AJ19" si="2">SUM(D16:AH16)</f>
        <v>0</v>
      </c>
    </row>
    <row r="17" spans="2:36" hidden="1" outlineLevel="1" x14ac:dyDescent="0.25">
      <c r="B17" s="151"/>
      <c r="C17" s="1" t="s">
        <v>2</v>
      </c>
      <c r="D17" s="4"/>
      <c r="E17" s="4"/>
      <c r="F17" s="4"/>
      <c r="G17" s="4"/>
      <c r="H17" s="200"/>
      <c r="I17" s="200"/>
      <c r="J17" s="4"/>
      <c r="K17" s="4"/>
      <c r="L17" s="4"/>
      <c r="M17" s="4"/>
      <c r="N17" s="4"/>
      <c r="O17" s="200"/>
      <c r="P17" s="200"/>
      <c r="Q17" s="4"/>
      <c r="R17" s="4"/>
      <c r="S17" s="4"/>
      <c r="T17" s="4"/>
      <c r="U17" s="4"/>
      <c r="V17" s="200"/>
      <c r="W17" s="200"/>
      <c r="X17" s="4"/>
      <c r="Y17" s="4"/>
      <c r="Z17" s="4"/>
      <c r="AA17" s="4"/>
      <c r="AB17" s="4"/>
      <c r="AC17" s="200"/>
      <c r="AD17" s="200"/>
      <c r="AE17" s="4"/>
      <c r="AF17" s="4"/>
      <c r="AG17" s="4"/>
      <c r="AH17" s="4"/>
      <c r="AJ17" s="71">
        <f t="shared" si="2"/>
        <v>0</v>
      </c>
    </row>
    <row r="18" spans="2:36" hidden="1" outlineLevel="1" x14ac:dyDescent="0.25">
      <c r="B18" s="151"/>
      <c r="C18" s="54" t="s">
        <v>77</v>
      </c>
      <c r="D18" s="5"/>
      <c r="E18" s="5"/>
      <c r="F18" s="5"/>
      <c r="G18" s="5"/>
      <c r="H18" s="200"/>
      <c r="I18" s="200"/>
      <c r="J18" s="5"/>
      <c r="K18" s="5"/>
      <c r="L18" s="5"/>
      <c r="M18" s="5"/>
      <c r="N18" s="5"/>
      <c r="O18" s="200"/>
      <c r="P18" s="200"/>
      <c r="Q18" s="5"/>
      <c r="R18" s="5"/>
      <c r="S18" s="5"/>
      <c r="T18" s="5"/>
      <c r="U18" s="5"/>
      <c r="V18" s="200"/>
      <c r="W18" s="200"/>
      <c r="X18" s="5"/>
      <c r="Y18" s="5"/>
      <c r="Z18" s="5"/>
      <c r="AA18" s="5"/>
      <c r="AB18" s="5"/>
      <c r="AC18" s="200"/>
      <c r="AD18" s="200"/>
      <c r="AE18" s="5"/>
      <c r="AF18" s="5"/>
      <c r="AG18" s="5"/>
      <c r="AH18" s="5"/>
      <c r="AJ18" s="72">
        <f t="shared" si="2"/>
        <v>0</v>
      </c>
    </row>
    <row r="19" spans="2:36" ht="15.75" hidden="1" outlineLevel="1" thickBot="1" x14ac:dyDescent="0.3">
      <c r="B19" s="151"/>
      <c r="C19" s="9" t="s">
        <v>3</v>
      </c>
      <c r="D19" s="8"/>
      <c r="E19" s="8"/>
      <c r="F19" s="8"/>
      <c r="G19" s="8"/>
      <c r="H19" s="201"/>
      <c r="I19" s="201"/>
      <c r="J19" s="8"/>
      <c r="K19" s="8"/>
      <c r="L19" s="8"/>
      <c r="M19" s="8"/>
      <c r="N19" s="8"/>
      <c r="O19" s="201"/>
      <c r="P19" s="201"/>
      <c r="Q19" s="8"/>
      <c r="R19" s="8"/>
      <c r="S19" s="8"/>
      <c r="T19" s="8"/>
      <c r="U19" s="8"/>
      <c r="V19" s="201"/>
      <c r="W19" s="201"/>
      <c r="X19" s="8"/>
      <c r="Y19" s="8"/>
      <c r="Z19" s="8"/>
      <c r="AA19" s="8"/>
      <c r="AB19" s="8"/>
      <c r="AC19" s="201"/>
      <c r="AD19" s="201"/>
      <c r="AE19" s="8"/>
      <c r="AF19" s="8"/>
      <c r="AG19" s="8"/>
      <c r="AH19" s="8"/>
      <c r="AI19" s="7"/>
      <c r="AJ19" s="69">
        <f t="shared" si="2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2"/>
      <c r="E20" s="2"/>
      <c r="F20" s="2"/>
      <c r="G20" s="2"/>
      <c r="H20" s="200"/>
      <c r="I20" s="200"/>
      <c r="J20" s="2"/>
      <c r="K20" s="2"/>
      <c r="L20" s="2"/>
      <c r="M20" s="2"/>
      <c r="N20" s="2"/>
      <c r="O20" s="200"/>
      <c r="P20" s="200"/>
      <c r="Q20" s="2"/>
      <c r="R20" s="2"/>
      <c r="S20" s="2"/>
      <c r="T20" s="2"/>
      <c r="U20" s="2"/>
      <c r="V20" s="200"/>
      <c r="W20" s="200"/>
      <c r="X20" s="2"/>
      <c r="Y20" s="2"/>
      <c r="Z20" s="2"/>
      <c r="AA20" s="2"/>
      <c r="AB20" s="2"/>
      <c r="AC20" s="200"/>
      <c r="AD20" s="200"/>
      <c r="AE20" s="2"/>
      <c r="AF20" s="2"/>
      <c r="AG20" s="2"/>
      <c r="AH20" s="2"/>
      <c r="AJ20" s="64">
        <f>SUM(D20:AH20)</f>
        <v>0</v>
      </c>
    </row>
    <row r="21" spans="2:36" ht="15.75" hidden="1" outlineLevel="1" thickTop="1" x14ac:dyDescent="0.25">
      <c r="B21" s="150"/>
      <c r="C21" s="1" t="s">
        <v>1</v>
      </c>
      <c r="D21" s="3"/>
      <c r="E21" s="3"/>
      <c r="F21" s="3"/>
      <c r="G21" s="3"/>
      <c r="H21" s="200"/>
      <c r="I21" s="200"/>
      <c r="J21" s="3"/>
      <c r="K21" s="3"/>
      <c r="L21" s="3"/>
      <c r="M21" s="3"/>
      <c r="N21" s="3"/>
      <c r="O21" s="200"/>
      <c r="P21" s="200"/>
      <c r="Q21" s="3"/>
      <c r="R21" s="3"/>
      <c r="S21" s="3"/>
      <c r="T21" s="3"/>
      <c r="U21" s="3"/>
      <c r="V21" s="200"/>
      <c r="W21" s="200"/>
      <c r="X21" s="3"/>
      <c r="Y21" s="3"/>
      <c r="Z21" s="3"/>
      <c r="AA21" s="3"/>
      <c r="AB21" s="3"/>
      <c r="AC21" s="200"/>
      <c r="AD21" s="200"/>
      <c r="AE21" s="3"/>
      <c r="AF21" s="3"/>
      <c r="AG21" s="3"/>
      <c r="AH21" s="3"/>
      <c r="AJ21" s="70">
        <f t="shared" ref="AJ21:AJ24" si="3">SUM(D21:AH21)</f>
        <v>0</v>
      </c>
    </row>
    <row r="22" spans="2:36" hidden="1" outlineLevel="1" x14ac:dyDescent="0.25">
      <c r="B22" s="151"/>
      <c r="C22" s="1" t="s">
        <v>2</v>
      </c>
      <c r="D22" s="4"/>
      <c r="E22" s="4"/>
      <c r="F22" s="4"/>
      <c r="G22" s="4"/>
      <c r="H22" s="200"/>
      <c r="I22" s="200"/>
      <c r="J22" s="4"/>
      <c r="K22" s="4"/>
      <c r="L22" s="4"/>
      <c r="M22" s="4"/>
      <c r="N22" s="4"/>
      <c r="O22" s="200"/>
      <c r="P22" s="200"/>
      <c r="Q22" s="4"/>
      <c r="R22" s="4"/>
      <c r="S22" s="4"/>
      <c r="T22" s="4"/>
      <c r="U22" s="4"/>
      <c r="V22" s="200"/>
      <c r="W22" s="200"/>
      <c r="X22" s="4"/>
      <c r="Y22" s="4"/>
      <c r="Z22" s="4"/>
      <c r="AA22" s="4"/>
      <c r="AB22" s="4"/>
      <c r="AC22" s="200"/>
      <c r="AD22" s="200"/>
      <c r="AE22" s="4"/>
      <c r="AF22" s="4"/>
      <c r="AG22" s="4"/>
      <c r="AH22" s="4"/>
      <c r="AJ22" s="71">
        <f t="shared" si="3"/>
        <v>0</v>
      </c>
    </row>
    <row r="23" spans="2:36" hidden="1" outlineLevel="1" x14ac:dyDescent="0.25">
      <c r="B23" s="151"/>
      <c r="C23" s="54" t="s">
        <v>77</v>
      </c>
      <c r="D23" s="5"/>
      <c r="E23" s="5"/>
      <c r="F23" s="5"/>
      <c r="G23" s="5"/>
      <c r="H23" s="200"/>
      <c r="I23" s="200"/>
      <c r="J23" s="5"/>
      <c r="K23" s="5"/>
      <c r="L23" s="5"/>
      <c r="M23" s="5"/>
      <c r="N23" s="5"/>
      <c r="O23" s="200"/>
      <c r="P23" s="200"/>
      <c r="Q23" s="5"/>
      <c r="R23" s="5"/>
      <c r="S23" s="5"/>
      <c r="T23" s="5"/>
      <c r="U23" s="5"/>
      <c r="V23" s="200"/>
      <c r="W23" s="200"/>
      <c r="X23" s="5"/>
      <c r="Y23" s="5"/>
      <c r="Z23" s="5"/>
      <c r="AA23" s="5"/>
      <c r="AB23" s="5"/>
      <c r="AC23" s="200"/>
      <c r="AD23" s="200"/>
      <c r="AE23" s="5"/>
      <c r="AF23" s="5"/>
      <c r="AG23" s="5"/>
      <c r="AH23" s="5"/>
      <c r="AJ23" s="72">
        <f t="shared" si="3"/>
        <v>0</v>
      </c>
    </row>
    <row r="24" spans="2:36" ht="15.75" hidden="1" outlineLevel="1" thickBot="1" x14ac:dyDescent="0.3">
      <c r="B24" s="151"/>
      <c r="C24" s="9" t="s">
        <v>3</v>
      </c>
      <c r="D24" s="8"/>
      <c r="E24" s="8"/>
      <c r="F24" s="8"/>
      <c r="G24" s="8"/>
      <c r="H24" s="201"/>
      <c r="I24" s="201"/>
      <c r="J24" s="8"/>
      <c r="K24" s="8"/>
      <c r="L24" s="8"/>
      <c r="M24" s="8"/>
      <c r="N24" s="8"/>
      <c r="O24" s="201"/>
      <c r="P24" s="201"/>
      <c r="Q24" s="8"/>
      <c r="R24" s="8"/>
      <c r="S24" s="8"/>
      <c r="T24" s="8"/>
      <c r="U24" s="8"/>
      <c r="V24" s="201"/>
      <c r="W24" s="201"/>
      <c r="X24" s="8"/>
      <c r="Y24" s="8"/>
      <c r="Z24" s="8"/>
      <c r="AA24" s="8"/>
      <c r="AB24" s="8"/>
      <c r="AC24" s="201"/>
      <c r="AD24" s="201"/>
      <c r="AE24" s="8"/>
      <c r="AF24" s="8"/>
      <c r="AG24" s="8"/>
      <c r="AH24" s="8"/>
      <c r="AI24" s="7"/>
      <c r="AJ24" s="69">
        <f t="shared" si="3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2"/>
      <c r="E25" s="2"/>
      <c r="F25" s="2"/>
      <c r="G25" s="2"/>
      <c r="H25" s="200"/>
      <c r="I25" s="200"/>
      <c r="J25" s="2"/>
      <c r="K25" s="2"/>
      <c r="L25" s="2"/>
      <c r="M25" s="2"/>
      <c r="N25" s="2"/>
      <c r="O25" s="200"/>
      <c r="P25" s="200"/>
      <c r="Q25" s="2"/>
      <c r="R25" s="2"/>
      <c r="S25" s="2"/>
      <c r="T25" s="2"/>
      <c r="U25" s="2"/>
      <c r="V25" s="200"/>
      <c r="W25" s="200"/>
      <c r="X25" s="2"/>
      <c r="Y25" s="2"/>
      <c r="Z25" s="2"/>
      <c r="AA25" s="2"/>
      <c r="AB25" s="2"/>
      <c r="AC25" s="200"/>
      <c r="AD25" s="200"/>
      <c r="AE25" s="2"/>
      <c r="AF25" s="2"/>
      <c r="AG25" s="2"/>
      <c r="AH25" s="2"/>
      <c r="AJ25" s="64">
        <f>SUM(D25:AH25)</f>
        <v>0</v>
      </c>
    </row>
    <row r="26" spans="2:36" ht="15.75" hidden="1" outlineLevel="1" thickTop="1" x14ac:dyDescent="0.25">
      <c r="B26" s="150"/>
      <c r="C26" s="1" t="s">
        <v>1</v>
      </c>
      <c r="D26" s="3"/>
      <c r="E26" s="3"/>
      <c r="F26" s="3"/>
      <c r="G26" s="3"/>
      <c r="H26" s="200"/>
      <c r="I26" s="200"/>
      <c r="J26" s="3"/>
      <c r="K26" s="3"/>
      <c r="L26" s="3"/>
      <c r="M26" s="3"/>
      <c r="N26" s="3"/>
      <c r="O26" s="200"/>
      <c r="P26" s="200"/>
      <c r="Q26" s="3"/>
      <c r="R26" s="3"/>
      <c r="S26" s="3"/>
      <c r="T26" s="3"/>
      <c r="U26" s="3"/>
      <c r="V26" s="200"/>
      <c r="W26" s="200"/>
      <c r="X26" s="3"/>
      <c r="Y26" s="3"/>
      <c r="Z26" s="3"/>
      <c r="AA26" s="3"/>
      <c r="AB26" s="3"/>
      <c r="AC26" s="200"/>
      <c r="AD26" s="200"/>
      <c r="AE26" s="3"/>
      <c r="AF26" s="3"/>
      <c r="AG26" s="3"/>
      <c r="AH26" s="3"/>
      <c r="AJ26" s="70">
        <f t="shared" ref="AJ26:AJ29" si="4">SUM(D26:AH26)</f>
        <v>0</v>
      </c>
    </row>
    <row r="27" spans="2:36" hidden="1" outlineLevel="1" x14ac:dyDescent="0.25">
      <c r="B27" s="151"/>
      <c r="C27" s="1" t="s">
        <v>2</v>
      </c>
      <c r="D27" s="4"/>
      <c r="E27" s="4"/>
      <c r="F27" s="4"/>
      <c r="G27" s="4"/>
      <c r="H27" s="200"/>
      <c r="I27" s="200"/>
      <c r="J27" s="4"/>
      <c r="K27" s="4"/>
      <c r="L27" s="4"/>
      <c r="M27" s="4"/>
      <c r="N27" s="4"/>
      <c r="O27" s="200"/>
      <c r="P27" s="200"/>
      <c r="Q27" s="4"/>
      <c r="R27" s="4"/>
      <c r="S27" s="4"/>
      <c r="T27" s="4"/>
      <c r="U27" s="4"/>
      <c r="V27" s="200"/>
      <c r="W27" s="200"/>
      <c r="X27" s="4"/>
      <c r="Y27" s="4"/>
      <c r="Z27" s="4"/>
      <c r="AA27" s="4"/>
      <c r="AB27" s="4"/>
      <c r="AC27" s="200"/>
      <c r="AD27" s="200"/>
      <c r="AE27" s="4"/>
      <c r="AF27" s="4"/>
      <c r="AG27" s="4"/>
      <c r="AH27" s="4"/>
      <c r="AJ27" s="71">
        <f t="shared" si="4"/>
        <v>0</v>
      </c>
    </row>
    <row r="28" spans="2:36" hidden="1" outlineLevel="1" x14ac:dyDescent="0.25">
      <c r="B28" s="151"/>
      <c r="C28" s="54" t="s">
        <v>77</v>
      </c>
      <c r="D28" s="5"/>
      <c r="E28" s="5"/>
      <c r="F28" s="5"/>
      <c r="G28" s="5"/>
      <c r="H28" s="200"/>
      <c r="I28" s="200"/>
      <c r="J28" s="5"/>
      <c r="K28" s="5"/>
      <c r="L28" s="5"/>
      <c r="M28" s="5"/>
      <c r="N28" s="5"/>
      <c r="O28" s="200"/>
      <c r="P28" s="200"/>
      <c r="Q28" s="5"/>
      <c r="R28" s="5"/>
      <c r="S28" s="5"/>
      <c r="T28" s="5"/>
      <c r="U28" s="5"/>
      <c r="V28" s="200"/>
      <c r="W28" s="200"/>
      <c r="X28" s="5"/>
      <c r="Y28" s="5"/>
      <c r="Z28" s="5"/>
      <c r="AA28" s="5"/>
      <c r="AB28" s="5"/>
      <c r="AC28" s="200"/>
      <c r="AD28" s="200"/>
      <c r="AE28" s="5"/>
      <c r="AF28" s="5"/>
      <c r="AG28" s="5"/>
      <c r="AH28" s="5"/>
      <c r="AJ28" s="72">
        <f t="shared" si="4"/>
        <v>0</v>
      </c>
    </row>
    <row r="29" spans="2:36" ht="15.75" hidden="1" outlineLevel="1" thickBot="1" x14ac:dyDescent="0.3">
      <c r="B29" s="151"/>
      <c r="C29" s="9" t="s">
        <v>3</v>
      </c>
      <c r="D29" s="8"/>
      <c r="E29" s="8"/>
      <c r="F29" s="8"/>
      <c r="G29" s="8"/>
      <c r="H29" s="201"/>
      <c r="I29" s="201"/>
      <c r="J29" s="8"/>
      <c r="K29" s="8"/>
      <c r="L29" s="8"/>
      <c r="M29" s="8"/>
      <c r="N29" s="8"/>
      <c r="O29" s="201"/>
      <c r="P29" s="201"/>
      <c r="Q29" s="8"/>
      <c r="R29" s="8"/>
      <c r="S29" s="8"/>
      <c r="T29" s="8"/>
      <c r="U29" s="8"/>
      <c r="V29" s="201"/>
      <c r="W29" s="201"/>
      <c r="X29" s="8"/>
      <c r="Y29" s="8"/>
      <c r="Z29" s="8"/>
      <c r="AA29" s="8"/>
      <c r="AB29" s="8"/>
      <c r="AC29" s="201"/>
      <c r="AD29" s="201"/>
      <c r="AE29" s="8"/>
      <c r="AF29" s="8"/>
      <c r="AG29" s="8"/>
      <c r="AH29" s="8"/>
      <c r="AI29" s="7"/>
      <c r="AJ29" s="69">
        <f t="shared" si="4"/>
        <v>0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2"/>
      <c r="E30" s="2"/>
      <c r="F30" s="2"/>
      <c r="G30" s="2"/>
      <c r="H30" s="200"/>
      <c r="I30" s="200"/>
      <c r="J30" s="2"/>
      <c r="K30" s="2"/>
      <c r="L30" s="2"/>
      <c r="M30" s="2"/>
      <c r="N30" s="2"/>
      <c r="O30" s="200"/>
      <c r="P30" s="200"/>
      <c r="Q30" s="2"/>
      <c r="R30" s="2"/>
      <c r="S30" s="2"/>
      <c r="T30" s="2"/>
      <c r="U30" s="2"/>
      <c r="V30" s="200"/>
      <c r="W30" s="200"/>
      <c r="X30" s="2"/>
      <c r="Y30" s="2"/>
      <c r="Z30" s="2"/>
      <c r="AA30" s="2"/>
      <c r="AB30" s="2"/>
      <c r="AC30" s="200"/>
      <c r="AD30" s="200"/>
      <c r="AE30" s="2"/>
      <c r="AF30" s="2"/>
      <c r="AG30" s="2"/>
      <c r="AH30" s="2"/>
      <c r="AJ30" s="64">
        <f>SUM(D30:AH30)</f>
        <v>0</v>
      </c>
    </row>
    <row r="31" spans="2:36" ht="15.75" hidden="1" outlineLevel="1" thickTop="1" x14ac:dyDescent="0.25">
      <c r="B31" s="150"/>
      <c r="C31" s="1" t="s">
        <v>1</v>
      </c>
      <c r="D31" s="3"/>
      <c r="E31" s="3"/>
      <c r="F31" s="3"/>
      <c r="G31" s="3"/>
      <c r="H31" s="200"/>
      <c r="I31" s="200"/>
      <c r="J31" s="3"/>
      <c r="K31" s="3"/>
      <c r="L31" s="3"/>
      <c r="M31" s="3"/>
      <c r="N31" s="3"/>
      <c r="O31" s="200"/>
      <c r="P31" s="200"/>
      <c r="Q31" s="3"/>
      <c r="R31" s="3"/>
      <c r="S31" s="3"/>
      <c r="T31" s="3"/>
      <c r="U31" s="3"/>
      <c r="V31" s="200"/>
      <c r="W31" s="200"/>
      <c r="X31" s="3"/>
      <c r="Y31" s="3"/>
      <c r="Z31" s="3"/>
      <c r="AA31" s="3"/>
      <c r="AB31" s="3"/>
      <c r="AC31" s="200"/>
      <c r="AD31" s="200"/>
      <c r="AE31" s="3"/>
      <c r="AF31" s="3"/>
      <c r="AG31" s="3"/>
      <c r="AH31" s="3"/>
      <c r="AJ31" s="70">
        <f t="shared" ref="AJ31:AJ34" si="5">SUM(D31:AH31)</f>
        <v>0</v>
      </c>
    </row>
    <row r="32" spans="2:36" hidden="1" outlineLevel="1" x14ac:dyDescent="0.25">
      <c r="B32" s="151"/>
      <c r="C32" s="1" t="s">
        <v>2</v>
      </c>
      <c r="D32" s="4"/>
      <c r="E32" s="4"/>
      <c r="F32" s="4"/>
      <c r="G32" s="4"/>
      <c r="H32" s="200"/>
      <c r="I32" s="200"/>
      <c r="J32" s="4"/>
      <c r="K32" s="4"/>
      <c r="L32" s="4"/>
      <c r="M32" s="4"/>
      <c r="N32" s="4"/>
      <c r="O32" s="200"/>
      <c r="P32" s="200"/>
      <c r="Q32" s="4"/>
      <c r="R32" s="4"/>
      <c r="S32" s="4"/>
      <c r="T32" s="4"/>
      <c r="U32" s="4"/>
      <c r="V32" s="200"/>
      <c r="W32" s="200"/>
      <c r="X32" s="4"/>
      <c r="Y32" s="4"/>
      <c r="Z32" s="4"/>
      <c r="AA32" s="4"/>
      <c r="AB32" s="4"/>
      <c r="AC32" s="200"/>
      <c r="AD32" s="200"/>
      <c r="AE32" s="4"/>
      <c r="AF32" s="4"/>
      <c r="AG32" s="4"/>
      <c r="AH32" s="4"/>
      <c r="AJ32" s="71">
        <f t="shared" si="5"/>
        <v>0</v>
      </c>
    </row>
    <row r="33" spans="2:36" hidden="1" outlineLevel="1" x14ac:dyDescent="0.25">
      <c r="B33" s="151"/>
      <c r="C33" s="54" t="s">
        <v>77</v>
      </c>
      <c r="D33" s="5"/>
      <c r="E33" s="5"/>
      <c r="F33" s="5"/>
      <c r="G33" s="5"/>
      <c r="H33" s="200"/>
      <c r="I33" s="200"/>
      <c r="J33" s="5"/>
      <c r="K33" s="5"/>
      <c r="L33" s="5"/>
      <c r="M33" s="5"/>
      <c r="N33" s="5"/>
      <c r="O33" s="200"/>
      <c r="P33" s="200"/>
      <c r="Q33" s="5"/>
      <c r="R33" s="5"/>
      <c r="S33" s="5"/>
      <c r="T33" s="5"/>
      <c r="U33" s="5"/>
      <c r="V33" s="200"/>
      <c r="W33" s="200"/>
      <c r="X33" s="5"/>
      <c r="Y33" s="5"/>
      <c r="Z33" s="5"/>
      <c r="AA33" s="5"/>
      <c r="AB33" s="5"/>
      <c r="AC33" s="200"/>
      <c r="AD33" s="200"/>
      <c r="AE33" s="5"/>
      <c r="AF33" s="5"/>
      <c r="AG33" s="5"/>
      <c r="AH33" s="5"/>
      <c r="AJ33" s="72">
        <f t="shared" si="5"/>
        <v>0</v>
      </c>
    </row>
    <row r="34" spans="2:36" ht="15.75" hidden="1" outlineLevel="1" thickBot="1" x14ac:dyDescent="0.3">
      <c r="B34" s="151"/>
      <c r="C34" s="9" t="s">
        <v>3</v>
      </c>
      <c r="D34" s="8"/>
      <c r="E34" s="8"/>
      <c r="F34" s="8"/>
      <c r="G34" s="8"/>
      <c r="H34" s="201"/>
      <c r="I34" s="201"/>
      <c r="J34" s="8"/>
      <c r="K34" s="8"/>
      <c r="L34" s="8"/>
      <c r="M34" s="8"/>
      <c r="N34" s="8"/>
      <c r="O34" s="201"/>
      <c r="P34" s="201"/>
      <c r="Q34" s="8"/>
      <c r="R34" s="8"/>
      <c r="S34" s="8"/>
      <c r="T34" s="8"/>
      <c r="U34" s="8"/>
      <c r="V34" s="201"/>
      <c r="W34" s="201"/>
      <c r="X34" s="8"/>
      <c r="Y34" s="8"/>
      <c r="Z34" s="8"/>
      <c r="AA34" s="8"/>
      <c r="AB34" s="8"/>
      <c r="AC34" s="201"/>
      <c r="AD34" s="201"/>
      <c r="AE34" s="8"/>
      <c r="AF34" s="8"/>
      <c r="AG34" s="8"/>
      <c r="AH34" s="8"/>
      <c r="AI34" s="7"/>
      <c r="AJ34" s="69">
        <f t="shared" si="5"/>
        <v>0</v>
      </c>
    </row>
    <row r="35" spans="2:36" ht="16.5" collapsed="1" thickTop="1" thickBot="1" x14ac:dyDescent="0.3">
      <c r="B35" s="253" t="str">
        <f>'Hours Scheduled'!B10</f>
        <v>Dennis van 't Hul</v>
      </c>
      <c r="C35" t="s">
        <v>0</v>
      </c>
      <c r="D35" s="2"/>
      <c r="E35" s="2"/>
      <c r="F35" s="2"/>
      <c r="G35" s="2"/>
      <c r="H35" s="200"/>
      <c r="I35" s="200"/>
      <c r="J35" s="2"/>
      <c r="K35" s="2"/>
      <c r="L35" s="2"/>
      <c r="M35" s="2"/>
      <c r="N35" s="2"/>
      <c r="O35" s="200"/>
      <c r="P35" s="200"/>
      <c r="Q35" s="2"/>
      <c r="R35" s="2"/>
      <c r="S35" s="2"/>
      <c r="T35" s="2"/>
      <c r="U35" s="2"/>
      <c r="V35" s="200"/>
      <c r="W35" s="200"/>
      <c r="X35" s="2"/>
      <c r="Y35" s="2"/>
      <c r="Z35" s="2"/>
      <c r="AA35" s="2"/>
      <c r="AB35" s="2"/>
      <c r="AC35" s="200"/>
      <c r="AD35" s="200"/>
      <c r="AE35" s="2"/>
      <c r="AF35" s="2"/>
      <c r="AG35" s="2"/>
      <c r="AH35" s="2"/>
      <c r="AJ35" s="64">
        <f>SUM(D35:AH35)</f>
        <v>0</v>
      </c>
    </row>
    <row r="36" spans="2:36" ht="15.75" hidden="1" outlineLevel="1" thickTop="1" x14ac:dyDescent="0.25">
      <c r="B36" s="150"/>
      <c r="C36" s="1" t="s">
        <v>1</v>
      </c>
      <c r="D36" s="3"/>
      <c r="E36" s="3"/>
      <c r="F36" s="3"/>
      <c r="G36" s="3"/>
      <c r="H36" s="200"/>
      <c r="I36" s="200"/>
      <c r="J36" s="3"/>
      <c r="K36" s="3"/>
      <c r="L36" s="3"/>
      <c r="M36" s="3"/>
      <c r="N36" s="3"/>
      <c r="O36" s="200"/>
      <c r="P36" s="200"/>
      <c r="Q36" s="3"/>
      <c r="R36" s="3"/>
      <c r="S36" s="3"/>
      <c r="T36" s="3"/>
      <c r="U36" s="3"/>
      <c r="V36" s="200"/>
      <c r="W36" s="200"/>
      <c r="X36" s="3"/>
      <c r="Y36" s="3"/>
      <c r="Z36" s="3"/>
      <c r="AA36" s="3"/>
      <c r="AB36" s="3"/>
      <c r="AC36" s="200"/>
      <c r="AD36" s="200"/>
      <c r="AE36" s="3"/>
      <c r="AF36" s="3"/>
      <c r="AG36" s="3"/>
      <c r="AH36" s="3"/>
      <c r="AJ36" s="70">
        <f t="shared" ref="AJ36:AJ39" si="6">SUM(D36:AH36)</f>
        <v>0</v>
      </c>
    </row>
    <row r="37" spans="2:36" hidden="1" outlineLevel="1" x14ac:dyDescent="0.25">
      <c r="B37" s="151"/>
      <c r="C37" s="1" t="s">
        <v>2</v>
      </c>
      <c r="D37" s="4"/>
      <c r="E37" s="4"/>
      <c r="F37" s="4"/>
      <c r="G37" s="4"/>
      <c r="H37" s="200"/>
      <c r="I37" s="200"/>
      <c r="J37" s="4"/>
      <c r="K37" s="4"/>
      <c r="L37" s="4"/>
      <c r="M37" s="4"/>
      <c r="N37" s="4"/>
      <c r="O37" s="200"/>
      <c r="P37" s="200"/>
      <c r="Q37" s="4"/>
      <c r="R37" s="4"/>
      <c r="S37" s="4"/>
      <c r="T37" s="4"/>
      <c r="U37" s="4"/>
      <c r="V37" s="200"/>
      <c r="W37" s="200"/>
      <c r="X37" s="4"/>
      <c r="Y37" s="4"/>
      <c r="Z37" s="4"/>
      <c r="AA37" s="4"/>
      <c r="AB37" s="4"/>
      <c r="AC37" s="200"/>
      <c r="AD37" s="200"/>
      <c r="AE37" s="4"/>
      <c r="AF37" s="4"/>
      <c r="AG37" s="4"/>
      <c r="AH37" s="4"/>
      <c r="AJ37" s="71">
        <f t="shared" si="6"/>
        <v>0</v>
      </c>
    </row>
    <row r="38" spans="2:36" hidden="1" outlineLevel="1" x14ac:dyDescent="0.25">
      <c r="B38" s="151"/>
      <c r="C38" s="54" t="s">
        <v>77</v>
      </c>
      <c r="D38" s="5"/>
      <c r="E38" s="5"/>
      <c r="F38" s="5"/>
      <c r="G38" s="5"/>
      <c r="H38" s="200"/>
      <c r="I38" s="200"/>
      <c r="J38" s="5"/>
      <c r="K38" s="5"/>
      <c r="L38" s="5"/>
      <c r="M38" s="5"/>
      <c r="N38" s="5"/>
      <c r="O38" s="200"/>
      <c r="P38" s="200"/>
      <c r="Q38" s="5"/>
      <c r="R38" s="5"/>
      <c r="S38" s="5"/>
      <c r="T38" s="5"/>
      <c r="U38" s="5"/>
      <c r="V38" s="200"/>
      <c r="W38" s="200"/>
      <c r="X38" s="5"/>
      <c r="Y38" s="5"/>
      <c r="Z38" s="5"/>
      <c r="AA38" s="5"/>
      <c r="AB38" s="5"/>
      <c r="AC38" s="200"/>
      <c r="AD38" s="200"/>
      <c r="AE38" s="5"/>
      <c r="AF38" s="5"/>
      <c r="AG38" s="5"/>
      <c r="AH38" s="5"/>
      <c r="AJ38" s="72">
        <f t="shared" si="6"/>
        <v>0</v>
      </c>
    </row>
    <row r="39" spans="2:36" ht="15.75" hidden="1" outlineLevel="1" thickBot="1" x14ac:dyDescent="0.3">
      <c r="B39" s="151"/>
      <c r="C39" s="9" t="s">
        <v>3</v>
      </c>
      <c r="D39" s="8"/>
      <c r="E39" s="8"/>
      <c r="F39" s="8"/>
      <c r="G39" s="8"/>
      <c r="H39" s="201"/>
      <c r="I39" s="201"/>
      <c r="J39" s="8"/>
      <c r="K39" s="8"/>
      <c r="L39" s="8"/>
      <c r="M39" s="8"/>
      <c r="N39" s="8"/>
      <c r="O39" s="201"/>
      <c r="P39" s="201"/>
      <c r="Q39" s="8"/>
      <c r="R39" s="8"/>
      <c r="S39" s="8"/>
      <c r="T39" s="8"/>
      <c r="U39" s="8"/>
      <c r="V39" s="201"/>
      <c r="W39" s="201"/>
      <c r="X39" s="8"/>
      <c r="Y39" s="8"/>
      <c r="Z39" s="8"/>
      <c r="AA39" s="8"/>
      <c r="AB39" s="8"/>
      <c r="AC39" s="201"/>
      <c r="AD39" s="201"/>
      <c r="AE39" s="8"/>
      <c r="AF39" s="8"/>
      <c r="AG39" s="8"/>
      <c r="AH39" s="8"/>
      <c r="AI39" s="7"/>
      <c r="AJ39" s="69">
        <f t="shared" si="6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2"/>
      <c r="E40" s="2"/>
      <c r="F40" s="2"/>
      <c r="G40" s="2"/>
      <c r="H40" s="200"/>
      <c r="I40" s="200"/>
      <c r="J40" s="2"/>
      <c r="K40" s="2"/>
      <c r="L40" s="2"/>
      <c r="M40" s="2"/>
      <c r="N40" s="2"/>
      <c r="O40" s="200"/>
      <c r="P40" s="200"/>
      <c r="Q40" s="2"/>
      <c r="R40" s="2"/>
      <c r="S40" s="2"/>
      <c r="T40" s="2"/>
      <c r="U40" s="2"/>
      <c r="V40" s="200"/>
      <c r="W40" s="200"/>
      <c r="X40" s="2"/>
      <c r="Y40" s="2"/>
      <c r="Z40" s="2"/>
      <c r="AA40" s="2"/>
      <c r="AB40" s="2"/>
      <c r="AC40" s="200"/>
      <c r="AD40" s="200"/>
      <c r="AE40" s="2"/>
      <c r="AF40" s="2"/>
      <c r="AG40" s="2"/>
      <c r="AH40" s="2"/>
      <c r="AJ40" s="64">
        <f>SUM(D40:AH40)</f>
        <v>0</v>
      </c>
    </row>
    <row r="41" spans="2:36" ht="15.75" hidden="1" outlineLevel="1" thickTop="1" x14ac:dyDescent="0.25">
      <c r="B41" s="150"/>
      <c r="C41" s="1" t="s">
        <v>1</v>
      </c>
      <c r="D41" s="3"/>
      <c r="E41" s="3"/>
      <c r="F41" s="3"/>
      <c r="G41" s="3"/>
      <c r="H41" s="200"/>
      <c r="I41" s="200"/>
      <c r="J41" s="3"/>
      <c r="K41" s="3"/>
      <c r="L41" s="3"/>
      <c r="M41" s="3"/>
      <c r="N41" s="3"/>
      <c r="O41" s="200"/>
      <c r="P41" s="200"/>
      <c r="Q41" s="3"/>
      <c r="R41" s="3"/>
      <c r="S41" s="3"/>
      <c r="T41" s="3"/>
      <c r="U41" s="3"/>
      <c r="V41" s="200"/>
      <c r="W41" s="200"/>
      <c r="X41" s="3"/>
      <c r="Y41" s="3"/>
      <c r="Z41" s="3"/>
      <c r="AA41" s="3"/>
      <c r="AB41" s="3"/>
      <c r="AC41" s="200"/>
      <c r="AD41" s="200"/>
      <c r="AE41" s="3"/>
      <c r="AF41" s="3"/>
      <c r="AG41" s="3"/>
      <c r="AH41" s="3"/>
      <c r="AJ41" s="70">
        <f t="shared" ref="AJ41:AJ44" si="7">SUM(D41:AH41)</f>
        <v>0</v>
      </c>
    </row>
    <row r="42" spans="2:36" hidden="1" outlineLevel="1" x14ac:dyDescent="0.25">
      <c r="B42" s="151"/>
      <c r="C42" s="1" t="s">
        <v>2</v>
      </c>
      <c r="D42" s="4"/>
      <c r="E42" s="4"/>
      <c r="F42" s="4"/>
      <c r="G42" s="4"/>
      <c r="H42" s="200"/>
      <c r="I42" s="200"/>
      <c r="J42" s="4"/>
      <c r="K42" s="4"/>
      <c r="L42" s="4"/>
      <c r="M42" s="4"/>
      <c r="N42" s="4"/>
      <c r="O42" s="200"/>
      <c r="P42" s="200"/>
      <c r="Q42" s="4"/>
      <c r="R42" s="4"/>
      <c r="S42" s="4"/>
      <c r="T42" s="4"/>
      <c r="U42" s="4"/>
      <c r="V42" s="200"/>
      <c r="W42" s="200"/>
      <c r="X42" s="4"/>
      <c r="Y42" s="4"/>
      <c r="Z42" s="4"/>
      <c r="AA42" s="4"/>
      <c r="AB42" s="4"/>
      <c r="AC42" s="200"/>
      <c r="AD42" s="200"/>
      <c r="AE42" s="4"/>
      <c r="AF42" s="4"/>
      <c r="AG42" s="4"/>
      <c r="AH42" s="4"/>
      <c r="AJ42" s="71">
        <f t="shared" si="7"/>
        <v>0</v>
      </c>
    </row>
    <row r="43" spans="2:36" hidden="1" outlineLevel="1" x14ac:dyDescent="0.25">
      <c r="B43" s="151"/>
      <c r="C43" s="54" t="s">
        <v>77</v>
      </c>
      <c r="D43" s="5"/>
      <c r="E43" s="5"/>
      <c r="F43" s="5"/>
      <c r="G43" s="5"/>
      <c r="H43" s="200"/>
      <c r="I43" s="200"/>
      <c r="J43" s="5"/>
      <c r="K43" s="5"/>
      <c r="L43" s="5"/>
      <c r="M43" s="5"/>
      <c r="N43" s="5"/>
      <c r="O43" s="200"/>
      <c r="P43" s="200"/>
      <c r="Q43" s="5"/>
      <c r="R43" s="5"/>
      <c r="S43" s="5"/>
      <c r="T43" s="5"/>
      <c r="U43" s="5"/>
      <c r="V43" s="200"/>
      <c r="W43" s="200"/>
      <c r="X43" s="5"/>
      <c r="Y43" s="5"/>
      <c r="Z43" s="5"/>
      <c r="AA43" s="5"/>
      <c r="AB43" s="5"/>
      <c r="AC43" s="200"/>
      <c r="AD43" s="200"/>
      <c r="AE43" s="5"/>
      <c r="AF43" s="5"/>
      <c r="AG43" s="5"/>
      <c r="AH43" s="5"/>
      <c r="AJ43" s="72">
        <f t="shared" si="7"/>
        <v>0</v>
      </c>
    </row>
    <row r="44" spans="2:36" ht="15.75" hidden="1" outlineLevel="1" thickBot="1" x14ac:dyDescent="0.3">
      <c r="B44" s="151"/>
      <c r="C44" s="9" t="s">
        <v>3</v>
      </c>
      <c r="D44" s="8"/>
      <c r="E44" s="8"/>
      <c r="F44" s="8"/>
      <c r="G44" s="8"/>
      <c r="H44" s="201"/>
      <c r="I44" s="201"/>
      <c r="J44" s="8"/>
      <c r="K44" s="8"/>
      <c r="L44" s="8"/>
      <c r="M44" s="8"/>
      <c r="N44" s="8"/>
      <c r="O44" s="201"/>
      <c r="P44" s="201"/>
      <c r="Q44" s="8"/>
      <c r="R44" s="8"/>
      <c r="S44" s="8"/>
      <c r="T44" s="8"/>
      <c r="U44" s="8"/>
      <c r="V44" s="201"/>
      <c r="W44" s="201"/>
      <c r="X44" s="8"/>
      <c r="Y44" s="8"/>
      <c r="Z44" s="8"/>
      <c r="AA44" s="8"/>
      <c r="AB44" s="8"/>
      <c r="AC44" s="201"/>
      <c r="AD44" s="201"/>
      <c r="AE44" s="8"/>
      <c r="AF44" s="8"/>
      <c r="AG44" s="8"/>
      <c r="AH44" s="8"/>
      <c r="AI44" s="7"/>
      <c r="AJ44" s="69">
        <f t="shared" si="7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2"/>
      <c r="E45" s="2"/>
      <c r="F45" s="2"/>
      <c r="G45" s="2"/>
      <c r="H45" s="200"/>
      <c r="I45" s="200"/>
      <c r="J45" s="2"/>
      <c r="K45" s="2"/>
      <c r="L45" s="2"/>
      <c r="M45" s="2"/>
      <c r="N45" s="2"/>
      <c r="O45" s="200"/>
      <c r="P45" s="200"/>
      <c r="Q45" s="2"/>
      <c r="R45" s="2"/>
      <c r="S45" s="2"/>
      <c r="T45" s="2"/>
      <c r="U45" s="2"/>
      <c r="V45" s="200"/>
      <c r="W45" s="200"/>
      <c r="X45" s="2"/>
      <c r="Y45" s="2"/>
      <c r="Z45" s="2"/>
      <c r="AA45" s="2"/>
      <c r="AB45" s="2"/>
      <c r="AC45" s="200"/>
      <c r="AD45" s="200"/>
      <c r="AE45" s="2"/>
      <c r="AF45" s="2"/>
      <c r="AG45" s="2"/>
      <c r="AH45" s="2"/>
      <c r="AJ45" s="64">
        <f>SUM(D45:AH45)</f>
        <v>0</v>
      </c>
    </row>
    <row r="46" spans="2:36" ht="15.75" hidden="1" outlineLevel="1" thickTop="1" x14ac:dyDescent="0.25">
      <c r="B46" s="150"/>
      <c r="C46" s="1" t="s">
        <v>1</v>
      </c>
      <c r="D46" s="3"/>
      <c r="E46" s="3"/>
      <c r="F46" s="3"/>
      <c r="G46" s="3"/>
      <c r="H46" s="200"/>
      <c r="I46" s="200"/>
      <c r="J46" s="3"/>
      <c r="K46" s="3"/>
      <c r="L46" s="3"/>
      <c r="M46" s="3"/>
      <c r="N46" s="3"/>
      <c r="O46" s="200"/>
      <c r="P46" s="200"/>
      <c r="Q46" s="3"/>
      <c r="R46" s="3"/>
      <c r="S46" s="3"/>
      <c r="T46" s="3"/>
      <c r="U46" s="3"/>
      <c r="V46" s="200"/>
      <c r="W46" s="200"/>
      <c r="X46" s="3"/>
      <c r="Y46" s="3"/>
      <c r="Z46" s="3"/>
      <c r="AA46" s="3"/>
      <c r="AB46" s="3"/>
      <c r="AC46" s="200"/>
      <c r="AD46" s="200"/>
      <c r="AE46" s="3"/>
      <c r="AF46" s="3"/>
      <c r="AG46" s="3"/>
      <c r="AH46" s="3"/>
      <c r="AJ46" s="70">
        <f t="shared" ref="AJ46:AJ49" si="8">SUM(D46:AH46)</f>
        <v>0</v>
      </c>
    </row>
    <row r="47" spans="2:36" hidden="1" outlineLevel="1" x14ac:dyDescent="0.25">
      <c r="B47" s="151"/>
      <c r="C47" s="1" t="s">
        <v>2</v>
      </c>
      <c r="D47" s="4"/>
      <c r="E47" s="4"/>
      <c r="F47" s="4"/>
      <c r="G47" s="4"/>
      <c r="H47" s="200"/>
      <c r="I47" s="200"/>
      <c r="J47" s="4"/>
      <c r="K47" s="4"/>
      <c r="L47" s="4"/>
      <c r="M47" s="4"/>
      <c r="N47" s="4"/>
      <c r="O47" s="200"/>
      <c r="P47" s="200"/>
      <c r="Q47" s="4"/>
      <c r="R47" s="4"/>
      <c r="S47" s="4"/>
      <c r="T47" s="4"/>
      <c r="U47" s="4"/>
      <c r="V47" s="200"/>
      <c r="W47" s="200"/>
      <c r="X47" s="4"/>
      <c r="Y47" s="4"/>
      <c r="Z47" s="4"/>
      <c r="AA47" s="4"/>
      <c r="AB47" s="4"/>
      <c r="AC47" s="200"/>
      <c r="AD47" s="200"/>
      <c r="AE47" s="4"/>
      <c r="AF47" s="4"/>
      <c r="AG47" s="4"/>
      <c r="AH47" s="4"/>
      <c r="AJ47" s="71">
        <f t="shared" si="8"/>
        <v>0</v>
      </c>
    </row>
    <row r="48" spans="2:36" hidden="1" outlineLevel="1" x14ac:dyDescent="0.25">
      <c r="B48" s="151"/>
      <c r="C48" s="54" t="s">
        <v>77</v>
      </c>
      <c r="D48" s="5"/>
      <c r="E48" s="5"/>
      <c r="F48" s="5"/>
      <c r="G48" s="5"/>
      <c r="H48" s="200"/>
      <c r="I48" s="200"/>
      <c r="J48" s="5"/>
      <c r="K48" s="5"/>
      <c r="L48" s="5"/>
      <c r="M48" s="5"/>
      <c r="N48" s="5"/>
      <c r="O48" s="200"/>
      <c r="P48" s="200"/>
      <c r="Q48" s="5"/>
      <c r="R48" s="5"/>
      <c r="S48" s="5"/>
      <c r="T48" s="5"/>
      <c r="U48" s="5"/>
      <c r="V48" s="200"/>
      <c r="W48" s="200"/>
      <c r="X48" s="5"/>
      <c r="Y48" s="5"/>
      <c r="Z48" s="5"/>
      <c r="AA48" s="5"/>
      <c r="AB48" s="5"/>
      <c r="AC48" s="200"/>
      <c r="AD48" s="200"/>
      <c r="AE48" s="5"/>
      <c r="AF48" s="5"/>
      <c r="AG48" s="5"/>
      <c r="AH48" s="5"/>
      <c r="AJ48" s="72">
        <f t="shared" si="8"/>
        <v>0</v>
      </c>
    </row>
    <row r="49" spans="2:36" ht="15.75" hidden="1" outlineLevel="1" thickBot="1" x14ac:dyDescent="0.3">
      <c r="B49" s="151"/>
      <c r="C49" s="9" t="s">
        <v>3</v>
      </c>
      <c r="D49" s="8"/>
      <c r="E49" s="8"/>
      <c r="F49" s="8"/>
      <c r="G49" s="8"/>
      <c r="H49" s="201"/>
      <c r="I49" s="201"/>
      <c r="J49" s="8"/>
      <c r="K49" s="8"/>
      <c r="L49" s="8"/>
      <c r="M49" s="8"/>
      <c r="N49" s="8"/>
      <c r="O49" s="201"/>
      <c r="P49" s="201"/>
      <c r="Q49" s="8"/>
      <c r="R49" s="8"/>
      <c r="S49" s="8"/>
      <c r="T49" s="8"/>
      <c r="U49" s="8"/>
      <c r="V49" s="201"/>
      <c r="W49" s="201"/>
      <c r="X49" s="8"/>
      <c r="Y49" s="8"/>
      <c r="Z49" s="8"/>
      <c r="AA49" s="8"/>
      <c r="AB49" s="8"/>
      <c r="AC49" s="201"/>
      <c r="AD49" s="201"/>
      <c r="AE49" s="8"/>
      <c r="AF49" s="8"/>
      <c r="AG49" s="8"/>
      <c r="AH49" s="8"/>
      <c r="AI49" s="7"/>
      <c r="AJ49" s="69">
        <f t="shared" si="8"/>
        <v>0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2"/>
      <c r="E50" s="2"/>
      <c r="F50" s="2"/>
      <c r="G50" s="2"/>
      <c r="H50" s="200"/>
      <c r="I50" s="200"/>
      <c r="J50" s="2"/>
      <c r="K50" s="2"/>
      <c r="L50" s="2"/>
      <c r="M50" s="2"/>
      <c r="N50" s="2"/>
      <c r="O50" s="200"/>
      <c r="P50" s="200"/>
      <c r="Q50" s="2"/>
      <c r="R50" s="2"/>
      <c r="S50" s="2"/>
      <c r="T50" s="2"/>
      <c r="U50" s="2"/>
      <c r="V50" s="200"/>
      <c r="W50" s="200"/>
      <c r="X50" s="2"/>
      <c r="Y50" s="2"/>
      <c r="Z50" s="2"/>
      <c r="AA50" s="2"/>
      <c r="AB50" s="2"/>
      <c r="AC50" s="200"/>
      <c r="AD50" s="200"/>
      <c r="AE50" s="2"/>
      <c r="AF50" s="2"/>
      <c r="AG50" s="2"/>
      <c r="AH50" s="2"/>
      <c r="AJ50" s="64">
        <f>SUM(D50:AH50)</f>
        <v>0</v>
      </c>
    </row>
    <row r="51" spans="2:36" ht="15.75" hidden="1" outlineLevel="1" thickTop="1" x14ac:dyDescent="0.25">
      <c r="B51" s="150"/>
      <c r="C51" s="1" t="s">
        <v>1</v>
      </c>
      <c r="D51" s="3"/>
      <c r="E51" s="3"/>
      <c r="F51" s="3"/>
      <c r="G51" s="3"/>
      <c r="H51" s="200"/>
      <c r="I51" s="200"/>
      <c r="J51" s="3"/>
      <c r="K51" s="3"/>
      <c r="L51" s="3"/>
      <c r="M51" s="3"/>
      <c r="N51" s="3"/>
      <c r="O51" s="200"/>
      <c r="P51" s="200"/>
      <c r="Q51" s="3"/>
      <c r="R51" s="3"/>
      <c r="S51" s="3"/>
      <c r="T51" s="3"/>
      <c r="U51" s="3"/>
      <c r="V51" s="200"/>
      <c r="W51" s="200"/>
      <c r="X51" s="3"/>
      <c r="Y51" s="3"/>
      <c r="Z51" s="3"/>
      <c r="AA51" s="3"/>
      <c r="AB51" s="3"/>
      <c r="AC51" s="200"/>
      <c r="AD51" s="200"/>
      <c r="AE51" s="3"/>
      <c r="AF51" s="3"/>
      <c r="AG51" s="3"/>
      <c r="AH51" s="3"/>
      <c r="AJ51" s="70">
        <f t="shared" ref="AJ51:AJ54" si="9">SUM(D51:AH51)</f>
        <v>0</v>
      </c>
    </row>
    <row r="52" spans="2:36" hidden="1" outlineLevel="1" x14ac:dyDescent="0.25">
      <c r="B52" s="151"/>
      <c r="C52" s="1" t="s">
        <v>2</v>
      </c>
      <c r="D52" s="4"/>
      <c r="E52" s="4"/>
      <c r="F52" s="4"/>
      <c r="G52" s="4"/>
      <c r="H52" s="200"/>
      <c r="I52" s="200"/>
      <c r="J52" s="4"/>
      <c r="K52" s="4"/>
      <c r="L52" s="4"/>
      <c r="M52" s="4"/>
      <c r="N52" s="4"/>
      <c r="O52" s="200"/>
      <c r="P52" s="200"/>
      <c r="Q52" s="4"/>
      <c r="R52" s="4"/>
      <c r="S52" s="4"/>
      <c r="T52" s="4"/>
      <c r="U52" s="4"/>
      <c r="V52" s="200"/>
      <c r="W52" s="200"/>
      <c r="X52" s="4"/>
      <c r="Y52" s="4"/>
      <c r="Z52" s="4"/>
      <c r="AA52" s="4"/>
      <c r="AB52" s="4"/>
      <c r="AC52" s="200"/>
      <c r="AD52" s="200"/>
      <c r="AE52" s="4"/>
      <c r="AF52" s="4"/>
      <c r="AG52" s="4"/>
      <c r="AH52" s="4"/>
      <c r="AJ52" s="71">
        <f t="shared" si="9"/>
        <v>0</v>
      </c>
    </row>
    <row r="53" spans="2:36" hidden="1" outlineLevel="1" x14ac:dyDescent="0.25">
      <c r="B53" s="151"/>
      <c r="C53" s="54" t="s">
        <v>77</v>
      </c>
      <c r="D53" s="5"/>
      <c r="E53" s="5"/>
      <c r="F53" s="5"/>
      <c r="G53" s="5"/>
      <c r="H53" s="200"/>
      <c r="I53" s="200"/>
      <c r="J53" s="5"/>
      <c r="K53" s="5"/>
      <c r="L53" s="5"/>
      <c r="M53" s="5"/>
      <c r="N53" s="5"/>
      <c r="O53" s="200"/>
      <c r="P53" s="200"/>
      <c r="Q53" s="5"/>
      <c r="R53" s="5"/>
      <c r="S53" s="5"/>
      <c r="T53" s="5"/>
      <c r="U53" s="5"/>
      <c r="V53" s="200"/>
      <c r="W53" s="200"/>
      <c r="X53" s="5"/>
      <c r="Y53" s="5"/>
      <c r="Z53" s="5"/>
      <c r="AA53" s="5"/>
      <c r="AB53" s="5"/>
      <c r="AC53" s="200"/>
      <c r="AD53" s="200"/>
      <c r="AE53" s="5"/>
      <c r="AF53" s="5"/>
      <c r="AG53" s="5"/>
      <c r="AH53" s="5"/>
      <c r="AJ53" s="72">
        <f t="shared" si="9"/>
        <v>0</v>
      </c>
    </row>
    <row r="54" spans="2:36" ht="15.75" hidden="1" outlineLevel="1" thickBot="1" x14ac:dyDescent="0.3">
      <c r="B54" s="151"/>
      <c r="C54" s="9" t="s">
        <v>3</v>
      </c>
      <c r="D54" s="8"/>
      <c r="E54" s="8"/>
      <c r="F54" s="8"/>
      <c r="G54" s="8"/>
      <c r="H54" s="201"/>
      <c r="I54" s="201"/>
      <c r="J54" s="8"/>
      <c r="K54" s="8"/>
      <c r="L54" s="8"/>
      <c r="M54" s="8"/>
      <c r="N54" s="8"/>
      <c r="O54" s="201"/>
      <c r="P54" s="201"/>
      <c r="Q54" s="8"/>
      <c r="R54" s="8"/>
      <c r="S54" s="8"/>
      <c r="T54" s="8"/>
      <c r="U54" s="8"/>
      <c r="V54" s="201"/>
      <c r="W54" s="201"/>
      <c r="X54" s="8"/>
      <c r="Y54" s="8"/>
      <c r="Z54" s="8"/>
      <c r="AA54" s="8"/>
      <c r="AB54" s="8"/>
      <c r="AC54" s="201"/>
      <c r="AD54" s="201"/>
      <c r="AE54" s="8"/>
      <c r="AF54" s="8"/>
      <c r="AG54" s="8"/>
      <c r="AH54" s="8"/>
      <c r="AI54" s="7"/>
      <c r="AJ54" s="69">
        <f t="shared" si="9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2"/>
      <c r="E55" s="2"/>
      <c r="F55" s="2"/>
      <c r="G55" s="2"/>
      <c r="H55" s="200"/>
      <c r="I55" s="200"/>
      <c r="J55" s="2"/>
      <c r="K55" s="2"/>
      <c r="L55" s="2"/>
      <c r="M55" s="2"/>
      <c r="N55" s="2"/>
      <c r="O55" s="200"/>
      <c r="P55" s="200"/>
      <c r="Q55" s="2"/>
      <c r="R55" s="2"/>
      <c r="S55" s="2"/>
      <c r="T55" s="2"/>
      <c r="U55" s="2"/>
      <c r="V55" s="200"/>
      <c r="W55" s="200"/>
      <c r="X55" s="2"/>
      <c r="Y55" s="2"/>
      <c r="Z55" s="2"/>
      <c r="AA55" s="2"/>
      <c r="AB55" s="2"/>
      <c r="AC55" s="200"/>
      <c r="AD55" s="200"/>
      <c r="AE55" s="2"/>
      <c r="AF55" s="2"/>
      <c r="AG55" s="2"/>
      <c r="AH55" s="2"/>
      <c r="AJ55" s="64">
        <f>SUM(D55:AH55)</f>
        <v>0</v>
      </c>
    </row>
    <row r="56" spans="2:36" ht="15.75" hidden="1" outlineLevel="1" thickTop="1" x14ac:dyDescent="0.25">
      <c r="B56" s="150"/>
      <c r="C56" s="1" t="s">
        <v>1</v>
      </c>
      <c r="D56" s="3"/>
      <c r="E56" s="3"/>
      <c r="F56" s="3"/>
      <c r="G56" s="3"/>
      <c r="H56" s="200"/>
      <c r="I56" s="200"/>
      <c r="J56" s="3"/>
      <c r="K56" s="3"/>
      <c r="L56" s="3"/>
      <c r="M56" s="3"/>
      <c r="N56" s="3"/>
      <c r="O56" s="200"/>
      <c r="P56" s="200"/>
      <c r="Q56" s="3"/>
      <c r="R56" s="3"/>
      <c r="S56" s="3"/>
      <c r="T56" s="3"/>
      <c r="U56" s="3"/>
      <c r="V56" s="200"/>
      <c r="W56" s="200"/>
      <c r="X56" s="3"/>
      <c r="Y56" s="3"/>
      <c r="Z56" s="3"/>
      <c r="AA56" s="3"/>
      <c r="AB56" s="3"/>
      <c r="AC56" s="200"/>
      <c r="AD56" s="200"/>
      <c r="AE56" s="3"/>
      <c r="AF56" s="3"/>
      <c r="AG56" s="3"/>
      <c r="AH56" s="3"/>
      <c r="AJ56" s="70">
        <f t="shared" ref="AJ56:AJ59" si="10">SUM(D56:AH56)</f>
        <v>0</v>
      </c>
    </row>
    <row r="57" spans="2:36" hidden="1" outlineLevel="1" x14ac:dyDescent="0.25">
      <c r="B57" s="151"/>
      <c r="C57" s="1" t="s">
        <v>2</v>
      </c>
      <c r="D57" s="4"/>
      <c r="E57" s="4"/>
      <c r="F57" s="4"/>
      <c r="G57" s="4"/>
      <c r="H57" s="200"/>
      <c r="I57" s="200"/>
      <c r="J57" s="4"/>
      <c r="K57" s="4"/>
      <c r="L57" s="4"/>
      <c r="M57" s="4"/>
      <c r="N57" s="4"/>
      <c r="O57" s="200"/>
      <c r="P57" s="200"/>
      <c r="Q57" s="4"/>
      <c r="R57" s="4"/>
      <c r="S57" s="4"/>
      <c r="T57" s="4"/>
      <c r="U57" s="4"/>
      <c r="V57" s="200"/>
      <c r="W57" s="200"/>
      <c r="X57" s="4"/>
      <c r="Y57" s="4"/>
      <c r="Z57" s="4"/>
      <c r="AA57" s="4"/>
      <c r="AB57" s="4"/>
      <c r="AC57" s="200"/>
      <c r="AD57" s="200"/>
      <c r="AE57" s="4"/>
      <c r="AF57" s="4"/>
      <c r="AG57" s="4"/>
      <c r="AH57" s="4"/>
      <c r="AJ57" s="71">
        <f t="shared" si="10"/>
        <v>0</v>
      </c>
    </row>
    <row r="58" spans="2:36" hidden="1" outlineLevel="1" x14ac:dyDescent="0.25">
      <c r="B58" s="151"/>
      <c r="C58" s="54" t="s">
        <v>77</v>
      </c>
      <c r="D58" s="5"/>
      <c r="E58" s="5"/>
      <c r="F58" s="5"/>
      <c r="G58" s="5"/>
      <c r="H58" s="200"/>
      <c r="I58" s="200"/>
      <c r="J58" s="5"/>
      <c r="K58" s="5"/>
      <c r="L58" s="5"/>
      <c r="M58" s="5"/>
      <c r="N58" s="5"/>
      <c r="O58" s="200"/>
      <c r="P58" s="200"/>
      <c r="Q58" s="5"/>
      <c r="R58" s="5"/>
      <c r="S58" s="5"/>
      <c r="T58" s="5"/>
      <c r="U58" s="5"/>
      <c r="V58" s="200"/>
      <c r="W58" s="200"/>
      <c r="X58" s="5"/>
      <c r="Y58" s="5"/>
      <c r="Z58" s="5"/>
      <c r="AA58" s="5"/>
      <c r="AB58" s="5"/>
      <c r="AC58" s="200"/>
      <c r="AD58" s="200"/>
      <c r="AE58" s="5"/>
      <c r="AF58" s="5"/>
      <c r="AG58" s="5"/>
      <c r="AH58" s="5"/>
      <c r="AJ58" s="72">
        <f t="shared" si="10"/>
        <v>0</v>
      </c>
    </row>
    <row r="59" spans="2:36" ht="15.75" hidden="1" outlineLevel="1" thickBot="1" x14ac:dyDescent="0.3">
      <c r="B59" s="151"/>
      <c r="C59" s="9" t="s">
        <v>3</v>
      </c>
      <c r="D59" s="8"/>
      <c r="E59" s="8"/>
      <c r="F59" s="8"/>
      <c r="G59" s="8"/>
      <c r="H59" s="201"/>
      <c r="I59" s="201"/>
      <c r="J59" s="8"/>
      <c r="K59" s="8"/>
      <c r="L59" s="8"/>
      <c r="M59" s="8"/>
      <c r="N59" s="8"/>
      <c r="O59" s="201"/>
      <c r="P59" s="201"/>
      <c r="Q59" s="8"/>
      <c r="R59" s="8"/>
      <c r="S59" s="8"/>
      <c r="T59" s="8"/>
      <c r="U59" s="8"/>
      <c r="V59" s="201"/>
      <c r="W59" s="201"/>
      <c r="X59" s="8"/>
      <c r="Y59" s="8"/>
      <c r="Z59" s="8"/>
      <c r="AA59" s="8"/>
      <c r="AB59" s="8"/>
      <c r="AC59" s="201"/>
      <c r="AD59" s="201"/>
      <c r="AE59" s="8"/>
      <c r="AF59" s="8"/>
      <c r="AG59" s="8"/>
      <c r="AH59" s="8"/>
      <c r="AI59" s="7"/>
      <c r="AJ59" s="69">
        <f t="shared" si="10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2"/>
      <c r="E60" s="200"/>
      <c r="F60" s="2"/>
      <c r="G60" s="2"/>
      <c r="H60" s="200"/>
      <c r="I60" s="200"/>
      <c r="J60" s="2"/>
      <c r="K60" s="2"/>
      <c r="L60" s="200"/>
      <c r="M60" s="2"/>
      <c r="N60" s="2"/>
      <c r="O60" s="200"/>
      <c r="P60" s="200"/>
      <c r="Q60" s="2"/>
      <c r="R60" s="2"/>
      <c r="S60" s="200"/>
      <c r="T60" s="2"/>
      <c r="U60" s="2"/>
      <c r="V60" s="200"/>
      <c r="W60" s="200"/>
      <c r="X60" s="2"/>
      <c r="Y60" s="2"/>
      <c r="Z60" s="200"/>
      <c r="AA60" s="2"/>
      <c r="AB60" s="2"/>
      <c r="AC60" s="200"/>
      <c r="AD60" s="200"/>
      <c r="AE60" s="2"/>
      <c r="AF60" s="2"/>
      <c r="AG60" s="200"/>
      <c r="AH60" s="2"/>
      <c r="AJ60" s="64">
        <f>SUM(D60:AH60)</f>
        <v>0</v>
      </c>
    </row>
    <row r="61" spans="2:36" ht="15.75" hidden="1" outlineLevel="1" thickTop="1" x14ac:dyDescent="0.25">
      <c r="B61" s="150"/>
      <c r="C61" s="1" t="s">
        <v>1</v>
      </c>
      <c r="D61" s="3"/>
      <c r="E61" s="3"/>
      <c r="F61" s="3"/>
      <c r="G61" s="3"/>
      <c r="H61" s="200"/>
      <c r="I61" s="200"/>
      <c r="J61" s="3"/>
      <c r="K61" s="3"/>
      <c r="L61" s="3"/>
      <c r="M61" s="3"/>
      <c r="N61" s="3"/>
      <c r="O61" s="200"/>
      <c r="P61" s="200"/>
      <c r="Q61" s="3"/>
      <c r="R61" s="3"/>
      <c r="S61" s="3"/>
      <c r="T61" s="3"/>
      <c r="U61" s="3"/>
      <c r="V61" s="200"/>
      <c r="W61" s="200"/>
      <c r="X61" s="3"/>
      <c r="Y61" s="3"/>
      <c r="Z61" s="3"/>
      <c r="AA61" s="3"/>
      <c r="AB61" s="3"/>
      <c r="AC61" s="200"/>
      <c r="AD61" s="200"/>
      <c r="AE61" s="3"/>
      <c r="AF61" s="3"/>
      <c r="AG61" s="3"/>
      <c r="AH61" s="3"/>
      <c r="AJ61" s="70">
        <f t="shared" ref="AJ61:AJ64" si="11">SUM(D61:AH61)</f>
        <v>0</v>
      </c>
    </row>
    <row r="62" spans="2:36" hidden="1" outlineLevel="1" x14ac:dyDescent="0.25">
      <c r="B62" s="151"/>
      <c r="C62" s="1" t="s">
        <v>2</v>
      </c>
      <c r="D62" s="4"/>
      <c r="E62" s="4"/>
      <c r="F62" s="4"/>
      <c r="G62" s="4"/>
      <c r="H62" s="200"/>
      <c r="I62" s="200"/>
      <c r="J62" s="4"/>
      <c r="K62" s="4"/>
      <c r="L62" s="4"/>
      <c r="M62" s="4"/>
      <c r="N62" s="4"/>
      <c r="O62" s="200"/>
      <c r="P62" s="200"/>
      <c r="Q62" s="4"/>
      <c r="R62" s="4"/>
      <c r="S62" s="4"/>
      <c r="T62" s="4"/>
      <c r="U62" s="4"/>
      <c r="V62" s="200"/>
      <c r="W62" s="200"/>
      <c r="X62" s="4"/>
      <c r="Y62" s="4"/>
      <c r="Z62" s="4"/>
      <c r="AA62" s="4"/>
      <c r="AB62" s="4"/>
      <c r="AC62" s="200"/>
      <c r="AD62" s="200"/>
      <c r="AE62" s="4"/>
      <c r="AF62" s="4"/>
      <c r="AG62" s="4"/>
      <c r="AH62" s="4"/>
      <c r="AJ62" s="71">
        <f t="shared" si="11"/>
        <v>0</v>
      </c>
    </row>
    <row r="63" spans="2:36" hidden="1" outlineLevel="1" x14ac:dyDescent="0.25">
      <c r="B63" s="151"/>
      <c r="C63" s="54" t="s">
        <v>77</v>
      </c>
      <c r="D63" s="5"/>
      <c r="E63" s="5"/>
      <c r="F63" s="5"/>
      <c r="G63" s="5"/>
      <c r="H63" s="200"/>
      <c r="I63" s="200"/>
      <c r="J63" s="5"/>
      <c r="K63" s="5"/>
      <c r="L63" s="5"/>
      <c r="M63" s="5"/>
      <c r="N63" s="5"/>
      <c r="O63" s="200"/>
      <c r="P63" s="200"/>
      <c r="Q63" s="5"/>
      <c r="R63" s="5"/>
      <c r="S63" s="5"/>
      <c r="T63" s="5"/>
      <c r="U63" s="5"/>
      <c r="V63" s="200"/>
      <c r="W63" s="200"/>
      <c r="X63" s="5"/>
      <c r="Y63" s="5"/>
      <c r="Z63" s="5"/>
      <c r="AA63" s="5"/>
      <c r="AB63" s="5"/>
      <c r="AC63" s="200"/>
      <c r="AD63" s="200"/>
      <c r="AE63" s="5"/>
      <c r="AF63" s="5"/>
      <c r="AG63" s="5"/>
      <c r="AH63" s="5"/>
      <c r="AJ63" s="72">
        <f t="shared" si="11"/>
        <v>0</v>
      </c>
    </row>
    <row r="64" spans="2:36" ht="15.75" hidden="1" outlineLevel="1" thickBot="1" x14ac:dyDescent="0.3">
      <c r="B64" s="151"/>
      <c r="C64" s="9" t="s">
        <v>3</v>
      </c>
      <c r="D64" s="8"/>
      <c r="E64" s="8"/>
      <c r="F64" s="8"/>
      <c r="G64" s="8"/>
      <c r="H64" s="201"/>
      <c r="I64" s="201"/>
      <c r="J64" s="8"/>
      <c r="K64" s="8"/>
      <c r="L64" s="8"/>
      <c r="M64" s="8"/>
      <c r="N64" s="8"/>
      <c r="O64" s="201"/>
      <c r="P64" s="201"/>
      <c r="Q64" s="8"/>
      <c r="R64" s="8"/>
      <c r="S64" s="8"/>
      <c r="T64" s="8"/>
      <c r="U64" s="8"/>
      <c r="V64" s="201"/>
      <c r="W64" s="201"/>
      <c r="X64" s="8"/>
      <c r="Y64" s="8"/>
      <c r="Z64" s="8"/>
      <c r="AA64" s="8"/>
      <c r="AB64" s="8"/>
      <c r="AC64" s="201"/>
      <c r="AD64" s="201"/>
      <c r="AE64" s="8"/>
      <c r="AF64" s="8"/>
      <c r="AG64" s="8"/>
      <c r="AH64" s="8"/>
      <c r="AI64" s="7"/>
      <c r="AJ64" s="69">
        <f t="shared" si="11"/>
        <v>0</v>
      </c>
    </row>
    <row r="65" spans="2:36" ht="16.5" collapsed="1" thickTop="1" thickBot="1" x14ac:dyDescent="0.3">
      <c r="B65" s="253" t="str">
        <f>'Hours Scheduled'!B16</f>
        <v>Jim van der Weijden</v>
      </c>
      <c r="C65" t="s">
        <v>0</v>
      </c>
      <c r="D65" s="2"/>
      <c r="E65" s="2"/>
      <c r="F65" s="2"/>
      <c r="G65" s="2"/>
      <c r="H65" s="200"/>
      <c r="I65" s="200"/>
      <c r="J65" s="2"/>
      <c r="K65" s="2"/>
      <c r="L65" s="2"/>
      <c r="M65" s="2"/>
      <c r="N65" s="2"/>
      <c r="O65" s="200"/>
      <c r="P65" s="200"/>
      <c r="Q65" s="2"/>
      <c r="R65" s="2"/>
      <c r="S65" s="2"/>
      <c r="T65" s="2"/>
      <c r="U65" s="2"/>
      <c r="V65" s="200"/>
      <c r="W65" s="200"/>
      <c r="X65" s="2"/>
      <c r="Y65" s="2"/>
      <c r="Z65" s="2"/>
      <c r="AA65" s="2"/>
      <c r="AB65" s="2"/>
      <c r="AC65" s="200"/>
      <c r="AD65" s="200"/>
      <c r="AE65" s="2"/>
      <c r="AF65" s="2"/>
      <c r="AG65" s="2"/>
      <c r="AH65" s="2"/>
      <c r="AJ65" s="64">
        <f>SUM(D65:AH65)</f>
        <v>0</v>
      </c>
    </row>
    <row r="66" spans="2:36" ht="15.75" hidden="1" outlineLevel="1" thickTop="1" x14ac:dyDescent="0.25">
      <c r="B66" s="150"/>
      <c r="C66" s="1" t="s">
        <v>1</v>
      </c>
      <c r="D66" s="3"/>
      <c r="E66" s="3"/>
      <c r="F66" s="3"/>
      <c r="G66" s="3"/>
      <c r="H66" s="200"/>
      <c r="I66" s="200"/>
      <c r="J66" s="3"/>
      <c r="K66" s="3"/>
      <c r="L66" s="3"/>
      <c r="M66" s="3"/>
      <c r="N66" s="3"/>
      <c r="O66" s="200"/>
      <c r="P66" s="200"/>
      <c r="Q66" s="3"/>
      <c r="R66" s="3"/>
      <c r="S66" s="3"/>
      <c r="T66" s="3"/>
      <c r="U66" s="3"/>
      <c r="V66" s="200"/>
      <c r="W66" s="200"/>
      <c r="X66" s="3"/>
      <c r="Y66" s="3"/>
      <c r="Z66" s="3"/>
      <c r="AA66" s="3"/>
      <c r="AB66" s="3"/>
      <c r="AC66" s="200"/>
      <c r="AD66" s="200"/>
      <c r="AE66" s="3"/>
      <c r="AF66" s="3"/>
      <c r="AG66" s="3"/>
      <c r="AH66" s="3"/>
      <c r="AJ66" s="70">
        <f t="shared" ref="AJ66:AJ69" si="12">SUM(D66:AH66)</f>
        <v>0</v>
      </c>
    </row>
    <row r="67" spans="2:36" hidden="1" outlineLevel="1" x14ac:dyDescent="0.25">
      <c r="B67" s="151"/>
      <c r="C67" s="1" t="s">
        <v>2</v>
      </c>
      <c r="D67" s="4"/>
      <c r="E67" s="4"/>
      <c r="F67" s="4"/>
      <c r="G67" s="4"/>
      <c r="H67" s="200"/>
      <c r="I67" s="200"/>
      <c r="J67" s="4"/>
      <c r="K67" s="4"/>
      <c r="L67" s="4"/>
      <c r="M67" s="4"/>
      <c r="N67" s="4"/>
      <c r="O67" s="200"/>
      <c r="P67" s="200"/>
      <c r="Q67" s="4"/>
      <c r="R67" s="4"/>
      <c r="S67" s="4"/>
      <c r="T67" s="4"/>
      <c r="U67" s="4"/>
      <c r="V67" s="200"/>
      <c r="W67" s="200"/>
      <c r="X67" s="4"/>
      <c r="Y67" s="4"/>
      <c r="Z67" s="4"/>
      <c r="AA67" s="4"/>
      <c r="AB67" s="4"/>
      <c r="AC67" s="200"/>
      <c r="AD67" s="200"/>
      <c r="AE67" s="4"/>
      <c r="AF67" s="4"/>
      <c r="AG67" s="4"/>
      <c r="AH67" s="4"/>
      <c r="AJ67" s="71">
        <f t="shared" si="12"/>
        <v>0</v>
      </c>
    </row>
    <row r="68" spans="2:36" hidden="1" outlineLevel="1" x14ac:dyDescent="0.25">
      <c r="B68" s="151"/>
      <c r="C68" s="54" t="s">
        <v>77</v>
      </c>
      <c r="D68" s="5"/>
      <c r="E68" s="5"/>
      <c r="F68" s="5"/>
      <c r="G68" s="5"/>
      <c r="H68" s="200"/>
      <c r="I68" s="200"/>
      <c r="J68" s="5"/>
      <c r="K68" s="5"/>
      <c r="L68" s="5"/>
      <c r="M68" s="5"/>
      <c r="N68" s="5"/>
      <c r="O68" s="200"/>
      <c r="P68" s="200"/>
      <c r="Q68" s="5"/>
      <c r="R68" s="5"/>
      <c r="S68" s="5"/>
      <c r="T68" s="5"/>
      <c r="U68" s="5"/>
      <c r="V68" s="200"/>
      <c r="W68" s="200"/>
      <c r="X68" s="5"/>
      <c r="Y68" s="5"/>
      <c r="Z68" s="5"/>
      <c r="AA68" s="5"/>
      <c r="AB68" s="5"/>
      <c r="AC68" s="200"/>
      <c r="AD68" s="200"/>
      <c r="AE68" s="5"/>
      <c r="AF68" s="5"/>
      <c r="AG68" s="5"/>
      <c r="AH68" s="5"/>
      <c r="AJ68" s="72">
        <f t="shared" si="12"/>
        <v>0</v>
      </c>
    </row>
    <row r="69" spans="2:36" ht="15.75" hidden="1" outlineLevel="1" thickBot="1" x14ac:dyDescent="0.3">
      <c r="B69" s="151"/>
      <c r="C69" s="9" t="s">
        <v>3</v>
      </c>
      <c r="D69" s="8"/>
      <c r="E69" s="8"/>
      <c r="F69" s="8"/>
      <c r="G69" s="8"/>
      <c r="H69" s="201"/>
      <c r="I69" s="201"/>
      <c r="J69" s="8"/>
      <c r="K69" s="8"/>
      <c r="L69" s="8"/>
      <c r="M69" s="8"/>
      <c r="N69" s="8"/>
      <c r="O69" s="201"/>
      <c r="P69" s="201"/>
      <c r="Q69" s="8"/>
      <c r="R69" s="8"/>
      <c r="S69" s="8"/>
      <c r="T69" s="8"/>
      <c r="U69" s="8"/>
      <c r="V69" s="201"/>
      <c r="W69" s="201"/>
      <c r="X69" s="8"/>
      <c r="Y69" s="8"/>
      <c r="Z69" s="8"/>
      <c r="AA69" s="8"/>
      <c r="AB69" s="8"/>
      <c r="AC69" s="201"/>
      <c r="AD69" s="201"/>
      <c r="AE69" s="8"/>
      <c r="AF69" s="8"/>
      <c r="AG69" s="8"/>
      <c r="AH69" s="8"/>
      <c r="AI69" s="7"/>
      <c r="AJ69" s="69">
        <f t="shared" si="1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2"/>
      <c r="E70" s="2"/>
      <c r="F70" s="2"/>
      <c r="G70" s="2"/>
      <c r="H70" s="200"/>
      <c r="I70" s="200"/>
      <c r="J70" s="2"/>
      <c r="K70" s="2"/>
      <c r="L70" s="2"/>
      <c r="M70" s="2"/>
      <c r="N70" s="2"/>
      <c r="O70" s="200"/>
      <c r="P70" s="200"/>
      <c r="Q70" s="2"/>
      <c r="R70" s="2"/>
      <c r="S70" s="2"/>
      <c r="T70" s="2"/>
      <c r="U70" s="2"/>
      <c r="V70" s="200"/>
      <c r="W70" s="200"/>
      <c r="X70" s="2"/>
      <c r="Y70" s="2"/>
      <c r="Z70" s="2"/>
      <c r="AA70" s="2"/>
      <c r="AB70" s="2"/>
      <c r="AC70" s="200"/>
      <c r="AD70" s="200"/>
      <c r="AE70" s="2"/>
      <c r="AF70" s="2"/>
      <c r="AG70" s="2"/>
      <c r="AH70" s="2"/>
      <c r="AJ70" s="64">
        <f>SUM(D70:AH70)</f>
        <v>0</v>
      </c>
    </row>
    <row r="71" spans="2:36" ht="15.75" hidden="1" outlineLevel="1" thickTop="1" x14ac:dyDescent="0.25">
      <c r="B71" s="150"/>
      <c r="C71" s="1" t="s">
        <v>1</v>
      </c>
      <c r="D71" s="3"/>
      <c r="E71" s="3"/>
      <c r="F71" s="3"/>
      <c r="G71" s="3"/>
      <c r="H71" s="200"/>
      <c r="I71" s="200"/>
      <c r="J71" s="3"/>
      <c r="K71" s="3"/>
      <c r="L71" s="3"/>
      <c r="M71" s="3"/>
      <c r="N71" s="3"/>
      <c r="O71" s="200"/>
      <c r="P71" s="200"/>
      <c r="Q71" s="3"/>
      <c r="R71" s="3"/>
      <c r="S71" s="3"/>
      <c r="T71" s="3"/>
      <c r="U71" s="3"/>
      <c r="V71" s="200"/>
      <c r="W71" s="200"/>
      <c r="X71" s="3"/>
      <c r="Y71" s="3"/>
      <c r="Z71" s="3"/>
      <c r="AA71" s="3"/>
      <c r="AB71" s="3"/>
      <c r="AC71" s="200"/>
      <c r="AD71" s="200"/>
      <c r="AE71" s="3"/>
      <c r="AF71" s="3"/>
      <c r="AG71" s="3"/>
      <c r="AH71" s="3"/>
      <c r="AJ71" s="70">
        <f t="shared" ref="AJ71:AJ74" si="13">SUM(D71:AH71)</f>
        <v>0</v>
      </c>
    </row>
    <row r="72" spans="2:36" hidden="1" outlineLevel="1" x14ac:dyDescent="0.25">
      <c r="B72" s="151"/>
      <c r="C72" s="1" t="s">
        <v>2</v>
      </c>
      <c r="D72" s="4"/>
      <c r="E72" s="4"/>
      <c r="F72" s="4"/>
      <c r="G72" s="4"/>
      <c r="H72" s="200"/>
      <c r="I72" s="200"/>
      <c r="J72" s="4"/>
      <c r="K72" s="4"/>
      <c r="L72" s="4"/>
      <c r="M72" s="4"/>
      <c r="N72" s="4"/>
      <c r="O72" s="200"/>
      <c r="P72" s="200"/>
      <c r="Q72" s="4"/>
      <c r="R72" s="4"/>
      <c r="S72" s="4"/>
      <c r="T72" s="4"/>
      <c r="U72" s="4"/>
      <c r="V72" s="200"/>
      <c r="W72" s="200"/>
      <c r="X72" s="4"/>
      <c r="Y72" s="4"/>
      <c r="Z72" s="4"/>
      <c r="AA72" s="4"/>
      <c r="AB72" s="4"/>
      <c r="AC72" s="200"/>
      <c r="AD72" s="200"/>
      <c r="AE72" s="4"/>
      <c r="AF72" s="4"/>
      <c r="AG72" s="4"/>
      <c r="AH72" s="4"/>
      <c r="AJ72" s="71">
        <f t="shared" si="13"/>
        <v>0</v>
      </c>
    </row>
    <row r="73" spans="2:36" hidden="1" outlineLevel="1" x14ac:dyDescent="0.25">
      <c r="B73" s="151"/>
      <c r="C73" s="54" t="s">
        <v>77</v>
      </c>
      <c r="D73" s="5"/>
      <c r="E73" s="5"/>
      <c r="F73" s="5"/>
      <c r="G73" s="5"/>
      <c r="H73" s="200"/>
      <c r="I73" s="200"/>
      <c r="J73" s="5"/>
      <c r="K73" s="5"/>
      <c r="L73" s="5"/>
      <c r="M73" s="5"/>
      <c r="N73" s="5"/>
      <c r="O73" s="200"/>
      <c r="P73" s="200"/>
      <c r="Q73" s="5"/>
      <c r="R73" s="5"/>
      <c r="S73" s="5"/>
      <c r="T73" s="5"/>
      <c r="U73" s="5"/>
      <c r="V73" s="200"/>
      <c r="W73" s="200"/>
      <c r="X73" s="5"/>
      <c r="Y73" s="5"/>
      <c r="Z73" s="5"/>
      <c r="AA73" s="5"/>
      <c r="AB73" s="5"/>
      <c r="AC73" s="200"/>
      <c r="AD73" s="200"/>
      <c r="AE73" s="5"/>
      <c r="AF73" s="5"/>
      <c r="AG73" s="5"/>
      <c r="AH73" s="5"/>
      <c r="AJ73" s="72">
        <f t="shared" si="13"/>
        <v>0</v>
      </c>
    </row>
    <row r="74" spans="2:36" ht="15.75" hidden="1" outlineLevel="1" thickBot="1" x14ac:dyDescent="0.3">
      <c r="B74" s="151"/>
      <c r="C74" s="9" t="s">
        <v>3</v>
      </c>
      <c r="D74" s="8"/>
      <c r="E74" s="8"/>
      <c r="F74" s="8"/>
      <c r="G74" s="8"/>
      <c r="H74" s="201"/>
      <c r="I74" s="201"/>
      <c r="J74" s="8"/>
      <c r="K74" s="8"/>
      <c r="L74" s="8"/>
      <c r="M74" s="8"/>
      <c r="N74" s="8"/>
      <c r="O74" s="201"/>
      <c r="P74" s="201"/>
      <c r="Q74" s="8"/>
      <c r="R74" s="8"/>
      <c r="S74" s="8"/>
      <c r="T74" s="8"/>
      <c r="U74" s="8"/>
      <c r="V74" s="201"/>
      <c r="W74" s="201"/>
      <c r="X74" s="8"/>
      <c r="Y74" s="8"/>
      <c r="Z74" s="8"/>
      <c r="AA74" s="8"/>
      <c r="AB74" s="8"/>
      <c r="AC74" s="201"/>
      <c r="AD74" s="201"/>
      <c r="AE74" s="8"/>
      <c r="AF74" s="8"/>
      <c r="AG74" s="8"/>
      <c r="AH74" s="8"/>
      <c r="AI74" s="7"/>
      <c r="AJ74" s="69">
        <f t="shared" si="13"/>
        <v>0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2"/>
      <c r="E75" s="2"/>
      <c r="F75" s="2"/>
      <c r="G75" s="2"/>
      <c r="H75" s="200"/>
      <c r="I75" s="200"/>
      <c r="J75" s="2"/>
      <c r="K75" s="2"/>
      <c r="L75" s="2"/>
      <c r="M75" s="2"/>
      <c r="N75" s="2"/>
      <c r="O75" s="200"/>
      <c r="P75" s="200"/>
      <c r="Q75" s="2"/>
      <c r="R75" s="2"/>
      <c r="S75" s="2"/>
      <c r="T75" s="2"/>
      <c r="U75" s="2"/>
      <c r="V75" s="200"/>
      <c r="W75" s="200"/>
      <c r="X75" s="2"/>
      <c r="Y75" s="2"/>
      <c r="Z75" s="2"/>
      <c r="AA75" s="2"/>
      <c r="AB75" s="2"/>
      <c r="AC75" s="200"/>
      <c r="AD75" s="200"/>
      <c r="AE75" s="2"/>
      <c r="AF75" s="2"/>
      <c r="AG75" s="2"/>
      <c r="AH75" s="2"/>
      <c r="AJ75" s="64">
        <f>SUM(D75:AH75)</f>
        <v>0</v>
      </c>
    </row>
    <row r="76" spans="2:36" ht="15.75" hidden="1" outlineLevel="1" thickTop="1" x14ac:dyDescent="0.25">
      <c r="B76" s="150"/>
      <c r="C76" s="1" t="s">
        <v>1</v>
      </c>
      <c r="D76" s="3"/>
      <c r="E76" s="3"/>
      <c r="F76" s="3"/>
      <c r="G76" s="3"/>
      <c r="H76" s="200"/>
      <c r="I76" s="200"/>
      <c r="J76" s="3"/>
      <c r="K76" s="3"/>
      <c r="L76" s="3"/>
      <c r="M76" s="3"/>
      <c r="N76" s="3"/>
      <c r="O76" s="200"/>
      <c r="P76" s="200"/>
      <c r="Q76" s="3"/>
      <c r="R76" s="3"/>
      <c r="S76" s="3"/>
      <c r="T76" s="3"/>
      <c r="U76" s="3"/>
      <c r="V76" s="200"/>
      <c r="W76" s="200"/>
      <c r="X76" s="3"/>
      <c r="Y76" s="3"/>
      <c r="Z76" s="3"/>
      <c r="AA76" s="3"/>
      <c r="AB76" s="3"/>
      <c r="AC76" s="200"/>
      <c r="AD76" s="200"/>
      <c r="AE76" s="3"/>
      <c r="AF76" s="3"/>
      <c r="AG76" s="3"/>
      <c r="AH76" s="3"/>
      <c r="AJ76" s="70">
        <f t="shared" ref="AJ76:AJ79" si="14">SUM(D76:AH76)</f>
        <v>0</v>
      </c>
    </row>
    <row r="77" spans="2:36" hidden="1" outlineLevel="1" x14ac:dyDescent="0.25">
      <c r="B77" s="151"/>
      <c r="C77" s="1" t="s">
        <v>2</v>
      </c>
      <c r="D77" s="4"/>
      <c r="E77" s="4"/>
      <c r="F77" s="4"/>
      <c r="G77" s="4"/>
      <c r="H77" s="200"/>
      <c r="I77" s="200"/>
      <c r="J77" s="4"/>
      <c r="K77" s="4"/>
      <c r="L77" s="4"/>
      <c r="M77" s="4"/>
      <c r="N77" s="4"/>
      <c r="O77" s="200"/>
      <c r="P77" s="200"/>
      <c r="Q77" s="4"/>
      <c r="R77" s="4"/>
      <c r="S77" s="4"/>
      <c r="T77" s="4"/>
      <c r="U77" s="4"/>
      <c r="V77" s="200"/>
      <c r="W77" s="200"/>
      <c r="X77" s="4"/>
      <c r="Y77" s="4"/>
      <c r="Z77" s="4"/>
      <c r="AA77" s="4"/>
      <c r="AB77" s="4"/>
      <c r="AC77" s="200"/>
      <c r="AD77" s="200"/>
      <c r="AE77" s="4"/>
      <c r="AF77" s="4"/>
      <c r="AG77" s="4"/>
      <c r="AH77" s="4"/>
      <c r="AJ77" s="71">
        <f t="shared" si="14"/>
        <v>0</v>
      </c>
    </row>
    <row r="78" spans="2:36" hidden="1" outlineLevel="1" x14ac:dyDescent="0.25">
      <c r="B78" s="151"/>
      <c r="C78" s="54" t="s">
        <v>77</v>
      </c>
      <c r="D78" s="5"/>
      <c r="E78" s="5"/>
      <c r="F78" s="5"/>
      <c r="G78" s="5"/>
      <c r="H78" s="200"/>
      <c r="I78" s="200"/>
      <c r="J78" s="5"/>
      <c r="K78" s="5"/>
      <c r="L78" s="5"/>
      <c r="M78" s="5"/>
      <c r="N78" s="5"/>
      <c r="O78" s="200"/>
      <c r="P78" s="200"/>
      <c r="Q78" s="5"/>
      <c r="R78" s="5"/>
      <c r="S78" s="5"/>
      <c r="T78" s="5"/>
      <c r="U78" s="5"/>
      <c r="V78" s="200"/>
      <c r="W78" s="200"/>
      <c r="X78" s="5"/>
      <c r="Y78" s="5"/>
      <c r="Z78" s="5"/>
      <c r="AA78" s="5"/>
      <c r="AB78" s="5"/>
      <c r="AC78" s="200"/>
      <c r="AD78" s="200"/>
      <c r="AE78" s="5"/>
      <c r="AF78" s="5"/>
      <c r="AG78" s="5"/>
      <c r="AH78" s="5"/>
      <c r="AJ78" s="72">
        <f t="shared" si="14"/>
        <v>0</v>
      </c>
    </row>
    <row r="79" spans="2:36" ht="15.75" hidden="1" outlineLevel="1" thickBot="1" x14ac:dyDescent="0.3">
      <c r="B79" s="151"/>
      <c r="C79" s="9" t="s">
        <v>3</v>
      </c>
      <c r="D79" s="8"/>
      <c r="E79" s="8"/>
      <c r="F79" s="8"/>
      <c r="G79" s="8"/>
      <c r="H79" s="201"/>
      <c r="I79" s="201"/>
      <c r="J79" s="8"/>
      <c r="K79" s="8"/>
      <c r="L79" s="8"/>
      <c r="M79" s="8"/>
      <c r="N79" s="8"/>
      <c r="O79" s="201"/>
      <c r="P79" s="201"/>
      <c r="Q79" s="8"/>
      <c r="R79" s="8"/>
      <c r="S79" s="8"/>
      <c r="T79" s="8"/>
      <c r="U79" s="8"/>
      <c r="V79" s="201"/>
      <c r="W79" s="201"/>
      <c r="X79" s="8"/>
      <c r="Y79" s="8"/>
      <c r="Z79" s="8"/>
      <c r="AA79" s="8"/>
      <c r="AB79" s="8"/>
      <c r="AC79" s="201"/>
      <c r="AD79" s="201"/>
      <c r="AE79" s="8"/>
      <c r="AF79" s="8"/>
      <c r="AG79" s="8"/>
      <c r="AH79" s="8"/>
      <c r="AI79" s="7"/>
      <c r="AJ79" s="69">
        <f t="shared" si="14"/>
        <v>0</v>
      </c>
    </row>
    <row r="80" spans="2:36" ht="16.5" collapsed="1" thickTop="1" thickBot="1" x14ac:dyDescent="0.3">
      <c r="B80" s="253" t="str">
        <f>'Hours Scheduled'!B19</f>
        <v>Loek Moling</v>
      </c>
      <c r="C80" t="s">
        <v>0</v>
      </c>
      <c r="D80" s="2"/>
      <c r="E80" s="2"/>
      <c r="F80" s="2"/>
      <c r="G80" s="2"/>
      <c r="H80" s="200"/>
      <c r="I80" s="200"/>
      <c r="J80" s="2"/>
      <c r="K80" s="2"/>
      <c r="L80" s="2"/>
      <c r="M80" s="2"/>
      <c r="N80" s="2"/>
      <c r="O80" s="200"/>
      <c r="P80" s="200"/>
      <c r="Q80" s="2"/>
      <c r="R80" s="2"/>
      <c r="S80" s="2"/>
      <c r="T80" s="2"/>
      <c r="U80" s="2"/>
      <c r="V80" s="200"/>
      <c r="W80" s="200"/>
      <c r="X80" s="2"/>
      <c r="Y80" s="2"/>
      <c r="Z80" s="2"/>
      <c r="AA80" s="2"/>
      <c r="AB80" s="2"/>
      <c r="AC80" s="200"/>
      <c r="AD80" s="200"/>
      <c r="AE80" s="2"/>
      <c r="AF80" s="2"/>
      <c r="AG80" s="2"/>
      <c r="AH80" s="2"/>
      <c r="AJ80" s="64">
        <f>SUM(D80:AH80)</f>
        <v>0</v>
      </c>
    </row>
    <row r="81" spans="2:36" ht="15.75" hidden="1" outlineLevel="1" thickTop="1" x14ac:dyDescent="0.25">
      <c r="B81" s="150"/>
      <c r="C81" s="1" t="s">
        <v>1</v>
      </c>
      <c r="D81" s="3"/>
      <c r="E81" s="3"/>
      <c r="F81" s="3"/>
      <c r="G81" s="3"/>
      <c r="H81" s="200"/>
      <c r="I81" s="200"/>
      <c r="J81" s="3"/>
      <c r="K81" s="3"/>
      <c r="L81" s="3"/>
      <c r="M81" s="3"/>
      <c r="N81" s="3"/>
      <c r="O81" s="200"/>
      <c r="P81" s="200"/>
      <c r="Q81" s="3"/>
      <c r="R81" s="3"/>
      <c r="S81" s="3"/>
      <c r="T81" s="3"/>
      <c r="U81" s="3"/>
      <c r="V81" s="200"/>
      <c r="W81" s="200"/>
      <c r="X81" s="3"/>
      <c r="Y81" s="3"/>
      <c r="Z81" s="3"/>
      <c r="AA81" s="3"/>
      <c r="AB81" s="3"/>
      <c r="AC81" s="200"/>
      <c r="AD81" s="200"/>
      <c r="AE81" s="3"/>
      <c r="AF81" s="3"/>
      <c r="AG81" s="3"/>
      <c r="AH81" s="3"/>
      <c r="AJ81" s="70">
        <f t="shared" ref="AJ81:AJ84" si="15">SUM(D81:AH81)</f>
        <v>0</v>
      </c>
    </row>
    <row r="82" spans="2:36" hidden="1" outlineLevel="1" x14ac:dyDescent="0.25">
      <c r="B82" s="151"/>
      <c r="C82" s="1" t="s">
        <v>2</v>
      </c>
      <c r="D82" s="4"/>
      <c r="E82" s="4"/>
      <c r="F82" s="4"/>
      <c r="G82" s="4"/>
      <c r="H82" s="200"/>
      <c r="I82" s="200"/>
      <c r="J82" s="4"/>
      <c r="K82" s="4"/>
      <c r="L82" s="4"/>
      <c r="M82" s="4"/>
      <c r="N82" s="4"/>
      <c r="O82" s="200"/>
      <c r="P82" s="200"/>
      <c r="Q82" s="4"/>
      <c r="R82" s="4"/>
      <c r="S82" s="4"/>
      <c r="T82" s="4"/>
      <c r="U82" s="4"/>
      <c r="V82" s="200"/>
      <c r="W82" s="200"/>
      <c r="X82" s="4"/>
      <c r="Y82" s="4"/>
      <c r="Z82" s="4"/>
      <c r="AA82" s="4"/>
      <c r="AB82" s="4"/>
      <c r="AC82" s="200"/>
      <c r="AD82" s="200"/>
      <c r="AE82" s="4"/>
      <c r="AF82" s="4"/>
      <c r="AG82" s="4"/>
      <c r="AH82" s="4"/>
      <c r="AJ82" s="71">
        <f t="shared" si="15"/>
        <v>0</v>
      </c>
    </row>
    <row r="83" spans="2:36" hidden="1" outlineLevel="1" x14ac:dyDescent="0.25">
      <c r="B83" s="151"/>
      <c r="C83" s="54" t="s">
        <v>77</v>
      </c>
      <c r="D83" s="5"/>
      <c r="E83" s="5"/>
      <c r="F83" s="5"/>
      <c r="G83" s="5"/>
      <c r="H83" s="200"/>
      <c r="I83" s="200"/>
      <c r="J83" s="5"/>
      <c r="K83" s="5"/>
      <c r="L83" s="5"/>
      <c r="M83" s="5"/>
      <c r="N83" s="5"/>
      <c r="O83" s="200"/>
      <c r="P83" s="200"/>
      <c r="Q83" s="5"/>
      <c r="R83" s="5"/>
      <c r="S83" s="5"/>
      <c r="T83" s="5"/>
      <c r="U83" s="5"/>
      <c r="V83" s="200"/>
      <c r="W83" s="200"/>
      <c r="X83" s="5"/>
      <c r="Y83" s="5"/>
      <c r="Z83" s="5"/>
      <c r="AA83" s="5"/>
      <c r="AB83" s="5"/>
      <c r="AC83" s="200"/>
      <c r="AD83" s="200"/>
      <c r="AE83" s="5"/>
      <c r="AF83" s="5"/>
      <c r="AG83" s="5"/>
      <c r="AH83" s="5"/>
      <c r="AJ83" s="72">
        <f t="shared" si="15"/>
        <v>0</v>
      </c>
    </row>
    <row r="84" spans="2:36" ht="15.75" hidden="1" outlineLevel="1" thickBot="1" x14ac:dyDescent="0.3">
      <c r="B84" s="151"/>
      <c r="C84" s="9" t="s">
        <v>3</v>
      </c>
      <c r="D84" s="8"/>
      <c r="E84" s="8"/>
      <c r="F84" s="8"/>
      <c r="G84" s="8"/>
      <c r="H84" s="201"/>
      <c r="I84" s="201"/>
      <c r="J84" s="8"/>
      <c r="K84" s="8"/>
      <c r="L84" s="8"/>
      <c r="M84" s="8"/>
      <c r="N84" s="8"/>
      <c r="O84" s="201"/>
      <c r="P84" s="201"/>
      <c r="Q84" s="8"/>
      <c r="R84" s="8"/>
      <c r="S84" s="8"/>
      <c r="T84" s="8"/>
      <c r="U84" s="8"/>
      <c r="V84" s="201"/>
      <c r="W84" s="201"/>
      <c r="X84" s="8"/>
      <c r="Y84" s="8"/>
      <c r="Z84" s="8"/>
      <c r="AA84" s="8"/>
      <c r="AB84" s="8"/>
      <c r="AC84" s="201"/>
      <c r="AD84" s="201"/>
      <c r="AE84" s="8"/>
      <c r="AF84" s="8"/>
      <c r="AG84" s="8"/>
      <c r="AH84" s="8"/>
      <c r="AI84" s="7"/>
      <c r="AJ84" s="69">
        <f t="shared" si="15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2"/>
      <c r="E85" s="2"/>
      <c r="F85" s="2"/>
      <c r="G85" s="2"/>
      <c r="H85" s="200"/>
      <c r="I85" s="200"/>
      <c r="J85" s="2"/>
      <c r="K85" s="2"/>
      <c r="L85" s="2"/>
      <c r="M85" s="2"/>
      <c r="N85" s="2"/>
      <c r="O85" s="200"/>
      <c r="P85" s="200"/>
      <c r="Q85" s="2"/>
      <c r="R85" s="2"/>
      <c r="S85" s="2"/>
      <c r="T85" s="2"/>
      <c r="U85" s="2"/>
      <c r="V85" s="200"/>
      <c r="W85" s="200"/>
      <c r="X85" s="2"/>
      <c r="Y85" s="2"/>
      <c r="Z85" s="2"/>
      <c r="AA85" s="2"/>
      <c r="AB85" s="2"/>
      <c r="AC85" s="200"/>
      <c r="AD85" s="200"/>
      <c r="AE85" s="2"/>
      <c r="AF85" s="2"/>
      <c r="AG85" s="2"/>
      <c r="AH85" s="2"/>
      <c r="AJ85" s="64">
        <f>SUM(D85:AH85)</f>
        <v>0</v>
      </c>
    </row>
    <row r="86" spans="2:36" ht="15.75" hidden="1" outlineLevel="1" thickTop="1" x14ac:dyDescent="0.25">
      <c r="B86" s="150"/>
      <c r="C86" s="1" t="s">
        <v>1</v>
      </c>
      <c r="D86" s="3"/>
      <c r="E86" s="3"/>
      <c r="F86" s="3"/>
      <c r="G86" s="3"/>
      <c r="H86" s="200"/>
      <c r="I86" s="200"/>
      <c r="J86" s="3"/>
      <c r="K86" s="3"/>
      <c r="L86" s="3"/>
      <c r="M86" s="3"/>
      <c r="N86" s="3"/>
      <c r="O86" s="200"/>
      <c r="P86" s="200"/>
      <c r="Q86" s="3"/>
      <c r="R86" s="3"/>
      <c r="S86" s="3"/>
      <c r="T86" s="3"/>
      <c r="U86" s="3"/>
      <c r="V86" s="200"/>
      <c r="W86" s="200"/>
      <c r="X86" s="3"/>
      <c r="Y86" s="3"/>
      <c r="Z86" s="3"/>
      <c r="AA86" s="3"/>
      <c r="AB86" s="3"/>
      <c r="AC86" s="200"/>
      <c r="AD86" s="200"/>
      <c r="AE86" s="3"/>
      <c r="AF86" s="3"/>
      <c r="AG86" s="3"/>
      <c r="AH86" s="3"/>
      <c r="AJ86" s="70">
        <f t="shared" ref="AJ86:AJ89" si="16">SUM(D86:AH86)</f>
        <v>0</v>
      </c>
    </row>
    <row r="87" spans="2:36" hidden="1" outlineLevel="1" x14ac:dyDescent="0.25">
      <c r="B87" s="151"/>
      <c r="C87" s="1" t="s">
        <v>2</v>
      </c>
      <c r="D87" s="4"/>
      <c r="E87" s="4"/>
      <c r="F87" s="4"/>
      <c r="G87" s="4"/>
      <c r="H87" s="200"/>
      <c r="I87" s="200"/>
      <c r="J87" s="4"/>
      <c r="K87" s="4"/>
      <c r="L87" s="4"/>
      <c r="M87" s="4"/>
      <c r="N87" s="4"/>
      <c r="O87" s="200"/>
      <c r="P87" s="200"/>
      <c r="Q87" s="4"/>
      <c r="R87" s="4"/>
      <c r="S87" s="4"/>
      <c r="T87" s="4"/>
      <c r="U87" s="4"/>
      <c r="V87" s="200"/>
      <c r="W87" s="200"/>
      <c r="X87" s="4"/>
      <c r="Y87" s="4"/>
      <c r="Z87" s="4"/>
      <c r="AA87" s="4"/>
      <c r="AB87" s="4"/>
      <c r="AC87" s="200"/>
      <c r="AD87" s="200"/>
      <c r="AE87" s="4"/>
      <c r="AF87" s="4"/>
      <c r="AG87" s="4"/>
      <c r="AH87" s="4"/>
      <c r="AJ87" s="71">
        <f t="shared" si="16"/>
        <v>0</v>
      </c>
    </row>
    <row r="88" spans="2:36" hidden="1" outlineLevel="1" x14ac:dyDescent="0.25">
      <c r="B88" s="151"/>
      <c r="C88" s="54" t="s">
        <v>77</v>
      </c>
      <c r="D88" s="5"/>
      <c r="E88" s="5"/>
      <c r="F88" s="5"/>
      <c r="G88" s="5"/>
      <c r="H88" s="200"/>
      <c r="I88" s="200"/>
      <c r="J88" s="5"/>
      <c r="K88" s="5"/>
      <c r="L88" s="5"/>
      <c r="M88" s="5"/>
      <c r="N88" s="5"/>
      <c r="O88" s="200"/>
      <c r="P88" s="200"/>
      <c r="Q88" s="5"/>
      <c r="R88" s="5"/>
      <c r="S88" s="5"/>
      <c r="T88" s="5"/>
      <c r="U88" s="5"/>
      <c r="V88" s="200"/>
      <c r="W88" s="200"/>
      <c r="X88" s="5"/>
      <c r="Y88" s="5"/>
      <c r="Z88" s="5"/>
      <c r="AA88" s="5"/>
      <c r="AB88" s="5"/>
      <c r="AC88" s="200"/>
      <c r="AD88" s="200"/>
      <c r="AE88" s="5"/>
      <c r="AF88" s="5"/>
      <c r="AG88" s="5"/>
      <c r="AH88" s="5"/>
      <c r="AJ88" s="72">
        <f t="shared" si="16"/>
        <v>0</v>
      </c>
    </row>
    <row r="89" spans="2:36" ht="15.75" hidden="1" outlineLevel="1" thickBot="1" x14ac:dyDescent="0.3">
      <c r="B89" s="151"/>
      <c r="C89" s="9" t="s">
        <v>3</v>
      </c>
      <c r="D89" s="8"/>
      <c r="E89" s="8"/>
      <c r="F89" s="8"/>
      <c r="G89" s="8"/>
      <c r="H89" s="201"/>
      <c r="I89" s="201"/>
      <c r="J89" s="8"/>
      <c r="K89" s="8"/>
      <c r="L89" s="8"/>
      <c r="M89" s="8"/>
      <c r="N89" s="8"/>
      <c r="O89" s="201"/>
      <c r="P89" s="201"/>
      <c r="Q89" s="8"/>
      <c r="R89" s="8"/>
      <c r="S89" s="8"/>
      <c r="T89" s="8"/>
      <c r="U89" s="8"/>
      <c r="V89" s="201"/>
      <c r="W89" s="201"/>
      <c r="X89" s="8"/>
      <c r="Y89" s="8"/>
      <c r="Z89" s="8"/>
      <c r="AA89" s="8"/>
      <c r="AB89" s="8"/>
      <c r="AC89" s="201"/>
      <c r="AD89" s="201"/>
      <c r="AE89" s="8"/>
      <c r="AF89" s="8"/>
      <c r="AG89" s="8"/>
      <c r="AH89" s="8"/>
      <c r="AI89" s="7"/>
      <c r="AJ89" s="69">
        <f t="shared" si="16"/>
        <v>0</v>
      </c>
    </row>
    <row r="90" spans="2:36" ht="16.5" collapsed="1" thickTop="1" thickBot="1" x14ac:dyDescent="0.3">
      <c r="B90" s="253" t="str">
        <f>'Hours Scheduled'!B21</f>
        <v>Manuel Sperti</v>
      </c>
      <c r="C90" t="s">
        <v>0</v>
      </c>
      <c r="D90" s="2"/>
      <c r="E90" s="2"/>
      <c r="F90" s="2"/>
      <c r="G90" s="2"/>
      <c r="H90" s="200"/>
      <c r="I90" s="200"/>
      <c r="J90" s="2"/>
      <c r="K90" s="2"/>
      <c r="L90" s="2"/>
      <c r="M90" s="2"/>
      <c r="N90" s="2"/>
      <c r="O90" s="200"/>
      <c r="P90" s="200"/>
      <c r="Q90" s="2"/>
      <c r="R90" s="2"/>
      <c r="S90" s="2"/>
      <c r="T90" s="2"/>
      <c r="U90" s="2"/>
      <c r="V90" s="200"/>
      <c r="W90" s="200"/>
      <c r="X90" s="2"/>
      <c r="Y90" s="2"/>
      <c r="Z90" s="2"/>
      <c r="AA90" s="2"/>
      <c r="AB90" s="2"/>
      <c r="AC90" s="200"/>
      <c r="AD90" s="200"/>
      <c r="AE90" s="2"/>
      <c r="AF90" s="2"/>
      <c r="AG90" s="2"/>
      <c r="AH90" s="2"/>
      <c r="AJ90" s="64">
        <f>SUM(D90:AH90)</f>
        <v>0</v>
      </c>
    </row>
    <row r="91" spans="2:36" ht="15.75" hidden="1" outlineLevel="1" thickTop="1" x14ac:dyDescent="0.25">
      <c r="B91" s="150"/>
      <c r="C91" s="1" t="s">
        <v>1</v>
      </c>
      <c r="D91" s="3"/>
      <c r="E91" s="3"/>
      <c r="F91" s="3"/>
      <c r="G91" s="3"/>
      <c r="H91" s="200"/>
      <c r="I91" s="200"/>
      <c r="J91" s="3"/>
      <c r="K91" s="3"/>
      <c r="L91" s="3"/>
      <c r="M91" s="3"/>
      <c r="N91" s="3"/>
      <c r="O91" s="200"/>
      <c r="P91" s="200"/>
      <c r="Q91" s="3"/>
      <c r="R91" s="3"/>
      <c r="S91" s="3"/>
      <c r="T91" s="3"/>
      <c r="U91" s="3"/>
      <c r="V91" s="200"/>
      <c r="W91" s="200"/>
      <c r="X91" s="3"/>
      <c r="Y91" s="3"/>
      <c r="Z91" s="3"/>
      <c r="AA91" s="3"/>
      <c r="AB91" s="3"/>
      <c r="AC91" s="200"/>
      <c r="AD91" s="200"/>
      <c r="AE91" s="3"/>
      <c r="AF91" s="3"/>
      <c r="AG91" s="3"/>
      <c r="AH91" s="3"/>
      <c r="AJ91" s="70">
        <f t="shared" ref="AJ91:AJ94" si="17">SUM(D91:AH91)</f>
        <v>0</v>
      </c>
    </row>
    <row r="92" spans="2:36" hidden="1" outlineLevel="1" x14ac:dyDescent="0.25">
      <c r="B92" s="151"/>
      <c r="C92" s="1" t="s">
        <v>2</v>
      </c>
      <c r="D92" s="4"/>
      <c r="E92" s="4"/>
      <c r="F92" s="4"/>
      <c r="G92" s="4"/>
      <c r="H92" s="200"/>
      <c r="I92" s="200"/>
      <c r="J92" s="4"/>
      <c r="K92" s="4"/>
      <c r="L92" s="4"/>
      <c r="M92" s="4"/>
      <c r="N92" s="4"/>
      <c r="O92" s="200"/>
      <c r="P92" s="200"/>
      <c r="Q92" s="4"/>
      <c r="R92" s="4"/>
      <c r="S92" s="4"/>
      <c r="T92" s="4"/>
      <c r="U92" s="4"/>
      <c r="V92" s="200"/>
      <c r="W92" s="200"/>
      <c r="X92" s="4"/>
      <c r="Y92" s="4"/>
      <c r="Z92" s="4"/>
      <c r="AA92" s="4"/>
      <c r="AB92" s="4"/>
      <c r="AC92" s="200"/>
      <c r="AD92" s="200"/>
      <c r="AE92" s="4"/>
      <c r="AF92" s="4"/>
      <c r="AG92" s="4"/>
      <c r="AH92" s="4"/>
      <c r="AJ92" s="71">
        <f t="shared" si="17"/>
        <v>0</v>
      </c>
    </row>
    <row r="93" spans="2:36" hidden="1" outlineLevel="1" x14ac:dyDescent="0.25">
      <c r="B93" s="151"/>
      <c r="C93" s="54" t="s">
        <v>77</v>
      </c>
      <c r="D93" s="5"/>
      <c r="E93" s="5"/>
      <c r="F93" s="5"/>
      <c r="G93" s="5"/>
      <c r="H93" s="200"/>
      <c r="I93" s="200"/>
      <c r="J93" s="5"/>
      <c r="K93" s="5"/>
      <c r="L93" s="5"/>
      <c r="M93" s="5"/>
      <c r="N93" s="5"/>
      <c r="O93" s="200"/>
      <c r="P93" s="200"/>
      <c r="Q93" s="5"/>
      <c r="R93" s="5"/>
      <c r="S93" s="5"/>
      <c r="T93" s="5"/>
      <c r="U93" s="5"/>
      <c r="V93" s="200"/>
      <c r="W93" s="200"/>
      <c r="X93" s="5"/>
      <c r="Y93" s="5"/>
      <c r="Z93" s="5"/>
      <c r="AA93" s="5"/>
      <c r="AB93" s="5"/>
      <c r="AC93" s="200"/>
      <c r="AD93" s="200"/>
      <c r="AE93" s="5"/>
      <c r="AF93" s="5"/>
      <c r="AG93" s="5"/>
      <c r="AH93" s="5"/>
      <c r="AJ93" s="72">
        <f t="shared" si="17"/>
        <v>0</v>
      </c>
    </row>
    <row r="94" spans="2:36" ht="15.75" hidden="1" outlineLevel="1" thickBot="1" x14ac:dyDescent="0.3">
      <c r="B94" s="151"/>
      <c r="C94" s="9" t="s">
        <v>3</v>
      </c>
      <c r="D94" s="8"/>
      <c r="E94" s="8"/>
      <c r="F94" s="8"/>
      <c r="G94" s="8"/>
      <c r="H94" s="201"/>
      <c r="I94" s="201"/>
      <c r="J94" s="8"/>
      <c r="K94" s="8"/>
      <c r="L94" s="8"/>
      <c r="M94" s="8"/>
      <c r="N94" s="8"/>
      <c r="O94" s="201"/>
      <c r="P94" s="201"/>
      <c r="Q94" s="8"/>
      <c r="R94" s="8"/>
      <c r="S94" s="8"/>
      <c r="T94" s="8"/>
      <c r="U94" s="8"/>
      <c r="V94" s="201"/>
      <c r="W94" s="201"/>
      <c r="X94" s="8"/>
      <c r="Y94" s="8"/>
      <c r="Z94" s="8"/>
      <c r="AA94" s="8"/>
      <c r="AB94" s="8"/>
      <c r="AC94" s="201"/>
      <c r="AD94" s="201"/>
      <c r="AE94" s="8"/>
      <c r="AF94" s="8"/>
      <c r="AG94" s="8"/>
      <c r="AH94" s="8"/>
      <c r="AI94" s="7"/>
      <c r="AJ94" s="69">
        <f t="shared" si="17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2"/>
      <c r="E95" s="2"/>
      <c r="F95" s="2"/>
      <c r="G95" s="2"/>
      <c r="H95" s="200"/>
      <c r="I95" s="200"/>
      <c r="J95" s="2"/>
      <c r="K95" s="2"/>
      <c r="L95" s="2"/>
      <c r="M95" s="2"/>
      <c r="N95" s="2"/>
      <c r="O95" s="200"/>
      <c r="P95" s="200"/>
      <c r="Q95" s="2"/>
      <c r="R95" s="2"/>
      <c r="S95" s="2"/>
      <c r="T95" s="2"/>
      <c r="U95" s="2"/>
      <c r="V95" s="200"/>
      <c r="W95" s="200"/>
      <c r="X95" s="2"/>
      <c r="Y95" s="2"/>
      <c r="Z95" s="2"/>
      <c r="AA95" s="2"/>
      <c r="AB95" s="2"/>
      <c r="AC95" s="200"/>
      <c r="AD95" s="200"/>
      <c r="AE95" s="2"/>
      <c r="AF95" s="2"/>
      <c r="AG95" s="2"/>
      <c r="AH95" s="2"/>
      <c r="AJ95" s="64">
        <f>SUM(D95:AH95)</f>
        <v>0</v>
      </c>
    </row>
    <row r="96" spans="2:36" ht="15.75" hidden="1" outlineLevel="1" thickTop="1" x14ac:dyDescent="0.25">
      <c r="B96" s="150"/>
      <c r="C96" s="1" t="s">
        <v>1</v>
      </c>
      <c r="D96" s="3"/>
      <c r="E96" s="3"/>
      <c r="F96" s="3"/>
      <c r="G96" s="3"/>
      <c r="H96" s="200"/>
      <c r="I96" s="200"/>
      <c r="J96" s="3"/>
      <c r="K96" s="3"/>
      <c r="L96" s="3"/>
      <c r="M96" s="3"/>
      <c r="N96" s="3"/>
      <c r="O96" s="200"/>
      <c r="P96" s="200"/>
      <c r="Q96" s="3"/>
      <c r="R96" s="3"/>
      <c r="S96" s="3"/>
      <c r="T96" s="3"/>
      <c r="U96" s="3"/>
      <c r="V96" s="200"/>
      <c r="W96" s="200"/>
      <c r="X96" s="3"/>
      <c r="Y96" s="3"/>
      <c r="Z96" s="3"/>
      <c r="AA96" s="3"/>
      <c r="AB96" s="3"/>
      <c r="AC96" s="200"/>
      <c r="AD96" s="200"/>
      <c r="AE96" s="3"/>
      <c r="AF96" s="3"/>
      <c r="AG96" s="3"/>
      <c r="AH96" s="3"/>
      <c r="AJ96" s="70">
        <f t="shared" ref="AJ96:AJ99" si="18">SUM(D96:AH96)</f>
        <v>0</v>
      </c>
    </row>
    <row r="97" spans="2:36" hidden="1" outlineLevel="1" x14ac:dyDescent="0.25">
      <c r="B97" s="151"/>
      <c r="C97" s="1" t="s">
        <v>2</v>
      </c>
      <c r="D97" s="4"/>
      <c r="E97" s="4"/>
      <c r="F97" s="4"/>
      <c r="G97" s="4"/>
      <c r="H97" s="200"/>
      <c r="I97" s="200"/>
      <c r="J97" s="4"/>
      <c r="K97" s="4"/>
      <c r="L97" s="4"/>
      <c r="M97" s="4"/>
      <c r="N97" s="4"/>
      <c r="O97" s="200"/>
      <c r="P97" s="200"/>
      <c r="Q97" s="4"/>
      <c r="R97" s="4"/>
      <c r="S97" s="4"/>
      <c r="T97" s="4"/>
      <c r="U97" s="4"/>
      <c r="V97" s="200"/>
      <c r="W97" s="200"/>
      <c r="X97" s="4"/>
      <c r="Y97" s="4"/>
      <c r="Z97" s="4"/>
      <c r="AA97" s="4"/>
      <c r="AB97" s="4"/>
      <c r="AC97" s="200"/>
      <c r="AD97" s="200"/>
      <c r="AE97" s="4"/>
      <c r="AF97" s="4"/>
      <c r="AG97" s="4"/>
      <c r="AH97" s="4"/>
      <c r="AJ97" s="71">
        <f t="shared" si="18"/>
        <v>0</v>
      </c>
    </row>
    <row r="98" spans="2:36" hidden="1" outlineLevel="1" x14ac:dyDescent="0.25">
      <c r="B98" s="151"/>
      <c r="C98" s="54" t="s">
        <v>77</v>
      </c>
      <c r="D98" s="5"/>
      <c r="E98" s="5"/>
      <c r="F98" s="5"/>
      <c r="G98" s="5"/>
      <c r="H98" s="200"/>
      <c r="I98" s="200"/>
      <c r="J98" s="5"/>
      <c r="K98" s="5"/>
      <c r="L98" s="5"/>
      <c r="M98" s="5"/>
      <c r="N98" s="5"/>
      <c r="O98" s="200"/>
      <c r="P98" s="200"/>
      <c r="Q98" s="5"/>
      <c r="R98" s="5"/>
      <c r="S98" s="5"/>
      <c r="T98" s="5"/>
      <c r="U98" s="5"/>
      <c r="V98" s="200"/>
      <c r="W98" s="200"/>
      <c r="X98" s="5"/>
      <c r="Y98" s="5"/>
      <c r="Z98" s="5"/>
      <c r="AA98" s="5"/>
      <c r="AB98" s="5"/>
      <c r="AC98" s="200"/>
      <c r="AD98" s="200"/>
      <c r="AE98" s="5"/>
      <c r="AF98" s="5"/>
      <c r="AG98" s="5"/>
      <c r="AH98" s="5"/>
      <c r="AJ98" s="72">
        <f t="shared" si="18"/>
        <v>0</v>
      </c>
    </row>
    <row r="99" spans="2:36" ht="15.75" hidden="1" outlineLevel="1" thickBot="1" x14ac:dyDescent="0.3">
      <c r="B99" s="151"/>
      <c r="C99" s="9" t="s">
        <v>3</v>
      </c>
      <c r="D99" s="8"/>
      <c r="E99" s="8"/>
      <c r="F99" s="8"/>
      <c r="G99" s="8"/>
      <c r="H99" s="201"/>
      <c r="I99" s="201"/>
      <c r="J99" s="8"/>
      <c r="K99" s="8"/>
      <c r="L99" s="8"/>
      <c r="M99" s="8"/>
      <c r="N99" s="8"/>
      <c r="O99" s="201"/>
      <c r="P99" s="201"/>
      <c r="Q99" s="8"/>
      <c r="R99" s="8"/>
      <c r="S99" s="8"/>
      <c r="T99" s="8"/>
      <c r="U99" s="8"/>
      <c r="V99" s="201"/>
      <c r="W99" s="201"/>
      <c r="X99" s="8"/>
      <c r="Y99" s="8"/>
      <c r="Z99" s="8"/>
      <c r="AA99" s="8"/>
      <c r="AB99" s="8"/>
      <c r="AC99" s="201"/>
      <c r="AD99" s="201"/>
      <c r="AE99" s="8"/>
      <c r="AF99" s="8"/>
      <c r="AG99" s="8"/>
      <c r="AH99" s="8"/>
      <c r="AI99" s="7"/>
      <c r="AJ99" s="69">
        <f t="shared" si="18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2"/>
      <c r="E100" s="2"/>
      <c r="F100" s="2"/>
      <c r="G100" s="2"/>
      <c r="H100" s="200"/>
      <c r="I100" s="200"/>
      <c r="J100" s="2"/>
      <c r="K100" s="2"/>
      <c r="L100" s="2"/>
      <c r="M100" s="2"/>
      <c r="N100" s="2"/>
      <c r="O100" s="200"/>
      <c r="P100" s="200"/>
      <c r="Q100" s="2"/>
      <c r="R100" s="2"/>
      <c r="S100" s="2"/>
      <c r="T100" s="2"/>
      <c r="U100" s="2"/>
      <c r="V100" s="200"/>
      <c r="W100" s="200"/>
      <c r="X100" s="2"/>
      <c r="Y100" s="2"/>
      <c r="Z100" s="2"/>
      <c r="AA100" s="2"/>
      <c r="AB100" s="2"/>
      <c r="AC100" s="200"/>
      <c r="AD100" s="200"/>
      <c r="AE100" s="2"/>
      <c r="AF100" s="2"/>
      <c r="AG100" s="2"/>
      <c r="AH100" s="2"/>
      <c r="AJ100" s="64">
        <f>SUM(D100:AH100)</f>
        <v>0</v>
      </c>
    </row>
    <row r="101" spans="2:36" ht="15.75" hidden="1" outlineLevel="1" thickTop="1" x14ac:dyDescent="0.25">
      <c r="B101" s="150"/>
      <c r="C101" s="1" t="s">
        <v>1</v>
      </c>
      <c r="D101" s="3"/>
      <c r="E101" s="3"/>
      <c r="F101" s="3"/>
      <c r="G101" s="3"/>
      <c r="H101" s="200"/>
      <c r="I101" s="200"/>
      <c r="J101" s="3"/>
      <c r="K101" s="3"/>
      <c r="L101" s="3"/>
      <c r="M101" s="3"/>
      <c r="N101" s="3"/>
      <c r="O101" s="200"/>
      <c r="P101" s="200"/>
      <c r="Q101" s="3"/>
      <c r="R101" s="3"/>
      <c r="S101" s="3"/>
      <c r="T101" s="3"/>
      <c r="U101" s="3"/>
      <c r="V101" s="200"/>
      <c r="W101" s="200"/>
      <c r="X101" s="3"/>
      <c r="Y101" s="3"/>
      <c r="Z101" s="3"/>
      <c r="AA101" s="3"/>
      <c r="AB101" s="3"/>
      <c r="AC101" s="200"/>
      <c r="AD101" s="200"/>
      <c r="AE101" s="3"/>
      <c r="AF101" s="3"/>
      <c r="AG101" s="3"/>
      <c r="AH101" s="3"/>
      <c r="AJ101" s="70">
        <f t="shared" ref="AJ101:AJ104" si="19">SUM(D101:AH101)</f>
        <v>0</v>
      </c>
    </row>
    <row r="102" spans="2:36" hidden="1" outlineLevel="1" x14ac:dyDescent="0.25">
      <c r="B102" s="151"/>
      <c r="C102" s="1" t="s">
        <v>2</v>
      </c>
      <c r="D102" s="4"/>
      <c r="E102" s="4"/>
      <c r="F102" s="4"/>
      <c r="G102" s="4"/>
      <c r="H102" s="200"/>
      <c r="I102" s="200"/>
      <c r="J102" s="4"/>
      <c r="K102" s="4"/>
      <c r="L102" s="4"/>
      <c r="M102" s="4"/>
      <c r="N102" s="4"/>
      <c r="O102" s="200"/>
      <c r="P102" s="200"/>
      <c r="Q102" s="4"/>
      <c r="R102" s="4"/>
      <c r="S102" s="4"/>
      <c r="T102" s="4"/>
      <c r="U102" s="4"/>
      <c r="V102" s="200"/>
      <c r="W102" s="200"/>
      <c r="X102" s="4"/>
      <c r="Y102" s="4"/>
      <c r="Z102" s="4"/>
      <c r="AA102" s="4"/>
      <c r="AB102" s="4"/>
      <c r="AC102" s="200"/>
      <c r="AD102" s="200"/>
      <c r="AE102" s="4"/>
      <c r="AF102" s="4"/>
      <c r="AG102" s="4"/>
      <c r="AH102" s="4"/>
      <c r="AJ102" s="71">
        <f t="shared" si="19"/>
        <v>0</v>
      </c>
    </row>
    <row r="103" spans="2:36" hidden="1" outlineLevel="1" x14ac:dyDescent="0.25">
      <c r="B103" s="151"/>
      <c r="C103" s="54" t="s">
        <v>77</v>
      </c>
      <c r="D103" s="5"/>
      <c r="E103" s="5"/>
      <c r="F103" s="5"/>
      <c r="G103" s="5"/>
      <c r="H103" s="200"/>
      <c r="I103" s="200"/>
      <c r="J103" s="5"/>
      <c r="K103" s="5"/>
      <c r="L103" s="5"/>
      <c r="M103" s="5"/>
      <c r="N103" s="5"/>
      <c r="O103" s="200"/>
      <c r="P103" s="200"/>
      <c r="Q103" s="5"/>
      <c r="R103" s="5"/>
      <c r="S103" s="5"/>
      <c r="T103" s="5"/>
      <c r="U103" s="5"/>
      <c r="V103" s="200"/>
      <c r="W103" s="200"/>
      <c r="X103" s="5"/>
      <c r="Y103" s="5"/>
      <c r="Z103" s="5"/>
      <c r="AA103" s="5"/>
      <c r="AB103" s="5"/>
      <c r="AC103" s="200"/>
      <c r="AD103" s="200"/>
      <c r="AE103" s="5"/>
      <c r="AF103" s="5"/>
      <c r="AG103" s="5"/>
      <c r="AH103" s="5"/>
      <c r="AJ103" s="72">
        <f t="shared" si="19"/>
        <v>0</v>
      </c>
    </row>
    <row r="104" spans="2:36" ht="15.75" hidden="1" outlineLevel="1" thickBot="1" x14ac:dyDescent="0.3">
      <c r="B104" s="151"/>
      <c r="C104" s="9" t="s">
        <v>3</v>
      </c>
      <c r="D104" s="8"/>
      <c r="E104" s="8"/>
      <c r="F104" s="8"/>
      <c r="G104" s="8"/>
      <c r="H104" s="201"/>
      <c r="I104" s="201"/>
      <c r="J104" s="8"/>
      <c r="K104" s="8"/>
      <c r="L104" s="8"/>
      <c r="M104" s="8"/>
      <c r="N104" s="8"/>
      <c r="O104" s="201"/>
      <c r="P104" s="201"/>
      <c r="Q104" s="8"/>
      <c r="R104" s="8"/>
      <c r="S104" s="8"/>
      <c r="T104" s="8"/>
      <c r="U104" s="8"/>
      <c r="V104" s="201"/>
      <c r="W104" s="201"/>
      <c r="X104" s="8"/>
      <c r="Y104" s="8"/>
      <c r="Z104" s="8"/>
      <c r="AA104" s="8"/>
      <c r="AB104" s="8"/>
      <c r="AC104" s="201"/>
      <c r="AD104" s="201"/>
      <c r="AE104" s="8"/>
      <c r="AF104" s="8"/>
      <c r="AG104" s="8"/>
      <c r="AH104" s="8"/>
      <c r="AI104" s="7"/>
      <c r="AJ104" s="69">
        <f t="shared" si="19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2"/>
      <c r="E105" s="2"/>
      <c r="F105" s="2"/>
      <c r="G105" s="2"/>
      <c r="H105" s="200"/>
      <c r="I105" s="200"/>
      <c r="J105" s="2"/>
      <c r="K105" s="2"/>
      <c r="L105" s="2"/>
      <c r="M105" s="2"/>
      <c r="N105" s="2"/>
      <c r="O105" s="200"/>
      <c r="P105" s="200"/>
      <c r="Q105" s="2"/>
      <c r="R105" s="2"/>
      <c r="S105" s="2"/>
      <c r="T105" s="2"/>
      <c r="U105" s="2"/>
      <c r="V105" s="200"/>
      <c r="W105" s="200"/>
      <c r="X105" s="2"/>
      <c r="Y105" s="2"/>
      <c r="Z105" s="2"/>
      <c r="AA105" s="2"/>
      <c r="AB105" s="2"/>
      <c r="AC105" s="200"/>
      <c r="AD105" s="200"/>
      <c r="AE105" s="2"/>
      <c r="AF105" s="2"/>
      <c r="AG105" s="2"/>
      <c r="AH105" s="2"/>
      <c r="AJ105" s="64">
        <f>SUM(D105:AH105)</f>
        <v>0</v>
      </c>
    </row>
    <row r="106" spans="2:36" ht="15.75" hidden="1" outlineLevel="1" thickTop="1" x14ac:dyDescent="0.25">
      <c r="B106" s="150"/>
      <c r="C106" s="1" t="s">
        <v>1</v>
      </c>
      <c r="D106" s="3"/>
      <c r="E106" s="3"/>
      <c r="F106" s="3"/>
      <c r="G106" s="3"/>
      <c r="H106" s="200"/>
      <c r="I106" s="200"/>
      <c r="J106" s="3"/>
      <c r="K106" s="3"/>
      <c r="L106" s="3"/>
      <c r="M106" s="3"/>
      <c r="N106" s="3"/>
      <c r="O106" s="200"/>
      <c r="P106" s="200"/>
      <c r="Q106" s="3"/>
      <c r="R106" s="3"/>
      <c r="S106" s="3"/>
      <c r="T106" s="3"/>
      <c r="U106" s="3"/>
      <c r="V106" s="200"/>
      <c r="W106" s="200"/>
      <c r="X106" s="3"/>
      <c r="Y106" s="3"/>
      <c r="Z106" s="3"/>
      <c r="AA106" s="3"/>
      <c r="AB106" s="3"/>
      <c r="AC106" s="200"/>
      <c r="AD106" s="200"/>
      <c r="AE106" s="3"/>
      <c r="AF106" s="3"/>
      <c r="AG106" s="3"/>
      <c r="AH106" s="3"/>
      <c r="AJ106" s="70">
        <f t="shared" ref="AJ106:AJ109" si="20">SUM(D106:AH106)</f>
        <v>0</v>
      </c>
    </row>
    <row r="107" spans="2:36" hidden="1" outlineLevel="1" x14ac:dyDescent="0.25">
      <c r="B107" s="151"/>
      <c r="C107" s="1" t="s">
        <v>2</v>
      </c>
      <c r="D107" s="4"/>
      <c r="E107" s="4"/>
      <c r="F107" s="4"/>
      <c r="G107" s="4"/>
      <c r="H107" s="200"/>
      <c r="I107" s="200"/>
      <c r="J107" s="4"/>
      <c r="K107" s="4"/>
      <c r="L107" s="4"/>
      <c r="M107" s="4"/>
      <c r="N107" s="4"/>
      <c r="O107" s="200"/>
      <c r="P107" s="200"/>
      <c r="Q107" s="4"/>
      <c r="R107" s="4"/>
      <c r="S107" s="4"/>
      <c r="T107" s="4"/>
      <c r="U107" s="4"/>
      <c r="V107" s="200"/>
      <c r="W107" s="200"/>
      <c r="X107" s="4"/>
      <c r="Y107" s="4"/>
      <c r="Z107" s="4"/>
      <c r="AA107" s="4"/>
      <c r="AB107" s="4"/>
      <c r="AC107" s="200"/>
      <c r="AD107" s="200"/>
      <c r="AE107" s="4"/>
      <c r="AF107" s="4"/>
      <c r="AG107" s="4"/>
      <c r="AH107" s="4"/>
      <c r="AJ107" s="71">
        <f t="shared" si="20"/>
        <v>0</v>
      </c>
    </row>
    <row r="108" spans="2:36" hidden="1" outlineLevel="1" x14ac:dyDescent="0.25">
      <c r="B108" s="151"/>
      <c r="C108" s="54" t="s">
        <v>77</v>
      </c>
      <c r="D108" s="5"/>
      <c r="E108" s="5"/>
      <c r="F108" s="5"/>
      <c r="G108" s="5"/>
      <c r="H108" s="200"/>
      <c r="I108" s="200"/>
      <c r="J108" s="5"/>
      <c r="K108" s="5"/>
      <c r="L108" s="5"/>
      <c r="M108" s="5"/>
      <c r="N108" s="5"/>
      <c r="O108" s="200"/>
      <c r="P108" s="200"/>
      <c r="Q108" s="5"/>
      <c r="R108" s="5"/>
      <c r="S108" s="5"/>
      <c r="T108" s="5"/>
      <c r="U108" s="5"/>
      <c r="V108" s="200"/>
      <c r="W108" s="200"/>
      <c r="X108" s="5"/>
      <c r="Y108" s="5"/>
      <c r="Z108" s="5"/>
      <c r="AA108" s="5"/>
      <c r="AB108" s="5"/>
      <c r="AC108" s="200"/>
      <c r="AD108" s="200"/>
      <c r="AE108" s="5"/>
      <c r="AF108" s="5"/>
      <c r="AG108" s="5"/>
      <c r="AH108" s="5"/>
      <c r="AJ108" s="72">
        <f t="shared" si="20"/>
        <v>0</v>
      </c>
    </row>
    <row r="109" spans="2:36" ht="15.75" hidden="1" outlineLevel="1" thickBot="1" x14ac:dyDescent="0.3">
      <c r="B109" s="151"/>
      <c r="C109" s="9" t="s">
        <v>3</v>
      </c>
      <c r="D109" s="8"/>
      <c r="E109" s="8"/>
      <c r="F109" s="8"/>
      <c r="G109" s="8"/>
      <c r="H109" s="201"/>
      <c r="I109" s="201"/>
      <c r="J109" s="8"/>
      <c r="K109" s="8"/>
      <c r="L109" s="8"/>
      <c r="M109" s="8"/>
      <c r="N109" s="8"/>
      <c r="O109" s="201"/>
      <c r="P109" s="201"/>
      <c r="Q109" s="8"/>
      <c r="R109" s="8"/>
      <c r="S109" s="8"/>
      <c r="T109" s="8"/>
      <c r="U109" s="8"/>
      <c r="V109" s="201"/>
      <c r="W109" s="201"/>
      <c r="X109" s="8"/>
      <c r="Y109" s="8"/>
      <c r="Z109" s="8"/>
      <c r="AA109" s="8"/>
      <c r="AB109" s="8"/>
      <c r="AC109" s="201"/>
      <c r="AD109" s="201"/>
      <c r="AE109" s="8"/>
      <c r="AF109" s="8"/>
      <c r="AG109" s="8"/>
      <c r="AH109" s="8"/>
      <c r="AI109" s="7"/>
      <c r="AJ109" s="69">
        <f t="shared" si="20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2"/>
      <c r="E110" s="2"/>
      <c r="F110" s="2"/>
      <c r="G110" s="2"/>
      <c r="H110" s="200"/>
      <c r="I110" s="200"/>
      <c r="J110" s="2"/>
      <c r="K110" s="2"/>
      <c r="L110" s="2"/>
      <c r="M110" s="2"/>
      <c r="N110" s="2"/>
      <c r="O110" s="200"/>
      <c r="P110" s="200"/>
      <c r="Q110" s="2"/>
      <c r="R110" s="2"/>
      <c r="S110" s="2"/>
      <c r="T110" s="2"/>
      <c r="U110" s="2"/>
      <c r="V110" s="200"/>
      <c r="W110" s="200"/>
      <c r="X110" s="2"/>
      <c r="Y110" s="2"/>
      <c r="Z110" s="2"/>
      <c r="AA110" s="2"/>
      <c r="AB110" s="2"/>
      <c r="AC110" s="200"/>
      <c r="AD110" s="200"/>
      <c r="AE110" s="2"/>
      <c r="AF110" s="2"/>
      <c r="AG110" s="2"/>
      <c r="AH110" s="2"/>
      <c r="AJ110" s="64">
        <f>SUM(D110:AH110)</f>
        <v>0</v>
      </c>
    </row>
    <row r="111" spans="2:36" ht="15.75" hidden="1" outlineLevel="1" thickTop="1" x14ac:dyDescent="0.25">
      <c r="B111" s="150"/>
      <c r="C111" s="1" t="s">
        <v>1</v>
      </c>
      <c r="D111" s="3"/>
      <c r="E111" s="3"/>
      <c r="F111" s="3"/>
      <c r="G111" s="3"/>
      <c r="H111" s="200"/>
      <c r="I111" s="200"/>
      <c r="J111" s="3"/>
      <c r="K111" s="3"/>
      <c r="L111" s="3"/>
      <c r="M111" s="3"/>
      <c r="N111" s="3"/>
      <c r="O111" s="200"/>
      <c r="P111" s="200"/>
      <c r="Q111" s="3"/>
      <c r="R111" s="3"/>
      <c r="S111" s="3"/>
      <c r="T111" s="3"/>
      <c r="U111" s="3"/>
      <c r="V111" s="200"/>
      <c r="W111" s="200"/>
      <c r="X111" s="3"/>
      <c r="Y111" s="3"/>
      <c r="Z111" s="3"/>
      <c r="AA111" s="3"/>
      <c r="AB111" s="3"/>
      <c r="AC111" s="200"/>
      <c r="AD111" s="200"/>
      <c r="AE111" s="3"/>
      <c r="AF111" s="3"/>
      <c r="AG111" s="3"/>
      <c r="AH111" s="3"/>
      <c r="AJ111" s="70">
        <f t="shared" ref="AJ111:AJ114" si="21">SUM(D111:AH111)</f>
        <v>0</v>
      </c>
    </row>
    <row r="112" spans="2:36" hidden="1" outlineLevel="1" x14ac:dyDescent="0.25">
      <c r="B112" s="151"/>
      <c r="C112" s="1" t="s">
        <v>2</v>
      </c>
      <c r="D112" s="4"/>
      <c r="E112" s="4"/>
      <c r="F112" s="4"/>
      <c r="G112" s="4"/>
      <c r="H112" s="200"/>
      <c r="I112" s="200"/>
      <c r="J112" s="4"/>
      <c r="K112" s="4"/>
      <c r="L112" s="4"/>
      <c r="M112" s="4"/>
      <c r="N112" s="4"/>
      <c r="O112" s="200"/>
      <c r="P112" s="200"/>
      <c r="Q112" s="4"/>
      <c r="R112" s="4"/>
      <c r="S112" s="4"/>
      <c r="T112" s="4"/>
      <c r="U112" s="4"/>
      <c r="V112" s="200"/>
      <c r="W112" s="200"/>
      <c r="X112" s="4"/>
      <c r="Y112" s="4"/>
      <c r="Z112" s="4"/>
      <c r="AA112" s="4"/>
      <c r="AB112" s="4"/>
      <c r="AC112" s="200"/>
      <c r="AD112" s="200"/>
      <c r="AE112" s="4"/>
      <c r="AF112" s="4"/>
      <c r="AG112" s="4"/>
      <c r="AH112" s="4"/>
      <c r="AJ112" s="71">
        <f t="shared" si="21"/>
        <v>0</v>
      </c>
    </row>
    <row r="113" spans="2:36" hidden="1" outlineLevel="1" x14ac:dyDescent="0.25">
      <c r="B113" s="151"/>
      <c r="C113" s="54" t="s">
        <v>77</v>
      </c>
      <c r="D113" s="5"/>
      <c r="E113" s="5"/>
      <c r="F113" s="5"/>
      <c r="G113" s="5"/>
      <c r="H113" s="200"/>
      <c r="I113" s="200"/>
      <c r="J113" s="5"/>
      <c r="K113" s="5"/>
      <c r="L113" s="5"/>
      <c r="M113" s="5"/>
      <c r="N113" s="5"/>
      <c r="O113" s="200"/>
      <c r="P113" s="200"/>
      <c r="Q113" s="5"/>
      <c r="R113" s="5"/>
      <c r="S113" s="5"/>
      <c r="T113" s="5"/>
      <c r="U113" s="5"/>
      <c r="V113" s="200"/>
      <c r="W113" s="200"/>
      <c r="X113" s="5"/>
      <c r="Y113" s="5"/>
      <c r="Z113" s="5"/>
      <c r="AA113" s="5"/>
      <c r="AB113" s="5"/>
      <c r="AC113" s="200"/>
      <c r="AD113" s="200"/>
      <c r="AE113" s="5"/>
      <c r="AF113" s="5"/>
      <c r="AG113" s="5"/>
      <c r="AH113" s="5"/>
      <c r="AJ113" s="72">
        <f t="shared" si="21"/>
        <v>0</v>
      </c>
    </row>
    <row r="114" spans="2:36" ht="15.75" hidden="1" outlineLevel="1" thickBot="1" x14ac:dyDescent="0.3">
      <c r="B114" s="151"/>
      <c r="C114" s="9" t="s">
        <v>3</v>
      </c>
      <c r="D114" s="8"/>
      <c r="E114" s="8"/>
      <c r="F114" s="8"/>
      <c r="G114" s="8"/>
      <c r="H114" s="201"/>
      <c r="I114" s="201"/>
      <c r="J114" s="8"/>
      <c r="K114" s="8"/>
      <c r="L114" s="8"/>
      <c r="M114" s="8"/>
      <c r="N114" s="8"/>
      <c r="O114" s="201"/>
      <c r="P114" s="201"/>
      <c r="Q114" s="8"/>
      <c r="R114" s="8"/>
      <c r="S114" s="8"/>
      <c r="T114" s="8"/>
      <c r="U114" s="8"/>
      <c r="V114" s="201"/>
      <c r="W114" s="201"/>
      <c r="X114" s="8"/>
      <c r="Y114" s="8"/>
      <c r="Z114" s="8"/>
      <c r="AA114" s="8"/>
      <c r="AB114" s="8"/>
      <c r="AC114" s="201"/>
      <c r="AD114" s="201"/>
      <c r="AE114" s="8"/>
      <c r="AF114" s="8"/>
      <c r="AG114" s="8"/>
      <c r="AH114" s="8"/>
      <c r="AI114" s="7"/>
      <c r="AJ114" s="69">
        <f t="shared" si="21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2"/>
      <c r="E115" s="2"/>
      <c r="F115" s="2"/>
      <c r="G115" s="2"/>
      <c r="H115" s="200"/>
      <c r="I115" s="200"/>
      <c r="J115" s="2"/>
      <c r="K115" s="2"/>
      <c r="L115" s="2"/>
      <c r="M115" s="2"/>
      <c r="N115" s="2"/>
      <c r="O115" s="200"/>
      <c r="P115" s="200"/>
      <c r="Q115" s="2"/>
      <c r="R115" s="2"/>
      <c r="S115" s="2"/>
      <c r="T115" s="2"/>
      <c r="U115" s="2"/>
      <c r="V115" s="200"/>
      <c r="W115" s="200"/>
      <c r="X115" s="2"/>
      <c r="Y115" s="2"/>
      <c r="Z115" s="2"/>
      <c r="AA115" s="2"/>
      <c r="AB115" s="2"/>
      <c r="AC115" s="200"/>
      <c r="AD115" s="200"/>
      <c r="AE115" s="2"/>
      <c r="AF115" s="2"/>
      <c r="AG115" s="2"/>
      <c r="AH115" s="2"/>
      <c r="AJ115" s="64">
        <f>SUM(D115:AH115)</f>
        <v>0</v>
      </c>
    </row>
    <row r="116" spans="2:36" ht="15.75" hidden="1" outlineLevel="1" thickTop="1" x14ac:dyDescent="0.25">
      <c r="B116" s="150"/>
      <c r="C116" s="1" t="s">
        <v>1</v>
      </c>
      <c r="D116" s="3"/>
      <c r="E116" s="3"/>
      <c r="F116" s="3"/>
      <c r="G116" s="3"/>
      <c r="H116" s="200"/>
      <c r="I116" s="200"/>
      <c r="J116" s="3"/>
      <c r="K116" s="3"/>
      <c r="L116" s="3"/>
      <c r="M116" s="3"/>
      <c r="N116" s="3"/>
      <c r="O116" s="200"/>
      <c r="P116" s="200"/>
      <c r="Q116" s="3"/>
      <c r="R116" s="3"/>
      <c r="S116" s="3"/>
      <c r="T116" s="3"/>
      <c r="U116" s="3"/>
      <c r="V116" s="200"/>
      <c r="W116" s="200"/>
      <c r="X116" s="3"/>
      <c r="Y116" s="3"/>
      <c r="Z116" s="3"/>
      <c r="AA116" s="3"/>
      <c r="AB116" s="3"/>
      <c r="AC116" s="200"/>
      <c r="AD116" s="200"/>
      <c r="AE116" s="3"/>
      <c r="AF116" s="3"/>
      <c r="AG116" s="3"/>
      <c r="AH116" s="3"/>
      <c r="AJ116" s="70">
        <f t="shared" ref="AJ116:AJ119" si="22">SUM(D116:AH116)</f>
        <v>0</v>
      </c>
    </row>
    <row r="117" spans="2:36" hidden="1" outlineLevel="1" x14ac:dyDescent="0.25">
      <c r="B117" s="151"/>
      <c r="C117" s="1" t="s">
        <v>2</v>
      </c>
      <c r="D117" s="4"/>
      <c r="E117" s="4"/>
      <c r="F117" s="4"/>
      <c r="G117" s="4"/>
      <c r="H117" s="200"/>
      <c r="I117" s="200"/>
      <c r="J117" s="4"/>
      <c r="K117" s="4"/>
      <c r="L117" s="4"/>
      <c r="M117" s="4"/>
      <c r="N117" s="4"/>
      <c r="O117" s="200"/>
      <c r="P117" s="200"/>
      <c r="Q117" s="4"/>
      <c r="R117" s="4"/>
      <c r="S117" s="4"/>
      <c r="T117" s="4"/>
      <c r="U117" s="4"/>
      <c r="V117" s="200"/>
      <c r="W117" s="200"/>
      <c r="X117" s="4"/>
      <c r="Y117" s="4"/>
      <c r="Z117" s="4"/>
      <c r="AA117" s="4"/>
      <c r="AB117" s="4"/>
      <c r="AC117" s="200"/>
      <c r="AD117" s="200"/>
      <c r="AE117" s="4"/>
      <c r="AF117" s="4"/>
      <c r="AG117" s="4"/>
      <c r="AH117" s="4"/>
      <c r="AJ117" s="71">
        <f t="shared" si="22"/>
        <v>0</v>
      </c>
    </row>
    <row r="118" spans="2:36" hidden="1" outlineLevel="1" x14ac:dyDescent="0.25">
      <c r="B118" s="151"/>
      <c r="C118" s="54" t="s">
        <v>77</v>
      </c>
      <c r="D118" s="5"/>
      <c r="E118" s="5"/>
      <c r="F118" s="5"/>
      <c r="G118" s="5"/>
      <c r="H118" s="200"/>
      <c r="I118" s="200"/>
      <c r="J118" s="5"/>
      <c r="K118" s="5"/>
      <c r="L118" s="5"/>
      <c r="M118" s="5"/>
      <c r="N118" s="5"/>
      <c r="O118" s="200"/>
      <c r="P118" s="200"/>
      <c r="Q118" s="5"/>
      <c r="R118" s="5"/>
      <c r="S118" s="5"/>
      <c r="T118" s="5"/>
      <c r="U118" s="5"/>
      <c r="V118" s="200"/>
      <c r="W118" s="200"/>
      <c r="X118" s="5"/>
      <c r="Y118" s="5"/>
      <c r="Z118" s="5"/>
      <c r="AA118" s="5"/>
      <c r="AB118" s="5"/>
      <c r="AC118" s="200"/>
      <c r="AD118" s="200"/>
      <c r="AE118" s="5"/>
      <c r="AF118" s="5"/>
      <c r="AG118" s="5"/>
      <c r="AH118" s="5"/>
      <c r="AJ118" s="72">
        <f t="shared" si="22"/>
        <v>0</v>
      </c>
    </row>
    <row r="119" spans="2:36" ht="15.75" hidden="1" outlineLevel="1" thickBot="1" x14ac:dyDescent="0.3">
      <c r="B119" s="151"/>
      <c r="C119" s="9" t="s">
        <v>3</v>
      </c>
      <c r="D119" s="69"/>
      <c r="E119" s="69"/>
      <c r="F119" s="69"/>
      <c r="G119" s="69"/>
      <c r="H119" s="203"/>
      <c r="I119" s="203"/>
      <c r="J119" s="69"/>
      <c r="K119" s="69"/>
      <c r="L119" s="69"/>
      <c r="M119" s="69"/>
      <c r="N119" s="69"/>
      <c r="O119" s="203"/>
      <c r="P119" s="203"/>
      <c r="Q119" s="69"/>
      <c r="R119" s="69"/>
      <c r="S119" s="69"/>
      <c r="T119" s="69"/>
      <c r="U119" s="69"/>
      <c r="V119" s="203"/>
      <c r="W119" s="203"/>
      <c r="X119" s="69"/>
      <c r="Y119" s="69"/>
      <c r="Z119" s="69"/>
      <c r="AA119" s="69"/>
      <c r="AB119" s="69"/>
      <c r="AC119" s="203"/>
      <c r="AD119" s="203"/>
      <c r="AE119" s="69"/>
      <c r="AF119" s="69"/>
      <c r="AG119" s="69"/>
      <c r="AH119" s="69"/>
      <c r="AI119" s="7"/>
      <c r="AJ119" s="69">
        <f t="shared" si="22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2"/>
      <c r="E120" s="2"/>
      <c r="F120" s="2"/>
      <c r="G120" s="2"/>
      <c r="H120" s="200"/>
      <c r="I120" s="200"/>
      <c r="J120" s="2"/>
      <c r="K120" s="2"/>
      <c r="L120" s="2"/>
      <c r="M120" s="2"/>
      <c r="N120" s="2"/>
      <c r="O120" s="200"/>
      <c r="P120" s="200"/>
      <c r="Q120" s="2"/>
      <c r="R120" s="2"/>
      <c r="S120" s="2"/>
      <c r="T120" s="2"/>
      <c r="U120" s="2"/>
      <c r="V120" s="200"/>
      <c r="W120" s="200"/>
      <c r="X120" s="2"/>
      <c r="Y120" s="2"/>
      <c r="Z120" s="2"/>
      <c r="AA120" s="2"/>
      <c r="AB120" s="2"/>
      <c r="AC120" s="200"/>
      <c r="AD120" s="200"/>
      <c r="AE120" s="2"/>
      <c r="AF120" s="2"/>
      <c r="AG120" s="2"/>
      <c r="AH120" s="2"/>
      <c r="AJ120" s="64">
        <f>SUM(D120:AH120)</f>
        <v>0</v>
      </c>
    </row>
    <row r="121" spans="2:36" ht="15.75" hidden="1" outlineLevel="1" thickTop="1" x14ac:dyDescent="0.25">
      <c r="B121" s="150"/>
      <c r="C121" s="1" t="s">
        <v>1</v>
      </c>
      <c r="D121" s="3"/>
      <c r="E121" s="3"/>
      <c r="F121" s="3"/>
      <c r="G121" s="3"/>
      <c r="H121" s="200"/>
      <c r="I121" s="200"/>
      <c r="J121" s="3"/>
      <c r="K121" s="3"/>
      <c r="L121" s="3"/>
      <c r="M121" s="3"/>
      <c r="N121" s="3"/>
      <c r="O121" s="200"/>
      <c r="P121" s="200"/>
      <c r="Q121" s="3"/>
      <c r="R121" s="3"/>
      <c r="S121" s="3"/>
      <c r="T121" s="3"/>
      <c r="U121" s="3"/>
      <c r="V121" s="200"/>
      <c r="W121" s="200"/>
      <c r="X121" s="3"/>
      <c r="Y121" s="3"/>
      <c r="Z121" s="3"/>
      <c r="AA121" s="3"/>
      <c r="AB121" s="3"/>
      <c r="AC121" s="200"/>
      <c r="AD121" s="200"/>
      <c r="AE121" s="3"/>
      <c r="AF121" s="3"/>
      <c r="AG121" s="3"/>
      <c r="AH121" s="3"/>
      <c r="AJ121" s="70">
        <f t="shared" ref="AJ121:AJ124" si="23">SUM(D121:AH121)</f>
        <v>0</v>
      </c>
    </row>
    <row r="122" spans="2:36" hidden="1" outlineLevel="1" x14ac:dyDescent="0.25">
      <c r="B122" s="151"/>
      <c r="C122" s="1" t="s">
        <v>2</v>
      </c>
      <c r="D122" s="4"/>
      <c r="E122" s="4"/>
      <c r="F122" s="4"/>
      <c r="G122" s="4"/>
      <c r="H122" s="200"/>
      <c r="I122" s="200"/>
      <c r="J122" s="4"/>
      <c r="K122" s="4"/>
      <c r="L122" s="4"/>
      <c r="M122" s="4"/>
      <c r="N122" s="4"/>
      <c r="O122" s="200"/>
      <c r="P122" s="200"/>
      <c r="Q122" s="4"/>
      <c r="R122" s="4"/>
      <c r="S122" s="4"/>
      <c r="T122" s="4"/>
      <c r="U122" s="4"/>
      <c r="V122" s="200"/>
      <c r="W122" s="200"/>
      <c r="X122" s="4"/>
      <c r="Y122" s="4"/>
      <c r="Z122" s="4"/>
      <c r="AA122" s="4"/>
      <c r="AB122" s="4"/>
      <c r="AC122" s="200"/>
      <c r="AD122" s="200"/>
      <c r="AE122" s="4"/>
      <c r="AF122" s="4"/>
      <c r="AG122" s="4"/>
      <c r="AH122" s="4"/>
      <c r="AJ122" s="71">
        <f t="shared" si="23"/>
        <v>0</v>
      </c>
    </row>
    <row r="123" spans="2:36" hidden="1" outlineLevel="1" x14ac:dyDescent="0.25">
      <c r="B123" s="151"/>
      <c r="C123" s="54" t="s">
        <v>77</v>
      </c>
      <c r="D123" s="5"/>
      <c r="E123" s="5"/>
      <c r="F123" s="5"/>
      <c r="G123" s="5"/>
      <c r="H123" s="200"/>
      <c r="I123" s="200"/>
      <c r="J123" s="5"/>
      <c r="K123" s="5"/>
      <c r="L123" s="5"/>
      <c r="M123" s="5"/>
      <c r="N123" s="5"/>
      <c r="O123" s="200"/>
      <c r="P123" s="200"/>
      <c r="Q123" s="5"/>
      <c r="R123" s="5"/>
      <c r="S123" s="5"/>
      <c r="T123" s="5"/>
      <c r="U123" s="5"/>
      <c r="V123" s="200"/>
      <c r="W123" s="200"/>
      <c r="X123" s="5"/>
      <c r="Y123" s="5"/>
      <c r="Z123" s="5"/>
      <c r="AA123" s="5"/>
      <c r="AB123" s="5"/>
      <c r="AC123" s="200"/>
      <c r="AD123" s="200"/>
      <c r="AE123" s="5"/>
      <c r="AF123" s="5"/>
      <c r="AG123" s="5"/>
      <c r="AH123" s="5"/>
      <c r="AJ123" s="72">
        <f t="shared" si="23"/>
        <v>0</v>
      </c>
    </row>
    <row r="124" spans="2:36" ht="15.75" hidden="1" outlineLevel="1" thickBot="1" x14ac:dyDescent="0.3">
      <c r="B124" s="151"/>
      <c r="C124" s="9" t="s">
        <v>3</v>
      </c>
      <c r="D124" s="8"/>
      <c r="E124" s="8"/>
      <c r="F124" s="8"/>
      <c r="G124" s="8"/>
      <c r="H124" s="201"/>
      <c r="I124" s="201"/>
      <c r="J124" s="8"/>
      <c r="K124" s="8"/>
      <c r="L124" s="8"/>
      <c r="M124" s="8"/>
      <c r="N124" s="8"/>
      <c r="O124" s="201"/>
      <c r="P124" s="201"/>
      <c r="Q124" s="8"/>
      <c r="R124" s="8"/>
      <c r="S124" s="8"/>
      <c r="T124" s="8"/>
      <c r="U124" s="8"/>
      <c r="V124" s="201"/>
      <c r="W124" s="201"/>
      <c r="X124" s="8"/>
      <c r="Y124" s="8"/>
      <c r="Z124" s="8"/>
      <c r="AA124" s="8"/>
      <c r="AB124" s="8"/>
      <c r="AC124" s="201"/>
      <c r="AD124" s="201"/>
      <c r="AE124" s="8"/>
      <c r="AF124" s="8"/>
      <c r="AG124" s="8"/>
      <c r="AH124" s="8"/>
      <c r="AI124" s="7"/>
      <c r="AJ124" s="69">
        <f t="shared" si="23"/>
        <v>0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2"/>
      <c r="E125" s="2"/>
      <c r="F125" s="2"/>
      <c r="G125" s="2"/>
      <c r="H125" s="200"/>
      <c r="I125" s="200"/>
      <c r="J125" s="2"/>
      <c r="K125" s="2"/>
      <c r="L125" s="2"/>
      <c r="M125" s="2"/>
      <c r="N125" s="2"/>
      <c r="O125" s="200"/>
      <c r="P125" s="200"/>
      <c r="Q125" s="2"/>
      <c r="R125" s="2"/>
      <c r="S125" s="2"/>
      <c r="T125" s="2"/>
      <c r="U125" s="2"/>
      <c r="V125" s="200"/>
      <c r="W125" s="200"/>
      <c r="X125" s="2"/>
      <c r="Y125" s="2"/>
      <c r="Z125" s="2"/>
      <c r="AA125" s="2"/>
      <c r="AB125" s="2"/>
      <c r="AC125" s="200"/>
      <c r="AD125" s="200"/>
      <c r="AE125" s="2"/>
      <c r="AF125" s="2"/>
      <c r="AG125" s="2"/>
      <c r="AH125" s="2"/>
      <c r="AJ125" s="64">
        <f>SUM(D125:AH125)</f>
        <v>0</v>
      </c>
    </row>
    <row r="126" spans="2:36" ht="15.75" hidden="1" outlineLevel="1" thickTop="1" x14ac:dyDescent="0.25">
      <c r="B126" s="150"/>
      <c r="C126" s="1" t="s">
        <v>1</v>
      </c>
      <c r="D126" s="3"/>
      <c r="E126" s="3"/>
      <c r="F126" s="3"/>
      <c r="G126" s="3"/>
      <c r="H126" s="200"/>
      <c r="I126" s="200"/>
      <c r="J126" s="3"/>
      <c r="K126" s="3"/>
      <c r="L126" s="3"/>
      <c r="M126" s="3"/>
      <c r="N126" s="3"/>
      <c r="O126" s="200"/>
      <c r="P126" s="200"/>
      <c r="Q126" s="3"/>
      <c r="R126" s="3"/>
      <c r="S126" s="3"/>
      <c r="T126" s="3"/>
      <c r="U126" s="3"/>
      <c r="V126" s="200"/>
      <c r="W126" s="200"/>
      <c r="X126" s="3"/>
      <c r="Y126" s="3"/>
      <c r="Z126" s="3"/>
      <c r="AA126" s="3"/>
      <c r="AB126" s="3"/>
      <c r="AC126" s="200"/>
      <c r="AD126" s="200"/>
      <c r="AE126" s="3"/>
      <c r="AF126" s="3"/>
      <c r="AG126" s="3"/>
      <c r="AH126" s="3"/>
      <c r="AJ126" s="70">
        <f t="shared" ref="AJ126:AJ129" si="24">SUM(D126:AH126)</f>
        <v>0</v>
      </c>
    </row>
    <row r="127" spans="2:36" hidden="1" outlineLevel="1" x14ac:dyDescent="0.25">
      <c r="B127" s="151"/>
      <c r="C127" s="1" t="s">
        <v>2</v>
      </c>
      <c r="D127" s="4"/>
      <c r="E127" s="4"/>
      <c r="F127" s="4"/>
      <c r="G127" s="4"/>
      <c r="H127" s="200"/>
      <c r="I127" s="200"/>
      <c r="J127" s="4"/>
      <c r="K127" s="4"/>
      <c r="L127" s="4"/>
      <c r="M127" s="4"/>
      <c r="N127" s="4"/>
      <c r="O127" s="200"/>
      <c r="P127" s="200"/>
      <c r="Q127" s="4"/>
      <c r="R127" s="4"/>
      <c r="S127" s="4"/>
      <c r="T127" s="4"/>
      <c r="U127" s="4"/>
      <c r="V127" s="200"/>
      <c r="W127" s="200"/>
      <c r="X127" s="4"/>
      <c r="Y127" s="4"/>
      <c r="Z127" s="4"/>
      <c r="AA127" s="4"/>
      <c r="AB127" s="4"/>
      <c r="AC127" s="200"/>
      <c r="AD127" s="200"/>
      <c r="AE127" s="4"/>
      <c r="AF127" s="4"/>
      <c r="AG127" s="4"/>
      <c r="AH127" s="4"/>
      <c r="AJ127" s="71">
        <f t="shared" si="24"/>
        <v>0</v>
      </c>
    </row>
    <row r="128" spans="2:36" hidden="1" outlineLevel="1" x14ac:dyDescent="0.25">
      <c r="B128" s="151"/>
      <c r="C128" s="54" t="s">
        <v>77</v>
      </c>
      <c r="D128" s="5"/>
      <c r="E128" s="5"/>
      <c r="F128" s="5"/>
      <c r="G128" s="5"/>
      <c r="H128" s="200"/>
      <c r="I128" s="200"/>
      <c r="J128" s="5"/>
      <c r="K128" s="5"/>
      <c r="L128" s="5"/>
      <c r="M128" s="5"/>
      <c r="N128" s="5"/>
      <c r="O128" s="200"/>
      <c r="P128" s="200"/>
      <c r="Q128" s="5"/>
      <c r="R128" s="5"/>
      <c r="S128" s="5"/>
      <c r="T128" s="5"/>
      <c r="U128" s="5"/>
      <c r="V128" s="200"/>
      <c r="W128" s="200"/>
      <c r="X128" s="5"/>
      <c r="Y128" s="5"/>
      <c r="Z128" s="5"/>
      <c r="AA128" s="5"/>
      <c r="AB128" s="5"/>
      <c r="AC128" s="200"/>
      <c r="AD128" s="200"/>
      <c r="AE128" s="5"/>
      <c r="AF128" s="5"/>
      <c r="AG128" s="5"/>
      <c r="AH128" s="5"/>
      <c r="AJ128" s="72">
        <f t="shared" si="24"/>
        <v>0</v>
      </c>
    </row>
    <row r="129" spans="2:36" ht="15.75" hidden="1" outlineLevel="1" thickBot="1" x14ac:dyDescent="0.3">
      <c r="B129" s="151"/>
      <c r="C129" s="9" t="s">
        <v>3</v>
      </c>
      <c r="D129" s="8"/>
      <c r="E129" s="8"/>
      <c r="F129" s="8"/>
      <c r="G129" s="8"/>
      <c r="H129" s="201"/>
      <c r="I129" s="201"/>
      <c r="J129" s="8"/>
      <c r="K129" s="8"/>
      <c r="L129" s="8"/>
      <c r="M129" s="8"/>
      <c r="N129" s="8"/>
      <c r="O129" s="201"/>
      <c r="P129" s="201"/>
      <c r="Q129" s="8"/>
      <c r="R129" s="8"/>
      <c r="S129" s="8"/>
      <c r="T129" s="8"/>
      <c r="U129" s="8"/>
      <c r="V129" s="201"/>
      <c r="W129" s="201"/>
      <c r="X129" s="8"/>
      <c r="Y129" s="8"/>
      <c r="Z129" s="8"/>
      <c r="AA129" s="8"/>
      <c r="AB129" s="8"/>
      <c r="AC129" s="201"/>
      <c r="AD129" s="201"/>
      <c r="AE129" s="8"/>
      <c r="AF129" s="8"/>
      <c r="AG129" s="8"/>
      <c r="AH129" s="8"/>
      <c r="AI129" s="7"/>
      <c r="AJ129" s="69">
        <f t="shared" si="24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2"/>
      <c r="E130" s="2"/>
      <c r="F130" s="2"/>
      <c r="G130" s="255">
        <v>0</v>
      </c>
      <c r="H130" s="200"/>
      <c r="I130" s="200"/>
      <c r="J130" s="2"/>
      <c r="K130" s="2"/>
      <c r="L130" s="2"/>
      <c r="M130" s="2"/>
      <c r="N130" s="255">
        <v>0</v>
      </c>
      <c r="O130" s="200"/>
      <c r="P130" s="200"/>
      <c r="Q130" s="2"/>
      <c r="R130" s="2"/>
      <c r="S130" s="2"/>
      <c r="T130" s="2"/>
      <c r="U130" s="255">
        <v>0</v>
      </c>
      <c r="V130" s="200"/>
      <c r="W130" s="200"/>
      <c r="X130" s="2"/>
      <c r="Y130" s="2"/>
      <c r="Z130" s="2"/>
      <c r="AA130" s="2"/>
      <c r="AB130" s="255">
        <v>0</v>
      </c>
      <c r="AC130" s="200"/>
      <c r="AD130" s="200"/>
      <c r="AE130" s="2"/>
      <c r="AF130" s="2"/>
      <c r="AG130" s="2"/>
      <c r="AH130" s="2"/>
      <c r="AJ130" s="64">
        <f>SUM(D130:AH130)</f>
        <v>0</v>
      </c>
    </row>
    <row r="131" spans="2:36" ht="15.75" hidden="1" outlineLevel="1" thickTop="1" x14ac:dyDescent="0.25">
      <c r="B131" s="150"/>
      <c r="C131" s="1" t="s">
        <v>1</v>
      </c>
      <c r="D131" s="3"/>
      <c r="E131" s="3"/>
      <c r="F131" s="3"/>
      <c r="G131" s="3"/>
      <c r="H131" s="200"/>
      <c r="I131" s="200"/>
      <c r="J131" s="3"/>
      <c r="K131" s="3"/>
      <c r="L131" s="3"/>
      <c r="M131" s="3"/>
      <c r="N131" s="3"/>
      <c r="O131" s="200"/>
      <c r="P131" s="200"/>
      <c r="Q131" s="3"/>
      <c r="R131" s="3"/>
      <c r="S131" s="3"/>
      <c r="T131" s="3"/>
      <c r="U131" s="3"/>
      <c r="V131" s="200"/>
      <c r="W131" s="200"/>
      <c r="X131" s="3"/>
      <c r="Y131" s="3"/>
      <c r="Z131" s="3"/>
      <c r="AA131" s="3"/>
      <c r="AB131" s="3"/>
      <c r="AC131" s="200"/>
      <c r="AD131" s="200"/>
      <c r="AE131" s="3"/>
      <c r="AF131" s="3"/>
      <c r="AG131" s="3"/>
      <c r="AH131" s="3"/>
      <c r="AJ131" s="70">
        <f t="shared" ref="AJ131:AJ134" si="25">SUM(D131:AH131)</f>
        <v>0</v>
      </c>
    </row>
    <row r="132" spans="2:36" hidden="1" outlineLevel="1" x14ac:dyDescent="0.25">
      <c r="B132" s="151"/>
      <c r="C132" s="1" t="s">
        <v>2</v>
      </c>
      <c r="D132" s="4"/>
      <c r="E132" s="4"/>
      <c r="F132" s="4"/>
      <c r="G132" s="4"/>
      <c r="H132" s="200"/>
      <c r="I132" s="200"/>
      <c r="J132" s="4"/>
      <c r="K132" s="4"/>
      <c r="L132" s="4"/>
      <c r="M132" s="4"/>
      <c r="N132" s="4"/>
      <c r="O132" s="200"/>
      <c r="P132" s="200"/>
      <c r="Q132" s="4"/>
      <c r="R132" s="4"/>
      <c r="S132" s="4"/>
      <c r="T132" s="4"/>
      <c r="U132" s="4"/>
      <c r="V132" s="200"/>
      <c r="W132" s="200"/>
      <c r="X132" s="4"/>
      <c r="Y132" s="4"/>
      <c r="Z132" s="4"/>
      <c r="AA132" s="4"/>
      <c r="AB132" s="4"/>
      <c r="AC132" s="200"/>
      <c r="AD132" s="200"/>
      <c r="AE132" s="4"/>
      <c r="AF132" s="4"/>
      <c r="AG132" s="4"/>
      <c r="AH132" s="4"/>
      <c r="AJ132" s="71">
        <f t="shared" si="25"/>
        <v>0</v>
      </c>
    </row>
    <row r="133" spans="2:36" hidden="1" outlineLevel="1" x14ac:dyDescent="0.25">
      <c r="B133" s="151"/>
      <c r="C133" s="54" t="s">
        <v>77</v>
      </c>
      <c r="D133" s="5"/>
      <c r="E133" s="5"/>
      <c r="F133" s="5"/>
      <c r="G133" s="5"/>
      <c r="H133" s="200"/>
      <c r="I133" s="200"/>
      <c r="J133" s="5"/>
      <c r="K133" s="5"/>
      <c r="L133" s="5"/>
      <c r="M133" s="5"/>
      <c r="N133" s="5"/>
      <c r="O133" s="200"/>
      <c r="P133" s="200"/>
      <c r="Q133" s="5"/>
      <c r="R133" s="5"/>
      <c r="S133" s="5"/>
      <c r="T133" s="5"/>
      <c r="U133" s="5"/>
      <c r="V133" s="200"/>
      <c r="W133" s="200"/>
      <c r="X133" s="5"/>
      <c r="Y133" s="5"/>
      <c r="Z133" s="5"/>
      <c r="AA133" s="5"/>
      <c r="AB133" s="5"/>
      <c r="AC133" s="200"/>
      <c r="AD133" s="200"/>
      <c r="AE133" s="5"/>
      <c r="AF133" s="5"/>
      <c r="AG133" s="5"/>
      <c r="AH133" s="5"/>
      <c r="AJ133" s="72">
        <f t="shared" si="25"/>
        <v>0</v>
      </c>
    </row>
    <row r="134" spans="2:36" ht="15.75" hidden="1" outlineLevel="1" thickBot="1" x14ac:dyDescent="0.3">
      <c r="B134" s="151"/>
      <c r="C134" s="9" t="s">
        <v>3</v>
      </c>
      <c r="D134" s="8"/>
      <c r="E134" s="8"/>
      <c r="F134" s="8"/>
      <c r="G134" s="8"/>
      <c r="H134" s="201"/>
      <c r="I134" s="201"/>
      <c r="J134" s="8"/>
      <c r="K134" s="8"/>
      <c r="L134" s="8"/>
      <c r="M134" s="8"/>
      <c r="N134" s="8"/>
      <c r="O134" s="201"/>
      <c r="P134" s="201"/>
      <c r="Q134" s="8"/>
      <c r="R134" s="8"/>
      <c r="S134" s="8"/>
      <c r="T134" s="8"/>
      <c r="U134" s="8"/>
      <c r="V134" s="201"/>
      <c r="W134" s="201"/>
      <c r="X134" s="8"/>
      <c r="Y134" s="8"/>
      <c r="Z134" s="8"/>
      <c r="AA134" s="8"/>
      <c r="AB134" s="8"/>
      <c r="AC134" s="201"/>
      <c r="AD134" s="201"/>
      <c r="AE134" s="8"/>
      <c r="AF134" s="8"/>
      <c r="AG134" s="8"/>
      <c r="AH134" s="8"/>
      <c r="AI134" s="7"/>
      <c r="AJ134" s="69">
        <f t="shared" si="25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2">
        <v>8</v>
      </c>
      <c r="E135" s="2">
        <v>8</v>
      </c>
      <c r="F135" s="2">
        <v>8</v>
      </c>
      <c r="G135" s="2">
        <v>8</v>
      </c>
      <c r="H135" s="200"/>
      <c r="I135" s="200"/>
      <c r="J135" s="2">
        <v>8</v>
      </c>
      <c r="K135" s="2">
        <v>8</v>
      </c>
      <c r="L135" s="2">
        <v>8</v>
      </c>
      <c r="M135" s="2">
        <v>8</v>
      </c>
      <c r="N135" s="2">
        <v>8</v>
      </c>
      <c r="O135" s="200"/>
      <c r="P135" s="200"/>
      <c r="Q135" s="2"/>
      <c r="R135" s="2"/>
      <c r="S135" s="2"/>
      <c r="T135" s="2"/>
      <c r="U135" s="2"/>
      <c r="V135" s="200"/>
      <c r="W135" s="200"/>
      <c r="X135" s="2"/>
      <c r="Y135" s="2"/>
      <c r="Z135" s="2"/>
      <c r="AA135" s="2"/>
      <c r="AB135" s="2"/>
      <c r="AC135" s="200"/>
      <c r="AD135" s="200"/>
      <c r="AE135" s="2"/>
      <c r="AF135" s="2"/>
      <c r="AG135" s="2"/>
      <c r="AH135" s="2"/>
      <c r="AJ135" s="64">
        <f>SUM(D135:AH135)</f>
        <v>72</v>
      </c>
    </row>
    <row r="136" spans="2:36" ht="15.75" hidden="1" outlineLevel="1" thickTop="1" x14ac:dyDescent="0.25">
      <c r="B136" s="150"/>
      <c r="C136" s="1" t="s">
        <v>1</v>
      </c>
      <c r="D136" s="3"/>
      <c r="E136" s="3"/>
      <c r="F136" s="3"/>
      <c r="G136" s="3"/>
      <c r="H136" s="200"/>
      <c r="I136" s="200"/>
      <c r="J136" s="3"/>
      <c r="K136" s="3"/>
      <c r="L136" s="3"/>
      <c r="M136" s="3"/>
      <c r="N136" s="3"/>
      <c r="O136" s="200"/>
      <c r="P136" s="200"/>
      <c r="Q136" s="3"/>
      <c r="R136" s="3"/>
      <c r="S136" s="3"/>
      <c r="T136" s="3"/>
      <c r="U136" s="3"/>
      <c r="V136" s="200"/>
      <c r="W136" s="200"/>
      <c r="X136" s="3"/>
      <c r="Y136" s="3"/>
      <c r="Z136" s="3"/>
      <c r="AA136" s="3"/>
      <c r="AB136" s="3"/>
      <c r="AC136" s="200"/>
      <c r="AD136" s="200"/>
      <c r="AE136" s="3"/>
      <c r="AF136" s="3"/>
      <c r="AG136" s="3"/>
      <c r="AH136" s="3"/>
      <c r="AJ136" s="70">
        <f t="shared" ref="AJ136:AJ139" si="26">SUM(D136:AH136)</f>
        <v>0</v>
      </c>
    </row>
    <row r="137" spans="2:36" hidden="1" outlineLevel="1" x14ac:dyDescent="0.25">
      <c r="B137" s="151"/>
      <c r="C137" s="1" t="s">
        <v>2</v>
      </c>
      <c r="D137" s="4"/>
      <c r="E137" s="4"/>
      <c r="F137" s="4"/>
      <c r="G137" s="4"/>
      <c r="H137" s="200"/>
      <c r="I137" s="200"/>
      <c r="J137" s="4"/>
      <c r="K137" s="4"/>
      <c r="L137" s="4"/>
      <c r="M137" s="4"/>
      <c r="N137" s="4"/>
      <c r="O137" s="200"/>
      <c r="P137" s="200"/>
      <c r="Q137" s="4"/>
      <c r="R137" s="4"/>
      <c r="S137" s="4"/>
      <c r="T137" s="4"/>
      <c r="U137" s="4"/>
      <c r="V137" s="200"/>
      <c r="W137" s="200"/>
      <c r="X137" s="4"/>
      <c r="Y137" s="4"/>
      <c r="Z137" s="4"/>
      <c r="AA137" s="4"/>
      <c r="AB137" s="4"/>
      <c r="AC137" s="200"/>
      <c r="AD137" s="200"/>
      <c r="AE137" s="4"/>
      <c r="AF137" s="4"/>
      <c r="AG137" s="4"/>
      <c r="AH137" s="4"/>
      <c r="AJ137" s="71">
        <f t="shared" si="26"/>
        <v>0</v>
      </c>
    </row>
    <row r="138" spans="2:36" hidden="1" outlineLevel="1" x14ac:dyDescent="0.25">
      <c r="B138" s="151"/>
      <c r="C138" s="54" t="s">
        <v>77</v>
      </c>
      <c r="D138" s="5"/>
      <c r="E138" s="5"/>
      <c r="F138" s="5"/>
      <c r="G138" s="5"/>
      <c r="H138" s="200"/>
      <c r="I138" s="200"/>
      <c r="J138" s="5"/>
      <c r="K138" s="5"/>
      <c r="L138" s="5"/>
      <c r="M138" s="5"/>
      <c r="N138" s="5"/>
      <c r="O138" s="200"/>
      <c r="P138" s="200"/>
      <c r="Q138" s="5"/>
      <c r="R138" s="5"/>
      <c r="S138" s="5"/>
      <c r="T138" s="5"/>
      <c r="U138" s="5"/>
      <c r="V138" s="200"/>
      <c r="W138" s="200"/>
      <c r="X138" s="5"/>
      <c r="Y138" s="5"/>
      <c r="Z138" s="5"/>
      <c r="AA138" s="5"/>
      <c r="AB138" s="5"/>
      <c r="AC138" s="200"/>
      <c r="AD138" s="200"/>
      <c r="AE138" s="5"/>
      <c r="AF138" s="5"/>
      <c r="AG138" s="5"/>
      <c r="AH138" s="5"/>
      <c r="AJ138" s="72">
        <f t="shared" si="26"/>
        <v>0</v>
      </c>
    </row>
    <row r="139" spans="2:36" ht="15.75" hidden="1" outlineLevel="1" thickBot="1" x14ac:dyDescent="0.3">
      <c r="B139" s="151"/>
      <c r="C139" s="9" t="s">
        <v>3</v>
      </c>
      <c r="D139" s="8"/>
      <c r="E139" s="8"/>
      <c r="F139" s="8"/>
      <c r="G139" s="8"/>
      <c r="H139" s="201"/>
      <c r="I139" s="201"/>
      <c r="J139" s="8"/>
      <c r="K139" s="8"/>
      <c r="L139" s="8"/>
      <c r="M139" s="8"/>
      <c r="N139" s="8"/>
      <c r="O139" s="201"/>
      <c r="P139" s="201"/>
      <c r="Q139" s="8"/>
      <c r="R139" s="8"/>
      <c r="S139" s="8"/>
      <c r="T139" s="8"/>
      <c r="U139" s="8"/>
      <c r="V139" s="201"/>
      <c r="W139" s="201"/>
      <c r="X139" s="8"/>
      <c r="Y139" s="8"/>
      <c r="Z139" s="8"/>
      <c r="AA139" s="8"/>
      <c r="AB139" s="8"/>
      <c r="AC139" s="201"/>
      <c r="AD139" s="201"/>
      <c r="AE139" s="8"/>
      <c r="AF139" s="8"/>
      <c r="AG139" s="8"/>
      <c r="AH139" s="8"/>
      <c r="AI139" s="7"/>
      <c r="AJ139" s="69">
        <f t="shared" si="26"/>
        <v>0</v>
      </c>
    </row>
    <row r="140" spans="2:36" ht="16.5" collapsed="1" thickTop="1" thickBot="1" x14ac:dyDescent="0.3">
      <c r="B140" s="253" t="str">
        <f>'Hours Scheduled'!B31</f>
        <v>Thom van Bodegraven</v>
      </c>
      <c r="C140" t="s">
        <v>0</v>
      </c>
      <c r="D140" s="2"/>
      <c r="E140" s="2"/>
      <c r="F140" s="2"/>
      <c r="G140" s="2"/>
      <c r="H140" s="200"/>
      <c r="I140" s="200"/>
      <c r="J140" s="2"/>
      <c r="K140" s="2"/>
      <c r="L140" s="2"/>
      <c r="M140" s="2"/>
      <c r="N140" s="2"/>
      <c r="O140" s="200"/>
      <c r="P140" s="200"/>
      <c r="Q140" s="2"/>
      <c r="R140" s="2"/>
      <c r="S140" s="2"/>
      <c r="T140" s="2"/>
      <c r="U140" s="2"/>
      <c r="V140" s="200"/>
      <c r="W140" s="200"/>
      <c r="X140" s="2"/>
      <c r="Y140" s="2"/>
      <c r="Z140" s="2"/>
      <c r="AA140" s="2"/>
      <c r="AB140" s="2"/>
      <c r="AC140" s="200"/>
      <c r="AD140" s="200"/>
      <c r="AE140" s="2"/>
      <c r="AF140" s="2"/>
      <c r="AG140" s="2"/>
      <c r="AH140" s="2"/>
      <c r="AJ140" s="64">
        <f>SUM(D140:AH140)</f>
        <v>0</v>
      </c>
    </row>
    <row r="141" spans="2:36" ht="15.75" hidden="1" outlineLevel="1" thickTop="1" x14ac:dyDescent="0.25">
      <c r="B141" s="150"/>
      <c r="C141" s="1" t="s">
        <v>1</v>
      </c>
      <c r="D141" s="3"/>
      <c r="E141" s="3"/>
      <c r="F141" s="3"/>
      <c r="G141" s="3"/>
      <c r="H141" s="200"/>
      <c r="I141" s="200"/>
      <c r="J141" s="3"/>
      <c r="K141" s="3"/>
      <c r="L141" s="3"/>
      <c r="M141" s="3"/>
      <c r="N141" s="3"/>
      <c r="O141" s="200"/>
      <c r="P141" s="200"/>
      <c r="Q141" s="3"/>
      <c r="R141" s="3"/>
      <c r="S141" s="3"/>
      <c r="T141" s="3"/>
      <c r="U141" s="3"/>
      <c r="V141" s="200"/>
      <c r="W141" s="200"/>
      <c r="X141" s="3"/>
      <c r="Y141" s="3"/>
      <c r="Z141" s="3"/>
      <c r="AA141" s="3"/>
      <c r="AB141" s="3"/>
      <c r="AC141" s="200"/>
      <c r="AD141" s="200"/>
      <c r="AE141" s="3"/>
      <c r="AF141" s="3"/>
      <c r="AG141" s="3"/>
      <c r="AH141" s="3"/>
      <c r="AJ141" s="70">
        <f t="shared" ref="AJ141:AJ144" si="27">SUM(D141:AH141)</f>
        <v>0</v>
      </c>
    </row>
    <row r="142" spans="2:36" hidden="1" outlineLevel="1" x14ac:dyDescent="0.25">
      <c r="B142" s="151"/>
      <c r="C142" s="1" t="s">
        <v>2</v>
      </c>
      <c r="D142" s="4"/>
      <c r="E142" s="4"/>
      <c r="F142" s="4"/>
      <c r="G142" s="4"/>
      <c r="H142" s="200"/>
      <c r="I142" s="200"/>
      <c r="J142" s="4"/>
      <c r="K142" s="4"/>
      <c r="L142" s="4"/>
      <c r="M142" s="4"/>
      <c r="N142" s="4"/>
      <c r="O142" s="200"/>
      <c r="P142" s="200"/>
      <c r="Q142" s="4"/>
      <c r="R142" s="4"/>
      <c r="S142" s="4"/>
      <c r="T142" s="4"/>
      <c r="U142" s="4"/>
      <c r="V142" s="200"/>
      <c r="W142" s="200"/>
      <c r="X142" s="4"/>
      <c r="Y142" s="4"/>
      <c r="Z142" s="4"/>
      <c r="AA142" s="4"/>
      <c r="AB142" s="4"/>
      <c r="AC142" s="200"/>
      <c r="AD142" s="200"/>
      <c r="AE142" s="4"/>
      <c r="AF142" s="4"/>
      <c r="AG142" s="4"/>
      <c r="AH142" s="4"/>
      <c r="AJ142" s="71">
        <f t="shared" si="27"/>
        <v>0</v>
      </c>
    </row>
    <row r="143" spans="2:36" hidden="1" outlineLevel="1" x14ac:dyDescent="0.25">
      <c r="B143" s="151"/>
      <c r="C143" s="54" t="s">
        <v>77</v>
      </c>
      <c r="D143" s="5"/>
      <c r="E143" s="5"/>
      <c r="F143" s="5"/>
      <c r="G143" s="5"/>
      <c r="H143" s="200"/>
      <c r="I143" s="200"/>
      <c r="J143" s="5"/>
      <c r="K143" s="5"/>
      <c r="L143" s="5"/>
      <c r="M143" s="5"/>
      <c r="N143" s="5"/>
      <c r="O143" s="200"/>
      <c r="P143" s="200"/>
      <c r="Q143" s="5"/>
      <c r="R143" s="5"/>
      <c r="S143" s="5"/>
      <c r="T143" s="5"/>
      <c r="U143" s="5"/>
      <c r="V143" s="200"/>
      <c r="W143" s="200"/>
      <c r="X143" s="5"/>
      <c r="Y143" s="5"/>
      <c r="Z143" s="5"/>
      <c r="AA143" s="5"/>
      <c r="AB143" s="5"/>
      <c r="AC143" s="200"/>
      <c r="AD143" s="200"/>
      <c r="AE143" s="5"/>
      <c r="AF143" s="5"/>
      <c r="AG143" s="5"/>
      <c r="AH143" s="5"/>
      <c r="AJ143" s="72">
        <f t="shared" si="27"/>
        <v>0</v>
      </c>
    </row>
    <row r="144" spans="2:36" ht="15.75" hidden="1" outlineLevel="1" thickBot="1" x14ac:dyDescent="0.3">
      <c r="B144" s="151"/>
      <c r="C144" s="9" t="s">
        <v>3</v>
      </c>
      <c r="D144" s="8"/>
      <c r="E144" s="8"/>
      <c r="F144" s="8"/>
      <c r="G144" s="8"/>
      <c r="H144" s="201"/>
      <c r="I144" s="201"/>
      <c r="J144" s="8"/>
      <c r="K144" s="8"/>
      <c r="L144" s="8"/>
      <c r="M144" s="8"/>
      <c r="N144" s="8"/>
      <c r="O144" s="201"/>
      <c r="P144" s="201"/>
      <c r="Q144" s="8"/>
      <c r="R144" s="8"/>
      <c r="S144" s="8"/>
      <c r="T144" s="8"/>
      <c r="U144" s="8"/>
      <c r="V144" s="201"/>
      <c r="W144" s="201"/>
      <c r="X144" s="8"/>
      <c r="Y144" s="8"/>
      <c r="Z144" s="8"/>
      <c r="AA144" s="8"/>
      <c r="AB144" s="8"/>
      <c r="AC144" s="201"/>
      <c r="AD144" s="201"/>
      <c r="AE144" s="8"/>
      <c r="AF144" s="8"/>
      <c r="AG144" s="8"/>
      <c r="AH144" s="8"/>
      <c r="AI144" s="7"/>
      <c r="AJ144" s="69">
        <f t="shared" si="27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2"/>
      <c r="E145" s="2"/>
      <c r="F145" s="2"/>
      <c r="G145" s="2"/>
      <c r="H145" s="200"/>
      <c r="I145" s="200"/>
      <c r="J145" s="2"/>
      <c r="K145" s="2"/>
      <c r="L145" s="2"/>
      <c r="M145" s="2"/>
      <c r="N145" s="2"/>
      <c r="O145" s="200"/>
      <c r="P145" s="200"/>
      <c r="Q145" s="2"/>
      <c r="R145" s="2"/>
      <c r="S145" s="2"/>
      <c r="T145" s="2"/>
      <c r="U145" s="2"/>
      <c r="V145" s="200"/>
      <c r="W145" s="200"/>
      <c r="X145" s="2"/>
      <c r="Y145" s="2"/>
      <c r="Z145" s="2"/>
      <c r="AA145" s="2"/>
      <c r="AB145" s="2"/>
      <c r="AC145" s="200"/>
      <c r="AD145" s="200"/>
      <c r="AE145" s="2"/>
      <c r="AF145" s="2"/>
      <c r="AG145" s="2"/>
      <c r="AH145" s="2"/>
      <c r="AJ145" s="64">
        <f>SUM(D145:AH145)</f>
        <v>0</v>
      </c>
    </row>
    <row r="146" spans="2:36" ht="15.75" hidden="1" outlineLevel="1" thickTop="1" x14ac:dyDescent="0.25">
      <c r="B146" s="150"/>
      <c r="C146" s="1" t="s">
        <v>1</v>
      </c>
      <c r="D146" s="3"/>
      <c r="E146" s="3"/>
      <c r="F146" s="3"/>
      <c r="G146" s="3"/>
      <c r="H146" s="200"/>
      <c r="I146" s="200"/>
      <c r="J146" s="3"/>
      <c r="K146" s="3"/>
      <c r="L146" s="3"/>
      <c r="M146" s="3"/>
      <c r="N146" s="3"/>
      <c r="O146" s="200"/>
      <c r="P146" s="200"/>
      <c r="Q146" s="3"/>
      <c r="R146" s="3"/>
      <c r="S146" s="3"/>
      <c r="T146" s="3"/>
      <c r="U146" s="3"/>
      <c r="V146" s="200"/>
      <c r="W146" s="200"/>
      <c r="X146" s="3"/>
      <c r="Y146" s="3"/>
      <c r="Z146" s="3"/>
      <c r="AA146" s="3"/>
      <c r="AB146" s="3"/>
      <c r="AC146" s="200"/>
      <c r="AD146" s="200"/>
      <c r="AE146" s="3"/>
      <c r="AF146" s="3"/>
      <c r="AG146" s="3"/>
      <c r="AH146" s="3"/>
      <c r="AJ146" s="70">
        <f t="shared" ref="AJ146:AJ149" si="28">SUM(D146:AH146)</f>
        <v>0</v>
      </c>
    </row>
    <row r="147" spans="2:36" hidden="1" outlineLevel="1" x14ac:dyDescent="0.25">
      <c r="B147" s="151"/>
      <c r="C147" s="1" t="s">
        <v>2</v>
      </c>
      <c r="D147" s="4"/>
      <c r="E147" s="4"/>
      <c r="F147" s="4"/>
      <c r="G147" s="4"/>
      <c r="H147" s="200"/>
      <c r="I147" s="200"/>
      <c r="J147" s="4"/>
      <c r="K147" s="4"/>
      <c r="L147" s="4"/>
      <c r="M147" s="4"/>
      <c r="N147" s="4"/>
      <c r="O147" s="200"/>
      <c r="P147" s="200"/>
      <c r="Q147" s="4"/>
      <c r="R147" s="4"/>
      <c r="S147" s="4"/>
      <c r="T147" s="4"/>
      <c r="U147" s="4"/>
      <c r="V147" s="200"/>
      <c r="W147" s="200"/>
      <c r="X147" s="4"/>
      <c r="Y147" s="4"/>
      <c r="Z147" s="4"/>
      <c r="AA147" s="4"/>
      <c r="AB147" s="4"/>
      <c r="AC147" s="200"/>
      <c r="AD147" s="200"/>
      <c r="AE147" s="4"/>
      <c r="AF147" s="4"/>
      <c r="AG147" s="4"/>
      <c r="AH147" s="4"/>
      <c r="AJ147" s="71">
        <f t="shared" si="28"/>
        <v>0</v>
      </c>
    </row>
    <row r="148" spans="2:36" hidden="1" outlineLevel="1" x14ac:dyDescent="0.25">
      <c r="B148" s="151"/>
      <c r="C148" s="54" t="s">
        <v>77</v>
      </c>
      <c r="D148" s="5"/>
      <c r="E148" s="5"/>
      <c r="F148" s="5"/>
      <c r="G148" s="5"/>
      <c r="H148" s="200"/>
      <c r="I148" s="200"/>
      <c r="J148" s="5"/>
      <c r="K148" s="5"/>
      <c r="L148" s="5"/>
      <c r="M148" s="5"/>
      <c r="N148" s="5"/>
      <c r="O148" s="200"/>
      <c r="P148" s="200"/>
      <c r="Q148" s="5"/>
      <c r="R148" s="5"/>
      <c r="S148" s="5"/>
      <c r="T148" s="5"/>
      <c r="U148" s="5"/>
      <c r="V148" s="200"/>
      <c r="W148" s="200"/>
      <c r="X148" s="5"/>
      <c r="Y148" s="5"/>
      <c r="Z148" s="5"/>
      <c r="AA148" s="5"/>
      <c r="AB148" s="5"/>
      <c r="AC148" s="200"/>
      <c r="AD148" s="200"/>
      <c r="AE148" s="5"/>
      <c r="AF148" s="5"/>
      <c r="AG148" s="5"/>
      <c r="AH148" s="5"/>
      <c r="AJ148" s="72">
        <f t="shared" si="28"/>
        <v>0</v>
      </c>
    </row>
    <row r="149" spans="2:36" ht="15.75" hidden="1" outlineLevel="1" thickBot="1" x14ac:dyDescent="0.3">
      <c r="B149" s="151"/>
      <c r="C149" s="9" t="s">
        <v>3</v>
      </c>
      <c r="D149" s="8"/>
      <c r="E149" s="8"/>
      <c r="F149" s="8"/>
      <c r="G149" s="8"/>
      <c r="H149" s="201"/>
      <c r="I149" s="201"/>
      <c r="J149" s="8"/>
      <c r="K149" s="8"/>
      <c r="L149" s="8"/>
      <c r="M149" s="8"/>
      <c r="N149" s="8"/>
      <c r="O149" s="201"/>
      <c r="P149" s="201"/>
      <c r="Q149" s="8"/>
      <c r="R149" s="8"/>
      <c r="S149" s="8"/>
      <c r="T149" s="8"/>
      <c r="U149" s="8"/>
      <c r="V149" s="201"/>
      <c r="W149" s="201"/>
      <c r="X149" s="8"/>
      <c r="Y149" s="8"/>
      <c r="Z149" s="8"/>
      <c r="AA149" s="8"/>
      <c r="AB149" s="8"/>
      <c r="AC149" s="201"/>
      <c r="AD149" s="201"/>
      <c r="AE149" s="8"/>
      <c r="AF149" s="8"/>
      <c r="AG149" s="8"/>
      <c r="AH149" s="8"/>
      <c r="AI149" s="7"/>
      <c r="AJ149" s="69">
        <f t="shared" si="28"/>
        <v>0</v>
      </c>
    </row>
    <row r="150" spans="2:36" ht="16.5" collapsed="1" thickTop="1" thickBot="1" x14ac:dyDescent="0.3">
      <c r="B150" s="149" t="str">
        <f>'Hours Scheduled'!B33</f>
        <v>Erik Jaspers</v>
      </c>
      <c r="C150" t="s">
        <v>0</v>
      </c>
      <c r="D150" s="2"/>
      <c r="E150" s="2"/>
      <c r="F150" s="2"/>
      <c r="G150" s="2"/>
      <c r="H150" s="200"/>
      <c r="I150" s="200"/>
      <c r="J150" s="2"/>
      <c r="K150" s="2"/>
      <c r="L150" s="2"/>
      <c r="M150" s="2"/>
      <c r="N150" s="2"/>
      <c r="O150" s="200"/>
      <c r="P150" s="200"/>
      <c r="Q150" s="2"/>
      <c r="R150" s="2"/>
      <c r="S150" s="2"/>
      <c r="T150" s="2"/>
      <c r="U150" s="2"/>
      <c r="V150" s="200"/>
      <c r="W150" s="200"/>
      <c r="X150" s="2"/>
      <c r="Y150" s="2"/>
      <c r="Z150" s="2"/>
      <c r="AA150" s="2"/>
      <c r="AB150" s="2"/>
      <c r="AC150" s="200"/>
      <c r="AD150" s="200"/>
      <c r="AE150" s="2"/>
      <c r="AF150" s="2"/>
      <c r="AG150" s="2"/>
      <c r="AH150" s="2"/>
      <c r="AJ150" s="64">
        <f>SUM(D150:AH150)</f>
        <v>0</v>
      </c>
    </row>
    <row r="151" spans="2:36" ht="15.75" hidden="1" outlineLevel="1" thickTop="1" x14ac:dyDescent="0.25">
      <c r="B151" s="150"/>
      <c r="C151" s="1" t="s">
        <v>1</v>
      </c>
      <c r="D151" s="3"/>
      <c r="E151" s="3"/>
      <c r="F151" s="3"/>
      <c r="G151" s="3"/>
      <c r="H151" s="200"/>
      <c r="I151" s="200"/>
      <c r="J151" s="3"/>
      <c r="K151" s="3"/>
      <c r="L151" s="3"/>
      <c r="M151" s="3"/>
      <c r="N151" s="3"/>
      <c r="O151" s="200"/>
      <c r="P151" s="200"/>
      <c r="Q151" s="3"/>
      <c r="R151" s="3"/>
      <c r="S151" s="3"/>
      <c r="T151" s="3"/>
      <c r="U151" s="3"/>
      <c r="V151" s="200"/>
      <c r="W151" s="200"/>
      <c r="X151" s="3"/>
      <c r="Y151" s="3"/>
      <c r="Z151" s="3"/>
      <c r="AA151" s="3"/>
      <c r="AB151" s="3"/>
      <c r="AC151" s="200"/>
      <c r="AD151" s="200"/>
      <c r="AE151" s="3"/>
      <c r="AF151" s="3"/>
      <c r="AG151" s="3"/>
      <c r="AH151" s="3"/>
      <c r="AJ151" s="70">
        <f t="shared" ref="AJ151:AJ154" si="29">SUM(D151:AH151)</f>
        <v>0</v>
      </c>
    </row>
    <row r="152" spans="2:36" hidden="1" outlineLevel="1" x14ac:dyDescent="0.25">
      <c r="B152" s="151"/>
      <c r="C152" s="1" t="s">
        <v>2</v>
      </c>
      <c r="D152" s="4"/>
      <c r="E152" s="4"/>
      <c r="F152" s="4"/>
      <c r="G152" s="4"/>
      <c r="H152" s="200"/>
      <c r="I152" s="200"/>
      <c r="J152" s="4"/>
      <c r="K152" s="4"/>
      <c r="L152" s="4"/>
      <c r="M152" s="4"/>
      <c r="N152" s="4"/>
      <c r="O152" s="200"/>
      <c r="P152" s="200"/>
      <c r="Q152" s="4"/>
      <c r="R152" s="4"/>
      <c r="S152" s="4"/>
      <c r="T152" s="4"/>
      <c r="U152" s="4"/>
      <c r="V152" s="200"/>
      <c r="W152" s="200"/>
      <c r="X152" s="4"/>
      <c r="Y152" s="4"/>
      <c r="Z152" s="4"/>
      <c r="AA152" s="4"/>
      <c r="AB152" s="4"/>
      <c r="AC152" s="200"/>
      <c r="AD152" s="200"/>
      <c r="AE152" s="4"/>
      <c r="AF152" s="4"/>
      <c r="AG152" s="4"/>
      <c r="AH152" s="4"/>
      <c r="AJ152" s="71">
        <f t="shared" si="29"/>
        <v>0</v>
      </c>
    </row>
    <row r="153" spans="2:36" hidden="1" outlineLevel="1" x14ac:dyDescent="0.25">
      <c r="B153" s="151"/>
      <c r="C153" s="54" t="s">
        <v>77</v>
      </c>
      <c r="D153" s="5"/>
      <c r="E153" s="5"/>
      <c r="F153" s="5"/>
      <c r="G153" s="5"/>
      <c r="H153" s="200"/>
      <c r="I153" s="200"/>
      <c r="J153" s="5"/>
      <c r="K153" s="5"/>
      <c r="L153" s="5"/>
      <c r="M153" s="5"/>
      <c r="N153" s="5"/>
      <c r="O153" s="200"/>
      <c r="P153" s="200"/>
      <c r="Q153" s="5"/>
      <c r="R153" s="5"/>
      <c r="S153" s="5"/>
      <c r="T153" s="5"/>
      <c r="U153" s="5"/>
      <c r="V153" s="200"/>
      <c r="W153" s="200"/>
      <c r="X153" s="5"/>
      <c r="Y153" s="5"/>
      <c r="Z153" s="5"/>
      <c r="AA153" s="5"/>
      <c r="AB153" s="5"/>
      <c r="AC153" s="200"/>
      <c r="AD153" s="200"/>
      <c r="AE153" s="5"/>
      <c r="AF153" s="5"/>
      <c r="AG153" s="5"/>
      <c r="AH153" s="5"/>
      <c r="AJ153" s="72">
        <f t="shared" si="29"/>
        <v>0</v>
      </c>
    </row>
    <row r="154" spans="2:36" ht="15.75" hidden="1" outlineLevel="1" thickBot="1" x14ac:dyDescent="0.3">
      <c r="B154" s="151"/>
      <c r="C154" s="9" t="s">
        <v>3</v>
      </c>
      <c r="D154" s="8"/>
      <c r="E154" s="8"/>
      <c r="F154" s="8"/>
      <c r="G154" s="8"/>
      <c r="H154" s="201"/>
      <c r="I154" s="201"/>
      <c r="J154" s="8"/>
      <c r="K154" s="8"/>
      <c r="L154" s="8"/>
      <c r="M154" s="8"/>
      <c r="N154" s="8"/>
      <c r="O154" s="201"/>
      <c r="P154" s="201"/>
      <c r="Q154" s="8"/>
      <c r="R154" s="8"/>
      <c r="S154" s="8"/>
      <c r="T154" s="8"/>
      <c r="U154" s="8"/>
      <c r="V154" s="201"/>
      <c r="W154" s="201"/>
      <c r="X154" s="8"/>
      <c r="Y154" s="8"/>
      <c r="Z154" s="8"/>
      <c r="AA154" s="8"/>
      <c r="AB154" s="8"/>
      <c r="AC154" s="201"/>
      <c r="AD154" s="201"/>
      <c r="AE154" s="8"/>
      <c r="AF154" s="8"/>
      <c r="AG154" s="8"/>
      <c r="AH154" s="8"/>
      <c r="AI154" s="7"/>
      <c r="AJ154" s="69">
        <f t="shared" si="29"/>
        <v>0</v>
      </c>
    </row>
    <row r="155" spans="2:36" ht="16.5" collapsed="1" thickTop="1" thickBot="1" x14ac:dyDescent="0.3">
      <c r="B155" s="149" t="str">
        <f>'Hours Scheduled'!B34</f>
        <v>Leo Wijnands</v>
      </c>
      <c r="C155" t="s">
        <v>0</v>
      </c>
      <c r="D155" s="2"/>
      <c r="E155" s="2"/>
      <c r="F155" s="2"/>
      <c r="G155" s="2"/>
      <c r="H155" s="200"/>
      <c r="I155" s="200"/>
      <c r="J155" s="2"/>
      <c r="K155" s="2"/>
      <c r="L155" s="2"/>
      <c r="M155" s="2"/>
      <c r="N155" s="2"/>
      <c r="O155" s="200"/>
      <c r="P155" s="200"/>
      <c r="Q155" s="2"/>
      <c r="R155" s="2"/>
      <c r="S155" s="2"/>
      <c r="T155" s="2"/>
      <c r="U155" s="2"/>
      <c r="V155" s="200"/>
      <c r="W155" s="200"/>
      <c r="X155" s="2"/>
      <c r="Y155" s="2"/>
      <c r="Z155" s="2"/>
      <c r="AA155" s="2"/>
      <c r="AB155" s="2"/>
      <c r="AC155" s="200"/>
      <c r="AD155" s="200"/>
      <c r="AE155" s="2"/>
      <c r="AF155" s="2"/>
      <c r="AG155" s="2"/>
      <c r="AH155" s="2"/>
      <c r="AJ155" s="64">
        <f>SUM(D155:AH155)</f>
        <v>0</v>
      </c>
    </row>
    <row r="156" spans="2:36" ht="15.75" hidden="1" outlineLevel="1" thickTop="1" x14ac:dyDescent="0.25">
      <c r="B156" s="150"/>
      <c r="C156" s="1" t="s">
        <v>1</v>
      </c>
      <c r="D156" s="3"/>
      <c r="E156" s="3"/>
      <c r="F156" s="3"/>
      <c r="G156" s="3"/>
      <c r="H156" s="200"/>
      <c r="I156" s="200"/>
      <c r="J156" s="3"/>
      <c r="K156" s="3"/>
      <c r="L156" s="3"/>
      <c r="M156" s="3"/>
      <c r="N156" s="3"/>
      <c r="O156" s="200"/>
      <c r="P156" s="200"/>
      <c r="Q156" s="3"/>
      <c r="R156" s="3"/>
      <c r="S156" s="3"/>
      <c r="T156" s="3"/>
      <c r="U156" s="3"/>
      <c r="V156" s="200"/>
      <c r="W156" s="200"/>
      <c r="X156" s="3"/>
      <c r="Y156" s="3"/>
      <c r="Z156" s="3"/>
      <c r="AA156" s="3"/>
      <c r="AB156" s="3"/>
      <c r="AC156" s="200"/>
      <c r="AD156" s="200"/>
      <c r="AE156" s="3"/>
      <c r="AF156" s="3"/>
      <c r="AG156" s="3"/>
      <c r="AH156" s="3"/>
      <c r="AJ156" s="70">
        <f t="shared" ref="AJ156:AJ159" si="30">SUM(D156:AH156)</f>
        <v>0</v>
      </c>
    </row>
    <row r="157" spans="2:36" hidden="1" outlineLevel="1" x14ac:dyDescent="0.25">
      <c r="B157" s="151"/>
      <c r="C157" s="1" t="s">
        <v>2</v>
      </c>
      <c r="D157" s="4"/>
      <c r="E157" s="4"/>
      <c r="F157" s="4"/>
      <c r="G157" s="4"/>
      <c r="H157" s="200"/>
      <c r="I157" s="200"/>
      <c r="J157" s="4"/>
      <c r="K157" s="4"/>
      <c r="L157" s="4"/>
      <c r="M157" s="4"/>
      <c r="N157" s="4"/>
      <c r="O157" s="200"/>
      <c r="P157" s="200"/>
      <c r="Q157" s="4"/>
      <c r="R157" s="4"/>
      <c r="S157" s="4"/>
      <c r="T157" s="4"/>
      <c r="U157" s="4"/>
      <c r="V157" s="200"/>
      <c r="W157" s="200"/>
      <c r="X157" s="4"/>
      <c r="Y157" s="4"/>
      <c r="Z157" s="4"/>
      <c r="AA157" s="4"/>
      <c r="AB157" s="4"/>
      <c r="AC157" s="200"/>
      <c r="AD157" s="200"/>
      <c r="AE157" s="4"/>
      <c r="AF157" s="4"/>
      <c r="AG157" s="4"/>
      <c r="AH157" s="4"/>
      <c r="AJ157" s="71">
        <f t="shared" si="30"/>
        <v>0</v>
      </c>
    </row>
    <row r="158" spans="2:36" hidden="1" outlineLevel="1" x14ac:dyDescent="0.25">
      <c r="B158" s="151"/>
      <c r="C158" s="54" t="s">
        <v>77</v>
      </c>
      <c r="D158" s="5"/>
      <c r="E158" s="5"/>
      <c r="F158" s="5"/>
      <c r="G158" s="5"/>
      <c r="H158" s="200"/>
      <c r="I158" s="200"/>
      <c r="J158" s="5"/>
      <c r="K158" s="5"/>
      <c r="L158" s="5"/>
      <c r="M158" s="5"/>
      <c r="N158" s="5"/>
      <c r="O158" s="200"/>
      <c r="P158" s="200"/>
      <c r="Q158" s="5"/>
      <c r="R158" s="5"/>
      <c r="S158" s="5"/>
      <c r="T158" s="5"/>
      <c r="U158" s="5"/>
      <c r="V158" s="200"/>
      <c r="W158" s="200"/>
      <c r="X158" s="5"/>
      <c r="Y158" s="5"/>
      <c r="Z158" s="5"/>
      <c r="AA158" s="5"/>
      <c r="AB158" s="5"/>
      <c r="AC158" s="200"/>
      <c r="AD158" s="200"/>
      <c r="AE158" s="5"/>
      <c r="AF158" s="5"/>
      <c r="AG158" s="5"/>
      <c r="AH158" s="5"/>
      <c r="AJ158" s="72">
        <f t="shared" si="30"/>
        <v>0</v>
      </c>
    </row>
    <row r="159" spans="2:36" ht="15.75" hidden="1" outlineLevel="1" thickBot="1" x14ac:dyDescent="0.3">
      <c r="B159" s="151"/>
      <c r="C159" s="9" t="s">
        <v>3</v>
      </c>
      <c r="D159" s="8"/>
      <c r="E159" s="8"/>
      <c r="F159" s="8"/>
      <c r="G159" s="8"/>
      <c r="H159" s="201"/>
      <c r="I159" s="201"/>
      <c r="J159" s="8"/>
      <c r="K159" s="8"/>
      <c r="L159" s="8"/>
      <c r="M159" s="8"/>
      <c r="N159" s="8"/>
      <c r="O159" s="201"/>
      <c r="P159" s="201"/>
      <c r="Q159" s="8"/>
      <c r="R159" s="8"/>
      <c r="S159" s="8"/>
      <c r="T159" s="8"/>
      <c r="U159" s="8"/>
      <c r="V159" s="201"/>
      <c r="W159" s="201"/>
      <c r="X159" s="8"/>
      <c r="Y159" s="8"/>
      <c r="Z159" s="8"/>
      <c r="AA159" s="8"/>
      <c r="AB159" s="8"/>
      <c r="AC159" s="201"/>
      <c r="AD159" s="201"/>
      <c r="AE159" s="8"/>
      <c r="AF159" s="8"/>
      <c r="AG159" s="8"/>
      <c r="AH159" s="8"/>
      <c r="AI159" s="7"/>
      <c r="AJ159" s="69">
        <f t="shared" si="30"/>
        <v>0</v>
      </c>
    </row>
    <row r="160" spans="2:36" ht="16.5" collapsed="1" thickTop="1" thickBot="1" x14ac:dyDescent="0.3">
      <c r="B160" s="149" t="str">
        <f>'Hours Scheduled'!B35</f>
        <v>Danny Ummels</v>
      </c>
      <c r="C160" t="s">
        <v>0</v>
      </c>
      <c r="D160" s="2"/>
      <c r="E160" s="2"/>
      <c r="F160" s="2"/>
      <c r="G160" s="2"/>
      <c r="H160" s="200"/>
      <c r="I160" s="200"/>
      <c r="J160" s="2"/>
      <c r="K160" s="2"/>
      <c r="L160" s="2"/>
      <c r="M160" s="2"/>
      <c r="N160" s="2"/>
      <c r="O160" s="200"/>
      <c r="P160" s="200"/>
      <c r="Q160" s="2"/>
      <c r="R160" s="2"/>
      <c r="S160" s="2"/>
      <c r="T160" s="2"/>
      <c r="U160" s="2"/>
      <c r="V160" s="200"/>
      <c r="W160" s="200"/>
      <c r="X160" s="2"/>
      <c r="Y160" s="2"/>
      <c r="Z160" s="2"/>
      <c r="AA160" s="2"/>
      <c r="AB160" s="2"/>
      <c r="AC160" s="200"/>
      <c r="AD160" s="200"/>
      <c r="AE160" s="2"/>
      <c r="AF160" s="2"/>
      <c r="AG160" s="2"/>
      <c r="AH160" s="2"/>
      <c r="AJ160" s="64">
        <f>SUM(D160:AH160)</f>
        <v>0</v>
      </c>
    </row>
    <row r="161" spans="2:36" ht="15.75" hidden="1" outlineLevel="1" thickTop="1" x14ac:dyDescent="0.25">
      <c r="B161" s="150"/>
      <c r="C161" s="1" t="s">
        <v>1</v>
      </c>
      <c r="D161" s="3"/>
      <c r="E161" s="3"/>
      <c r="F161" s="3"/>
      <c r="G161" s="3"/>
      <c r="H161" s="200"/>
      <c r="I161" s="200"/>
      <c r="J161" s="3"/>
      <c r="K161" s="3"/>
      <c r="L161" s="3"/>
      <c r="M161" s="3"/>
      <c r="N161" s="3"/>
      <c r="O161" s="200"/>
      <c r="P161" s="200"/>
      <c r="Q161" s="3"/>
      <c r="R161" s="3"/>
      <c r="S161" s="3"/>
      <c r="T161" s="3"/>
      <c r="U161" s="3"/>
      <c r="V161" s="200"/>
      <c r="W161" s="200"/>
      <c r="X161" s="3"/>
      <c r="Y161" s="3"/>
      <c r="Z161" s="3"/>
      <c r="AA161" s="3"/>
      <c r="AB161" s="3"/>
      <c r="AC161" s="200"/>
      <c r="AD161" s="200"/>
      <c r="AE161" s="3"/>
      <c r="AF161" s="3"/>
      <c r="AG161" s="3"/>
      <c r="AH161" s="3"/>
      <c r="AJ161" s="70">
        <f t="shared" ref="AJ161:AJ164" si="31">SUM(D161:AH161)</f>
        <v>0</v>
      </c>
    </row>
    <row r="162" spans="2:36" hidden="1" outlineLevel="1" x14ac:dyDescent="0.25">
      <c r="B162" s="151"/>
      <c r="C162" s="1" t="s">
        <v>2</v>
      </c>
      <c r="D162" s="4"/>
      <c r="E162" s="4"/>
      <c r="F162" s="4"/>
      <c r="G162" s="4"/>
      <c r="H162" s="200"/>
      <c r="I162" s="200"/>
      <c r="J162" s="4"/>
      <c r="K162" s="4"/>
      <c r="L162" s="4"/>
      <c r="M162" s="4"/>
      <c r="N162" s="4"/>
      <c r="O162" s="200"/>
      <c r="P162" s="200"/>
      <c r="Q162" s="4"/>
      <c r="R162" s="4"/>
      <c r="S162" s="4"/>
      <c r="T162" s="4"/>
      <c r="U162" s="4"/>
      <c r="V162" s="200"/>
      <c r="W162" s="200"/>
      <c r="X162" s="4"/>
      <c r="Y162" s="4"/>
      <c r="Z162" s="4"/>
      <c r="AA162" s="4"/>
      <c r="AB162" s="4"/>
      <c r="AC162" s="200"/>
      <c r="AD162" s="200"/>
      <c r="AE162" s="4"/>
      <c r="AF162" s="4"/>
      <c r="AG162" s="4"/>
      <c r="AH162" s="4"/>
      <c r="AJ162" s="71">
        <f t="shared" si="31"/>
        <v>0</v>
      </c>
    </row>
    <row r="163" spans="2:36" hidden="1" outlineLevel="1" x14ac:dyDescent="0.25">
      <c r="B163" s="151"/>
      <c r="C163" s="54" t="s">
        <v>77</v>
      </c>
      <c r="D163" s="5"/>
      <c r="E163" s="5"/>
      <c r="F163" s="5"/>
      <c r="G163" s="5"/>
      <c r="H163" s="200"/>
      <c r="I163" s="200"/>
      <c r="J163" s="5"/>
      <c r="K163" s="5"/>
      <c r="L163" s="5"/>
      <c r="M163" s="5"/>
      <c r="N163" s="5"/>
      <c r="O163" s="200"/>
      <c r="P163" s="200"/>
      <c r="Q163" s="5"/>
      <c r="R163" s="5"/>
      <c r="S163" s="5"/>
      <c r="T163" s="5"/>
      <c r="U163" s="5"/>
      <c r="V163" s="200"/>
      <c r="W163" s="200"/>
      <c r="X163" s="5"/>
      <c r="Y163" s="5"/>
      <c r="Z163" s="5"/>
      <c r="AA163" s="5"/>
      <c r="AB163" s="5"/>
      <c r="AC163" s="200"/>
      <c r="AD163" s="200"/>
      <c r="AE163" s="5"/>
      <c r="AF163" s="5"/>
      <c r="AG163" s="5"/>
      <c r="AH163" s="5"/>
      <c r="AJ163" s="72">
        <f t="shared" si="31"/>
        <v>0</v>
      </c>
    </row>
    <row r="164" spans="2:36" ht="15.75" hidden="1" outlineLevel="1" thickBot="1" x14ac:dyDescent="0.3">
      <c r="B164" s="151"/>
      <c r="C164" s="9" t="s">
        <v>3</v>
      </c>
      <c r="D164" s="8"/>
      <c r="E164" s="8"/>
      <c r="F164" s="8"/>
      <c r="G164" s="8"/>
      <c r="H164" s="201"/>
      <c r="I164" s="201"/>
      <c r="J164" s="8"/>
      <c r="K164" s="8"/>
      <c r="L164" s="8"/>
      <c r="M164" s="8"/>
      <c r="N164" s="8"/>
      <c r="O164" s="201"/>
      <c r="P164" s="201"/>
      <c r="Q164" s="8"/>
      <c r="R164" s="8"/>
      <c r="S164" s="8"/>
      <c r="T164" s="8"/>
      <c r="U164" s="8"/>
      <c r="V164" s="201"/>
      <c r="W164" s="201"/>
      <c r="X164" s="8"/>
      <c r="Y164" s="8"/>
      <c r="Z164" s="8"/>
      <c r="AA164" s="8"/>
      <c r="AB164" s="8"/>
      <c r="AC164" s="201"/>
      <c r="AD164" s="201"/>
      <c r="AE164" s="8"/>
      <c r="AF164" s="8"/>
      <c r="AG164" s="8"/>
      <c r="AH164" s="8"/>
      <c r="AI164" s="7"/>
      <c r="AJ164" s="69">
        <f t="shared" si="31"/>
        <v>0</v>
      </c>
    </row>
    <row r="165" spans="2:36" ht="16.5" collapsed="1" thickTop="1" thickBot="1" x14ac:dyDescent="0.3">
      <c r="B165" s="149">
        <f>'Hours Scheduled'!B36</f>
        <v>0</v>
      </c>
      <c r="C165" t="s">
        <v>0</v>
      </c>
      <c r="D165" s="2"/>
      <c r="E165" s="2"/>
      <c r="F165" s="2"/>
      <c r="G165" s="2"/>
      <c r="H165" s="200"/>
      <c r="I165" s="200"/>
      <c r="J165" s="2"/>
      <c r="K165" s="2"/>
      <c r="L165" s="2"/>
      <c r="M165" s="2"/>
      <c r="N165" s="2"/>
      <c r="O165" s="200"/>
      <c r="P165" s="200"/>
      <c r="Q165" s="2"/>
      <c r="R165" s="2"/>
      <c r="S165" s="2"/>
      <c r="T165" s="2"/>
      <c r="U165" s="2"/>
      <c r="V165" s="200"/>
      <c r="W165" s="200"/>
      <c r="X165" s="2"/>
      <c r="Y165" s="2"/>
      <c r="Z165" s="2"/>
      <c r="AA165" s="2"/>
      <c r="AB165" s="2"/>
      <c r="AC165" s="200"/>
      <c r="AD165" s="200"/>
      <c r="AE165" s="2"/>
      <c r="AF165" s="2"/>
      <c r="AG165" s="2"/>
      <c r="AH165" s="2"/>
      <c r="AJ165" s="64">
        <f>SUM(D165:AH165)</f>
        <v>0</v>
      </c>
    </row>
    <row r="166" spans="2:36" ht="15.75" hidden="1" outlineLevel="1" thickTop="1" x14ac:dyDescent="0.25">
      <c r="B166" s="150"/>
      <c r="C166" s="1" t="s">
        <v>1</v>
      </c>
      <c r="D166" s="3"/>
      <c r="E166" s="3"/>
      <c r="F166" s="3"/>
      <c r="G166" s="3"/>
      <c r="H166" s="200"/>
      <c r="I166" s="200"/>
      <c r="J166" s="3"/>
      <c r="K166" s="3"/>
      <c r="L166" s="3"/>
      <c r="M166" s="3"/>
      <c r="N166" s="3"/>
      <c r="O166" s="200"/>
      <c r="P166" s="200"/>
      <c r="Q166" s="3"/>
      <c r="R166" s="3"/>
      <c r="S166" s="3"/>
      <c r="T166" s="3"/>
      <c r="U166" s="3"/>
      <c r="V166" s="200"/>
      <c r="W166" s="200"/>
      <c r="X166" s="3"/>
      <c r="Y166" s="3"/>
      <c r="Z166" s="3"/>
      <c r="AA166" s="3"/>
      <c r="AB166" s="3"/>
      <c r="AC166" s="200"/>
      <c r="AD166" s="200"/>
      <c r="AE166" s="3"/>
      <c r="AF166" s="3"/>
      <c r="AG166" s="3"/>
      <c r="AH166" s="3"/>
      <c r="AJ166" s="70">
        <f t="shared" ref="AJ166:AJ169" si="32">SUM(D166:AH166)</f>
        <v>0</v>
      </c>
    </row>
    <row r="167" spans="2:36" hidden="1" outlineLevel="1" x14ac:dyDescent="0.25">
      <c r="B167" s="151"/>
      <c r="C167" s="1" t="s">
        <v>2</v>
      </c>
      <c r="D167" s="4"/>
      <c r="E167" s="4"/>
      <c r="F167" s="4"/>
      <c r="G167" s="4"/>
      <c r="H167" s="200"/>
      <c r="I167" s="200"/>
      <c r="J167" s="4"/>
      <c r="K167" s="4"/>
      <c r="L167" s="4"/>
      <c r="M167" s="4"/>
      <c r="N167" s="4"/>
      <c r="O167" s="200"/>
      <c r="P167" s="200"/>
      <c r="Q167" s="4"/>
      <c r="R167" s="4"/>
      <c r="S167" s="4"/>
      <c r="T167" s="4"/>
      <c r="U167" s="4"/>
      <c r="V167" s="200"/>
      <c r="W167" s="200"/>
      <c r="X167" s="4"/>
      <c r="Y167" s="4"/>
      <c r="Z167" s="4"/>
      <c r="AA167" s="4"/>
      <c r="AB167" s="4"/>
      <c r="AC167" s="200"/>
      <c r="AD167" s="200"/>
      <c r="AE167" s="4"/>
      <c r="AF167" s="4"/>
      <c r="AG167" s="4"/>
      <c r="AH167" s="4"/>
      <c r="AJ167" s="71">
        <f t="shared" si="32"/>
        <v>0</v>
      </c>
    </row>
    <row r="168" spans="2:36" hidden="1" outlineLevel="1" x14ac:dyDescent="0.25">
      <c r="B168" s="151"/>
      <c r="C168" s="54" t="s">
        <v>77</v>
      </c>
      <c r="D168" s="5"/>
      <c r="E168" s="5"/>
      <c r="F168" s="5"/>
      <c r="G168" s="5"/>
      <c r="H168" s="200"/>
      <c r="I168" s="200"/>
      <c r="J168" s="5"/>
      <c r="K168" s="5"/>
      <c r="L168" s="5"/>
      <c r="M168" s="5"/>
      <c r="N168" s="5"/>
      <c r="O168" s="200"/>
      <c r="P168" s="200"/>
      <c r="Q168" s="5"/>
      <c r="R168" s="5"/>
      <c r="S168" s="5"/>
      <c r="T168" s="5"/>
      <c r="U168" s="5"/>
      <c r="V168" s="200"/>
      <c r="W168" s="200"/>
      <c r="X168" s="5"/>
      <c r="Y168" s="5"/>
      <c r="Z168" s="5"/>
      <c r="AA168" s="5"/>
      <c r="AB168" s="5"/>
      <c r="AC168" s="200"/>
      <c r="AD168" s="200"/>
      <c r="AE168" s="5"/>
      <c r="AF168" s="5"/>
      <c r="AG168" s="5"/>
      <c r="AH168" s="5"/>
      <c r="AJ168" s="72">
        <f t="shared" si="32"/>
        <v>0</v>
      </c>
    </row>
    <row r="169" spans="2:36" ht="15.75" hidden="1" outlineLevel="1" thickBot="1" x14ac:dyDescent="0.3">
      <c r="B169" s="151"/>
      <c r="C169" s="9" t="s">
        <v>3</v>
      </c>
      <c r="D169" s="8"/>
      <c r="E169" s="8"/>
      <c r="F169" s="8"/>
      <c r="G169" s="8"/>
      <c r="H169" s="201"/>
      <c r="I169" s="201"/>
      <c r="J169" s="8"/>
      <c r="K169" s="8"/>
      <c r="L169" s="8"/>
      <c r="M169" s="8"/>
      <c r="N169" s="8"/>
      <c r="O169" s="201"/>
      <c r="P169" s="201"/>
      <c r="Q169" s="8"/>
      <c r="R169" s="8"/>
      <c r="S169" s="8"/>
      <c r="T169" s="8"/>
      <c r="U169" s="8"/>
      <c r="V169" s="201"/>
      <c r="W169" s="201"/>
      <c r="X169" s="8"/>
      <c r="Y169" s="8"/>
      <c r="Z169" s="8"/>
      <c r="AA169" s="8"/>
      <c r="AB169" s="8"/>
      <c r="AC169" s="201"/>
      <c r="AD169" s="201"/>
      <c r="AE169" s="8"/>
      <c r="AF169" s="8"/>
      <c r="AG169" s="8"/>
      <c r="AH169" s="8"/>
      <c r="AI169" s="7"/>
      <c r="AJ169" s="69">
        <f t="shared" si="32"/>
        <v>0</v>
      </c>
    </row>
    <row r="170" spans="2:36" ht="15.75" collapsed="1" thickTop="1" x14ac:dyDescent="0.25">
      <c r="B170" s="153">
        <f>'Hours Scheduled'!B37</f>
        <v>0</v>
      </c>
      <c r="C170" t="s">
        <v>0</v>
      </c>
      <c r="D170" s="2"/>
      <c r="E170" s="2"/>
      <c r="F170" s="2"/>
      <c r="G170" s="2"/>
      <c r="H170" s="200"/>
      <c r="I170" s="200"/>
      <c r="J170" s="2"/>
      <c r="K170" s="2"/>
      <c r="L170" s="2"/>
      <c r="M170" s="2"/>
      <c r="N170" s="2"/>
      <c r="O170" s="200"/>
      <c r="P170" s="200"/>
      <c r="Q170" s="2"/>
      <c r="R170" s="2"/>
      <c r="S170" s="2"/>
      <c r="T170" s="2"/>
      <c r="U170" s="2"/>
      <c r="V170" s="200"/>
      <c r="W170" s="200"/>
      <c r="X170" s="2"/>
      <c r="Y170" s="2"/>
      <c r="Z170" s="2"/>
      <c r="AA170" s="2"/>
      <c r="AB170" s="2"/>
      <c r="AC170" s="200"/>
      <c r="AD170" s="200"/>
      <c r="AE170" s="2"/>
      <c r="AF170" s="2"/>
      <c r="AG170" s="2"/>
      <c r="AH170" s="2"/>
      <c r="AJ170" s="64">
        <f>SUM(D170:AH170)</f>
        <v>0</v>
      </c>
    </row>
    <row r="171" spans="2:36" ht="15.75" hidden="1" outlineLevel="1" thickTop="1" x14ac:dyDescent="0.25">
      <c r="B171" s="150"/>
      <c r="C171" s="1" t="s">
        <v>1</v>
      </c>
      <c r="D171" s="3"/>
      <c r="E171" s="3"/>
      <c r="F171" s="3"/>
      <c r="G171" s="3"/>
      <c r="H171" s="200"/>
      <c r="I171" s="200"/>
      <c r="J171" s="3"/>
      <c r="K171" s="3"/>
      <c r="L171" s="3"/>
      <c r="M171" s="3"/>
      <c r="N171" s="3"/>
      <c r="O171" s="200"/>
      <c r="P171" s="200"/>
      <c r="Q171" s="3"/>
      <c r="R171" s="3"/>
      <c r="S171" s="3"/>
      <c r="T171" s="3"/>
      <c r="U171" s="3"/>
      <c r="V171" s="200"/>
      <c r="W171" s="200"/>
      <c r="X171" s="3"/>
      <c r="Y171" s="3"/>
      <c r="Z171" s="3"/>
      <c r="AA171" s="3"/>
      <c r="AB171" s="3"/>
      <c r="AC171" s="200"/>
      <c r="AD171" s="200"/>
      <c r="AE171" s="3"/>
      <c r="AF171" s="3"/>
      <c r="AG171" s="3"/>
      <c r="AH171" s="3"/>
      <c r="AJ171" s="70">
        <f t="shared" ref="AJ171:AJ174" si="33">SUM(D171:AH171)</f>
        <v>0</v>
      </c>
    </row>
    <row r="172" spans="2:36" hidden="1" outlineLevel="1" x14ac:dyDescent="0.25">
      <c r="B172" s="151"/>
      <c r="C172" s="1" t="s">
        <v>2</v>
      </c>
      <c r="D172" s="4"/>
      <c r="E172" s="4"/>
      <c r="F172" s="4"/>
      <c r="G172" s="4"/>
      <c r="H172" s="200"/>
      <c r="I172" s="200"/>
      <c r="J172" s="4"/>
      <c r="K172" s="4"/>
      <c r="L172" s="4"/>
      <c r="M172" s="4"/>
      <c r="N172" s="4"/>
      <c r="O172" s="200"/>
      <c r="P172" s="200"/>
      <c r="Q172" s="4"/>
      <c r="R172" s="4"/>
      <c r="S172" s="4"/>
      <c r="T172" s="4"/>
      <c r="U172" s="4"/>
      <c r="V172" s="200"/>
      <c r="W172" s="200"/>
      <c r="X172" s="4"/>
      <c r="Y172" s="4"/>
      <c r="Z172" s="4"/>
      <c r="AA172" s="4"/>
      <c r="AB172" s="4"/>
      <c r="AC172" s="200"/>
      <c r="AD172" s="200"/>
      <c r="AE172" s="4"/>
      <c r="AF172" s="4"/>
      <c r="AG172" s="4"/>
      <c r="AH172" s="4"/>
      <c r="AJ172" s="71">
        <f t="shared" si="33"/>
        <v>0</v>
      </c>
    </row>
    <row r="173" spans="2:36" hidden="1" outlineLevel="1" x14ac:dyDescent="0.25">
      <c r="B173" s="151"/>
      <c r="C173" s="54" t="s">
        <v>77</v>
      </c>
      <c r="D173" s="5"/>
      <c r="E173" s="5"/>
      <c r="F173" s="5"/>
      <c r="G173" s="5"/>
      <c r="H173" s="200"/>
      <c r="I173" s="200"/>
      <c r="J173" s="5"/>
      <c r="K173" s="5"/>
      <c r="L173" s="5"/>
      <c r="M173" s="5"/>
      <c r="N173" s="5"/>
      <c r="O173" s="200"/>
      <c r="P173" s="200"/>
      <c r="Q173" s="5"/>
      <c r="R173" s="5"/>
      <c r="S173" s="5"/>
      <c r="T173" s="5"/>
      <c r="U173" s="5"/>
      <c r="V173" s="200"/>
      <c r="W173" s="200"/>
      <c r="X173" s="5"/>
      <c r="Y173" s="5"/>
      <c r="Z173" s="5"/>
      <c r="AA173" s="5"/>
      <c r="AB173" s="5"/>
      <c r="AC173" s="200"/>
      <c r="AD173" s="200"/>
      <c r="AE173" s="5"/>
      <c r="AF173" s="5"/>
      <c r="AG173" s="5"/>
      <c r="AH173" s="5"/>
      <c r="AJ173" s="72">
        <f t="shared" si="33"/>
        <v>0</v>
      </c>
    </row>
    <row r="174" spans="2:36" ht="15.75" hidden="1" outlineLevel="1" thickBot="1" x14ac:dyDescent="0.3">
      <c r="B174" s="151"/>
      <c r="C174" s="9" t="s">
        <v>3</v>
      </c>
      <c r="D174" s="8"/>
      <c r="E174" s="8"/>
      <c r="F174" s="8"/>
      <c r="G174" s="8"/>
      <c r="H174" s="201"/>
      <c r="I174" s="201"/>
      <c r="J174" s="8"/>
      <c r="K174" s="8"/>
      <c r="L174" s="8"/>
      <c r="M174" s="8"/>
      <c r="N174" s="8"/>
      <c r="O174" s="201"/>
      <c r="P174" s="201"/>
      <c r="Q174" s="8"/>
      <c r="R174" s="8"/>
      <c r="S174" s="8"/>
      <c r="T174" s="8"/>
      <c r="U174" s="8"/>
      <c r="V174" s="201"/>
      <c r="W174" s="201"/>
      <c r="X174" s="8"/>
      <c r="Y174" s="8"/>
      <c r="Z174" s="8"/>
      <c r="AA174" s="8"/>
      <c r="AB174" s="8"/>
      <c r="AC174" s="201"/>
      <c r="AD174" s="201"/>
      <c r="AE174" s="8"/>
      <c r="AF174" s="8"/>
      <c r="AG174" s="8"/>
      <c r="AH174" s="8"/>
      <c r="AI174" s="7"/>
      <c r="AJ174" s="69">
        <f t="shared" si="33"/>
        <v>0</v>
      </c>
    </row>
    <row r="175" spans="2:36" ht="15.75" collapsed="1" thickBot="1" x14ac:dyDescent="0.3">
      <c r="B175" s="149">
        <f>'Hours Scheduled'!B38</f>
        <v>0</v>
      </c>
      <c r="C175" t="s">
        <v>0</v>
      </c>
      <c r="D175" s="2"/>
      <c r="E175" s="2"/>
      <c r="F175" s="2"/>
      <c r="G175" s="2"/>
      <c r="H175" s="200"/>
      <c r="I175" s="200"/>
      <c r="J175" s="2"/>
      <c r="K175" s="2"/>
      <c r="L175" s="2"/>
      <c r="M175" s="2"/>
      <c r="N175" s="2"/>
      <c r="O175" s="200"/>
      <c r="P175" s="200"/>
      <c r="Q175" s="2"/>
      <c r="R175" s="2"/>
      <c r="S175" s="2"/>
      <c r="T175" s="2"/>
      <c r="U175" s="2"/>
      <c r="V175" s="200"/>
      <c r="W175" s="200"/>
      <c r="X175" s="2"/>
      <c r="Y175" s="2"/>
      <c r="Z175" s="2"/>
      <c r="AA175" s="2"/>
      <c r="AB175" s="2"/>
      <c r="AC175" s="200"/>
      <c r="AD175" s="200"/>
      <c r="AE175" s="2"/>
      <c r="AF175" s="2"/>
      <c r="AG175" s="2"/>
      <c r="AH175" s="2"/>
      <c r="AJ175" s="64">
        <f>SUM(D175:AH175)</f>
        <v>0</v>
      </c>
    </row>
    <row r="176" spans="2:36" ht="15.75" hidden="1" outlineLevel="1" thickTop="1" x14ac:dyDescent="0.25">
      <c r="B176" s="150"/>
      <c r="C176" s="1" t="s">
        <v>1</v>
      </c>
      <c r="D176" s="3"/>
      <c r="E176" s="3"/>
      <c r="F176" s="3"/>
      <c r="G176" s="3"/>
      <c r="H176" s="200"/>
      <c r="I176" s="200"/>
      <c r="J176" s="3"/>
      <c r="K176" s="3"/>
      <c r="L176" s="3"/>
      <c r="M176" s="3"/>
      <c r="N176" s="3"/>
      <c r="O176" s="200"/>
      <c r="P176" s="200"/>
      <c r="Q176" s="3"/>
      <c r="R176" s="3"/>
      <c r="S176" s="3"/>
      <c r="T176" s="3"/>
      <c r="U176" s="3"/>
      <c r="V176" s="200"/>
      <c r="W176" s="200"/>
      <c r="X176" s="3"/>
      <c r="Y176" s="3"/>
      <c r="Z176" s="3"/>
      <c r="AA176" s="3"/>
      <c r="AB176" s="3"/>
      <c r="AC176" s="200"/>
      <c r="AD176" s="200"/>
      <c r="AE176" s="3"/>
      <c r="AF176" s="3"/>
      <c r="AG176" s="3"/>
      <c r="AH176" s="3"/>
      <c r="AJ176" s="70">
        <f t="shared" ref="AJ176:AJ179" si="34">SUM(D176:AH176)</f>
        <v>0</v>
      </c>
    </row>
    <row r="177" spans="2:36" hidden="1" outlineLevel="1" x14ac:dyDescent="0.25">
      <c r="B177" s="151"/>
      <c r="C177" s="1" t="s">
        <v>2</v>
      </c>
      <c r="D177" s="4"/>
      <c r="E177" s="4"/>
      <c r="F177" s="4"/>
      <c r="G177" s="4"/>
      <c r="H177" s="200"/>
      <c r="I177" s="200"/>
      <c r="J177" s="4"/>
      <c r="K177" s="4"/>
      <c r="L177" s="4"/>
      <c r="M177" s="4"/>
      <c r="N177" s="4"/>
      <c r="O177" s="200"/>
      <c r="P177" s="200"/>
      <c r="Q177" s="4"/>
      <c r="R177" s="4"/>
      <c r="S177" s="4"/>
      <c r="T177" s="4"/>
      <c r="U177" s="4"/>
      <c r="V177" s="200"/>
      <c r="W177" s="200"/>
      <c r="X177" s="4"/>
      <c r="Y177" s="4"/>
      <c r="Z177" s="4"/>
      <c r="AA177" s="4"/>
      <c r="AB177" s="4"/>
      <c r="AC177" s="200"/>
      <c r="AD177" s="200"/>
      <c r="AE177" s="4"/>
      <c r="AF177" s="4"/>
      <c r="AG177" s="4"/>
      <c r="AH177" s="4"/>
      <c r="AJ177" s="71">
        <f t="shared" si="34"/>
        <v>0</v>
      </c>
    </row>
    <row r="178" spans="2:36" hidden="1" outlineLevel="1" x14ac:dyDescent="0.25">
      <c r="B178" s="151"/>
      <c r="C178" s="54" t="s">
        <v>77</v>
      </c>
      <c r="D178" s="5"/>
      <c r="E178" s="5"/>
      <c r="F178" s="5"/>
      <c r="G178" s="5"/>
      <c r="H178" s="200"/>
      <c r="I178" s="200"/>
      <c r="J178" s="5"/>
      <c r="K178" s="5"/>
      <c r="L178" s="5"/>
      <c r="M178" s="5"/>
      <c r="N178" s="5"/>
      <c r="O178" s="200"/>
      <c r="P178" s="200"/>
      <c r="Q178" s="5"/>
      <c r="R178" s="5"/>
      <c r="S178" s="5"/>
      <c r="T178" s="5"/>
      <c r="U178" s="5"/>
      <c r="V178" s="200"/>
      <c r="W178" s="200"/>
      <c r="X178" s="5"/>
      <c r="Y178" s="5"/>
      <c r="Z178" s="5"/>
      <c r="AA178" s="5"/>
      <c r="AB178" s="5"/>
      <c r="AC178" s="200"/>
      <c r="AD178" s="200"/>
      <c r="AE178" s="5"/>
      <c r="AF178" s="5"/>
      <c r="AG178" s="5"/>
      <c r="AH178" s="5"/>
      <c r="AJ178" s="72">
        <f t="shared" si="34"/>
        <v>0</v>
      </c>
    </row>
    <row r="179" spans="2:36" ht="15.75" hidden="1" outlineLevel="1" thickBot="1" x14ac:dyDescent="0.3">
      <c r="B179" s="151"/>
      <c r="C179" s="9" t="s">
        <v>3</v>
      </c>
      <c r="D179" s="8"/>
      <c r="E179" s="8"/>
      <c r="F179" s="8"/>
      <c r="G179" s="8"/>
      <c r="H179" s="201"/>
      <c r="I179" s="201"/>
      <c r="J179" s="8"/>
      <c r="K179" s="8"/>
      <c r="L179" s="8"/>
      <c r="M179" s="8"/>
      <c r="N179" s="8"/>
      <c r="O179" s="201"/>
      <c r="P179" s="201"/>
      <c r="Q179" s="8"/>
      <c r="R179" s="8"/>
      <c r="S179" s="8"/>
      <c r="T179" s="8"/>
      <c r="U179" s="8"/>
      <c r="V179" s="201"/>
      <c r="W179" s="201"/>
      <c r="X179" s="8"/>
      <c r="Y179" s="8"/>
      <c r="Z179" s="8"/>
      <c r="AA179" s="8"/>
      <c r="AB179" s="8"/>
      <c r="AC179" s="201"/>
      <c r="AD179" s="201"/>
      <c r="AE179" s="8"/>
      <c r="AF179" s="8"/>
      <c r="AG179" s="8"/>
      <c r="AH179" s="8"/>
      <c r="AI179" s="7"/>
      <c r="AJ179" s="69">
        <f t="shared" si="34"/>
        <v>0</v>
      </c>
    </row>
    <row r="180" spans="2:36" ht="16.5" collapsed="1" thickTop="1" thickBot="1" x14ac:dyDescent="0.3">
      <c r="B180" s="149">
        <f>'Hours Scheduled'!B39</f>
        <v>0</v>
      </c>
      <c r="C180" t="s">
        <v>0</v>
      </c>
      <c r="D180" s="2"/>
      <c r="E180" s="2"/>
      <c r="F180" s="2"/>
      <c r="G180" s="2"/>
      <c r="H180" s="200"/>
      <c r="I180" s="200"/>
      <c r="J180" s="2"/>
      <c r="K180" s="2"/>
      <c r="L180" s="2"/>
      <c r="M180" s="2"/>
      <c r="N180" s="2"/>
      <c r="O180" s="200"/>
      <c r="P180" s="200"/>
      <c r="Q180" s="2"/>
      <c r="R180" s="2"/>
      <c r="S180" s="2"/>
      <c r="T180" s="2"/>
      <c r="U180" s="2"/>
      <c r="V180" s="200"/>
      <c r="W180" s="200"/>
      <c r="X180" s="2"/>
      <c r="Y180" s="2"/>
      <c r="Z180" s="2"/>
      <c r="AA180" s="2"/>
      <c r="AB180" s="2"/>
      <c r="AC180" s="200"/>
      <c r="AD180" s="200"/>
      <c r="AE180" s="2"/>
      <c r="AF180" s="2"/>
      <c r="AG180" s="2"/>
      <c r="AH180" s="2"/>
      <c r="AJ180" s="64">
        <f>SUM(D180:AH180)</f>
        <v>0</v>
      </c>
    </row>
    <row r="181" spans="2:36" ht="15.75" hidden="1" outlineLevel="1" thickTop="1" x14ac:dyDescent="0.25">
      <c r="B181" s="150"/>
      <c r="C181" s="1" t="s">
        <v>1</v>
      </c>
      <c r="D181" s="3"/>
      <c r="E181" s="3"/>
      <c r="F181" s="3"/>
      <c r="G181" s="3"/>
      <c r="H181" s="200"/>
      <c r="I181" s="200"/>
      <c r="J181" s="3"/>
      <c r="K181" s="3"/>
      <c r="L181" s="3"/>
      <c r="M181" s="3"/>
      <c r="N181" s="3"/>
      <c r="O181" s="200"/>
      <c r="P181" s="200"/>
      <c r="Q181" s="3"/>
      <c r="R181" s="3"/>
      <c r="S181" s="3"/>
      <c r="T181" s="3"/>
      <c r="U181" s="3"/>
      <c r="V181" s="200"/>
      <c r="W181" s="200"/>
      <c r="X181" s="3"/>
      <c r="Y181" s="3"/>
      <c r="Z181" s="3"/>
      <c r="AA181" s="3"/>
      <c r="AB181" s="3"/>
      <c r="AC181" s="200"/>
      <c r="AD181" s="200"/>
      <c r="AE181" s="3"/>
      <c r="AF181" s="3"/>
      <c r="AG181" s="3"/>
      <c r="AH181" s="3"/>
      <c r="AJ181" s="70">
        <f t="shared" ref="AJ181:AJ184" si="35">SUM(D181:AH181)</f>
        <v>0</v>
      </c>
    </row>
    <row r="182" spans="2:36" hidden="1" outlineLevel="1" x14ac:dyDescent="0.25">
      <c r="B182" s="151"/>
      <c r="C182" s="1" t="s">
        <v>2</v>
      </c>
      <c r="D182" s="4"/>
      <c r="E182" s="4"/>
      <c r="F182" s="4"/>
      <c r="G182" s="4"/>
      <c r="H182" s="200"/>
      <c r="I182" s="200"/>
      <c r="J182" s="4"/>
      <c r="K182" s="4"/>
      <c r="L182" s="4"/>
      <c r="M182" s="4"/>
      <c r="N182" s="4"/>
      <c r="O182" s="200"/>
      <c r="P182" s="200"/>
      <c r="Q182" s="4"/>
      <c r="R182" s="4"/>
      <c r="S182" s="4"/>
      <c r="T182" s="4"/>
      <c r="U182" s="4"/>
      <c r="V182" s="200"/>
      <c r="W182" s="200"/>
      <c r="X182" s="4"/>
      <c r="Y182" s="4"/>
      <c r="Z182" s="4"/>
      <c r="AA182" s="4"/>
      <c r="AB182" s="4"/>
      <c r="AC182" s="200"/>
      <c r="AD182" s="200"/>
      <c r="AE182" s="4"/>
      <c r="AF182" s="4"/>
      <c r="AG182" s="4"/>
      <c r="AH182" s="4"/>
      <c r="AJ182" s="71">
        <f t="shared" si="35"/>
        <v>0</v>
      </c>
    </row>
    <row r="183" spans="2:36" hidden="1" outlineLevel="1" x14ac:dyDescent="0.25">
      <c r="B183" s="151"/>
      <c r="C183" s="54" t="s">
        <v>77</v>
      </c>
      <c r="D183" s="5"/>
      <c r="E183" s="5"/>
      <c r="F183" s="5"/>
      <c r="G183" s="5"/>
      <c r="H183" s="200"/>
      <c r="I183" s="200"/>
      <c r="J183" s="5"/>
      <c r="K183" s="5"/>
      <c r="L183" s="5"/>
      <c r="M183" s="5"/>
      <c r="N183" s="5"/>
      <c r="O183" s="200"/>
      <c r="P183" s="200"/>
      <c r="Q183" s="5"/>
      <c r="R183" s="5"/>
      <c r="S183" s="5"/>
      <c r="T183" s="5"/>
      <c r="U183" s="5"/>
      <c r="V183" s="200"/>
      <c r="W183" s="200"/>
      <c r="X183" s="5"/>
      <c r="Y183" s="5"/>
      <c r="Z183" s="5"/>
      <c r="AA183" s="5"/>
      <c r="AB183" s="5"/>
      <c r="AC183" s="200"/>
      <c r="AD183" s="200"/>
      <c r="AE183" s="5"/>
      <c r="AF183" s="5"/>
      <c r="AG183" s="5"/>
      <c r="AH183" s="5"/>
      <c r="AJ183" s="72">
        <f t="shared" si="35"/>
        <v>0</v>
      </c>
    </row>
    <row r="184" spans="2:36" ht="15.75" hidden="1" outlineLevel="1" thickBot="1" x14ac:dyDescent="0.3">
      <c r="B184" s="151"/>
      <c r="C184" s="9" t="s">
        <v>3</v>
      </c>
      <c r="D184" s="8"/>
      <c r="E184" s="8"/>
      <c r="F184" s="8"/>
      <c r="G184" s="8"/>
      <c r="H184" s="201"/>
      <c r="I184" s="201"/>
      <c r="J184" s="8"/>
      <c r="K184" s="8"/>
      <c r="L184" s="8"/>
      <c r="M184" s="8"/>
      <c r="N184" s="8"/>
      <c r="O184" s="201"/>
      <c r="P184" s="201"/>
      <c r="Q184" s="8"/>
      <c r="R184" s="8"/>
      <c r="S184" s="8"/>
      <c r="T184" s="8"/>
      <c r="U184" s="8"/>
      <c r="V184" s="201"/>
      <c r="W184" s="201"/>
      <c r="X184" s="8"/>
      <c r="Y184" s="8"/>
      <c r="Z184" s="8"/>
      <c r="AA184" s="8"/>
      <c r="AB184" s="8"/>
      <c r="AC184" s="201"/>
      <c r="AD184" s="201"/>
      <c r="AE184" s="8"/>
      <c r="AF184" s="8"/>
      <c r="AG184" s="8"/>
      <c r="AH184" s="8"/>
      <c r="AI184" s="7"/>
      <c r="AJ184" s="69">
        <f t="shared" si="35"/>
        <v>0</v>
      </c>
    </row>
    <row r="185" spans="2:36" ht="15.75" collapsed="1" thickTop="1" x14ac:dyDescent="0.25"/>
    <row r="190" spans="2:36" x14ac:dyDescent="0.25">
      <c r="B190"/>
    </row>
    <row r="191" spans="2:36" x14ac:dyDescent="0.25">
      <c r="B191"/>
    </row>
    <row r="192" spans="2:36" x14ac:dyDescent="0.25">
      <c r="B192"/>
    </row>
    <row r="193" spans="2:2" x14ac:dyDescent="0.25">
      <c r="B193"/>
    </row>
    <row r="194" spans="2:2" x14ac:dyDescent="0.25">
      <c r="B194"/>
    </row>
  </sheetData>
  <autoFilter ref="B4:AJ184"/>
  <customSheetViews>
    <customSheetView guid="{98CBC5BF-8C89-48A4-860E-9C56014CD200}" scale="90" showGridLines="0" showAutoFilter="1" hiddenRows="1" topLeftCell="A2">
      <pane ySplit="3" topLeftCell="A40" activePane="bottomLeft" state="frozenSplit"/>
      <selection pane="bottomLeft" activeCell="P80" sqref="P80"/>
      <pageMargins left="0.7" right="0.7" top="0.75" bottom="0.75" header="0.3" footer="0.3"/>
      <pageSetup paperSize="9" orientation="portrait" horizontalDpi="1200" r:id="rId1"/>
      <autoFilter ref="B4:AJ184"/>
    </customSheetView>
    <customSheetView guid="{1BC25061-32D5-45DE-83F9-EFA3A1092E03}" scale="90" showGridLines="0" showAutoFilter="1" hiddenRows="1" topLeftCell="A2">
      <pane ySplit="3" topLeftCell="A5" activePane="bottomLeft" state="frozenSplit"/>
      <selection pane="bottomLeft" activeCell="A2" sqref="A2"/>
      <pageMargins left="0.7" right="0.7" top="0.75" bottom="0.75" header="0.3" footer="0.3"/>
      <pageSetup paperSize="9" orientation="portrait" horizontalDpi="1200" r:id="rId2"/>
      <autoFilter ref="B4:AJ189"/>
    </customSheetView>
    <customSheetView guid="{CF917189-7AB9-4E55-816F-ACFC7FA45C05}" scale="90" showGridLines="0" showAutoFilter="1" hiddenRows="1" topLeftCell="A2">
      <pane ySplit="3" topLeftCell="A80" activePane="bottomLeft" state="frozenSplit"/>
      <selection pane="bottomLeft" activeCell="AH130" sqref="AH130"/>
      <pageMargins left="0.7" right="0.7" top="0.75" bottom="0.75" header="0.3" footer="0.3"/>
      <pageSetup paperSize="9" orientation="portrait" horizontalDpi="1200" r:id="rId3"/>
      <autoFilter ref="B4:AJ189"/>
    </customSheetView>
    <customSheetView guid="{4155806E-C0D0-4CC9-9B31-04245B7DD4C8}" scale="90" showGridLines="0" showAutoFilter="1" hiddenRows="1" topLeftCell="A2">
      <pane ySplit="7" topLeftCell="A10" activePane="bottomLeft" state="frozenSplit"/>
      <selection pane="bottomLeft" activeCell="R30" sqref="R30"/>
      <pageMargins left="0.7" right="0.7" top="0.75" bottom="0.75" header="0.3" footer="0.3"/>
      <pageSetup paperSize="9" orientation="portrait" horizontalDpi="1200" r:id="rId4"/>
      <autoFilter ref="B4:AJ184"/>
    </customSheetView>
    <customSheetView guid="{1587CBCC-2CC7-4525-8A49-E261AB2E1606}" scale="90" showGridLines="0" showAutoFilter="1" hiddenRows="1" topLeftCell="A2">
      <pane ySplit="3" topLeftCell="A5" activePane="bottomLeft" state="frozenSplit"/>
      <selection pane="bottomLeft" activeCell="AG10" sqref="AG10"/>
      <pageMargins left="0.7" right="0.7" top="0.75" bottom="0.75" header="0.3" footer="0.3"/>
      <pageSetup paperSize="9" orientation="portrait" horizontalDpi="1200" r:id="rId5"/>
      <autoFilter ref="B4:AJ184"/>
    </customSheetView>
    <customSheetView guid="{C5D9000A-81ED-4920-B6AF-4B234775AEC9}" scale="90" showGridLines="0" showAutoFilter="1" hiddenRows="1" topLeftCell="A2">
      <pane ySplit="3" topLeftCell="A45" activePane="bottomLeft" state="frozenSplit"/>
      <selection pane="bottomLeft" activeCell="AG10" sqref="AG10"/>
      <pageMargins left="0.7" right="0.7" top="0.75" bottom="0.75" header="0.3" footer="0.3"/>
      <pageSetup paperSize="9" orientation="portrait" horizontalDpi="1200" r:id="rId6"/>
      <autoFilter ref="B4:AJ184"/>
    </customSheetView>
  </customSheetViews>
  <conditionalFormatting sqref="D3:P3 V3:AB3">
    <cfRule type="expression" dxfId="25" priority="19">
      <formula>WEEKDAY(D3:AH3)=1</formula>
    </cfRule>
    <cfRule type="expression" dxfId="24" priority="20">
      <formula>WEEKDAY(D3:AH3)=7</formula>
    </cfRule>
  </conditionalFormatting>
  <conditionalFormatting sqref="A11:A140">
    <cfRule type="cellIs" dxfId="23" priority="18" operator="equal">
      <formula>"08:00/16:30"</formula>
    </cfRule>
  </conditionalFormatting>
  <conditionalFormatting sqref="A15:A140">
    <cfRule type="cellIs" dxfId="22" priority="17" operator="equal">
      <formula>"09:30/18:00"</formula>
    </cfRule>
  </conditionalFormatting>
  <conditionalFormatting sqref="A5:A10">
    <cfRule type="cellIs" dxfId="21" priority="10" operator="equal">
      <formula>"08:00/16:30"</formula>
    </cfRule>
  </conditionalFormatting>
  <conditionalFormatting sqref="A5:A10">
    <cfRule type="cellIs" dxfId="20" priority="9" operator="equal">
      <formula>"09:30/18:00"</formula>
    </cfRule>
  </conditionalFormatting>
  <conditionalFormatting sqref="AD1:AE2 AD185:AE1048576">
    <cfRule type="cellIs" dxfId="19" priority="7" operator="equal">
      <formula>"P"</formula>
    </cfRule>
    <cfRule type="cellIs" dxfId="18" priority="8" operator="equal">
      <formula>"X"</formula>
    </cfRule>
  </conditionalFormatting>
  <conditionalFormatting sqref="Q3:U3">
    <cfRule type="expression" dxfId="17" priority="5">
      <formula>WEEKDAY(Q3:AU3)=1</formula>
    </cfRule>
    <cfRule type="expression" dxfId="16" priority="6">
      <formula>WEEKDAY(Q3:AU3)=7</formula>
    </cfRule>
  </conditionalFormatting>
  <conditionalFormatting sqref="AD3:AH3">
    <cfRule type="expression" dxfId="15" priority="3">
      <formula>WEEKDAY(AD3:BH3)=1</formula>
    </cfRule>
    <cfRule type="expression" dxfId="14" priority="4">
      <formula>WEEKDAY(AD3:BH3)=7</formula>
    </cfRule>
  </conditionalFormatting>
  <conditionalFormatting sqref="AC3">
    <cfRule type="expression" dxfId="13" priority="1">
      <formula>WEEKDAY(AC3:BG3)=1</formula>
    </cfRule>
    <cfRule type="expression" dxfId="12" priority="2">
      <formula>WEEKDAY(AC3:BG3)=7</formula>
    </cfRule>
  </conditionalFormatting>
  <dataValidations count="2">
    <dataValidation type="list" allowBlank="1" showInputMessage="1" sqref="A140 A115 A120 A125 A130 A135 A5 A10 A15 A20 A25 A30 A35 A40 A50 A55 A60 A65 A70 A75 A80 A85 A90 A95:A110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" right="0.7" top="0.75" bottom="0.75" header="0.3" footer="0.3"/>
  <pageSetup paperSize="9" orientation="portrait" horizontalDpi="1200" r:id="rId7"/>
  <legacyDrawing r:id="rId8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CCFFCC"/>
  </sheetPr>
  <dimension ref="A1:AJ185"/>
  <sheetViews>
    <sheetView showGridLines="0" topLeftCell="A2" zoomScale="90" zoomScaleNormal="90" workbookViewId="0">
      <pane ySplit="3" topLeftCell="A50" activePane="bottomLeft" state="frozenSplit"/>
      <selection activeCell="A2" sqref="A2"/>
      <selection pane="bottomLeft" activeCell="AM60" sqref="AM60"/>
    </sheetView>
  </sheetViews>
  <sheetFormatPr defaultRowHeight="15" outlineLevelRow="1" x14ac:dyDescent="0.25"/>
  <cols>
    <col min="1" max="1" width="5.140625" bestFit="1" customWidth="1"/>
    <col min="2" max="2" width="18.85546875" style="152" bestFit="1" customWidth="1"/>
    <col min="3" max="3" width="11.5703125" bestFit="1" customWidth="1"/>
    <col min="4" max="5" width="3.42578125" bestFit="1" customWidth="1"/>
    <col min="6" max="7" width="3.5703125" bestFit="1" customWidth="1"/>
    <col min="8" max="9" width="4.42578125" bestFit="1" customWidth="1"/>
    <col min="10" max="14" width="3.42578125" bestFit="1" customWidth="1"/>
    <col min="15" max="15" width="4.42578125" bestFit="1" customWidth="1"/>
    <col min="16" max="16" width="3.42578125" bestFit="1" customWidth="1"/>
    <col min="17" max="17" width="4.42578125" bestFit="1" customWidth="1"/>
    <col min="18" max="31" width="3.42578125" bestFit="1" customWidth="1"/>
    <col min="32" max="32" width="4.42578125" bestFit="1" customWidth="1"/>
    <col min="33" max="33" width="3.42578125" bestFit="1" customWidth="1"/>
    <col min="34" max="34" width="3.28515625" bestFit="1" customWidth="1"/>
    <col min="35" max="35" width="3.7109375" customWidth="1"/>
    <col min="36" max="36" width="4.42578125" bestFit="1" customWidth="1"/>
  </cols>
  <sheetData>
    <row r="1" spans="1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6" x14ac:dyDescent="0.25">
      <c r="A2" s="166"/>
      <c r="B2" s="153" t="s">
        <v>17</v>
      </c>
    </row>
    <row r="3" spans="1:36" ht="122.25" customHeight="1" x14ac:dyDescent="0.25">
      <c r="A3" t="s">
        <v>163</v>
      </c>
      <c r="B3" s="152" t="s">
        <v>4</v>
      </c>
      <c r="D3" s="171">
        <f>DATE(Title!$F$12,11,D1)</f>
        <v>41579</v>
      </c>
      <c r="E3" s="171">
        <f>DATE(Title!$F$12,11,E1)</f>
        <v>41580</v>
      </c>
      <c r="F3" s="171">
        <f>DATE(Title!$F$12,11,F1)</f>
        <v>41581</v>
      </c>
      <c r="G3" s="171">
        <f>DATE(Title!$F$12,11,G1)</f>
        <v>41582</v>
      </c>
      <c r="H3" s="171">
        <f>DATE(Title!$F$12,11,H1)</f>
        <v>41583</v>
      </c>
      <c r="I3" s="171">
        <f>DATE(Title!$F$12,11,I1)</f>
        <v>41584</v>
      </c>
      <c r="J3" s="171">
        <f>DATE(Title!$F$12,11,J1)</f>
        <v>41585</v>
      </c>
      <c r="K3" s="171">
        <f>DATE(Title!$F$12,11,K1)</f>
        <v>41586</v>
      </c>
      <c r="L3" s="171">
        <f>DATE(Title!$F$12,11,L1)</f>
        <v>41587</v>
      </c>
      <c r="M3" s="171">
        <f>DATE(Title!$F$12,11,M1)</f>
        <v>41588</v>
      </c>
      <c r="N3" s="171">
        <f>DATE(Title!$F$12,11,N1)</f>
        <v>41589</v>
      </c>
      <c r="O3" s="171">
        <f>DATE(Title!$F$12,11,O1)</f>
        <v>41590</v>
      </c>
      <c r="P3" s="171">
        <f>DATE(Title!$F$12,11,P1)</f>
        <v>41591</v>
      </c>
      <c r="Q3" s="171">
        <f>DATE(Title!$F$12,11,Q1)</f>
        <v>41592</v>
      </c>
      <c r="R3" s="171">
        <f>DATE(Title!$F$12,11,R1)</f>
        <v>41593</v>
      </c>
      <c r="S3" s="171">
        <f>DATE(Title!$F$12,11,S1)</f>
        <v>41594</v>
      </c>
      <c r="T3" s="171">
        <f>DATE(Title!$F$12,11,T1)</f>
        <v>41595</v>
      </c>
      <c r="U3" s="171">
        <f>DATE(Title!$F$12,11,U1)</f>
        <v>41596</v>
      </c>
      <c r="V3" s="171">
        <f>DATE(Title!$F$12,11,V1)</f>
        <v>41597</v>
      </c>
      <c r="W3" s="171">
        <f>DATE(Title!$F$12,11,W1)</f>
        <v>41598</v>
      </c>
      <c r="X3" s="171">
        <f>DATE(Title!$F$12,11,X1)</f>
        <v>41599</v>
      </c>
      <c r="Y3" s="171">
        <f>DATE(Title!$F$12,11,Y1)</f>
        <v>41600</v>
      </c>
      <c r="Z3" s="171">
        <f>DATE(Title!$F$12,11,Z1)</f>
        <v>41601</v>
      </c>
      <c r="AA3" s="171">
        <f>DATE(Title!$F$12,11,AA1)</f>
        <v>41602</v>
      </c>
      <c r="AB3" s="171">
        <f>DATE(Title!$F$12,11,AB1)</f>
        <v>41603</v>
      </c>
      <c r="AC3" s="171">
        <f>DATE(Title!$F$12,11,AC1)</f>
        <v>41604</v>
      </c>
      <c r="AD3" s="171">
        <f>DATE(Title!$F$12,11,AD1)</f>
        <v>41605</v>
      </c>
      <c r="AE3" s="171">
        <f>DATE(Title!$F$12,11,AE1)</f>
        <v>41606</v>
      </c>
      <c r="AF3" s="171">
        <f>DATE(Title!$F$12,11,AF1)</f>
        <v>41607</v>
      </c>
      <c r="AG3" s="171">
        <f>DATE(Title!$F$12,11,AG1)</f>
        <v>41608</v>
      </c>
      <c r="AH3" s="160"/>
      <c r="AJ3" s="6" t="s">
        <v>5</v>
      </c>
    </row>
    <row r="5" spans="1:36" ht="15.75" thickBot="1" x14ac:dyDescent="0.3">
      <c r="B5" s="149" t="str">
        <f>'Hours Scheduled'!B4</f>
        <v>Barry Berendhuysen</v>
      </c>
      <c r="C5" t="s">
        <v>0</v>
      </c>
      <c r="D5" s="2"/>
      <c r="E5" s="200"/>
      <c r="F5" s="200"/>
      <c r="G5" s="2"/>
      <c r="H5" s="2"/>
      <c r="I5" s="2"/>
      <c r="J5" s="2"/>
      <c r="K5" s="2"/>
      <c r="L5" s="200"/>
      <c r="M5" s="200"/>
      <c r="N5" s="2"/>
      <c r="O5" s="2"/>
      <c r="P5" s="2"/>
      <c r="Q5" s="2"/>
      <c r="R5" s="2"/>
      <c r="S5" s="200"/>
      <c r="T5" s="200"/>
      <c r="U5" s="2"/>
      <c r="V5" s="2"/>
      <c r="W5" s="2"/>
      <c r="X5" s="2"/>
      <c r="Y5" s="2"/>
      <c r="Z5" s="200"/>
      <c r="AA5" s="200"/>
      <c r="AB5" s="2"/>
      <c r="AC5" s="2"/>
      <c r="AD5" s="2"/>
      <c r="AE5" s="2"/>
      <c r="AF5" s="2"/>
      <c r="AG5" s="200"/>
      <c r="AH5" s="2"/>
      <c r="AJ5" s="64">
        <f>SUM(D5:AH5)</f>
        <v>0</v>
      </c>
    </row>
    <row r="6" spans="1:36" ht="15.75" hidden="1" outlineLevel="1" thickTop="1" x14ac:dyDescent="0.25">
      <c r="B6" s="150"/>
      <c r="C6" s="1" t="s">
        <v>1</v>
      </c>
      <c r="D6" s="3"/>
      <c r="E6" s="200"/>
      <c r="F6" s="200"/>
      <c r="G6" s="3"/>
      <c r="H6" s="3"/>
      <c r="I6" s="3"/>
      <c r="J6" s="3"/>
      <c r="K6" s="3"/>
      <c r="L6" s="200"/>
      <c r="M6" s="200"/>
      <c r="N6" s="3"/>
      <c r="O6" s="3"/>
      <c r="P6" s="3"/>
      <c r="Q6" s="3"/>
      <c r="R6" s="3"/>
      <c r="S6" s="200"/>
      <c r="T6" s="200"/>
      <c r="U6" s="3"/>
      <c r="V6" s="3"/>
      <c r="W6" s="3"/>
      <c r="X6" s="3"/>
      <c r="Y6" s="3"/>
      <c r="Z6" s="200"/>
      <c r="AA6" s="200"/>
      <c r="AB6" s="3"/>
      <c r="AC6" s="3"/>
      <c r="AD6" s="3"/>
      <c r="AE6" s="3"/>
      <c r="AF6" s="3"/>
      <c r="AG6" s="200"/>
      <c r="AH6" s="3"/>
      <c r="AJ6" s="70">
        <f t="shared" ref="AJ6:AJ9" si="0">SUM(D6:AH6)</f>
        <v>0</v>
      </c>
    </row>
    <row r="7" spans="1:36" hidden="1" outlineLevel="1" x14ac:dyDescent="0.25">
      <c r="B7" s="151"/>
      <c r="C7" s="1" t="s">
        <v>2</v>
      </c>
      <c r="D7" s="4"/>
      <c r="E7" s="200"/>
      <c r="F7" s="200"/>
      <c r="G7" s="4"/>
      <c r="H7" s="4"/>
      <c r="I7" s="4"/>
      <c r="J7" s="4"/>
      <c r="K7" s="4"/>
      <c r="L7" s="200"/>
      <c r="M7" s="200"/>
      <c r="N7" s="4"/>
      <c r="O7" s="4"/>
      <c r="P7" s="4"/>
      <c r="Q7" s="4"/>
      <c r="R7" s="4"/>
      <c r="S7" s="200"/>
      <c r="T7" s="200"/>
      <c r="U7" s="4"/>
      <c r="V7" s="4"/>
      <c r="W7" s="4"/>
      <c r="X7" s="4"/>
      <c r="Y7" s="4"/>
      <c r="Z7" s="200"/>
      <c r="AA7" s="200"/>
      <c r="AB7" s="4"/>
      <c r="AC7" s="4"/>
      <c r="AD7" s="4"/>
      <c r="AE7" s="4"/>
      <c r="AF7" s="4"/>
      <c r="AG7" s="200"/>
      <c r="AH7" s="4"/>
      <c r="AJ7" s="71">
        <f t="shared" si="0"/>
        <v>0</v>
      </c>
    </row>
    <row r="8" spans="1:36" hidden="1" outlineLevel="1" x14ac:dyDescent="0.25">
      <c r="B8" s="151"/>
      <c r="C8" s="54" t="s">
        <v>77</v>
      </c>
      <c r="D8" s="5"/>
      <c r="E8" s="200"/>
      <c r="F8" s="200"/>
      <c r="G8" s="5"/>
      <c r="H8" s="5"/>
      <c r="I8" s="5"/>
      <c r="J8" s="5"/>
      <c r="K8" s="5"/>
      <c r="L8" s="200"/>
      <c r="M8" s="200"/>
      <c r="N8" s="5"/>
      <c r="O8" s="5"/>
      <c r="P8" s="5"/>
      <c r="Q8" s="5"/>
      <c r="R8" s="5"/>
      <c r="S8" s="200"/>
      <c r="T8" s="200"/>
      <c r="U8" s="5"/>
      <c r="V8" s="5"/>
      <c r="W8" s="5"/>
      <c r="X8" s="5"/>
      <c r="Y8" s="5"/>
      <c r="Z8" s="200"/>
      <c r="AA8" s="200"/>
      <c r="AB8" s="5"/>
      <c r="AC8" s="5"/>
      <c r="AD8" s="5"/>
      <c r="AE8" s="5"/>
      <c r="AF8" s="5"/>
      <c r="AG8" s="200"/>
      <c r="AH8" s="5"/>
      <c r="AJ8" s="72">
        <f t="shared" si="0"/>
        <v>0</v>
      </c>
    </row>
    <row r="9" spans="1:36" ht="15.75" hidden="1" outlineLevel="1" thickBot="1" x14ac:dyDescent="0.3">
      <c r="B9" s="151"/>
      <c r="C9" s="9" t="s">
        <v>3</v>
      </c>
      <c r="D9" s="8"/>
      <c r="E9" s="201"/>
      <c r="F9" s="201"/>
      <c r="G9" s="8"/>
      <c r="H9" s="8"/>
      <c r="I9" s="8"/>
      <c r="J9" s="8"/>
      <c r="K9" s="8"/>
      <c r="L9" s="201"/>
      <c r="M9" s="201"/>
      <c r="N9" s="8"/>
      <c r="O9" s="8"/>
      <c r="P9" s="8"/>
      <c r="Q9" s="8"/>
      <c r="R9" s="8"/>
      <c r="S9" s="201"/>
      <c r="T9" s="201"/>
      <c r="U9" s="8"/>
      <c r="V9" s="8"/>
      <c r="W9" s="8"/>
      <c r="X9" s="8"/>
      <c r="Y9" s="8"/>
      <c r="Z9" s="201"/>
      <c r="AA9" s="201"/>
      <c r="AB9" s="8"/>
      <c r="AC9" s="8"/>
      <c r="AD9" s="8"/>
      <c r="AE9" s="8"/>
      <c r="AF9" s="8"/>
      <c r="AG9" s="201"/>
      <c r="AH9" s="8"/>
      <c r="AI9" s="7"/>
      <c r="AJ9" s="69">
        <f t="shared" si="0"/>
        <v>0</v>
      </c>
    </row>
    <row r="10" spans="1:36" ht="16.5" collapsed="1" thickTop="1" thickBot="1" x14ac:dyDescent="0.3">
      <c r="B10" s="253" t="str">
        <f>'Hours Scheduled'!B5</f>
        <v>Bas Boermans</v>
      </c>
      <c r="C10" t="s">
        <v>0</v>
      </c>
      <c r="D10" s="2"/>
      <c r="E10" s="200"/>
      <c r="F10" s="200"/>
      <c r="G10" s="2"/>
      <c r="H10" s="2"/>
      <c r="I10" s="2"/>
      <c r="J10" s="2"/>
      <c r="K10" s="2"/>
      <c r="L10" s="200"/>
      <c r="M10" s="200"/>
      <c r="N10" s="2"/>
      <c r="O10" s="2"/>
      <c r="P10" s="2"/>
      <c r="Q10" s="2"/>
      <c r="R10" s="2"/>
      <c r="S10" s="200"/>
      <c r="T10" s="200"/>
      <c r="U10" s="2"/>
      <c r="V10" s="2"/>
      <c r="W10" s="2"/>
      <c r="X10" s="2"/>
      <c r="Y10" s="2"/>
      <c r="Z10" s="200"/>
      <c r="AA10" s="200"/>
      <c r="AB10" s="2"/>
      <c r="AC10" s="2"/>
      <c r="AD10" s="2"/>
      <c r="AE10" s="2"/>
      <c r="AF10" s="2"/>
      <c r="AG10" s="200"/>
      <c r="AH10" s="2"/>
      <c r="AJ10" s="64">
        <f>SUM(D10:AH10)</f>
        <v>0</v>
      </c>
    </row>
    <row r="11" spans="1:36" ht="15.75" hidden="1" outlineLevel="1" thickTop="1" x14ac:dyDescent="0.25">
      <c r="B11" s="150"/>
      <c r="C11" s="1" t="s">
        <v>1</v>
      </c>
      <c r="D11" s="3"/>
      <c r="E11" s="200"/>
      <c r="F11" s="200"/>
      <c r="G11" s="3"/>
      <c r="H11" s="3"/>
      <c r="I11" s="3"/>
      <c r="J11" s="3"/>
      <c r="K11" s="3"/>
      <c r="L11" s="200"/>
      <c r="M11" s="200"/>
      <c r="N11" s="3"/>
      <c r="O11" s="3"/>
      <c r="P11" s="3"/>
      <c r="Q11" s="3"/>
      <c r="R11" s="3"/>
      <c r="S11" s="200"/>
      <c r="T11" s="200"/>
      <c r="U11" s="3"/>
      <c r="V11" s="3"/>
      <c r="W11" s="3"/>
      <c r="X11" s="3"/>
      <c r="Y11" s="3"/>
      <c r="Z11" s="200"/>
      <c r="AA11" s="200"/>
      <c r="AB11" s="3"/>
      <c r="AC11" s="3"/>
      <c r="AD11" s="3"/>
      <c r="AE11" s="3"/>
      <c r="AF11" s="3"/>
      <c r="AG11" s="200"/>
      <c r="AH11" s="3"/>
      <c r="AJ11" s="70">
        <f t="shared" ref="AJ11:AJ14" si="1">SUM(D11:AH11)</f>
        <v>0</v>
      </c>
    </row>
    <row r="12" spans="1:36" hidden="1" outlineLevel="1" x14ac:dyDescent="0.25">
      <c r="B12" s="151"/>
      <c r="C12" s="1" t="s">
        <v>2</v>
      </c>
      <c r="D12" s="4"/>
      <c r="E12" s="200"/>
      <c r="F12" s="200"/>
      <c r="G12" s="4"/>
      <c r="H12" s="4"/>
      <c r="I12" s="4"/>
      <c r="J12" s="4"/>
      <c r="K12" s="4"/>
      <c r="L12" s="200"/>
      <c r="M12" s="200"/>
      <c r="N12" s="4"/>
      <c r="O12" s="4"/>
      <c r="P12" s="4"/>
      <c r="Q12" s="4"/>
      <c r="R12" s="4"/>
      <c r="S12" s="200"/>
      <c r="T12" s="200"/>
      <c r="U12" s="4"/>
      <c r="V12" s="4"/>
      <c r="W12" s="4"/>
      <c r="X12" s="4"/>
      <c r="Y12" s="4"/>
      <c r="Z12" s="200"/>
      <c r="AA12" s="200"/>
      <c r="AB12" s="4"/>
      <c r="AC12" s="4"/>
      <c r="AD12" s="4"/>
      <c r="AE12" s="4"/>
      <c r="AF12" s="4"/>
      <c r="AG12" s="200"/>
      <c r="AH12" s="4"/>
      <c r="AJ12" s="71">
        <f t="shared" si="1"/>
        <v>0</v>
      </c>
    </row>
    <row r="13" spans="1:36" hidden="1" outlineLevel="1" x14ac:dyDescent="0.25">
      <c r="B13" s="151"/>
      <c r="C13" s="54" t="s">
        <v>77</v>
      </c>
      <c r="D13" s="5"/>
      <c r="E13" s="200"/>
      <c r="F13" s="200"/>
      <c r="G13" s="5"/>
      <c r="H13" s="5"/>
      <c r="I13" s="5"/>
      <c r="J13" s="5"/>
      <c r="K13" s="5"/>
      <c r="L13" s="200"/>
      <c r="M13" s="200"/>
      <c r="N13" s="5"/>
      <c r="O13" s="5"/>
      <c r="P13" s="5"/>
      <c r="Q13" s="5"/>
      <c r="R13" s="5"/>
      <c r="S13" s="200"/>
      <c r="T13" s="200"/>
      <c r="U13" s="5"/>
      <c r="V13" s="5"/>
      <c r="W13" s="5"/>
      <c r="X13" s="5"/>
      <c r="Y13" s="5"/>
      <c r="Z13" s="200"/>
      <c r="AA13" s="200"/>
      <c r="AB13" s="5"/>
      <c r="AC13" s="5"/>
      <c r="AD13" s="5"/>
      <c r="AE13" s="5"/>
      <c r="AF13" s="5"/>
      <c r="AG13" s="200"/>
      <c r="AH13" s="5"/>
      <c r="AJ13" s="72">
        <f t="shared" si="1"/>
        <v>0</v>
      </c>
    </row>
    <row r="14" spans="1:36" ht="15.75" hidden="1" outlineLevel="1" thickBot="1" x14ac:dyDescent="0.3">
      <c r="B14" s="151"/>
      <c r="C14" s="9" t="s">
        <v>3</v>
      </c>
      <c r="D14" s="8"/>
      <c r="E14" s="201"/>
      <c r="F14" s="201"/>
      <c r="G14" s="8"/>
      <c r="H14" s="8"/>
      <c r="I14" s="8"/>
      <c r="J14" s="8"/>
      <c r="K14" s="8"/>
      <c r="L14" s="201"/>
      <c r="M14" s="201"/>
      <c r="N14" s="8"/>
      <c r="O14" s="8"/>
      <c r="P14" s="8"/>
      <c r="Q14" s="8"/>
      <c r="R14" s="8"/>
      <c r="S14" s="201"/>
      <c r="T14" s="201"/>
      <c r="U14" s="8"/>
      <c r="V14" s="8"/>
      <c r="W14" s="8"/>
      <c r="X14" s="8"/>
      <c r="Y14" s="8"/>
      <c r="Z14" s="201"/>
      <c r="AA14" s="201"/>
      <c r="AB14" s="8"/>
      <c r="AC14" s="8"/>
      <c r="AD14" s="8"/>
      <c r="AE14" s="8"/>
      <c r="AF14" s="8"/>
      <c r="AG14" s="201"/>
      <c r="AH14" s="8"/>
      <c r="AI14" s="7"/>
      <c r="AJ14" s="69">
        <f t="shared" si="1"/>
        <v>0</v>
      </c>
    </row>
    <row r="15" spans="1:36" ht="16.5" collapsed="1" thickTop="1" thickBot="1" x14ac:dyDescent="0.3">
      <c r="B15" s="253" t="str">
        <f>'Hours Scheduled'!B6</f>
        <v>Bastiaan Franssen</v>
      </c>
      <c r="C15" t="s">
        <v>0</v>
      </c>
      <c r="D15" s="2"/>
      <c r="E15" s="200"/>
      <c r="F15" s="200"/>
      <c r="G15" s="2"/>
      <c r="H15" s="2"/>
      <c r="I15" s="2"/>
      <c r="J15" s="2"/>
      <c r="K15" s="2"/>
      <c r="L15" s="200"/>
      <c r="M15" s="200"/>
      <c r="N15" s="2"/>
      <c r="O15" s="2"/>
      <c r="P15" s="2"/>
      <c r="Q15" s="2"/>
      <c r="R15" s="2"/>
      <c r="S15" s="200"/>
      <c r="T15" s="200"/>
      <c r="U15" s="2"/>
      <c r="V15" s="2"/>
      <c r="W15" s="2"/>
      <c r="X15" s="2"/>
      <c r="Y15" s="2"/>
      <c r="Z15" s="200"/>
      <c r="AA15" s="200"/>
      <c r="AB15" s="2"/>
      <c r="AC15" s="2"/>
      <c r="AD15" s="2"/>
      <c r="AE15" s="2"/>
      <c r="AF15" s="2"/>
      <c r="AG15" s="200"/>
      <c r="AH15" s="2"/>
      <c r="AJ15" s="64">
        <f>SUM(D15:AH15)</f>
        <v>0</v>
      </c>
    </row>
    <row r="16" spans="1:36" ht="15.75" hidden="1" outlineLevel="1" thickTop="1" x14ac:dyDescent="0.25">
      <c r="B16" s="150"/>
      <c r="C16" s="1" t="s">
        <v>1</v>
      </c>
      <c r="D16" s="3"/>
      <c r="E16" s="200"/>
      <c r="F16" s="200"/>
      <c r="G16" s="3"/>
      <c r="H16" s="3"/>
      <c r="I16" s="3"/>
      <c r="J16" s="3"/>
      <c r="K16" s="3"/>
      <c r="L16" s="200"/>
      <c r="M16" s="200"/>
      <c r="N16" s="3"/>
      <c r="O16" s="3"/>
      <c r="P16" s="3"/>
      <c r="Q16" s="3"/>
      <c r="R16" s="3"/>
      <c r="S16" s="200"/>
      <c r="T16" s="200"/>
      <c r="U16" s="3"/>
      <c r="V16" s="3"/>
      <c r="W16" s="3"/>
      <c r="X16" s="3"/>
      <c r="Y16" s="3"/>
      <c r="Z16" s="200"/>
      <c r="AA16" s="200"/>
      <c r="AB16" s="3"/>
      <c r="AC16" s="3"/>
      <c r="AD16" s="3"/>
      <c r="AE16" s="3"/>
      <c r="AF16" s="3"/>
      <c r="AG16" s="200"/>
      <c r="AH16" s="3"/>
      <c r="AJ16" s="70">
        <f t="shared" ref="AJ16:AJ19" si="2">SUM(D16:AH16)</f>
        <v>0</v>
      </c>
    </row>
    <row r="17" spans="2:36" hidden="1" outlineLevel="1" x14ac:dyDescent="0.25">
      <c r="B17" s="151"/>
      <c r="C17" s="1" t="s">
        <v>2</v>
      </c>
      <c r="D17" s="4"/>
      <c r="E17" s="200"/>
      <c r="F17" s="200"/>
      <c r="G17" s="4"/>
      <c r="H17" s="4"/>
      <c r="I17" s="4"/>
      <c r="J17" s="4"/>
      <c r="K17" s="4"/>
      <c r="L17" s="200"/>
      <c r="M17" s="200"/>
      <c r="N17" s="4"/>
      <c r="O17" s="4"/>
      <c r="P17" s="4"/>
      <c r="Q17" s="4"/>
      <c r="R17" s="4"/>
      <c r="S17" s="200"/>
      <c r="T17" s="200"/>
      <c r="U17" s="4"/>
      <c r="V17" s="4"/>
      <c r="W17" s="4"/>
      <c r="X17" s="4"/>
      <c r="Y17" s="4"/>
      <c r="Z17" s="200"/>
      <c r="AA17" s="200"/>
      <c r="AB17" s="4"/>
      <c r="AC17" s="4"/>
      <c r="AD17" s="4"/>
      <c r="AE17" s="4"/>
      <c r="AF17" s="4"/>
      <c r="AG17" s="200"/>
      <c r="AH17" s="4"/>
      <c r="AJ17" s="71">
        <f t="shared" si="2"/>
        <v>0</v>
      </c>
    </row>
    <row r="18" spans="2:36" hidden="1" outlineLevel="1" x14ac:dyDescent="0.25">
      <c r="B18" s="151"/>
      <c r="C18" s="54" t="s">
        <v>77</v>
      </c>
      <c r="D18" s="5"/>
      <c r="E18" s="200"/>
      <c r="F18" s="200"/>
      <c r="G18" s="5"/>
      <c r="H18" s="5"/>
      <c r="I18" s="5"/>
      <c r="J18" s="5"/>
      <c r="K18" s="5"/>
      <c r="L18" s="200"/>
      <c r="M18" s="200"/>
      <c r="N18" s="5"/>
      <c r="O18" s="5"/>
      <c r="P18" s="5"/>
      <c r="Q18" s="5"/>
      <c r="R18" s="5"/>
      <c r="S18" s="200"/>
      <c r="T18" s="200"/>
      <c r="U18" s="5"/>
      <c r="V18" s="5"/>
      <c r="W18" s="5"/>
      <c r="X18" s="5"/>
      <c r="Y18" s="5"/>
      <c r="Z18" s="200"/>
      <c r="AA18" s="200"/>
      <c r="AB18" s="5"/>
      <c r="AC18" s="5"/>
      <c r="AD18" s="5"/>
      <c r="AE18" s="5"/>
      <c r="AF18" s="5"/>
      <c r="AG18" s="200"/>
      <c r="AH18" s="5"/>
      <c r="AJ18" s="72">
        <f t="shared" si="2"/>
        <v>0</v>
      </c>
    </row>
    <row r="19" spans="2:36" ht="15.75" hidden="1" outlineLevel="1" thickBot="1" x14ac:dyDescent="0.3">
      <c r="B19" s="151"/>
      <c r="C19" s="9" t="s">
        <v>3</v>
      </c>
      <c r="D19" s="8"/>
      <c r="E19" s="201"/>
      <c r="F19" s="201"/>
      <c r="G19" s="8"/>
      <c r="H19" s="8"/>
      <c r="I19" s="8"/>
      <c r="J19" s="8"/>
      <c r="K19" s="8"/>
      <c r="L19" s="201"/>
      <c r="M19" s="201"/>
      <c r="N19" s="8"/>
      <c r="O19" s="8"/>
      <c r="P19" s="8"/>
      <c r="Q19" s="8"/>
      <c r="R19" s="8"/>
      <c r="S19" s="201"/>
      <c r="T19" s="201"/>
      <c r="U19" s="8"/>
      <c r="V19" s="8"/>
      <c r="W19" s="8"/>
      <c r="X19" s="8"/>
      <c r="Y19" s="8"/>
      <c r="Z19" s="201"/>
      <c r="AA19" s="201"/>
      <c r="AB19" s="8"/>
      <c r="AC19" s="8"/>
      <c r="AD19" s="8"/>
      <c r="AE19" s="8"/>
      <c r="AF19" s="8"/>
      <c r="AG19" s="201"/>
      <c r="AH19" s="8"/>
      <c r="AI19" s="7"/>
      <c r="AJ19" s="69">
        <f t="shared" si="2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2"/>
      <c r="E20" s="200"/>
      <c r="F20" s="200"/>
      <c r="G20" s="2"/>
      <c r="H20" s="2"/>
      <c r="I20" s="2"/>
      <c r="J20" s="2"/>
      <c r="K20" s="2"/>
      <c r="L20" s="200"/>
      <c r="M20" s="200"/>
      <c r="N20" s="2"/>
      <c r="O20" s="2"/>
      <c r="P20" s="2"/>
      <c r="Q20" s="2"/>
      <c r="R20" s="2"/>
      <c r="S20" s="200"/>
      <c r="T20" s="200"/>
      <c r="U20" s="2"/>
      <c r="V20" s="2"/>
      <c r="W20" s="2"/>
      <c r="X20" s="2"/>
      <c r="Y20" s="2"/>
      <c r="Z20" s="200"/>
      <c r="AA20" s="200"/>
      <c r="AB20" s="2"/>
      <c r="AC20" s="2"/>
      <c r="AD20" s="2"/>
      <c r="AE20" s="2"/>
      <c r="AF20" s="2"/>
      <c r="AG20" s="200"/>
      <c r="AH20" s="2"/>
      <c r="AJ20" s="64">
        <f>SUM(D20:AH20)</f>
        <v>0</v>
      </c>
    </row>
    <row r="21" spans="2:36" ht="15.75" hidden="1" outlineLevel="1" thickTop="1" x14ac:dyDescent="0.25">
      <c r="B21" s="150"/>
      <c r="C21" s="1" t="s">
        <v>1</v>
      </c>
      <c r="D21" s="3"/>
      <c r="E21" s="200"/>
      <c r="F21" s="200"/>
      <c r="G21" s="3"/>
      <c r="H21" s="3"/>
      <c r="I21" s="3"/>
      <c r="J21" s="3"/>
      <c r="K21" s="3"/>
      <c r="L21" s="200"/>
      <c r="M21" s="200"/>
      <c r="N21" s="3"/>
      <c r="O21" s="3"/>
      <c r="P21" s="3"/>
      <c r="Q21" s="3"/>
      <c r="R21" s="3"/>
      <c r="S21" s="200"/>
      <c r="T21" s="200"/>
      <c r="U21" s="3"/>
      <c r="V21" s="3"/>
      <c r="W21" s="3"/>
      <c r="X21" s="3"/>
      <c r="Y21" s="3"/>
      <c r="Z21" s="200"/>
      <c r="AA21" s="200"/>
      <c r="AB21" s="3"/>
      <c r="AC21" s="3"/>
      <c r="AD21" s="3"/>
      <c r="AE21" s="3"/>
      <c r="AF21" s="3"/>
      <c r="AG21" s="200"/>
      <c r="AH21" s="3"/>
      <c r="AJ21" s="70">
        <f t="shared" ref="AJ21:AJ24" si="3">SUM(D21:AH21)</f>
        <v>0</v>
      </c>
    </row>
    <row r="22" spans="2:36" hidden="1" outlineLevel="1" x14ac:dyDescent="0.25">
      <c r="B22" s="151"/>
      <c r="C22" s="1" t="s">
        <v>2</v>
      </c>
      <c r="D22" s="4"/>
      <c r="E22" s="200"/>
      <c r="F22" s="200"/>
      <c r="G22" s="4"/>
      <c r="H22" s="4"/>
      <c r="I22" s="4"/>
      <c r="J22" s="4"/>
      <c r="K22" s="4"/>
      <c r="L22" s="200"/>
      <c r="M22" s="200"/>
      <c r="N22" s="4"/>
      <c r="O22" s="4"/>
      <c r="P22" s="4"/>
      <c r="Q22" s="4"/>
      <c r="R22" s="4"/>
      <c r="S22" s="200"/>
      <c r="T22" s="200"/>
      <c r="U22" s="4"/>
      <c r="V22" s="4"/>
      <c r="W22" s="4"/>
      <c r="X22" s="4"/>
      <c r="Y22" s="4"/>
      <c r="Z22" s="200"/>
      <c r="AA22" s="200"/>
      <c r="AB22" s="4"/>
      <c r="AC22" s="4"/>
      <c r="AD22" s="4"/>
      <c r="AE22" s="4"/>
      <c r="AF22" s="4"/>
      <c r="AG22" s="200"/>
      <c r="AH22" s="4"/>
      <c r="AJ22" s="71">
        <f t="shared" si="3"/>
        <v>0</v>
      </c>
    </row>
    <row r="23" spans="2:36" hidden="1" outlineLevel="1" x14ac:dyDescent="0.25">
      <c r="B23" s="151"/>
      <c r="C23" s="54" t="s">
        <v>77</v>
      </c>
      <c r="D23" s="5"/>
      <c r="E23" s="200"/>
      <c r="F23" s="200"/>
      <c r="G23" s="5"/>
      <c r="H23" s="5"/>
      <c r="I23" s="5"/>
      <c r="J23" s="5"/>
      <c r="K23" s="5"/>
      <c r="L23" s="200"/>
      <c r="M23" s="200"/>
      <c r="N23" s="5"/>
      <c r="O23" s="5"/>
      <c r="P23" s="5"/>
      <c r="Q23" s="5"/>
      <c r="R23" s="5"/>
      <c r="S23" s="200"/>
      <c r="T23" s="200"/>
      <c r="U23" s="5"/>
      <c r="V23" s="5"/>
      <c r="W23" s="5"/>
      <c r="X23" s="5"/>
      <c r="Y23" s="5"/>
      <c r="Z23" s="200"/>
      <c r="AA23" s="200"/>
      <c r="AB23" s="5"/>
      <c r="AC23" s="5"/>
      <c r="AD23" s="5"/>
      <c r="AE23" s="5"/>
      <c r="AF23" s="5"/>
      <c r="AG23" s="200"/>
      <c r="AH23" s="5"/>
      <c r="AJ23" s="72">
        <f t="shared" si="3"/>
        <v>0</v>
      </c>
    </row>
    <row r="24" spans="2:36" ht="15.75" hidden="1" outlineLevel="1" thickBot="1" x14ac:dyDescent="0.3">
      <c r="B24" s="151"/>
      <c r="C24" s="9" t="s">
        <v>3</v>
      </c>
      <c r="D24" s="8"/>
      <c r="E24" s="201"/>
      <c r="F24" s="201"/>
      <c r="G24" s="8"/>
      <c r="H24" s="8"/>
      <c r="I24" s="8"/>
      <c r="J24" s="8"/>
      <c r="K24" s="8"/>
      <c r="L24" s="201"/>
      <c r="M24" s="201"/>
      <c r="N24" s="8"/>
      <c r="O24" s="8"/>
      <c r="P24" s="8"/>
      <c r="Q24" s="8"/>
      <c r="R24" s="8"/>
      <c r="S24" s="201"/>
      <c r="T24" s="201"/>
      <c r="U24" s="8"/>
      <c r="V24" s="8"/>
      <c r="W24" s="8"/>
      <c r="X24" s="8"/>
      <c r="Y24" s="8"/>
      <c r="Z24" s="201"/>
      <c r="AA24" s="201"/>
      <c r="AB24" s="8"/>
      <c r="AC24" s="8"/>
      <c r="AD24" s="8"/>
      <c r="AE24" s="8"/>
      <c r="AF24" s="8"/>
      <c r="AG24" s="201"/>
      <c r="AH24" s="8"/>
      <c r="AI24" s="7"/>
      <c r="AJ24" s="69">
        <f t="shared" si="3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2"/>
      <c r="E25" s="200"/>
      <c r="F25" s="200"/>
      <c r="G25" s="2"/>
      <c r="H25" s="2"/>
      <c r="I25" s="2"/>
      <c r="J25" s="2"/>
      <c r="K25" s="2"/>
      <c r="L25" s="200"/>
      <c r="M25" s="200"/>
      <c r="N25" s="2"/>
      <c r="O25" s="2"/>
      <c r="P25" s="2"/>
      <c r="Q25" s="2"/>
      <c r="R25" s="2"/>
      <c r="S25" s="200"/>
      <c r="T25" s="200"/>
      <c r="U25" s="2"/>
      <c r="V25" s="2"/>
      <c r="W25" s="2"/>
      <c r="X25" s="2"/>
      <c r="Y25" s="2"/>
      <c r="Z25" s="200"/>
      <c r="AA25" s="200"/>
      <c r="AB25" s="2"/>
      <c r="AC25" s="2"/>
      <c r="AD25" s="2"/>
      <c r="AE25" s="2"/>
      <c r="AF25" s="2"/>
      <c r="AG25" s="200"/>
      <c r="AH25" s="2"/>
      <c r="AJ25" s="64">
        <f>SUM(D25:AH25)</f>
        <v>0</v>
      </c>
    </row>
    <row r="26" spans="2:36" ht="15.75" hidden="1" outlineLevel="1" thickTop="1" x14ac:dyDescent="0.25">
      <c r="B26" s="150"/>
      <c r="C26" s="1" t="s">
        <v>1</v>
      </c>
      <c r="D26" s="3"/>
      <c r="E26" s="200"/>
      <c r="F26" s="200"/>
      <c r="G26" s="3"/>
      <c r="H26" s="3"/>
      <c r="I26" s="3"/>
      <c r="J26" s="3"/>
      <c r="K26" s="3"/>
      <c r="L26" s="200"/>
      <c r="M26" s="200"/>
      <c r="N26" s="3"/>
      <c r="O26" s="3"/>
      <c r="P26" s="3"/>
      <c r="Q26" s="3"/>
      <c r="R26" s="3"/>
      <c r="S26" s="200"/>
      <c r="T26" s="200"/>
      <c r="U26" s="3"/>
      <c r="V26" s="3"/>
      <c r="W26" s="3"/>
      <c r="X26" s="3"/>
      <c r="Y26" s="3"/>
      <c r="Z26" s="200"/>
      <c r="AA26" s="200"/>
      <c r="AB26" s="3"/>
      <c r="AC26" s="3"/>
      <c r="AD26" s="3"/>
      <c r="AE26" s="3"/>
      <c r="AF26" s="3"/>
      <c r="AG26" s="200"/>
      <c r="AH26" s="3"/>
      <c r="AJ26" s="70">
        <f t="shared" ref="AJ26:AJ29" si="4">SUM(D26:AH26)</f>
        <v>0</v>
      </c>
    </row>
    <row r="27" spans="2:36" hidden="1" outlineLevel="1" x14ac:dyDescent="0.25">
      <c r="B27" s="151"/>
      <c r="C27" s="1" t="s">
        <v>2</v>
      </c>
      <c r="D27" s="4"/>
      <c r="E27" s="200"/>
      <c r="F27" s="200"/>
      <c r="G27" s="4"/>
      <c r="H27" s="4"/>
      <c r="I27" s="4"/>
      <c r="J27" s="4"/>
      <c r="K27" s="4"/>
      <c r="L27" s="200"/>
      <c r="M27" s="200"/>
      <c r="N27" s="4"/>
      <c r="O27" s="4"/>
      <c r="P27" s="4"/>
      <c r="Q27" s="4"/>
      <c r="R27" s="4"/>
      <c r="S27" s="200"/>
      <c r="T27" s="200"/>
      <c r="U27" s="4"/>
      <c r="V27" s="4"/>
      <c r="W27" s="4"/>
      <c r="X27" s="4"/>
      <c r="Y27" s="4"/>
      <c r="Z27" s="200"/>
      <c r="AA27" s="200"/>
      <c r="AB27" s="4"/>
      <c r="AC27" s="4"/>
      <c r="AD27" s="4"/>
      <c r="AE27" s="4"/>
      <c r="AF27" s="4"/>
      <c r="AG27" s="200"/>
      <c r="AH27" s="4"/>
      <c r="AJ27" s="71">
        <f t="shared" si="4"/>
        <v>0</v>
      </c>
    </row>
    <row r="28" spans="2:36" hidden="1" outlineLevel="1" x14ac:dyDescent="0.25">
      <c r="B28" s="151"/>
      <c r="C28" s="54" t="s">
        <v>77</v>
      </c>
      <c r="D28" s="5"/>
      <c r="E28" s="200"/>
      <c r="F28" s="200"/>
      <c r="G28" s="5"/>
      <c r="H28" s="5"/>
      <c r="I28" s="5"/>
      <c r="J28" s="5"/>
      <c r="K28" s="5"/>
      <c r="L28" s="200"/>
      <c r="M28" s="200"/>
      <c r="N28" s="5"/>
      <c r="O28" s="5"/>
      <c r="P28" s="5"/>
      <c r="Q28" s="5"/>
      <c r="R28" s="5"/>
      <c r="S28" s="200"/>
      <c r="T28" s="200"/>
      <c r="U28" s="5"/>
      <c r="V28" s="5"/>
      <c r="W28" s="5"/>
      <c r="X28" s="5"/>
      <c r="Y28" s="5"/>
      <c r="Z28" s="200"/>
      <c r="AA28" s="200"/>
      <c r="AB28" s="5"/>
      <c r="AC28" s="5"/>
      <c r="AD28" s="5"/>
      <c r="AE28" s="5"/>
      <c r="AF28" s="5"/>
      <c r="AG28" s="200"/>
      <c r="AH28" s="5"/>
      <c r="AJ28" s="72">
        <f t="shared" si="4"/>
        <v>0</v>
      </c>
    </row>
    <row r="29" spans="2:36" ht="15.75" hidden="1" outlineLevel="1" thickBot="1" x14ac:dyDescent="0.3">
      <c r="B29" s="151"/>
      <c r="C29" s="9" t="s">
        <v>3</v>
      </c>
      <c r="D29" s="8"/>
      <c r="E29" s="201"/>
      <c r="F29" s="201"/>
      <c r="G29" s="8"/>
      <c r="H29" s="8"/>
      <c r="I29" s="8"/>
      <c r="J29" s="8"/>
      <c r="K29" s="8"/>
      <c r="L29" s="201"/>
      <c r="M29" s="201"/>
      <c r="N29" s="8"/>
      <c r="O29" s="8"/>
      <c r="P29" s="8"/>
      <c r="Q29" s="8"/>
      <c r="R29" s="8"/>
      <c r="S29" s="201"/>
      <c r="T29" s="201"/>
      <c r="U29" s="8"/>
      <c r="V29" s="8"/>
      <c r="W29" s="8"/>
      <c r="X29" s="8"/>
      <c r="Y29" s="8"/>
      <c r="Z29" s="201"/>
      <c r="AA29" s="201"/>
      <c r="AB29" s="8"/>
      <c r="AC29" s="8"/>
      <c r="AD29" s="8"/>
      <c r="AE29" s="8"/>
      <c r="AF29" s="8"/>
      <c r="AG29" s="201"/>
      <c r="AH29" s="8"/>
      <c r="AI29" s="7"/>
      <c r="AJ29" s="69">
        <f t="shared" si="4"/>
        <v>0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2"/>
      <c r="E30" s="200"/>
      <c r="F30" s="200"/>
      <c r="G30" s="2"/>
      <c r="H30" s="2"/>
      <c r="I30" s="2"/>
      <c r="J30" s="2"/>
      <c r="K30" s="2"/>
      <c r="L30" s="200"/>
      <c r="M30" s="200"/>
      <c r="N30" s="2"/>
      <c r="O30" s="2"/>
      <c r="P30" s="2"/>
      <c r="Q30" s="2"/>
      <c r="R30" s="2"/>
      <c r="S30" s="200"/>
      <c r="T30" s="200"/>
      <c r="U30" s="2"/>
      <c r="V30" s="2"/>
      <c r="W30" s="2"/>
      <c r="X30" s="2"/>
      <c r="Y30" s="2"/>
      <c r="Z30" s="200"/>
      <c r="AA30" s="200"/>
      <c r="AB30" s="2"/>
      <c r="AC30" s="2"/>
      <c r="AD30" s="2"/>
      <c r="AE30" s="2"/>
      <c r="AF30" s="2"/>
      <c r="AG30" s="200"/>
      <c r="AH30" s="2"/>
      <c r="AJ30" s="64">
        <f>SUM(D30:AH30)</f>
        <v>0</v>
      </c>
    </row>
    <row r="31" spans="2:36" ht="15.75" hidden="1" outlineLevel="1" thickTop="1" x14ac:dyDescent="0.25">
      <c r="B31" s="150"/>
      <c r="C31" s="1" t="s">
        <v>1</v>
      </c>
      <c r="D31" s="3"/>
      <c r="E31" s="200"/>
      <c r="F31" s="200"/>
      <c r="G31" s="3"/>
      <c r="H31" s="3"/>
      <c r="I31" s="3"/>
      <c r="J31" s="3"/>
      <c r="K31" s="3"/>
      <c r="L31" s="200"/>
      <c r="M31" s="200"/>
      <c r="N31" s="3"/>
      <c r="O31" s="3"/>
      <c r="P31" s="3"/>
      <c r="Q31" s="3"/>
      <c r="R31" s="3"/>
      <c r="S31" s="200"/>
      <c r="T31" s="200"/>
      <c r="U31" s="3"/>
      <c r="V31" s="3"/>
      <c r="W31" s="3"/>
      <c r="X31" s="3"/>
      <c r="Y31" s="3"/>
      <c r="Z31" s="200"/>
      <c r="AA31" s="200"/>
      <c r="AB31" s="3"/>
      <c r="AC31" s="3"/>
      <c r="AD31" s="3"/>
      <c r="AE31" s="3"/>
      <c r="AF31" s="3"/>
      <c r="AG31" s="200"/>
      <c r="AH31" s="3"/>
      <c r="AJ31" s="70">
        <f t="shared" ref="AJ31:AJ34" si="5">SUM(D31:AH31)</f>
        <v>0</v>
      </c>
    </row>
    <row r="32" spans="2:36" hidden="1" outlineLevel="1" x14ac:dyDescent="0.25">
      <c r="B32" s="151"/>
      <c r="C32" s="1" t="s">
        <v>2</v>
      </c>
      <c r="D32" s="4"/>
      <c r="E32" s="200"/>
      <c r="F32" s="200"/>
      <c r="G32" s="4"/>
      <c r="H32" s="4"/>
      <c r="I32" s="4"/>
      <c r="J32" s="4"/>
      <c r="K32" s="4"/>
      <c r="L32" s="200"/>
      <c r="M32" s="200"/>
      <c r="N32" s="4"/>
      <c r="O32" s="4"/>
      <c r="P32" s="4"/>
      <c r="Q32" s="4"/>
      <c r="R32" s="4"/>
      <c r="S32" s="200"/>
      <c r="T32" s="200"/>
      <c r="U32" s="4"/>
      <c r="V32" s="4"/>
      <c r="W32" s="4"/>
      <c r="X32" s="4"/>
      <c r="Y32" s="4"/>
      <c r="Z32" s="200"/>
      <c r="AA32" s="200"/>
      <c r="AB32" s="4"/>
      <c r="AC32" s="4"/>
      <c r="AD32" s="4"/>
      <c r="AE32" s="4"/>
      <c r="AF32" s="4"/>
      <c r="AG32" s="200"/>
      <c r="AH32" s="4"/>
      <c r="AJ32" s="71">
        <f t="shared" si="5"/>
        <v>0</v>
      </c>
    </row>
    <row r="33" spans="2:36" hidden="1" outlineLevel="1" x14ac:dyDescent="0.25">
      <c r="B33" s="151"/>
      <c r="C33" s="54" t="s">
        <v>77</v>
      </c>
      <c r="D33" s="5"/>
      <c r="E33" s="200"/>
      <c r="F33" s="200"/>
      <c r="G33" s="5"/>
      <c r="H33" s="5"/>
      <c r="I33" s="5"/>
      <c r="J33" s="5"/>
      <c r="K33" s="5"/>
      <c r="L33" s="200"/>
      <c r="M33" s="200"/>
      <c r="N33" s="5"/>
      <c r="O33" s="5"/>
      <c r="P33" s="5"/>
      <c r="Q33" s="5"/>
      <c r="R33" s="5"/>
      <c r="S33" s="200"/>
      <c r="T33" s="200"/>
      <c r="U33" s="5"/>
      <c r="V33" s="5"/>
      <c r="W33" s="5"/>
      <c r="X33" s="5"/>
      <c r="Y33" s="5"/>
      <c r="Z33" s="200"/>
      <c r="AA33" s="200"/>
      <c r="AB33" s="5"/>
      <c r="AC33" s="5"/>
      <c r="AD33" s="5"/>
      <c r="AE33" s="5"/>
      <c r="AF33" s="5"/>
      <c r="AG33" s="200"/>
      <c r="AH33" s="5"/>
      <c r="AJ33" s="72">
        <f t="shared" si="5"/>
        <v>0</v>
      </c>
    </row>
    <row r="34" spans="2:36" ht="15.75" hidden="1" outlineLevel="1" thickBot="1" x14ac:dyDescent="0.3">
      <c r="B34" s="151"/>
      <c r="C34" s="9" t="s">
        <v>3</v>
      </c>
      <c r="D34" s="8"/>
      <c r="E34" s="201"/>
      <c r="F34" s="201"/>
      <c r="G34" s="8"/>
      <c r="H34" s="8"/>
      <c r="I34" s="8"/>
      <c r="J34" s="8"/>
      <c r="K34" s="8"/>
      <c r="L34" s="201"/>
      <c r="M34" s="201"/>
      <c r="N34" s="8"/>
      <c r="O34" s="8"/>
      <c r="P34" s="8"/>
      <c r="Q34" s="8"/>
      <c r="R34" s="8"/>
      <c r="S34" s="201"/>
      <c r="T34" s="201"/>
      <c r="U34" s="8"/>
      <c r="V34" s="8"/>
      <c r="W34" s="8"/>
      <c r="X34" s="8"/>
      <c r="Y34" s="8"/>
      <c r="Z34" s="201"/>
      <c r="AA34" s="201"/>
      <c r="AB34" s="8"/>
      <c r="AC34" s="8"/>
      <c r="AD34" s="8"/>
      <c r="AE34" s="8"/>
      <c r="AF34" s="8"/>
      <c r="AG34" s="201"/>
      <c r="AH34" s="8"/>
      <c r="AI34" s="7"/>
      <c r="AJ34" s="69">
        <f t="shared" si="5"/>
        <v>0</v>
      </c>
    </row>
    <row r="35" spans="2:36" ht="16.5" collapsed="1" thickTop="1" thickBot="1" x14ac:dyDescent="0.3">
      <c r="B35" s="253" t="str">
        <f>'Hours Scheduled'!B10</f>
        <v>Dennis van 't Hul</v>
      </c>
      <c r="C35" t="s">
        <v>0</v>
      </c>
      <c r="D35" s="2"/>
      <c r="E35" s="200"/>
      <c r="F35" s="200"/>
      <c r="G35" s="2"/>
      <c r="H35" s="2"/>
      <c r="I35" s="2"/>
      <c r="J35" s="2"/>
      <c r="K35" s="2"/>
      <c r="L35" s="200"/>
      <c r="M35" s="200"/>
      <c r="N35" s="2"/>
      <c r="O35" s="2"/>
      <c r="P35" s="2"/>
      <c r="Q35" s="2"/>
      <c r="R35" s="2"/>
      <c r="S35" s="200"/>
      <c r="T35" s="200"/>
      <c r="U35" s="2"/>
      <c r="V35" s="2"/>
      <c r="W35" s="2"/>
      <c r="X35" s="2"/>
      <c r="Y35" s="2"/>
      <c r="Z35" s="200"/>
      <c r="AA35" s="200"/>
      <c r="AB35" s="2"/>
      <c r="AC35" s="2"/>
      <c r="AD35" s="2"/>
      <c r="AE35" s="2"/>
      <c r="AF35" s="2"/>
      <c r="AG35" s="200"/>
      <c r="AH35" s="2"/>
      <c r="AJ35" s="64">
        <f>SUM(D35:AH35)</f>
        <v>0</v>
      </c>
    </row>
    <row r="36" spans="2:36" ht="15.75" hidden="1" outlineLevel="1" thickTop="1" x14ac:dyDescent="0.25">
      <c r="B36" s="150"/>
      <c r="C36" s="1" t="s">
        <v>1</v>
      </c>
      <c r="D36" s="3"/>
      <c r="E36" s="200"/>
      <c r="F36" s="200"/>
      <c r="G36" s="3"/>
      <c r="H36" s="3"/>
      <c r="I36" s="3"/>
      <c r="J36" s="3"/>
      <c r="K36" s="3"/>
      <c r="L36" s="200"/>
      <c r="M36" s="200"/>
      <c r="N36" s="3"/>
      <c r="O36" s="3"/>
      <c r="P36" s="3"/>
      <c r="Q36" s="3"/>
      <c r="R36" s="3"/>
      <c r="S36" s="200"/>
      <c r="T36" s="200"/>
      <c r="U36" s="3"/>
      <c r="V36" s="3"/>
      <c r="W36" s="3"/>
      <c r="X36" s="3"/>
      <c r="Y36" s="3"/>
      <c r="Z36" s="200"/>
      <c r="AA36" s="200"/>
      <c r="AB36" s="3"/>
      <c r="AC36" s="3"/>
      <c r="AD36" s="3"/>
      <c r="AE36" s="3"/>
      <c r="AF36" s="3"/>
      <c r="AG36" s="200"/>
      <c r="AH36" s="3"/>
      <c r="AJ36" s="70">
        <f t="shared" ref="AJ36:AJ39" si="6">SUM(D36:AH36)</f>
        <v>0</v>
      </c>
    </row>
    <row r="37" spans="2:36" hidden="1" outlineLevel="1" x14ac:dyDescent="0.25">
      <c r="B37" s="151"/>
      <c r="C37" s="1" t="s">
        <v>2</v>
      </c>
      <c r="D37" s="4"/>
      <c r="E37" s="200"/>
      <c r="F37" s="200"/>
      <c r="G37" s="4"/>
      <c r="H37" s="4"/>
      <c r="I37" s="4"/>
      <c r="J37" s="4"/>
      <c r="K37" s="4"/>
      <c r="L37" s="200"/>
      <c r="M37" s="200"/>
      <c r="N37" s="4"/>
      <c r="O37" s="4"/>
      <c r="P37" s="4"/>
      <c r="Q37" s="4"/>
      <c r="R37" s="4"/>
      <c r="S37" s="200"/>
      <c r="T37" s="200"/>
      <c r="U37" s="4"/>
      <c r="V37" s="4"/>
      <c r="W37" s="4"/>
      <c r="X37" s="4"/>
      <c r="Y37" s="4"/>
      <c r="Z37" s="200"/>
      <c r="AA37" s="200"/>
      <c r="AB37" s="4"/>
      <c r="AC37" s="4"/>
      <c r="AD37" s="4"/>
      <c r="AE37" s="4"/>
      <c r="AF37" s="4"/>
      <c r="AG37" s="200"/>
      <c r="AH37" s="4"/>
      <c r="AJ37" s="71">
        <f t="shared" si="6"/>
        <v>0</v>
      </c>
    </row>
    <row r="38" spans="2:36" hidden="1" outlineLevel="1" x14ac:dyDescent="0.25">
      <c r="B38" s="151"/>
      <c r="C38" s="54" t="s">
        <v>77</v>
      </c>
      <c r="D38" s="5"/>
      <c r="E38" s="200"/>
      <c r="F38" s="200"/>
      <c r="G38" s="5"/>
      <c r="H38" s="5"/>
      <c r="I38" s="5"/>
      <c r="J38" s="5"/>
      <c r="K38" s="5"/>
      <c r="L38" s="200"/>
      <c r="M38" s="200"/>
      <c r="N38" s="5"/>
      <c r="O38" s="5"/>
      <c r="P38" s="5"/>
      <c r="Q38" s="5"/>
      <c r="R38" s="5"/>
      <c r="S38" s="200"/>
      <c r="T38" s="200"/>
      <c r="U38" s="5"/>
      <c r="V38" s="5"/>
      <c r="W38" s="5"/>
      <c r="X38" s="5"/>
      <c r="Y38" s="5"/>
      <c r="Z38" s="200"/>
      <c r="AA38" s="200"/>
      <c r="AB38" s="5"/>
      <c r="AC38" s="5"/>
      <c r="AD38" s="5"/>
      <c r="AE38" s="5"/>
      <c r="AF38" s="5"/>
      <c r="AG38" s="200"/>
      <c r="AH38" s="5"/>
      <c r="AJ38" s="72">
        <f t="shared" si="6"/>
        <v>0</v>
      </c>
    </row>
    <row r="39" spans="2:36" ht="15.75" hidden="1" outlineLevel="1" thickBot="1" x14ac:dyDescent="0.3">
      <c r="B39" s="151"/>
      <c r="C39" s="9" t="s">
        <v>3</v>
      </c>
      <c r="D39" s="8"/>
      <c r="E39" s="201"/>
      <c r="F39" s="201"/>
      <c r="G39" s="8"/>
      <c r="H39" s="8"/>
      <c r="I39" s="8"/>
      <c r="J39" s="8"/>
      <c r="K39" s="8"/>
      <c r="L39" s="201"/>
      <c r="M39" s="201"/>
      <c r="N39" s="8"/>
      <c r="O39" s="8"/>
      <c r="P39" s="8"/>
      <c r="Q39" s="8"/>
      <c r="R39" s="8"/>
      <c r="S39" s="201"/>
      <c r="T39" s="201"/>
      <c r="U39" s="8"/>
      <c r="V39" s="8"/>
      <c r="W39" s="8"/>
      <c r="X39" s="8"/>
      <c r="Y39" s="8"/>
      <c r="Z39" s="201"/>
      <c r="AA39" s="201"/>
      <c r="AB39" s="8"/>
      <c r="AC39" s="8"/>
      <c r="AD39" s="8"/>
      <c r="AE39" s="8"/>
      <c r="AF39" s="8"/>
      <c r="AG39" s="201"/>
      <c r="AH39" s="8"/>
      <c r="AI39" s="7"/>
      <c r="AJ39" s="69">
        <f t="shared" si="6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2"/>
      <c r="E40" s="200"/>
      <c r="F40" s="200"/>
      <c r="G40" s="2"/>
      <c r="H40" s="2"/>
      <c r="I40" s="2"/>
      <c r="J40" s="2"/>
      <c r="K40" s="2"/>
      <c r="L40" s="200"/>
      <c r="M40" s="200"/>
      <c r="N40" s="2"/>
      <c r="O40" s="2"/>
      <c r="P40" s="2"/>
      <c r="Q40" s="2"/>
      <c r="R40" s="2"/>
      <c r="S40" s="200"/>
      <c r="T40" s="200"/>
      <c r="U40" s="2"/>
      <c r="V40" s="2"/>
      <c r="W40" s="2"/>
      <c r="X40" s="2"/>
      <c r="Y40" s="2"/>
      <c r="Z40" s="200"/>
      <c r="AA40" s="200"/>
      <c r="AB40" s="2"/>
      <c r="AC40" s="2"/>
      <c r="AD40" s="2"/>
      <c r="AE40" s="2"/>
      <c r="AF40" s="2"/>
      <c r="AG40" s="200"/>
      <c r="AH40" s="2"/>
      <c r="AJ40" s="64">
        <f>SUM(D40:AH40)</f>
        <v>0</v>
      </c>
    </row>
    <row r="41" spans="2:36" ht="15.75" hidden="1" outlineLevel="1" thickTop="1" x14ac:dyDescent="0.25">
      <c r="B41" s="150"/>
      <c r="C41" s="1" t="s">
        <v>1</v>
      </c>
      <c r="D41" s="3"/>
      <c r="E41" s="200"/>
      <c r="F41" s="200"/>
      <c r="G41" s="3"/>
      <c r="H41" s="3"/>
      <c r="I41" s="3"/>
      <c r="J41" s="3"/>
      <c r="K41" s="3"/>
      <c r="L41" s="200"/>
      <c r="M41" s="200"/>
      <c r="N41" s="3"/>
      <c r="O41" s="3"/>
      <c r="P41" s="3"/>
      <c r="Q41" s="3"/>
      <c r="R41" s="3"/>
      <c r="S41" s="200"/>
      <c r="T41" s="200"/>
      <c r="U41" s="3"/>
      <c r="V41" s="3"/>
      <c r="W41" s="3"/>
      <c r="X41" s="3"/>
      <c r="Y41" s="3"/>
      <c r="Z41" s="200"/>
      <c r="AA41" s="200"/>
      <c r="AB41" s="3"/>
      <c r="AC41" s="3"/>
      <c r="AD41" s="3"/>
      <c r="AE41" s="3"/>
      <c r="AF41" s="3"/>
      <c r="AG41" s="200"/>
      <c r="AH41" s="3"/>
      <c r="AJ41" s="70">
        <f t="shared" ref="AJ41:AJ44" si="7">SUM(D41:AH41)</f>
        <v>0</v>
      </c>
    </row>
    <row r="42" spans="2:36" hidden="1" outlineLevel="1" x14ac:dyDescent="0.25">
      <c r="B42" s="151"/>
      <c r="C42" s="1" t="s">
        <v>2</v>
      </c>
      <c r="D42" s="4"/>
      <c r="E42" s="200"/>
      <c r="F42" s="200"/>
      <c r="G42" s="4"/>
      <c r="H42" s="4"/>
      <c r="I42" s="4"/>
      <c r="J42" s="4"/>
      <c r="K42" s="4"/>
      <c r="L42" s="200"/>
      <c r="M42" s="200"/>
      <c r="N42" s="4"/>
      <c r="O42" s="4"/>
      <c r="P42" s="4"/>
      <c r="Q42" s="4"/>
      <c r="R42" s="4"/>
      <c r="S42" s="200"/>
      <c r="T42" s="200"/>
      <c r="U42" s="4"/>
      <c r="V42" s="4"/>
      <c r="W42" s="4"/>
      <c r="X42" s="4"/>
      <c r="Y42" s="4"/>
      <c r="Z42" s="200"/>
      <c r="AA42" s="200"/>
      <c r="AB42" s="4"/>
      <c r="AC42" s="4"/>
      <c r="AD42" s="4"/>
      <c r="AE42" s="4"/>
      <c r="AF42" s="4"/>
      <c r="AG42" s="200"/>
      <c r="AH42" s="4"/>
      <c r="AJ42" s="71">
        <f t="shared" si="7"/>
        <v>0</v>
      </c>
    </row>
    <row r="43" spans="2:36" hidden="1" outlineLevel="1" x14ac:dyDescent="0.25">
      <c r="B43" s="151"/>
      <c r="C43" s="54" t="s">
        <v>77</v>
      </c>
      <c r="D43" s="5"/>
      <c r="E43" s="200"/>
      <c r="F43" s="200"/>
      <c r="G43" s="5"/>
      <c r="H43" s="5"/>
      <c r="I43" s="5"/>
      <c r="J43" s="5"/>
      <c r="K43" s="5"/>
      <c r="L43" s="200"/>
      <c r="M43" s="200"/>
      <c r="N43" s="5"/>
      <c r="O43" s="5"/>
      <c r="P43" s="5"/>
      <c r="Q43" s="5"/>
      <c r="R43" s="5"/>
      <c r="S43" s="200"/>
      <c r="T43" s="200"/>
      <c r="U43" s="5"/>
      <c r="V43" s="5"/>
      <c r="W43" s="5"/>
      <c r="X43" s="5"/>
      <c r="Y43" s="5"/>
      <c r="Z43" s="200"/>
      <c r="AA43" s="200"/>
      <c r="AB43" s="5"/>
      <c r="AC43" s="5"/>
      <c r="AD43" s="5"/>
      <c r="AE43" s="5"/>
      <c r="AF43" s="5"/>
      <c r="AG43" s="200"/>
      <c r="AH43" s="5"/>
      <c r="AJ43" s="72">
        <f t="shared" si="7"/>
        <v>0</v>
      </c>
    </row>
    <row r="44" spans="2:36" ht="15.75" hidden="1" outlineLevel="1" thickBot="1" x14ac:dyDescent="0.3">
      <c r="B44" s="151"/>
      <c r="C44" s="9" t="s">
        <v>3</v>
      </c>
      <c r="D44" s="8"/>
      <c r="E44" s="201"/>
      <c r="F44" s="201"/>
      <c r="G44" s="8"/>
      <c r="H44" s="8"/>
      <c r="I44" s="8"/>
      <c r="J44" s="8"/>
      <c r="K44" s="8"/>
      <c r="L44" s="201"/>
      <c r="M44" s="201"/>
      <c r="N44" s="8"/>
      <c r="O44" s="8"/>
      <c r="P44" s="8"/>
      <c r="Q44" s="8"/>
      <c r="R44" s="8"/>
      <c r="S44" s="201"/>
      <c r="T44" s="201"/>
      <c r="U44" s="8"/>
      <c r="V44" s="8"/>
      <c r="W44" s="8"/>
      <c r="X44" s="8"/>
      <c r="Y44" s="8"/>
      <c r="Z44" s="201"/>
      <c r="AA44" s="201"/>
      <c r="AB44" s="8"/>
      <c r="AC44" s="8"/>
      <c r="AD44" s="8"/>
      <c r="AE44" s="8"/>
      <c r="AF44" s="8"/>
      <c r="AG44" s="201"/>
      <c r="AH44" s="8"/>
      <c r="AI44" s="7"/>
      <c r="AJ44" s="69">
        <f t="shared" si="7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2"/>
      <c r="E45" s="200"/>
      <c r="F45" s="200"/>
      <c r="G45" s="2"/>
      <c r="H45" s="2"/>
      <c r="I45" s="2"/>
      <c r="J45" s="2"/>
      <c r="K45" s="2"/>
      <c r="L45" s="200"/>
      <c r="M45" s="200"/>
      <c r="N45" s="2"/>
      <c r="O45" s="2"/>
      <c r="P45" s="2"/>
      <c r="Q45" s="2"/>
      <c r="R45" s="2"/>
      <c r="S45" s="200"/>
      <c r="T45" s="200"/>
      <c r="U45" s="2"/>
      <c r="V45" s="2"/>
      <c r="W45" s="2"/>
      <c r="X45" s="2"/>
      <c r="Y45" s="2"/>
      <c r="Z45" s="200"/>
      <c r="AA45" s="200"/>
      <c r="AB45" s="2"/>
      <c r="AC45" s="2"/>
      <c r="AD45" s="2"/>
      <c r="AE45" s="2"/>
      <c r="AF45" s="2"/>
      <c r="AG45" s="200"/>
      <c r="AH45" s="2"/>
      <c r="AJ45" s="64">
        <f>SUM(D45:AH45)</f>
        <v>0</v>
      </c>
    </row>
    <row r="46" spans="2:36" ht="15.75" hidden="1" outlineLevel="1" thickTop="1" x14ac:dyDescent="0.25">
      <c r="B46" s="150"/>
      <c r="C46" s="1" t="s">
        <v>1</v>
      </c>
      <c r="D46" s="3"/>
      <c r="E46" s="200"/>
      <c r="F46" s="200"/>
      <c r="G46" s="3"/>
      <c r="H46" s="3"/>
      <c r="I46" s="3"/>
      <c r="J46" s="3"/>
      <c r="K46" s="3"/>
      <c r="L46" s="200"/>
      <c r="M46" s="200"/>
      <c r="N46" s="3"/>
      <c r="O46" s="3"/>
      <c r="P46" s="3"/>
      <c r="Q46" s="3"/>
      <c r="R46" s="3"/>
      <c r="S46" s="200"/>
      <c r="T46" s="200"/>
      <c r="U46" s="3"/>
      <c r="V46" s="3"/>
      <c r="W46" s="3"/>
      <c r="X46" s="3"/>
      <c r="Y46" s="3"/>
      <c r="Z46" s="200"/>
      <c r="AA46" s="200"/>
      <c r="AB46" s="3"/>
      <c r="AC46" s="3"/>
      <c r="AD46" s="3"/>
      <c r="AE46" s="3"/>
      <c r="AF46" s="3"/>
      <c r="AG46" s="200"/>
      <c r="AH46" s="3"/>
      <c r="AJ46" s="70">
        <f t="shared" ref="AJ46:AJ49" si="8">SUM(D46:AH46)</f>
        <v>0</v>
      </c>
    </row>
    <row r="47" spans="2:36" hidden="1" outlineLevel="1" x14ac:dyDescent="0.25">
      <c r="B47" s="151"/>
      <c r="C47" s="1" t="s">
        <v>2</v>
      </c>
      <c r="D47" s="4"/>
      <c r="E47" s="200"/>
      <c r="F47" s="200"/>
      <c r="G47" s="4"/>
      <c r="H47" s="4"/>
      <c r="I47" s="4"/>
      <c r="J47" s="4"/>
      <c r="K47" s="4"/>
      <c r="L47" s="200"/>
      <c r="M47" s="200"/>
      <c r="N47" s="4"/>
      <c r="O47" s="4"/>
      <c r="P47" s="4"/>
      <c r="Q47" s="4"/>
      <c r="R47" s="4"/>
      <c r="S47" s="200"/>
      <c r="T47" s="200"/>
      <c r="U47" s="4"/>
      <c r="V47" s="4"/>
      <c r="W47" s="4"/>
      <c r="X47" s="4"/>
      <c r="Y47" s="4"/>
      <c r="Z47" s="200"/>
      <c r="AA47" s="200"/>
      <c r="AB47" s="4"/>
      <c r="AC47" s="4"/>
      <c r="AD47" s="4"/>
      <c r="AE47" s="4"/>
      <c r="AF47" s="4"/>
      <c r="AG47" s="200"/>
      <c r="AH47" s="4"/>
      <c r="AJ47" s="71">
        <f t="shared" si="8"/>
        <v>0</v>
      </c>
    </row>
    <row r="48" spans="2:36" hidden="1" outlineLevel="1" x14ac:dyDescent="0.25">
      <c r="B48" s="151"/>
      <c r="C48" s="54" t="s">
        <v>77</v>
      </c>
      <c r="D48" s="5"/>
      <c r="E48" s="200"/>
      <c r="F48" s="200"/>
      <c r="G48" s="5"/>
      <c r="H48" s="5"/>
      <c r="I48" s="5"/>
      <c r="J48" s="5"/>
      <c r="K48" s="5"/>
      <c r="L48" s="200"/>
      <c r="M48" s="200"/>
      <c r="N48" s="5"/>
      <c r="O48" s="5"/>
      <c r="P48" s="5"/>
      <c r="Q48" s="5"/>
      <c r="R48" s="5"/>
      <c r="S48" s="200"/>
      <c r="T48" s="200"/>
      <c r="U48" s="5"/>
      <c r="V48" s="5"/>
      <c r="W48" s="5"/>
      <c r="X48" s="5"/>
      <c r="Y48" s="5"/>
      <c r="Z48" s="200"/>
      <c r="AA48" s="200"/>
      <c r="AB48" s="5"/>
      <c r="AC48" s="5"/>
      <c r="AD48" s="5"/>
      <c r="AE48" s="5"/>
      <c r="AF48" s="5"/>
      <c r="AG48" s="200"/>
      <c r="AH48" s="5"/>
      <c r="AJ48" s="72">
        <f t="shared" si="8"/>
        <v>0</v>
      </c>
    </row>
    <row r="49" spans="2:36" ht="15.75" hidden="1" outlineLevel="1" thickBot="1" x14ac:dyDescent="0.3">
      <c r="B49" s="151"/>
      <c r="C49" s="9" t="s">
        <v>3</v>
      </c>
      <c r="D49" s="8"/>
      <c r="E49" s="201"/>
      <c r="F49" s="201"/>
      <c r="G49" s="8"/>
      <c r="H49" s="8"/>
      <c r="I49" s="8"/>
      <c r="J49" s="8"/>
      <c r="K49" s="8"/>
      <c r="L49" s="201"/>
      <c r="M49" s="201"/>
      <c r="N49" s="8"/>
      <c r="O49" s="8"/>
      <c r="P49" s="8"/>
      <c r="Q49" s="8"/>
      <c r="R49" s="8"/>
      <c r="S49" s="201"/>
      <c r="T49" s="201"/>
      <c r="U49" s="8"/>
      <c r="V49" s="8"/>
      <c r="W49" s="8"/>
      <c r="X49" s="8"/>
      <c r="Y49" s="8"/>
      <c r="Z49" s="201"/>
      <c r="AA49" s="201"/>
      <c r="AB49" s="8"/>
      <c r="AC49" s="8"/>
      <c r="AD49" s="8"/>
      <c r="AE49" s="8"/>
      <c r="AF49" s="8"/>
      <c r="AG49" s="201"/>
      <c r="AH49" s="8"/>
      <c r="AI49" s="7"/>
      <c r="AJ49" s="69">
        <f t="shared" si="8"/>
        <v>0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2"/>
      <c r="E50" s="200"/>
      <c r="F50" s="200"/>
      <c r="G50" s="2"/>
      <c r="H50" s="2"/>
      <c r="I50" s="2"/>
      <c r="J50" s="2"/>
      <c r="K50" s="2"/>
      <c r="L50" s="200"/>
      <c r="M50" s="200"/>
      <c r="N50" s="2"/>
      <c r="O50" s="2"/>
      <c r="P50" s="2"/>
      <c r="Q50" s="2"/>
      <c r="R50" s="2"/>
      <c r="S50" s="200"/>
      <c r="T50" s="200"/>
      <c r="U50" s="2"/>
      <c r="V50" s="2"/>
      <c r="W50" s="2"/>
      <c r="X50" s="2"/>
      <c r="Y50" s="2"/>
      <c r="Z50" s="200"/>
      <c r="AA50" s="200"/>
      <c r="AB50" s="2"/>
      <c r="AC50" s="2"/>
      <c r="AD50" s="2"/>
      <c r="AE50" s="2"/>
      <c r="AF50" s="2"/>
      <c r="AG50" s="200"/>
      <c r="AH50" s="2"/>
      <c r="AJ50" s="64">
        <f>SUM(D50:AH50)</f>
        <v>0</v>
      </c>
    </row>
    <row r="51" spans="2:36" ht="15.75" hidden="1" outlineLevel="1" thickTop="1" x14ac:dyDescent="0.25">
      <c r="B51" s="150"/>
      <c r="C51" s="1" t="s">
        <v>1</v>
      </c>
      <c r="D51" s="3"/>
      <c r="E51" s="200"/>
      <c r="F51" s="200"/>
      <c r="G51" s="3"/>
      <c r="H51" s="3"/>
      <c r="I51" s="3"/>
      <c r="J51" s="3"/>
      <c r="K51" s="3"/>
      <c r="L51" s="200"/>
      <c r="M51" s="200"/>
      <c r="N51" s="3"/>
      <c r="O51" s="3"/>
      <c r="P51" s="3"/>
      <c r="Q51" s="3"/>
      <c r="R51" s="3"/>
      <c r="S51" s="200"/>
      <c r="T51" s="200"/>
      <c r="U51" s="3"/>
      <c r="V51" s="3"/>
      <c r="W51" s="3"/>
      <c r="X51" s="3"/>
      <c r="Y51" s="3"/>
      <c r="Z51" s="200"/>
      <c r="AA51" s="200"/>
      <c r="AB51" s="3"/>
      <c r="AC51" s="3"/>
      <c r="AD51" s="3"/>
      <c r="AE51" s="3"/>
      <c r="AF51" s="3"/>
      <c r="AG51" s="200"/>
      <c r="AH51" s="3"/>
      <c r="AJ51" s="70">
        <f t="shared" ref="AJ51:AJ54" si="9">SUM(D51:AH51)</f>
        <v>0</v>
      </c>
    </row>
    <row r="52" spans="2:36" hidden="1" outlineLevel="1" x14ac:dyDescent="0.25">
      <c r="B52" s="151"/>
      <c r="C52" s="1" t="s">
        <v>2</v>
      </c>
      <c r="D52" s="4"/>
      <c r="E52" s="200"/>
      <c r="F52" s="200"/>
      <c r="G52" s="4"/>
      <c r="H52" s="4"/>
      <c r="I52" s="4"/>
      <c r="J52" s="4"/>
      <c r="K52" s="4"/>
      <c r="L52" s="200"/>
      <c r="M52" s="200"/>
      <c r="N52" s="4"/>
      <c r="O52" s="4"/>
      <c r="P52" s="4"/>
      <c r="Q52" s="4"/>
      <c r="R52" s="4"/>
      <c r="S52" s="200"/>
      <c r="T52" s="200"/>
      <c r="U52" s="4"/>
      <c r="V52" s="4"/>
      <c r="W52" s="4"/>
      <c r="X52" s="4"/>
      <c r="Y52" s="4"/>
      <c r="Z52" s="200"/>
      <c r="AA52" s="200"/>
      <c r="AB52" s="4"/>
      <c r="AC52" s="4"/>
      <c r="AD52" s="4"/>
      <c r="AE52" s="4"/>
      <c r="AF52" s="4"/>
      <c r="AG52" s="200"/>
      <c r="AH52" s="4"/>
      <c r="AJ52" s="71">
        <f t="shared" si="9"/>
        <v>0</v>
      </c>
    </row>
    <row r="53" spans="2:36" hidden="1" outlineLevel="1" x14ac:dyDescent="0.25">
      <c r="B53" s="151"/>
      <c r="C53" s="54" t="s">
        <v>77</v>
      </c>
      <c r="D53" s="5"/>
      <c r="E53" s="200"/>
      <c r="F53" s="200"/>
      <c r="G53" s="5"/>
      <c r="H53" s="5"/>
      <c r="I53" s="5"/>
      <c r="J53" s="5"/>
      <c r="K53" s="5"/>
      <c r="L53" s="200"/>
      <c r="M53" s="200"/>
      <c r="N53" s="5"/>
      <c r="O53" s="5"/>
      <c r="P53" s="5"/>
      <c r="Q53" s="5"/>
      <c r="R53" s="5"/>
      <c r="S53" s="200"/>
      <c r="T53" s="200"/>
      <c r="U53" s="5"/>
      <c r="V53" s="5"/>
      <c r="W53" s="5"/>
      <c r="X53" s="5"/>
      <c r="Y53" s="5"/>
      <c r="Z53" s="200"/>
      <c r="AA53" s="200"/>
      <c r="AB53" s="5"/>
      <c r="AC53" s="5"/>
      <c r="AD53" s="5"/>
      <c r="AE53" s="5"/>
      <c r="AF53" s="5"/>
      <c r="AG53" s="200"/>
      <c r="AH53" s="5"/>
      <c r="AJ53" s="72">
        <f t="shared" si="9"/>
        <v>0</v>
      </c>
    </row>
    <row r="54" spans="2:36" ht="15.75" hidden="1" outlineLevel="1" thickBot="1" x14ac:dyDescent="0.3">
      <c r="B54" s="151"/>
      <c r="C54" s="9" t="s">
        <v>3</v>
      </c>
      <c r="D54" s="69"/>
      <c r="E54" s="203"/>
      <c r="F54" s="203"/>
      <c r="G54" s="69"/>
      <c r="H54" s="69"/>
      <c r="I54" s="69"/>
      <c r="J54" s="69"/>
      <c r="K54" s="69"/>
      <c r="L54" s="203"/>
      <c r="M54" s="203"/>
      <c r="N54" s="69"/>
      <c r="O54" s="69"/>
      <c r="P54" s="69"/>
      <c r="Q54" s="69"/>
      <c r="R54" s="69"/>
      <c r="S54" s="203"/>
      <c r="T54" s="203"/>
      <c r="U54" s="69"/>
      <c r="V54" s="69"/>
      <c r="W54" s="69"/>
      <c r="X54" s="69"/>
      <c r="Y54" s="69"/>
      <c r="Z54" s="203"/>
      <c r="AA54" s="203"/>
      <c r="AB54" s="69"/>
      <c r="AC54" s="69"/>
      <c r="AD54" s="69"/>
      <c r="AE54" s="69"/>
      <c r="AF54" s="69"/>
      <c r="AG54" s="203"/>
      <c r="AH54" s="69"/>
      <c r="AI54" s="7"/>
      <c r="AJ54" s="69">
        <f t="shared" si="9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2"/>
      <c r="E55" s="200"/>
      <c r="F55" s="200"/>
      <c r="G55" s="2"/>
      <c r="H55" s="2"/>
      <c r="I55" s="2"/>
      <c r="J55" s="2"/>
      <c r="K55" s="2"/>
      <c r="L55" s="200"/>
      <c r="M55" s="200"/>
      <c r="N55" s="2"/>
      <c r="O55" s="2"/>
      <c r="P55" s="2"/>
      <c r="Q55" s="2"/>
      <c r="R55" s="2"/>
      <c r="S55" s="200"/>
      <c r="T55" s="200"/>
      <c r="U55" s="2"/>
      <c r="V55" s="2"/>
      <c r="W55" s="2"/>
      <c r="X55" s="2"/>
      <c r="Y55" s="2"/>
      <c r="Z55" s="200"/>
      <c r="AA55" s="200"/>
      <c r="AB55" s="2"/>
      <c r="AC55" s="2"/>
      <c r="AD55" s="2"/>
      <c r="AE55" s="2"/>
      <c r="AF55" s="2"/>
      <c r="AG55" s="200"/>
      <c r="AH55" s="2"/>
      <c r="AJ55" s="64">
        <f>SUM(D55:AH55)</f>
        <v>0</v>
      </c>
    </row>
    <row r="56" spans="2:36" ht="15.75" hidden="1" outlineLevel="1" thickTop="1" x14ac:dyDescent="0.25">
      <c r="B56" s="150"/>
      <c r="C56" s="1" t="s">
        <v>1</v>
      </c>
      <c r="D56" s="3"/>
      <c r="E56" s="200"/>
      <c r="F56" s="200"/>
      <c r="G56" s="3"/>
      <c r="H56" s="3"/>
      <c r="I56" s="3"/>
      <c r="J56" s="3"/>
      <c r="K56" s="3"/>
      <c r="L56" s="200"/>
      <c r="M56" s="200"/>
      <c r="N56" s="3"/>
      <c r="O56" s="3"/>
      <c r="P56" s="3"/>
      <c r="Q56" s="3"/>
      <c r="R56" s="3"/>
      <c r="S56" s="200"/>
      <c r="T56" s="200"/>
      <c r="U56" s="3"/>
      <c r="V56" s="3"/>
      <c r="W56" s="3"/>
      <c r="X56" s="3"/>
      <c r="Y56" s="3"/>
      <c r="Z56" s="200"/>
      <c r="AA56" s="200"/>
      <c r="AB56" s="3"/>
      <c r="AC56" s="3"/>
      <c r="AD56" s="3"/>
      <c r="AE56" s="3"/>
      <c r="AF56" s="3"/>
      <c r="AG56" s="200"/>
      <c r="AH56" s="3"/>
      <c r="AJ56" s="70">
        <f t="shared" ref="AJ56:AJ59" si="10">SUM(D56:AH56)</f>
        <v>0</v>
      </c>
    </row>
    <row r="57" spans="2:36" hidden="1" outlineLevel="1" x14ac:dyDescent="0.25">
      <c r="B57" s="151"/>
      <c r="C57" s="1" t="s">
        <v>2</v>
      </c>
      <c r="D57" s="4"/>
      <c r="E57" s="200"/>
      <c r="F57" s="200"/>
      <c r="G57" s="4"/>
      <c r="H57" s="4"/>
      <c r="I57" s="4"/>
      <c r="J57" s="4"/>
      <c r="K57" s="4"/>
      <c r="L57" s="200"/>
      <c r="M57" s="200"/>
      <c r="N57" s="4"/>
      <c r="O57" s="4"/>
      <c r="P57" s="4"/>
      <c r="Q57" s="4"/>
      <c r="R57" s="4"/>
      <c r="S57" s="200"/>
      <c r="T57" s="200"/>
      <c r="U57" s="4"/>
      <c r="V57" s="4"/>
      <c r="W57" s="4"/>
      <c r="X57" s="4"/>
      <c r="Y57" s="4"/>
      <c r="Z57" s="200"/>
      <c r="AA57" s="200"/>
      <c r="AB57" s="4"/>
      <c r="AC57" s="4"/>
      <c r="AD57" s="4"/>
      <c r="AE57" s="4"/>
      <c r="AF57" s="4"/>
      <c r="AG57" s="200"/>
      <c r="AH57" s="4"/>
      <c r="AJ57" s="71">
        <f t="shared" si="10"/>
        <v>0</v>
      </c>
    </row>
    <row r="58" spans="2:36" hidden="1" outlineLevel="1" x14ac:dyDescent="0.25">
      <c r="B58" s="151"/>
      <c r="C58" s="54" t="s">
        <v>77</v>
      </c>
      <c r="D58" s="5"/>
      <c r="E58" s="200"/>
      <c r="F58" s="200"/>
      <c r="G58" s="5"/>
      <c r="H58" s="5"/>
      <c r="I58" s="5"/>
      <c r="J58" s="5"/>
      <c r="K58" s="5"/>
      <c r="L58" s="200"/>
      <c r="M58" s="200"/>
      <c r="N58" s="5"/>
      <c r="O58" s="5"/>
      <c r="P58" s="5"/>
      <c r="Q58" s="5"/>
      <c r="R58" s="5"/>
      <c r="S58" s="200"/>
      <c r="T58" s="200"/>
      <c r="U58" s="5"/>
      <c r="V58" s="5"/>
      <c r="W58" s="5"/>
      <c r="X58" s="5"/>
      <c r="Y58" s="5"/>
      <c r="Z58" s="200"/>
      <c r="AA58" s="200"/>
      <c r="AB58" s="5"/>
      <c r="AC58" s="5"/>
      <c r="AD58" s="5"/>
      <c r="AE58" s="5"/>
      <c r="AF58" s="5"/>
      <c r="AG58" s="200"/>
      <c r="AH58" s="5"/>
      <c r="AJ58" s="72">
        <f t="shared" si="10"/>
        <v>0</v>
      </c>
    </row>
    <row r="59" spans="2:36" ht="15.75" hidden="1" outlineLevel="1" thickBot="1" x14ac:dyDescent="0.3">
      <c r="B59" s="151"/>
      <c r="C59" s="9" t="s">
        <v>3</v>
      </c>
      <c r="D59" s="8"/>
      <c r="E59" s="201"/>
      <c r="F59" s="201"/>
      <c r="G59" s="8"/>
      <c r="H59" s="8"/>
      <c r="I59" s="8"/>
      <c r="J59" s="8"/>
      <c r="K59" s="8"/>
      <c r="L59" s="201"/>
      <c r="M59" s="201"/>
      <c r="N59" s="8"/>
      <c r="O59" s="8"/>
      <c r="P59" s="8"/>
      <c r="Q59" s="8"/>
      <c r="R59" s="8"/>
      <c r="S59" s="201"/>
      <c r="T59" s="201"/>
      <c r="U59" s="8"/>
      <c r="V59" s="8"/>
      <c r="W59" s="8"/>
      <c r="X59" s="8"/>
      <c r="Y59" s="8"/>
      <c r="Z59" s="201"/>
      <c r="AA59" s="201"/>
      <c r="AB59" s="8"/>
      <c r="AC59" s="8"/>
      <c r="AD59" s="8"/>
      <c r="AE59" s="8"/>
      <c r="AF59" s="8"/>
      <c r="AG59" s="201"/>
      <c r="AH59" s="8"/>
      <c r="AI59" s="7"/>
      <c r="AJ59" s="69">
        <f t="shared" si="10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2"/>
      <c r="E60" s="200"/>
      <c r="F60" s="200"/>
      <c r="G60" s="2"/>
      <c r="H60" s="2"/>
      <c r="I60" s="200"/>
      <c r="J60" s="2"/>
      <c r="K60" s="2"/>
      <c r="L60" s="200"/>
      <c r="M60" s="200"/>
      <c r="N60" s="2"/>
      <c r="O60" s="2"/>
      <c r="P60" s="200"/>
      <c r="Q60" s="2"/>
      <c r="R60" s="2"/>
      <c r="S60" s="200"/>
      <c r="T60" s="200"/>
      <c r="U60" s="2"/>
      <c r="V60" s="2"/>
      <c r="W60" s="200"/>
      <c r="X60" s="2"/>
      <c r="Y60" s="2"/>
      <c r="Z60" s="200"/>
      <c r="AA60" s="200"/>
      <c r="AB60" s="2"/>
      <c r="AC60" s="2"/>
      <c r="AD60" s="200"/>
      <c r="AE60" s="2"/>
      <c r="AF60" s="2"/>
      <c r="AG60" s="200"/>
      <c r="AH60" s="2"/>
      <c r="AJ60" s="64">
        <f>SUM(D60:AH60)</f>
        <v>0</v>
      </c>
    </row>
    <row r="61" spans="2:36" ht="15.75" hidden="1" outlineLevel="1" thickTop="1" x14ac:dyDescent="0.25">
      <c r="B61" s="150"/>
      <c r="C61" s="1" t="s">
        <v>1</v>
      </c>
      <c r="D61" s="3"/>
      <c r="E61" s="200"/>
      <c r="F61" s="200"/>
      <c r="G61" s="3"/>
      <c r="H61" s="3"/>
      <c r="I61" s="3"/>
      <c r="J61" s="3"/>
      <c r="K61" s="3"/>
      <c r="L61" s="200"/>
      <c r="M61" s="200"/>
      <c r="N61" s="3"/>
      <c r="O61" s="3"/>
      <c r="P61" s="3"/>
      <c r="Q61" s="3"/>
      <c r="R61" s="3"/>
      <c r="S61" s="200"/>
      <c r="T61" s="200"/>
      <c r="U61" s="3"/>
      <c r="V61" s="3"/>
      <c r="W61" s="3"/>
      <c r="X61" s="3"/>
      <c r="Y61" s="3"/>
      <c r="Z61" s="200"/>
      <c r="AA61" s="200"/>
      <c r="AB61" s="3"/>
      <c r="AC61" s="3"/>
      <c r="AD61" s="3"/>
      <c r="AE61" s="3"/>
      <c r="AF61" s="3"/>
      <c r="AG61" s="200"/>
      <c r="AH61" s="3"/>
      <c r="AJ61" s="70">
        <f t="shared" ref="AJ61:AJ64" si="11">SUM(D61:AH61)</f>
        <v>0</v>
      </c>
    </row>
    <row r="62" spans="2:36" hidden="1" outlineLevel="1" x14ac:dyDescent="0.25">
      <c r="B62" s="151"/>
      <c r="C62" s="1" t="s">
        <v>2</v>
      </c>
      <c r="D62" s="4"/>
      <c r="E62" s="200"/>
      <c r="F62" s="200"/>
      <c r="G62" s="4"/>
      <c r="H62" s="4"/>
      <c r="I62" s="4"/>
      <c r="J62" s="4"/>
      <c r="K62" s="4"/>
      <c r="L62" s="200"/>
      <c r="M62" s="200"/>
      <c r="N62" s="4"/>
      <c r="O62" s="4"/>
      <c r="P62" s="4"/>
      <c r="Q62" s="4"/>
      <c r="R62" s="4"/>
      <c r="S62" s="200"/>
      <c r="T62" s="200"/>
      <c r="U62" s="4"/>
      <c r="V62" s="4"/>
      <c r="W62" s="4"/>
      <c r="X62" s="4"/>
      <c r="Y62" s="4"/>
      <c r="Z62" s="200"/>
      <c r="AA62" s="200"/>
      <c r="AB62" s="4"/>
      <c r="AC62" s="4"/>
      <c r="AD62" s="4"/>
      <c r="AE62" s="4"/>
      <c r="AF62" s="4"/>
      <c r="AG62" s="200"/>
      <c r="AH62" s="4"/>
      <c r="AJ62" s="71">
        <f t="shared" si="11"/>
        <v>0</v>
      </c>
    </row>
    <row r="63" spans="2:36" hidden="1" outlineLevel="1" x14ac:dyDescent="0.25">
      <c r="B63" s="151"/>
      <c r="C63" s="54" t="s">
        <v>77</v>
      </c>
      <c r="D63" s="5"/>
      <c r="E63" s="200"/>
      <c r="F63" s="200"/>
      <c r="G63" s="5"/>
      <c r="H63" s="5"/>
      <c r="I63" s="5"/>
      <c r="J63" s="5"/>
      <c r="K63" s="5"/>
      <c r="L63" s="200"/>
      <c r="M63" s="200"/>
      <c r="N63" s="5"/>
      <c r="O63" s="5"/>
      <c r="P63" s="5"/>
      <c r="Q63" s="5"/>
      <c r="R63" s="5"/>
      <c r="S63" s="200"/>
      <c r="T63" s="200"/>
      <c r="U63" s="5"/>
      <c r="V63" s="5"/>
      <c r="W63" s="5"/>
      <c r="X63" s="5"/>
      <c r="Y63" s="5"/>
      <c r="Z63" s="200"/>
      <c r="AA63" s="200"/>
      <c r="AB63" s="5"/>
      <c r="AC63" s="5"/>
      <c r="AD63" s="5"/>
      <c r="AE63" s="5"/>
      <c r="AF63" s="5"/>
      <c r="AG63" s="200"/>
      <c r="AH63" s="5"/>
      <c r="AJ63" s="72">
        <f t="shared" si="11"/>
        <v>0</v>
      </c>
    </row>
    <row r="64" spans="2:36" ht="15.75" hidden="1" outlineLevel="1" thickBot="1" x14ac:dyDescent="0.3">
      <c r="B64" s="151"/>
      <c r="C64" s="9" t="s">
        <v>3</v>
      </c>
      <c r="D64" s="8"/>
      <c r="E64" s="201"/>
      <c r="F64" s="201"/>
      <c r="G64" s="8"/>
      <c r="H64" s="8"/>
      <c r="I64" s="8"/>
      <c r="J64" s="8"/>
      <c r="K64" s="8"/>
      <c r="L64" s="201"/>
      <c r="M64" s="201"/>
      <c r="N64" s="8"/>
      <c r="O64" s="8"/>
      <c r="P64" s="8"/>
      <c r="Q64" s="8"/>
      <c r="R64" s="8"/>
      <c r="S64" s="201"/>
      <c r="T64" s="201"/>
      <c r="U64" s="8"/>
      <c r="V64" s="8"/>
      <c r="W64" s="8"/>
      <c r="X64" s="8"/>
      <c r="Y64" s="8"/>
      <c r="Z64" s="201"/>
      <c r="AA64" s="201"/>
      <c r="AB64" s="8"/>
      <c r="AC64" s="8"/>
      <c r="AD64" s="8"/>
      <c r="AE64" s="8"/>
      <c r="AF64" s="8"/>
      <c r="AG64" s="201"/>
      <c r="AH64" s="8"/>
      <c r="AI64" s="7"/>
      <c r="AJ64" s="69">
        <f t="shared" si="11"/>
        <v>0</v>
      </c>
    </row>
    <row r="65" spans="2:36" ht="16.5" collapsed="1" thickTop="1" thickBot="1" x14ac:dyDescent="0.3">
      <c r="B65" s="253" t="str">
        <f>'Hours Scheduled'!B16</f>
        <v>Jim van der Weijden</v>
      </c>
      <c r="C65" t="s">
        <v>0</v>
      </c>
      <c r="D65" s="2"/>
      <c r="E65" s="200"/>
      <c r="F65" s="200"/>
      <c r="G65" s="2"/>
      <c r="H65" s="2"/>
      <c r="I65" s="2"/>
      <c r="J65" s="2"/>
      <c r="K65" s="2"/>
      <c r="L65" s="200"/>
      <c r="M65" s="200"/>
      <c r="N65" s="2"/>
      <c r="O65" s="2"/>
      <c r="P65" s="2"/>
      <c r="Q65" s="2"/>
      <c r="R65" s="2"/>
      <c r="S65" s="200"/>
      <c r="T65" s="200"/>
      <c r="U65" s="2"/>
      <c r="V65" s="2"/>
      <c r="W65" s="2"/>
      <c r="X65" s="2"/>
      <c r="Y65" s="2"/>
      <c r="Z65" s="200"/>
      <c r="AA65" s="200"/>
      <c r="AB65" s="2"/>
      <c r="AC65" s="2"/>
      <c r="AD65" s="2"/>
      <c r="AE65" s="2"/>
      <c r="AF65" s="2"/>
      <c r="AG65" s="200"/>
      <c r="AH65" s="2"/>
      <c r="AJ65" s="64">
        <f>SUM(D65:AH65)</f>
        <v>0</v>
      </c>
    </row>
    <row r="66" spans="2:36" ht="15.75" hidden="1" outlineLevel="1" thickTop="1" x14ac:dyDescent="0.25">
      <c r="B66" s="150"/>
      <c r="C66" s="1" t="s">
        <v>1</v>
      </c>
      <c r="D66" s="3"/>
      <c r="E66" s="200"/>
      <c r="F66" s="200"/>
      <c r="G66" s="3"/>
      <c r="H66" s="3"/>
      <c r="I66" s="3"/>
      <c r="J66" s="3"/>
      <c r="K66" s="3"/>
      <c r="L66" s="200"/>
      <c r="M66" s="200"/>
      <c r="N66" s="3"/>
      <c r="O66" s="3"/>
      <c r="P66" s="3"/>
      <c r="Q66" s="3"/>
      <c r="R66" s="3"/>
      <c r="S66" s="200"/>
      <c r="T66" s="200"/>
      <c r="U66" s="3"/>
      <c r="V66" s="3"/>
      <c r="W66" s="3"/>
      <c r="X66" s="3"/>
      <c r="Y66" s="3"/>
      <c r="Z66" s="200"/>
      <c r="AA66" s="200"/>
      <c r="AB66" s="3"/>
      <c r="AC66" s="3"/>
      <c r="AD66" s="3"/>
      <c r="AE66" s="3"/>
      <c r="AF66" s="3"/>
      <c r="AG66" s="200"/>
      <c r="AH66" s="3"/>
      <c r="AJ66" s="70">
        <f t="shared" ref="AJ66:AJ69" si="12">SUM(D66:AH66)</f>
        <v>0</v>
      </c>
    </row>
    <row r="67" spans="2:36" hidden="1" outlineLevel="1" x14ac:dyDescent="0.25">
      <c r="B67" s="151"/>
      <c r="C67" s="1" t="s">
        <v>2</v>
      </c>
      <c r="D67" s="4"/>
      <c r="E67" s="200"/>
      <c r="F67" s="200"/>
      <c r="G67" s="4"/>
      <c r="H67" s="4"/>
      <c r="I67" s="4"/>
      <c r="J67" s="4"/>
      <c r="K67" s="4"/>
      <c r="L67" s="200"/>
      <c r="M67" s="200"/>
      <c r="N67" s="4"/>
      <c r="O67" s="4"/>
      <c r="P67" s="4"/>
      <c r="Q67" s="4"/>
      <c r="R67" s="4"/>
      <c r="S67" s="200"/>
      <c r="T67" s="200"/>
      <c r="U67" s="4"/>
      <c r="V67" s="4"/>
      <c r="W67" s="4"/>
      <c r="X67" s="4"/>
      <c r="Y67" s="4"/>
      <c r="Z67" s="200"/>
      <c r="AA67" s="200"/>
      <c r="AB67" s="4"/>
      <c r="AC67" s="4"/>
      <c r="AD67" s="4"/>
      <c r="AE67" s="4"/>
      <c r="AF67" s="4"/>
      <c r="AG67" s="200"/>
      <c r="AH67" s="4"/>
      <c r="AJ67" s="71">
        <f t="shared" si="12"/>
        <v>0</v>
      </c>
    </row>
    <row r="68" spans="2:36" hidden="1" outlineLevel="1" x14ac:dyDescent="0.25">
      <c r="B68" s="151"/>
      <c r="C68" s="54" t="s">
        <v>77</v>
      </c>
      <c r="D68" s="5"/>
      <c r="E68" s="200"/>
      <c r="F68" s="200"/>
      <c r="G68" s="5"/>
      <c r="H68" s="5"/>
      <c r="I68" s="5"/>
      <c r="J68" s="5"/>
      <c r="K68" s="5"/>
      <c r="L68" s="200"/>
      <c r="M68" s="200"/>
      <c r="N68" s="5"/>
      <c r="O68" s="5"/>
      <c r="P68" s="5"/>
      <c r="Q68" s="5"/>
      <c r="R68" s="5"/>
      <c r="S68" s="200"/>
      <c r="T68" s="200"/>
      <c r="U68" s="5"/>
      <c r="V68" s="5"/>
      <c r="W68" s="5"/>
      <c r="X68" s="5"/>
      <c r="Y68" s="5"/>
      <c r="Z68" s="200"/>
      <c r="AA68" s="200"/>
      <c r="AB68" s="5"/>
      <c r="AC68" s="5"/>
      <c r="AD68" s="5"/>
      <c r="AE68" s="5"/>
      <c r="AF68" s="5"/>
      <c r="AG68" s="200"/>
      <c r="AH68" s="5"/>
      <c r="AJ68" s="72">
        <f t="shared" si="12"/>
        <v>0</v>
      </c>
    </row>
    <row r="69" spans="2:36" ht="15.75" hidden="1" outlineLevel="1" thickBot="1" x14ac:dyDescent="0.3">
      <c r="B69" s="151"/>
      <c r="C69" s="9" t="s">
        <v>3</v>
      </c>
      <c r="D69" s="8"/>
      <c r="E69" s="201"/>
      <c r="F69" s="201"/>
      <c r="G69" s="8"/>
      <c r="H69" s="8"/>
      <c r="I69" s="8"/>
      <c r="J69" s="8"/>
      <c r="K69" s="8"/>
      <c r="L69" s="201"/>
      <c r="M69" s="201"/>
      <c r="N69" s="8"/>
      <c r="O69" s="8"/>
      <c r="P69" s="8"/>
      <c r="Q69" s="8"/>
      <c r="R69" s="8"/>
      <c r="S69" s="201"/>
      <c r="T69" s="201"/>
      <c r="U69" s="8"/>
      <c r="V69" s="8"/>
      <c r="W69" s="8"/>
      <c r="X69" s="8"/>
      <c r="Y69" s="8"/>
      <c r="Z69" s="201"/>
      <c r="AA69" s="201"/>
      <c r="AB69" s="8"/>
      <c r="AC69" s="8"/>
      <c r="AD69" s="8"/>
      <c r="AE69" s="8"/>
      <c r="AF69" s="8"/>
      <c r="AG69" s="201"/>
      <c r="AH69" s="8"/>
      <c r="AI69" s="7"/>
      <c r="AJ69" s="69">
        <f t="shared" si="1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2"/>
      <c r="E70" s="200"/>
      <c r="F70" s="200"/>
      <c r="G70" s="2"/>
      <c r="H70" s="2"/>
      <c r="I70" s="2"/>
      <c r="J70" s="2"/>
      <c r="K70" s="2"/>
      <c r="L70" s="200"/>
      <c r="M70" s="200"/>
      <c r="N70" s="2"/>
      <c r="O70" s="2"/>
      <c r="P70" s="2"/>
      <c r="Q70" s="2"/>
      <c r="R70" s="2"/>
      <c r="S70" s="200"/>
      <c r="T70" s="200"/>
      <c r="U70" s="2"/>
      <c r="V70" s="2"/>
      <c r="W70" s="2"/>
      <c r="X70" s="2"/>
      <c r="Y70" s="2"/>
      <c r="Z70" s="200"/>
      <c r="AA70" s="200"/>
      <c r="AB70" s="2"/>
      <c r="AC70" s="2"/>
      <c r="AD70" s="2"/>
      <c r="AE70" s="2"/>
      <c r="AF70" s="2"/>
      <c r="AG70" s="200"/>
      <c r="AH70" s="2"/>
      <c r="AJ70" s="64">
        <f>SUM(D70:AH70)</f>
        <v>0</v>
      </c>
    </row>
    <row r="71" spans="2:36" ht="15.75" hidden="1" outlineLevel="1" thickTop="1" x14ac:dyDescent="0.25">
      <c r="B71" s="150"/>
      <c r="C71" s="1" t="s">
        <v>1</v>
      </c>
      <c r="D71" s="3"/>
      <c r="E71" s="200"/>
      <c r="F71" s="200"/>
      <c r="G71" s="3"/>
      <c r="H71" s="3"/>
      <c r="I71" s="3"/>
      <c r="J71" s="3"/>
      <c r="K71" s="3"/>
      <c r="L71" s="200"/>
      <c r="M71" s="200"/>
      <c r="N71" s="3"/>
      <c r="O71" s="3"/>
      <c r="P71" s="3"/>
      <c r="Q71" s="3"/>
      <c r="R71" s="3"/>
      <c r="S71" s="200"/>
      <c r="T71" s="200"/>
      <c r="U71" s="3"/>
      <c r="V71" s="3"/>
      <c r="W71" s="3"/>
      <c r="X71" s="3"/>
      <c r="Y71" s="3"/>
      <c r="Z71" s="200"/>
      <c r="AA71" s="200"/>
      <c r="AB71" s="3"/>
      <c r="AC71" s="3"/>
      <c r="AD71" s="3"/>
      <c r="AE71" s="3"/>
      <c r="AF71" s="3"/>
      <c r="AG71" s="200"/>
      <c r="AH71" s="3"/>
      <c r="AJ71" s="70">
        <f t="shared" ref="AJ71:AJ74" si="13">SUM(D71:AH71)</f>
        <v>0</v>
      </c>
    </row>
    <row r="72" spans="2:36" hidden="1" outlineLevel="1" x14ac:dyDescent="0.25">
      <c r="B72" s="151"/>
      <c r="C72" s="1" t="s">
        <v>2</v>
      </c>
      <c r="D72" s="4"/>
      <c r="E72" s="200"/>
      <c r="F72" s="200"/>
      <c r="G72" s="4"/>
      <c r="H72" s="4"/>
      <c r="I72" s="4"/>
      <c r="J72" s="4"/>
      <c r="K72" s="4"/>
      <c r="L72" s="200"/>
      <c r="M72" s="200"/>
      <c r="N72" s="4"/>
      <c r="O72" s="4"/>
      <c r="P72" s="4"/>
      <c r="Q72" s="4"/>
      <c r="R72" s="4"/>
      <c r="S72" s="200"/>
      <c r="T72" s="200"/>
      <c r="U72" s="4"/>
      <c r="V72" s="4"/>
      <c r="W72" s="4"/>
      <c r="X72" s="4"/>
      <c r="Y72" s="4"/>
      <c r="Z72" s="200"/>
      <c r="AA72" s="200"/>
      <c r="AB72" s="4"/>
      <c r="AC72" s="4"/>
      <c r="AD72" s="4"/>
      <c r="AE72" s="4"/>
      <c r="AF72" s="4"/>
      <c r="AG72" s="200"/>
      <c r="AH72" s="4"/>
      <c r="AJ72" s="71">
        <f t="shared" si="13"/>
        <v>0</v>
      </c>
    </row>
    <row r="73" spans="2:36" hidden="1" outlineLevel="1" x14ac:dyDescent="0.25">
      <c r="B73" s="151"/>
      <c r="C73" s="54" t="s">
        <v>77</v>
      </c>
      <c r="D73" s="5"/>
      <c r="E73" s="200"/>
      <c r="F73" s="200"/>
      <c r="G73" s="5"/>
      <c r="H73" s="5"/>
      <c r="I73" s="5"/>
      <c r="J73" s="5"/>
      <c r="K73" s="5"/>
      <c r="L73" s="200"/>
      <c r="M73" s="200"/>
      <c r="N73" s="5"/>
      <c r="O73" s="5"/>
      <c r="P73" s="5"/>
      <c r="Q73" s="5"/>
      <c r="R73" s="5"/>
      <c r="S73" s="200"/>
      <c r="T73" s="200"/>
      <c r="U73" s="5"/>
      <c r="V73" s="5"/>
      <c r="W73" s="5"/>
      <c r="X73" s="5"/>
      <c r="Y73" s="5"/>
      <c r="Z73" s="200"/>
      <c r="AA73" s="200"/>
      <c r="AB73" s="5"/>
      <c r="AC73" s="5"/>
      <c r="AD73" s="5"/>
      <c r="AE73" s="5"/>
      <c r="AF73" s="5"/>
      <c r="AG73" s="200"/>
      <c r="AH73" s="5"/>
      <c r="AJ73" s="72">
        <f t="shared" si="13"/>
        <v>0</v>
      </c>
    </row>
    <row r="74" spans="2:36" ht="15.75" hidden="1" outlineLevel="1" thickBot="1" x14ac:dyDescent="0.3">
      <c r="B74" s="151"/>
      <c r="C74" s="9" t="s">
        <v>3</v>
      </c>
      <c r="D74" s="8"/>
      <c r="E74" s="201"/>
      <c r="F74" s="201"/>
      <c r="G74" s="8"/>
      <c r="H74" s="8"/>
      <c r="I74" s="8"/>
      <c r="J74" s="8"/>
      <c r="K74" s="8"/>
      <c r="L74" s="201"/>
      <c r="M74" s="201"/>
      <c r="N74" s="8"/>
      <c r="O74" s="8"/>
      <c r="P74" s="8"/>
      <c r="Q74" s="8"/>
      <c r="R74" s="8"/>
      <c r="S74" s="201"/>
      <c r="T74" s="201"/>
      <c r="U74" s="8"/>
      <c r="V74" s="8"/>
      <c r="W74" s="8"/>
      <c r="X74" s="8"/>
      <c r="Y74" s="8"/>
      <c r="Z74" s="201"/>
      <c r="AA74" s="201"/>
      <c r="AB74" s="8"/>
      <c r="AC74" s="8"/>
      <c r="AD74" s="8"/>
      <c r="AE74" s="8"/>
      <c r="AF74" s="8"/>
      <c r="AG74" s="201"/>
      <c r="AH74" s="8"/>
      <c r="AI74" s="7"/>
      <c r="AJ74" s="69">
        <f t="shared" si="13"/>
        <v>0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2"/>
      <c r="E75" s="200"/>
      <c r="F75" s="200"/>
      <c r="G75" s="2"/>
      <c r="H75" s="2"/>
      <c r="I75" s="2"/>
      <c r="J75" s="2"/>
      <c r="K75" s="2"/>
      <c r="L75" s="200"/>
      <c r="M75" s="200"/>
      <c r="N75" s="2"/>
      <c r="O75" s="2"/>
      <c r="P75" s="2"/>
      <c r="Q75" s="2"/>
      <c r="R75" s="2"/>
      <c r="S75" s="200"/>
      <c r="T75" s="200"/>
      <c r="U75" s="2"/>
      <c r="V75" s="2"/>
      <c r="W75" s="2"/>
      <c r="X75" s="2"/>
      <c r="Y75" s="2"/>
      <c r="Z75" s="200"/>
      <c r="AA75" s="200"/>
      <c r="AB75" s="2"/>
      <c r="AC75" s="2"/>
      <c r="AD75" s="2"/>
      <c r="AE75" s="2"/>
      <c r="AF75" s="2"/>
      <c r="AG75" s="200"/>
      <c r="AH75" s="2"/>
      <c r="AJ75" s="64">
        <f>SUM(D75:AH75)</f>
        <v>0</v>
      </c>
    </row>
    <row r="76" spans="2:36" ht="15.75" hidden="1" outlineLevel="1" thickTop="1" x14ac:dyDescent="0.25">
      <c r="B76" s="150"/>
      <c r="C76" s="1" t="s">
        <v>1</v>
      </c>
      <c r="D76" s="3"/>
      <c r="E76" s="200"/>
      <c r="F76" s="200"/>
      <c r="G76" s="3"/>
      <c r="H76" s="3"/>
      <c r="I76" s="3"/>
      <c r="J76" s="3"/>
      <c r="K76" s="3"/>
      <c r="L76" s="200"/>
      <c r="M76" s="200"/>
      <c r="N76" s="3"/>
      <c r="O76" s="3"/>
      <c r="P76" s="3"/>
      <c r="Q76" s="3"/>
      <c r="R76" s="3"/>
      <c r="S76" s="200"/>
      <c r="T76" s="200"/>
      <c r="U76" s="3"/>
      <c r="V76" s="3"/>
      <c r="W76" s="3"/>
      <c r="X76" s="3"/>
      <c r="Y76" s="3"/>
      <c r="Z76" s="200"/>
      <c r="AA76" s="200"/>
      <c r="AB76" s="3"/>
      <c r="AC76" s="3"/>
      <c r="AD76" s="3"/>
      <c r="AE76" s="3"/>
      <c r="AF76" s="3"/>
      <c r="AG76" s="200"/>
      <c r="AH76" s="3"/>
      <c r="AJ76" s="70">
        <f t="shared" ref="AJ76:AJ79" si="14">SUM(D76:AH76)</f>
        <v>0</v>
      </c>
    </row>
    <row r="77" spans="2:36" hidden="1" outlineLevel="1" x14ac:dyDescent="0.25">
      <c r="B77" s="151"/>
      <c r="C77" s="1" t="s">
        <v>2</v>
      </c>
      <c r="D77" s="4"/>
      <c r="E77" s="200"/>
      <c r="F77" s="200"/>
      <c r="G77" s="4"/>
      <c r="H77" s="4"/>
      <c r="I77" s="4"/>
      <c r="J77" s="4"/>
      <c r="K77" s="4"/>
      <c r="L77" s="200"/>
      <c r="M77" s="200"/>
      <c r="N77" s="4"/>
      <c r="O77" s="4"/>
      <c r="P77" s="4"/>
      <c r="Q77" s="4"/>
      <c r="R77" s="4"/>
      <c r="S77" s="200"/>
      <c r="T77" s="200"/>
      <c r="U77" s="4"/>
      <c r="V77" s="4"/>
      <c r="W77" s="4"/>
      <c r="X77" s="4"/>
      <c r="Y77" s="4"/>
      <c r="Z77" s="200"/>
      <c r="AA77" s="200"/>
      <c r="AB77" s="4"/>
      <c r="AC77" s="4"/>
      <c r="AD77" s="4"/>
      <c r="AE77" s="4"/>
      <c r="AF77" s="4"/>
      <c r="AG77" s="200"/>
      <c r="AH77" s="4"/>
      <c r="AJ77" s="71">
        <f t="shared" si="14"/>
        <v>0</v>
      </c>
    </row>
    <row r="78" spans="2:36" hidden="1" outlineLevel="1" x14ac:dyDescent="0.25">
      <c r="B78" s="151"/>
      <c r="C78" s="54" t="s">
        <v>77</v>
      </c>
      <c r="D78" s="5"/>
      <c r="E78" s="200"/>
      <c r="F78" s="200"/>
      <c r="G78" s="5"/>
      <c r="H78" s="5"/>
      <c r="I78" s="5"/>
      <c r="J78" s="5"/>
      <c r="K78" s="5"/>
      <c r="L78" s="200"/>
      <c r="M78" s="200"/>
      <c r="N78" s="5"/>
      <c r="O78" s="5"/>
      <c r="P78" s="5"/>
      <c r="Q78" s="5"/>
      <c r="R78" s="5"/>
      <c r="S78" s="200"/>
      <c r="T78" s="200"/>
      <c r="U78" s="5"/>
      <c r="V78" s="5"/>
      <c r="W78" s="5"/>
      <c r="X78" s="5"/>
      <c r="Y78" s="5"/>
      <c r="Z78" s="200"/>
      <c r="AA78" s="200"/>
      <c r="AB78" s="5"/>
      <c r="AC78" s="5"/>
      <c r="AD78" s="5"/>
      <c r="AE78" s="5"/>
      <c r="AF78" s="5"/>
      <c r="AG78" s="200"/>
      <c r="AH78" s="5"/>
      <c r="AJ78" s="72">
        <f t="shared" si="14"/>
        <v>0</v>
      </c>
    </row>
    <row r="79" spans="2:36" ht="15.75" hidden="1" outlineLevel="1" thickBot="1" x14ac:dyDescent="0.3">
      <c r="B79" s="151"/>
      <c r="C79" s="9" t="s">
        <v>3</v>
      </c>
      <c r="D79" s="8"/>
      <c r="E79" s="201"/>
      <c r="F79" s="201"/>
      <c r="G79" s="8"/>
      <c r="H79" s="8"/>
      <c r="I79" s="8"/>
      <c r="J79" s="8"/>
      <c r="K79" s="8"/>
      <c r="L79" s="201"/>
      <c r="M79" s="201"/>
      <c r="N79" s="8"/>
      <c r="O79" s="8"/>
      <c r="P79" s="8"/>
      <c r="Q79" s="8"/>
      <c r="R79" s="8"/>
      <c r="S79" s="201"/>
      <c r="T79" s="201"/>
      <c r="U79" s="8"/>
      <c r="V79" s="8"/>
      <c r="W79" s="8"/>
      <c r="X79" s="8"/>
      <c r="Y79" s="8"/>
      <c r="Z79" s="201"/>
      <c r="AA79" s="201"/>
      <c r="AB79" s="8"/>
      <c r="AC79" s="8"/>
      <c r="AD79" s="8"/>
      <c r="AE79" s="8"/>
      <c r="AF79" s="8"/>
      <c r="AG79" s="201"/>
      <c r="AH79" s="8"/>
      <c r="AI79" s="7"/>
      <c r="AJ79" s="69">
        <f t="shared" si="14"/>
        <v>0</v>
      </c>
    </row>
    <row r="80" spans="2:36" ht="16.5" collapsed="1" thickTop="1" thickBot="1" x14ac:dyDescent="0.3">
      <c r="B80" s="253" t="str">
        <f>'Hours Scheduled'!B19</f>
        <v>Loek Moling</v>
      </c>
      <c r="C80" t="s">
        <v>0</v>
      </c>
      <c r="D80" s="64"/>
      <c r="E80" s="204"/>
      <c r="F80" s="204"/>
      <c r="G80" s="64"/>
      <c r="H80" s="64"/>
      <c r="I80" s="64"/>
      <c r="J80" s="64"/>
      <c r="K80" s="64"/>
      <c r="L80" s="204"/>
      <c r="M80" s="204"/>
      <c r="N80" s="64"/>
      <c r="O80" s="64"/>
      <c r="P80" s="64"/>
      <c r="Q80" s="64"/>
      <c r="R80" s="64"/>
      <c r="S80" s="204"/>
      <c r="T80" s="204"/>
      <c r="U80" s="64"/>
      <c r="V80" s="64"/>
      <c r="W80" s="64"/>
      <c r="X80" s="64"/>
      <c r="Y80" s="64"/>
      <c r="Z80" s="204"/>
      <c r="AA80" s="204"/>
      <c r="AB80" s="64"/>
      <c r="AC80" s="64"/>
      <c r="AD80" s="64"/>
      <c r="AE80" s="64"/>
      <c r="AF80" s="64"/>
      <c r="AG80" s="204"/>
      <c r="AH80" s="64"/>
      <c r="AJ80" s="64">
        <f>SUM(D80:AH80)</f>
        <v>0</v>
      </c>
    </row>
    <row r="81" spans="2:36" ht="15.75" hidden="1" outlineLevel="1" thickTop="1" x14ac:dyDescent="0.25">
      <c r="B81" s="150"/>
      <c r="C81" s="1" t="s">
        <v>1</v>
      </c>
      <c r="D81" s="3"/>
      <c r="E81" s="200"/>
      <c r="F81" s="200"/>
      <c r="G81" s="3"/>
      <c r="H81" s="3"/>
      <c r="I81" s="3"/>
      <c r="J81" s="3"/>
      <c r="K81" s="3"/>
      <c r="L81" s="200"/>
      <c r="M81" s="200"/>
      <c r="N81" s="3"/>
      <c r="O81" s="3"/>
      <c r="P81" s="3"/>
      <c r="Q81" s="3"/>
      <c r="R81" s="3"/>
      <c r="S81" s="200"/>
      <c r="T81" s="200"/>
      <c r="U81" s="3"/>
      <c r="V81" s="3"/>
      <c r="W81" s="3"/>
      <c r="X81" s="3"/>
      <c r="Y81" s="3"/>
      <c r="Z81" s="200"/>
      <c r="AA81" s="200"/>
      <c r="AB81" s="3"/>
      <c r="AC81" s="3"/>
      <c r="AD81" s="3"/>
      <c r="AE81" s="3"/>
      <c r="AF81" s="3"/>
      <c r="AG81" s="200"/>
      <c r="AH81" s="3"/>
      <c r="AJ81" s="70">
        <f t="shared" ref="AJ81:AJ84" si="15">SUM(D81:AH81)</f>
        <v>0</v>
      </c>
    </row>
    <row r="82" spans="2:36" hidden="1" outlineLevel="1" x14ac:dyDescent="0.25">
      <c r="B82" s="151"/>
      <c r="C82" s="1" t="s">
        <v>2</v>
      </c>
      <c r="D82" s="4"/>
      <c r="E82" s="200"/>
      <c r="F82" s="200"/>
      <c r="G82" s="4"/>
      <c r="H82" s="4"/>
      <c r="I82" s="4"/>
      <c r="J82" s="4"/>
      <c r="K82" s="4"/>
      <c r="L82" s="200"/>
      <c r="M82" s="200"/>
      <c r="N82" s="4"/>
      <c r="O82" s="4"/>
      <c r="P82" s="4"/>
      <c r="Q82" s="4"/>
      <c r="R82" s="4"/>
      <c r="S82" s="200"/>
      <c r="T82" s="200"/>
      <c r="U82" s="4"/>
      <c r="V82" s="4"/>
      <c r="W82" s="4"/>
      <c r="X82" s="4"/>
      <c r="Y82" s="4"/>
      <c r="Z82" s="200"/>
      <c r="AA82" s="200"/>
      <c r="AB82" s="4"/>
      <c r="AC82" s="4"/>
      <c r="AD82" s="4"/>
      <c r="AE82" s="4"/>
      <c r="AF82" s="4"/>
      <c r="AG82" s="200"/>
      <c r="AH82" s="4"/>
      <c r="AJ82" s="71">
        <f t="shared" si="15"/>
        <v>0</v>
      </c>
    </row>
    <row r="83" spans="2:36" hidden="1" outlineLevel="1" x14ac:dyDescent="0.25">
      <c r="B83" s="151"/>
      <c r="C83" s="54" t="s">
        <v>77</v>
      </c>
      <c r="D83" s="5"/>
      <c r="E83" s="200"/>
      <c r="F83" s="200"/>
      <c r="G83" s="5"/>
      <c r="H83" s="5"/>
      <c r="I83" s="5"/>
      <c r="J83" s="5"/>
      <c r="K83" s="5"/>
      <c r="L83" s="200"/>
      <c r="M83" s="200"/>
      <c r="N83" s="5"/>
      <c r="O83" s="5"/>
      <c r="P83" s="5"/>
      <c r="Q83" s="5"/>
      <c r="R83" s="5"/>
      <c r="S83" s="200"/>
      <c r="T83" s="200"/>
      <c r="U83" s="5"/>
      <c r="V83" s="5"/>
      <c r="W83" s="5"/>
      <c r="X83" s="5"/>
      <c r="Y83" s="5"/>
      <c r="Z83" s="200"/>
      <c r="AA83" s="200"/>
      <c r="AB83" s="5"/>
      <c r="AC83" s="5"/>
      <c r="AD83" s="5"/>
      <c r="AE83" s="5"/>
      <c r="AF83" s="5"/>
      <c r="AG83" s="200"/>
      <c r="AH83" s="5"/>
      <c r="AJ83" s="72">
        <f t="shared" si="15"/>
        <v>0</v>
      </c>
    </row>
    <row r="84" spans="2:36" ht="15.75" hidden="1" outlineLevel="1" thickBot="1" x14ac:dyDescent="0.3">
      <c r="B84" s="151"/>
      <c r="C84" s="9" t="s">
        <v>3</v>
      </c>
      <c r="D84" s="8"/>
      <c r="E84" s="201"/>
      <c r="F84" s="201"/>
      <c r="G84" s="8"/>
      <c r="H84" s="8"/>
      <c r="I84" s="8"/>
      <c r="J84" s="8"/>
      <c r="K84" s="8"/>
      <c r="L84" s="201"/>
      <c r="M84" s="201"/>
      <c r="N84" s="8"/>
      <c r="O84" s="8"/>
      <c r="P84" s="8"/>
      <c r="Q84" s="8"/>
      <c r="R84" s="8"/>
      <c r="S84" s="201"/>
      <c r="T84" s="201"/>
      <c r="U84" s="8"/>
      <c r="V84" s="8"/>
      <c r="W84" s="8"/>
      <c r="X84" s="8"/>
      <c r="Y84" s="8"/>
      <c r="Z84" s="201"/>
      <c r="AA84" s="201"/>
      <c r="AB84" s="8"/>
      <c r="AC84" s="8"/>
      <c r="AD84" s="8"/>
      <c r="AE84" s="8"/>
      <c r="AF84" s="8"/>
      <c r="AG84" s="201"/>
      <c r="AH84" s="8"/>
      <c r="AI84" s="7"/>
      <c r="AJ84" s="69">
        <f t="shared" si="15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2"/>
      <c r="E85" s="200"/>
      <c r="F85" s="200"/>
      <c r="G85" s="2"/>
      <c r="H85" s="2"/>
      <c r="I85" s="2"/>
      <c r="J85" s="2"/>
      <c r="K85" s="2"/>
      <c r="L85" s="200"/>
      <c r="M85" s="200"/>
      <c r="N85" s="2"/>
      <c r="O85" s="2"/>
      <c r="P85" s="2"/>
      <c r="Q85" s="2"/>
      <c r="R85" s="2"/>
      <c r="S85" s="200"/>
      <c r="T85" s="200"/>
      <c r="U85" s="2"/>
      <c r="V85" s="2"/>
      <c r="W85" s="2"/>
      <c r="X85" s="2"/>
      <c r="Y85" s="2"/>
      <c r="Z85" s="200"/>
      <c r="AA85" s="200"/>
      <c r="AB85" s="2"/>
      <c r="AC85" s="2"/>
      <c r="AD85" s="2"/>
      <c r="AE85" s="2"/>
      <c r="AF85" s="2"/>
      <c r="AG85" s="200"/>
      <c r="AH85" s="2"/>
      <c r="AJ85" s="64">
        <f>SUM(D85:AH85)</f>
        <v>0</v>
      </c>
    </row>
    <row r="86" spans="2:36" ht="15.75" hidden="1" outlineLevel="1" thickTop="1" x14ac:dyDescent="0.25">
      <c r="B86" s="150"/>
      <c r="C86" s="1" t="s">
        <v>1</v>
      </c>
      <c r="D86" s="3"/>
      <c r="E86" s="200"/>
      <c r="F86" s="200"/>
      <c r="G86" s="3"/>
      <c r="H86" s="3"/>
      <c r="I86" s="3"/>
      <c r="J86" s="3"/>
      <c r="K86" s="3"/>
      <c r="L86" s="200"/>
      <c r="M86" s="200"/>
      <c r="N86" s="3"/>
      <c r="O86" s="3"/>
      <c r="P86" s="3"/>
      <c r="Q86" s="3"/>
      <c r="R86" s="3"/>
      <c r="S86" s="200"/>
      <c r="T86" s="200"/>
      <c r="U86" s="3"/>
      <c r="V86" s="3"/>
      <c r="W86" s="3"/>
      <c r="X86" s="3"/>
      <c r="Y86" s="3"/>
      <c r="Z86" s="200"/>
      <c r="AA86" s="200"/>
      <c r="AB86" s="3"/>
      <c r="AC86" s="3"/>
      <c r="AD86" s="3"/>
      <c r="AE86" s="3"/>
      <c r="AF86" s="3"/>
      <c r="AG86" s="200"/>
      <c r="AH86" s="3"/>
      <c r="AJ86" s="70">
        <f t="shared" ref="AJ86:AJ89" si="16">SUM(D86:AH86)</f>
        <v>0</v>
      </c>
    </row>
    <row r="87" spans="2:36" hidden="1" outlineLevel="1" x14ac:dyDescent="0.25">
      <c r="B87" s="151"/>
      <c r="C87" s="1" t="s">
        <v>2</v>
      </c>
      <c r="D87" s="4"/>
      <c r="E87" s="200"/>
      <c r="F87" s="200"/>
      <c r="G87" s="4"/>
      <c r="H87" s="4"/>
      <c r="I87" s="4"/>
      <c r="J87" s="4"/>
      <c r="K87" s="4"/>
      <c r="L87" s="200"/>
      <c r="M87" s="200"/>
      <c r="N87" s="4"/>
      <c r="O87" s="4"/>
      <c r="P87" s="4"/>
      <c r="Q87" s="4"/>
      <c r="R87" s="4"/>
      <c r="S87" s="200"/>
      <c r="T87" s="200"/>
      <c r="U87" s="4"/>
      <c r="V87" s="4"/>
      <c r="W87" s="4"/>
      <c r="X87" s="4"/>
      <c r="Y87" s="4"/>
      <c r="Z87" s="200"/>
      <c r="AA87" s="200"/>
      <c r="AB87" s="4"/>
      <c r="AC87" s="4"/>
      <c r="AD87" s="4"/>
      <c r="AE87" s="4"/>
      <c r="AF87" s="4"/>
      <c r="AG87" s="200"/>
      <c r="AH87" s="4"/>
      <c r="AJ87" s="71">
        <f t="shared" si="16"/>
        <v>0</v>
      </c>
    </row>
    <row r="88" spans="2:36" hidden="1" outlineLevel="1" x14ac:dyDescent="0.25">
      <c r="B88" s="151"/>
      <c r="C88" s="54" t="s">
        <v>77</v>
      </c>
      <c r="D88" s="5"/>
      <c r="E88" s="200"/>
      <c r="F88" s="200"/>
      <c r="G88" s="5"/>
      <c r="H88" s="5"/>
      <c r="I88" s="5"/>
      <c r="J88" s="5"/>
      <c r="K88" s="5"/>
      <c r="L88" s="200"/>
      <c r="M88" s="200"/>
      <c r="N88" s="5"/>
      <c r="O88" s="5"/>
      <c r="P88" s="5"/>
      <c r="Q88" s="5"/>
      <c r="R88" s="5"/>
      <c r="S88" s="200"/>
      <c r="T88" s="200"/>
      <c r="U88" s="5"/>
      <c r="V88" s="5"/>
      <c r="W88" s="5"/>
      <c r="X88" s="5"/>
      <c r="Y88" s="5"/>
      <c r="Z88" s="200"/>
      <c r="AA88" s="200"/>
      <c r="AB88" s="5"/>
      <c r="AC88" s="5"/>
      <c r="AD88" s="5"/>
      <c r="AE88" s="5"/>
      <c r="AF88" s="5"/>
      <c r="AG88" s="200"/>
      <c r="AH88" s="5"/>
      <c r="AJ88" s="72">
        <f t="shared" si="16"/>
        <v>0</v>
      </c>
    </row>
    <row r="89" spans="2:36" ht="15.75" hidden="1" outlineLevel="1" thickBot="1" x14ac:dyDescent="0.3">
      <c r="B89" s="151"/>
      <c r="C89" s="9" t="s">
        <v>3</v>
      </c>
      <c r="D89" s="8"/>
      <c r="E89" s="201"/>
      <c r="F89" s="201"/>
      <c r="G89" s="8"/>
      <c r="H89" s="8"/>
      <c r="I89" s="8"/>
      <c r="J89" s="8"/>
      <c r="K89" s="8"/>
      <c r="L89" s="201"/>
      <c r="M89" s="201"/>
      <c r="N89" s="8"/>
      <c r="O89" s="8"/>
      <c r="P89" s="8"/>
      <c r="Q89" s="8"/>
      <c r="R89" s="8"/>
      <c r="S89" s="201"/>
      <c r="T89" s="201"/>
      <c r="U89" s="8"/>
      <c r="V89" s="8"/>
      <c r="W89" s="8"/>
      <c r="X89" s="8"/>
      <c r="Y89" s="8"/>
      <c r="Z89" s="201"/>
      <c r="AA89" s="201"/>
      <c r="AB89" s="8"/>
      <c r="AC89" s="8"/>
      <c r="AD89" s="8"/>
      <c r="AE89" s="8"/>
      <c r="AF89" s="8"/>
      <c r="AG89" s="201"/>
      <c r="AH89" s="8"/>
      <c r="AI89" s="7"/>
      <c r="AJ89" s="69">
        <f t="shared" si="16"/>
        <v>0</v>
      </c>
    </row>
    <row r="90" spans="2:36" ht="16.5" collapsed="1" thickTop="1" thickBot="1" x14ac:dyDescent="0.3">
      <c r="B90" s="253" t="str">
        <f>'Hours Scheduled'!B21</f>
        <v>Manuel Sperti</v>
      </c>
      <c r="C90" t="s">
        <v>0</v>
      </c>
      <c r="D90" s="2"/>
      <c r="E90" s="200"/>
      <c r="F90" s="200"/>
      <c r="G90" s="2"/>
      <c r="H90" s="2"/>
      <c r="I90" s="2"/>
      <c r="J90" s="2"/>
      <c r="K90" s="2"/>
      <c r="L90" s="200"/>
      <c r="M90" s="200"/>
      <c r="N90" s="2"/>
      <c r="O90" s="2"/>
      <c r="P90" s="2"/>
      <c r="Q90" s="2"/>
      <c r="R90" s="2"/>
      <c r="S90" s="200"/>
      <c r="T90" s="200"/>
      <c r="U90" s="2"/>
      <c r="V90" s="2"/>
      <c r="W90" s="2"/>
      <c r="X90" s="2"/>
      <c r="Y90" s="2"/>
      <c r="Z90" s="200"/>
      <c r="AA90" s="200"/>
      <c r="AB90" s="2"/>
      <c r="AC90" s="2"/>
      <c r="AD90" s="2"/>
      <c r="AE90" s="2"/>
      <c r="AF90" s="2"/>
      <c r="AG90" s="200"/>
      <c r="AH90" s="2"/>
      <c r="AJ90" s="64">
        <f>SUM(D90:AH90)</f>
        <v>0</v>
      </c>
    </row>
    <row r="91" spans="2:36" ht="15.75" hidden="1" outlineLevel="1" thickTop="1" x14ac:dyDescent="0.25">
      <c r="B91" s="150"/>
      <c r="C91" s="1" t="s">
        <v>1</v>
      </c>
      <c r="D91" s="3"/>
      <c r="E91" s="200"/>
      <c r="F91" s="200"/>
      <c r="G91" s="3"/>
      <c r="H91" s="3"/>
      <c r="I91" s="3"/>
      <c r="J91" s="3"/>
      <c r="K91" s="3"/>
      <c r="L91" s="200"/>
      <c r="M91" s="200"/>
      <c r="N91" s="3"/>
      <c r="O91" s="3"/>
      <c r="P91" s="3"/>
      <c r="Q91" s="3"/>
      <c r="R91" s="3"/>
      <c r="S91" s="200"/>
      <c r="T91" s="200"/>
      <c r="U91" s="3"/>
      <c r="V91" s="3"/>
      <c r="W91" s="3"/>
      <c r="X91" s="3"/>
      <c r="Y91" s="3"/>
      <c r="Z91" s="200"/>
      <c r="AA91" s="200"/>
      <c r="AB91" s="3"/>
      <c r="AC91" s="3"/>
      <c r="AD91" s="3"/>
      <c r="AE91" s="3"/>
      <c r="AF91" s="3"/>
      <c r="AG91" s="200"/>
      <c r="AH91" s="3"/>
      <c r="AJ91" s="70">
        <f t="shared" ref="AJ91:AJ94" si="17">SUM(D91:AH91)</f>
        <v>0</v>
      </c>
    </row>
    <row r="92" spans="2:36" hidden="1" outlineLevel="1" x14ac:dyDescent="0.25">
      <c r="B92" s="151"/>
      <c r="C92" s="1" t="s">
        <v>2</v>
      </c>
      <c r="D92" s="4"/>
      <c r="E92" s="200"/>
      <c r="F92" s="200"/>
      <c r="G92" s="4"/>
      <c r="H92" s="4"/>
      <c r="I92" s="4"/>
      <c r="J92" s="4"/>
      <c r="K92" s="4"/>
      <c r="L92" s="200"/>
      <c r="M92" s="200"/>
      <c r="N92" s="4"/>
      <c r="O92" s="4"/>
      <c r="P92" s="4"/>
      <c r="Q92" s="4"/>
      <c r="R92" s="4"/>
      <c r="S92" s="200"/>
      <c r="T92" s="200"/>
      <c r="U92" s="4"/>
      <c r="V92" s="4"/>
      <c r="W92" s="4"/>
      <c r="X92" s="4"/>
      <c r="Y92" s="4"/>
      <c r="Z92" s="200"/>
      <c r="AA92" s="200"/>
      <c r="AB92" s="4"/>
      <c r="AC92" s="4"/>
      <c r="AD92" s="4"/>
      <c r="AE92" s="4"/>
      <c r="AF92" s="4"/>
      <c r="AG92" s="200"/>
      <c r="AH92" s="4"/>
      <c r="AJ92" s="71">
        <f t="shared" si="17"/>
        <v>0</v>
      </c>
    </row>
    <row r="93" spans="2:36" hidden="1" outlineLevel="1" x14ac:dyDescent="0.25">
      <c r="B93" s="151"/>
      <c r="C93" s="54" t="s">
        <v>77</v>
      </c>
      <c r="D93" s="5"/>
      <c r="E93" s="200"/>
      <c r="F93" s="200"/>
      <c r="G93" s="5"/>
      <c r="H93" s="5"/>
      <c r="I93" s="5"/>
      <c r="J93" s="5"/>
      <c r="K93" s="5"/>
      <c r="L93" s="200"/>
      <c r="M93" s="200"/>
      <c r="N93" s="5"/>
      <c r="O93" s="5"/>
      <c r="P93" s="5"/>
      <c r="Q93" s="5"/>
      <c r="R93" s="5"/>
      <c r="S93" s="200"/>
      <c r="T93" s="200"/>
      <c r="U93" s="5"/>
      <c r="V93" s="5"/>
      <c r="W93" s="5"/>
      <c r="X93" s="5"/>
      <c r="Y93" s="5"/>
      <c r="Z93" s="200"/>
      <c r="AA93" s="200"/>
      <c r="AB93" s="5"/>
      <c r="AC93" s="5"/>
      <c r="AD93" s="5"/>
      <c r="AE93" s="5"/>
      <c r="AF93" s="5"/>
      <c r="AG93" s="200"/>
      <c r="AH93" s="5"/>
      <c r="AJ93" s="72">
        <f t="shared" si="17"/>
        <v>0</v>
      </c>
    </row>
    <row r="94" spans="2:36" ht="15.75" hidden="1" outlineLevel="1" thickBot="1" x14ac:dyDescent="0.3">
      <c r="B94" s="151"/>
      <c r="C94" s="9" t="s">
        <v>3</v>
      </c>
      <c r="D94" s="8"/>
      <c r="E94" s="201"/>
      <c r="F94" s="201"/>
      <c r="G94" s="8"/>
      <c r="H94" s="8"/>
      <c r="I94" s="8"/>
      <c r="J94" s="8"/>
      <c r="K94" s="8"/>
      <c r="L94" s="201"/>
      <c r="M94" s="201"/>
      <c r="N94" s="8"/>
      <c r="O94" s="8"/>
      <c r="P94" s="8"/>
      <c r="Q94" s="8"/>
      <c r="R94" s="8"/>
      <c r="S94" s="201"/>
      <c r="T94" s="201"/>
      <c r="U94" s="8"/>
      <c r="V94" s="8"/>
      <c r="W94" s="8"/>
      <c r="X94" s="8"/>
      <c r="Y94" s="8"/>
      <c r="Z94" s="201"/>
      <c r="AA94" s="201"/>
      <c r="AB94" s="8"/>
      <c r="AC94" s="8"/>
      <c r="AD94" s="8"/>
      <c r="AE94" s="8"/>
      <c r="AF94" s="8"/>
      <c r="AG94" s="201"/>
      <c r="AH94" s="8"/>
      <c r="AI94" s="7"/>
      <c r="AJ94" s="69">
        <f t="shared" si="17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2"/>
      <c r="E95" s="200"/>
      <c r="F95" s="200"/>
      <c r="G95" s="2"/>
      <c r="H95" s="2"/>
      <c r="I95" s="2"/>
      <c r="J95" s="2"/>
      <c r="K95" s="2"/>
      <c r="L95" s="200"/>
      <c r="M95" s="200"/>
      <c r="N95" s="2"/>
      <c r="O95" s="2"/>
      <c r="P95" s="2"/>
      <c r="Q95" s="2"/>
      <c r="R95" s="2"/>
      <c r="S95" s="200"/>
      <c r="T95" s="200"/>
      <c r="U95" s="2"/>
      <c r="V95" s="2"/>
      <c r="W95" s="2"/>
      <c r="X95" s="2"/>
      <c r="Y95" s="2"/>
      <c r="Z95" s="200"/>
      <c r="AA95" s="200"/>
      <c r="AB95" s="2"/>
      <c r="AC95" s="2"/>
      <c r="AD95" s="2"/>
      <c r="AE95" s="2"/>
      <c r="AF95" s="2"/>
      <c r="AG95" s="200"/>
      <c r="AH95" s="2"/>
      <c r="AJ95" s="64">
        <f>SUM(D95:AH95)</f>
        <v>0</v>
      </c>
    </row>
    <row r="96" spans="2:36" ht="15.75" hidden="1" outlineLevel="1" thickTop="1" x14ac:dyDescent="0.25">
      <c r="B96" s="150"/>
      <c r="C96" s="1" t="s">
        <v>1</v>
      </c>
      <c r="D96" s="3"/>
      <c r="E96" s="200"/>
      <c r="F96" s="200"/>
      <c r="G96" s="3"/>
      <c r="H96" s="3"/>
      <c r="I96" s="3"/>
      <c r="J96" s="3"/>
      <c r="K96" s="3"/>
      <c r="L96" s="200"/>
      <c r="M96" s="200"/>
      <c r="N96" s="3"/>
      <c r="O96" s="3"/>
      <c r="P96" s="3"/>
      <c r="Q96" s="3"/>
      <c r="R96" s="3"/>
      <c r="S96" s="200"/>
      <c r="T96" s="200"/>
      <c r="U96" s="3"/>
      <c r="V96" s="3"/>
      <c r="W96" s="3"/>
      <c r="X96" s="3"/>
      <c r="Y96" s="3"/>
      <c r="Z96" s="200"/>
      <c r="AA96" s="200"/>
      <c r="AB96" s="3"/>
      <c r="AC96" s="3"/>
      <c r="AD96" s="3"/>
      <c r="AE96" s="3"/>
      <c r="AF96" s="3"/>
      <c r="AG96" s="200"/>
      <c r="AH96" s="3"/>
      <c r="AJ96" s="70">
        <f t="shared" ref="AJ96:AJ99" si="18">SUM(D96:AH96)</f>
        <v>0</v>
      </c>
    </row>
    <row r="97" spans="2:36" hidden="1" outlineLevel="1" x14ac:dyDescent="0.25">
      <c r="B97" s="151"/>
      <c r="C97" s="1" t="s">
        <v>2</v>
      </c>
      <c r="D97" s="4"/>
      <c r="E97" s="200"/>
      <c r="F97" s="200"/>
      <c r="G97" s="4"/>
      <c r="H97" s="4"/>
      <c r="I97" s="4"/>
      <c r="J97" s="4"/>
      <c r="K97" s="4"/>
      <c r="L97" s="200"/>
      <c r="M97" s="200"/>
      <c r="N97" s="4"/>
      <c r="O97" s="4"/>
      <c r="P97" s="4"/>
      <c r="Q97" s="4"/>
      <c r="R97" s="4"/>
      <c r="S97" s="200"/>
      <c r="T97" s="200"/>
      <c r="U97" s="4"/>
      <c r="V97" s="4"/>
      <c r="W97" s="4"/>
      <c r="X97" s="4"/>
      <c r="Y97" s="4"/>
      <c r="Z97" s="200"/>
      <c r="AA97" s="200"/>
      <c r="AB97" s="4"/>
      <c r="AC97" s="4"/>
      <c r="AD97" s="4"/>
      <c r="AE97" s="4"/>
      <c r="AF97" s="4"/>
      <c r="AG97" s="200"/>
      <c r="AH97" s="4"/>
      <c r="AJ97" s="71">
        <f t="shared" si="18"/>
        <v>0</v>
      </c>
    </row>
    <row r="98" spans="2:36" hidden="1" outlineLevel="1" x14ac:dyDescent="0.25">
      <c r="B98" s="151"/>
      <c r="C98" s="54" t="s">
        <v>77</v>
      </c>
      <c r="D98" s="5"/>
      <c r="E98" s="200"/>
      <c r="F98" s="200"/>
      <c r="G98" s="5"/>
      <c r="H98" s="5"/>
      <c r="I98" s="5"/>
      <c r="J98" s="5"/>
      <c r="K98" s="5"/>
      <c r="L98" s="200"/>
      <c r="M98" s="200"/>
      <c r="N98" s="5"/>
      <c r="O98" s="5"/>
      <c r="P98" s="5"/>
      <c r="Q98" s="5"/>
      <c r="R98" s="5"/>
      <c r="S98" s="200"/>
      <c r="T98" s="200"/>
      <c r="U98" s="5"/>
      <c r="V98" s="5"/>
      <c r="W98" s="5"/>
      <c r="X98" s="5"/>
      <c r="Y98" s="5"/>
      <c r="Z98" s="200"/>
      <c r="AA98" s="200"/>
      <c r="AB98" s="5"/>
      <c r="AC98" s="5"/>
      <c r="AD98" s="5"/>
      <c r="AE98" s="5"/>
      <c r="AF98" s="5"/>
      <c r="AG98" s="200"/>
      <c r="AH98" s="5"/>
      <c r="AJ98" s="72">
        <f t="shared" si="18"/>
        <v>0</v>
      </c>
    </row>
    <row r="99" spans="2:36" ht="15.75" hidden="1" outlineLevel="1" thickBot="1" x14ac:dyDescent="0.3">
      <c r="B99" s="151"/>
      <c r="C99" s="9" t="s">
        <v>3</v>
      </c>
      <c r="D99" s="8"/>
      <c r="E99" s="201"/>
      <c r="F99" s="201"/>
      <c r="G99" s="8"/>
      <c r="H99" s="8"/>
      <c r="I99" s="8"/>
      <c r="J99" s="8"/>
      <c r="K99" s="8"/>
      <c r="L99" s="201"/>
      <c r="M99" s="201"/>
      <c r="N99" s="8"/>
      <c r="O99" s="8"/>
      <c r="P99" s="8"/>
      <c r="Q99" s="8"/>
      <c r="R99" s="8"/>
      <c r="S99" s="201"/>
      <c r="T99" s="201"/>
      <c r="U99" s="8"/>
      <c r="V99" s="8"/>
      <c r="W99" s="8"/>
      <c r="X99" s="8"/>
      <c r="Y99" s="8"/>
      <c r="Z99" s="201"/>
      <c r="AA99" s="201"/>
      <c r="AB99" s="8"/>
      <c r="AC99" s="8"/>
      <c r="AD99" s="8"/>
      <c r="AE99" s="8"/>
      <c r="AF99" s="8"/>
      <c r="AG99" s="201"/>
      <c r="AH99" s="8"/>
      <c r="AI99" s="7"/>
      <c r="AJ99" s="69">
        <f t="shared" si="18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2"/>
      <c r="E100" s="200"/>
      <c r="F100" s="200"/>
      <c r="G100" s="2"/>
      <c r="H100" s="2"/>
      <c r="I100" s="2"/>
      <c r="J100" s="2"/>
      <c r="K100" s="2"/>
      <c r="L100" s="200"/>
      <c r="M100" s="200"/>
      <c r="N100" s="2"/>
      <c r="O100" s="2"/>
      <c r="P100" s="2"/>
      <c r="Q100" s="2"/>
      <c r="R100" s="2"/>
      <c r="S100" s="200"/>
      <c r="T100" s="200"/>
      <c r="U100" s="2"/>
      <c r="V100" s="2"/>
      <c r="W100" s="2"/>
      <c r="X100" s="2"/>
      <c r="Y100" s="2"/>
      <c r="Z100" s="200"/>
      <c r="AA100" s="200"/>
      <c r="AB100" s="2"/>
      <c r="AC100" s="2"/>
      <c r="AD100" s="2"/>
      <c r="AE100" s="2"/>
      <c r="AF100" s="2"/>
      <c r="AG100" s="200"/>
      <c r="AH100" s="2"/>
      <c r="AJ100" s="64">
        <f>SUM(D100:AH100)</f>
        <v>0</v>
      </c>
    </row>
    <row r="101" spans="2:36" ht="15.75" hidden="1" outlineLevel="1" thickTop="1" x14ac:dyDescent="0.25">
      <c r="B101" s="150"/>
      <c r="C101" s="1" t="s">
        <v>1</v>
      </c>
      <c r="D101" s="3"/>
      <c r="E101" s="200"/>
      <c r="F101" s="200"/>
      <c r="G101" s="3"/>
      <c r="H101" s="3"/>
      <c r="I101" s="3"/>
      <c r="J101" s="3"/>
      <c r="K101" s="3"/>
      <c r="L101" s="200"/>
      <c r="M101" s="200"/>
      <c r="N101" s="3"/>
      <c r="O101" s="3"/>
      <c r="P101" s="3"/>
      <c r="Q101" s="3"/>
      <c r="R101" s="3"/>
      <c r="S101" s="200"/>
      <c r="T101" s="200"/>
      <c r="U101" s="3"/>
      <c r="V101" s="3"/>
      <c r="W101" s="3"/>
      <c r="X101" s="3"/>
      <c r="Y101" s="3"/>
      <c r="Z101" s="200"/>
      <c r="AA101" s="200"/>
      <c r="AB101" s="3"/>
      <c r="AC101" s="3"/>
      <c r="AD101" s="3"/>
      <c r="AE101" s="3"/>
      <c r="AF101" s="3"/>
      <c r="AG101" s="200"/>
      <c r="AH101" s="3"/>
      <c r="AJ101" s="70">
        <f t="shared" ref="AJ101:AJ104" si="19">SUM(D101:AH101)</f>
        <v>0</v>
      </c>
    </row>
    <row r="102" spans="2:36" hidden="1" outlineLevel="1" x14ac:dyDescent="0.25">
      <c r="B102" s="151"/>
      <c r="C102" s="1" t="s">
        <v>2</v>
      </c>
      <c r="D102" s="4"/>
      <c r="E102" s="200"/>
      <c r="F102" s="200"/>
      <c r="G102" s="4"/>
      <c r="H102" s="4"/>
      <c r="I102" s="4"/>
      <c r="J102" s="4"/>
      <c r="K102" s="4"/>
      <c r="L102" s="200"/>
      <c r="M102" s="200"/>
      <c r="N102" s="4"/>
      <c r="O102" s="4"/>
      <c r="P102" s="4"/>
      <c r="Q102" s="4"/>
      <c r="R102" s="4"/>
      <c r="S102" s="200"/>
      <c r="T102" s="200"/>
      <c r="U102" s="4"/>
      <c r="V102" s="4"/>
      <c r="W102" s="4"/>
      <c r="X102" s="4"/>
      <c r="Y102" s="4"/>
      <c r="Z102" s="200"/>
      <c r="AA102" s="200"/>
      <c r="AB102" s="4"/>
      <c r="AC102" s="4"/>
      <c r="AD102" s="4"/>
      <c r="AE102" s="4"/>
      <c r="AF102" s="4"/>
      <c r="AG102" s="200"/>
      <c r="AH102" s="4"/>
      <c r="AJ102" s="71">
        <f t="shared" si="19"/>
        <v>0</v>
      </c>
    </row>
    <row r="103" spans="2:36" hidden="1" outlineLevel="1" x14ac:dyDescent="0.25">
      <c r="B103" s="151"/>
      <c r="C103" s="54" t="s">
        <v>77</v>
      </c>
      <c r="D103" s="5"/>
      <c r="E103" s="200"/>
      <c r="F103" s="200"/>
      <c r="G103" s="5"/>
      <c r="H103" s="5"/>
      <c r="I103" s="5"/>
      <c r="J103" s="5"/>
      <c r="K103" s="5"/>
      <c r="L103" s="200"/>
      <c r="M103" s="200"/>
      <c r="N103" s="5"/>
      <c r="O103" s="5"/>
      <c r="P103" s="5"/>
      <c r="Q103" s="5"/>
      <c r="R103" s="5"/>
      <c r="S103" s="200"/>
      <c r="T103" s="200"/>
      <c r="U103" s="5"/>
      <c r="V103" s="5"/>
      <c r="W103" s="5"/>
      <c r="X103" s="5"/>
      <c r="Y103" s="5"/>
      <c r="Z103" s="200"/>
      <c r="AA103" s="200"/>
      <c r="AB103" s="5"/>
      <c r="AC103" s="5"/>
      <c r="AD103" s="5"/>
      <c r="AE103" s="5"/>
      <c r="AF103" s="5"/>
      <c r="AG103" s="200"/>
      <c r="AH103" s="5"/>
      <c r="AJ103" s="72">
        <f t="shared" si="19"/>
        <v>0</v>
      </c>
    </row>
    <row r="104" spans="2:36" ht="15.75" hidden="1" outlineLevel="1" thickBot="1" x14ac:dyDescent="0.3">
      <c r="B104" s="151"/>
      <c r="C104" s="9" t="s">
        <v>3</v>
      </c>
      <c r="D104" s="8"/>
      <c r="E104" s="201"/>
      <c r="F104" s="201"/>
      <c r="G104" s="8"/>
      <c r="H104" s="8"/>
      <c r="I104" s="8"/>
      <c r="J104" s="8"/>
      <c r="K104" s="8"/>
      <c r="L104" s="201"/>
      <c r="M104" s="201"/>
      <c r="N104" s="8"/>
      <c r="O104" s="8"/>
      <c r="P104" s="8"/>
      <c r="Q104" s="8"/>
      <c r="R104" s="8"/>
      <c r="S104" s="201"/>
      <c r="T104" s="201"/>
      <c r="U104" s="8"/>
      <c r="V104" s="8"/>
      <c r="W104" s="8"/>
      <c r="X104" s="8"/>
      <c r="Y104" s="8"/>
      <c r="Z104" s="201"/>
      <c r="AA104" s="201"/>
      <c r="AB104" s="8"/>
      <c r="AC104" s="8"/>
      <c r="AD104" s="8"/>
      <c r="AE104" s="8"/>
      <c r="AF104" s="8"/>
      <c r="AG104" s="201"/>
      <c r="AH104" s="8"/>
      <c r="AI104" s="7"/>
      <c r="AJ104" s="69">
        <f t="shared" si="19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2"/>
      <c r="E105" s="200"/>
      <c r="F105" s="200"/>
      <c r="G105" s="2"/>
      <c r="H105" s="2"/>
      <c r="I105" s="2"/>
      <c r="J105" s="2"/>
      <c r="K105" s="2"/>
      <c r="L105" s="200"/>
      <c r="M105" s="200"/>
      <c r="N105" s="2"/>
      <c r="O105" s="2"/>
      <c r="P105" s="2"/>
      <c r="Q105" s="2"/>
      <c r="R105" s="2"/>
      <c r="S105" s="200"/>
      <c r="T105" s="200"/>
      <c r="U105" s="2"/>
      <c r="V105" s="2"/>
      <c r="W105" s="2"/>
      <c r="X105" s="2"/>
      <c r="Y105" s="2"/>
      <c r="Z105" s="200"/>
      <c r="AA105" s="200"/>
      <c r="AB105" s="2"/>
      <c r="AC105" s="2"/>
      <c r="AD105" s="2"/>
      <c r="AE105" s="2"/>
      <c r="AF105" s="2"/>
      <c r="AG105" s="200"/>
      <c r="AH105" s="2"/>
      <c r="AJ105" s="64">
        <f>SUM(D105:AH105)</f>
        <v>0</v>
      </c>
    </row>
    <row r="106" spans="2:36" ht="15.75" hidden="1" outlineLevel="1" thickTop="1" x14ac:dyDescent="0.25">
      <c r="B106" s="150"/>
      <c r="C106" s="1" t="s">
        <v>1</v>
      </c>
      <c r="D106" s="3"/>
      <c r="E106" s="200"/>
      <c r="F106" s="200"/>
      <c r="G106" s="3"/>
      <c r="H106" s="3"/>
      <c r="I106" s="3"/>
      <c r="J106" s="3"/>
      <c r="K106" s="3"/>
      <c r="L106" s="200"/>
      <c r="M106" s="200"/>
      <c r="N106" s="3"/>
      <c r="O106" s="3"/>
      <c r="P106" s="3"/>
      <c r="Q106" s="3"/>
      <c r="R106" s="3"/>
      <c r="S106" s="200"/>
      <c r="T106" s="200"/>
      <c r="U106" s="3"/>
      <c r="V106" s="3"/>
      <c r="W106" s="3"/>
      <c r="X106" s="3"/>
      <c r="Y106" s="3"/>
      <c r="Z106" s="200"/>
      <c r="AA106" s="200"/>
      <c r="AB106" s="3"/>
      <c r="AC106" s="3"/>
      <c r="AD106" s="3"/>
      <c r="AE106" s="3"/>
      <c r="AF106" s="3"/>
      <c r="AG106" s="200"/>
      <c r="AH106" s="3"/>
      <c r="AJ106" s="70">
        <f t="shared" ref="AJ106:AJ109" si="20">SUM(D106:AH106)</f>
        <v>0</v>
      </c>
    </row>
    <row r="107" spans="2:36" hidden="1" outlineLevel="1" x14ac:dyDescent="0.25">
      <c r="B107" s="151"/>
      <c r="C107" s="1" t="s">
        <v>2</v>
      </c>
      <c r="D107" s="4"/>
      <c r="E107" s="200"/>
      <c r="F107" s="200"/>
      <c r="G107" s="4"/>
      <c r="H107" s="4"/>
      <c r="I107" s="4"/>
      <c r="J107" s="4"/>
      <c r="K107" s="4"/>
      <c r="L107" s="200"/>
      <c r="M107" s="200"/>
      <c r="N107" s="4"/>
      <c r="O107" s="4"/>
      <c r="P107" s="4"/>
      <c r="Q107" s="4"/>
      <c r="R107" s="4"/>
      <c r="S107" s="200"/>
      <c r="T107" s="200"/>
      <c r="U107" s="4"/>
      <c r="V107" s="4"/>
      <c r="W107" s="4"/>
      <c r="X107" s="4"/>
      <c r="Y107" s="4"/>
      <c r="Z107" s="200"/>
      <c r="AA107" s="200"/>
      <c r="AB107" s="4"/>
      <c r="AC107" s="4"/>
      <c r="AD107" s="4"/>
      <c r="AE107" s="4"/>
      <c r="AF107" s="4"/>
      <c r="AG107" s="200"/>
      <c r="AH107" s="4"/>
      <c r="AJ107" s="71">
        <f t="shared" si="20"/>
        <v>0</v>
      </c>
    </row>
    <row r="108" spans="2:36" hidden="1" outlineLevel="1" x14ac:dyDescent="0.25">
      <c r="B108" s="151"/>
      <c r="C108" s="54" t="s">
        <v>77</v>
      </c>
      <c r="D108" s="5"/>
      <c r="E108" s="200"/>
      <c r="F108" s="200"/>
      <c r="G108" s="5"/>
      <c r="H108" s="5"/>
      <c r="I108" s="5"/>
      <c r="J108" s="5"/>
      <c r="K108" s="5"/>
      <c r="L108" s="200"/>
      <c r="M108" s="200"/>
      <c r="N108" s="5"/>
      <c r="O108" s="5"/>
      <c r="P108" s="5"/>
      <c r="Q108" s="5"/>
      <c r="R108" s="5"/>
      <c r="S108" s="200"/>
      <c r="T108" s="200"/>
      <c r="U108" s="5"/>
      <c r="V108" s="5"/>
      <c r="W108" s="5"/>
      <c r="X108" s="5"/>
      <c r="Y108" s="5"/>
      <c r="Z108" s="200"/>
      <c r="AA108" s="200"/>
      <c r="AB108" s="5"/>
      <c r="AC108" s="5"/>
      <c r="AD108" s="5"/>
      <c r="AE108" s="5"/>
      <c r="AF108" s="5"/>
      <c r="AG108" s="200"/>
      <c r="AH108" s="5"/>
      <c r="AJ108" s="72">
        <f t="shared" si="20"/>
        <v>0</v>
      </c>
    </row>
    <row r="109" spans="2:36" ht="15.75" hidden="1" outlineLevel="1" thickBot="1" x14ac:dyDescent="0.3">
      <c r="B109" s="151"/>
      <c r="C109" s="9" t="s">
        <v>3</v>
      </c>
      <c r="D109" s="8"/>
      <c r="E109" s="201"/>
      <c r="F109" s="201"/>
      <c r="G109" s="8"/>
      <c r="H109" s="8"/>
      <c r="I109" s="8"/>
      <c r="J109" s="8"/>
      <c r="K109" s="8"/>
      <c r="L109" s="201"/>
      <c r="M109" s="201"/>
      <c r="N109" s="8"/>
      <c r="O109" s="8"/>
      <c r="P109" s="8"/>
      <c r="Q109" s="8"/>
      <c r="R109" s="8"/>
      <c r="S109" s="201"/>
      <c r="T109" s="201"/>
      <c r="U109" s="8"/>
      <c r="V109" s="8"/>
      <c r="W109" s="8"/>
      <c r="X109" s="8"/>
      <c r="Y109" s="8"/>
      <c r="Z109" s="201"/>
      <c r="AA109" s="201"/>
      <c r="AB109" s="8"/>
      <c r="AC109" s="8"/>
      <c r="AD109" s="8"/>
      <c r="AE109" s="8"/>
      <c r="AF109" s="8"/>
      <c r="AG109" s="201"/>
      <c r="AH109" s="8"/>
      <c r="AI109" s="7"/>
      <c r="AJ109" s="69">
        <f t="shared" si="20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2"/>
      <c r="E110" s="200"/>
      <c r="F110" s="200"/>
      <c r="G110" s="2"/>
      <c r="H110" s="2"/>
      <c r="I110" s="2"/>
      <c r="J110" s="2"/>
      <c r="K110" s="2"/>
      <c r="L110" s="200"/>
      <c r="M110" s="200"/>
      <c r="N110" s="2"/>
      <c r="O110" s="2"/>
      <c r="P110" s="2"/>
      <c r="Q110" s="2"/>
      <c r="R110" s="2"/>
      <c r="S110" s="200"/>
      <c r="T110" s="200"/>
      <c r="U110" s="2"/>
      <c r="V110" s="2"/>
      <c r="W110" s="2"/>
      <c r="X110" s="2"/>
      <c r="Y110" s="2"/>
      <c r="Z110" s="200"/>
      <c r="AA110" s="200"/>
      <c r="AB110" s="2"/>
      <c r="AC110" s="2"/>
      <c r="AD110" s="2"/>
      <c r="AE110" s="2"/>
      <c r="AF110" s="2"/>
      <c r="AG110" s="200"/>
      <c r="AH110" s="2"/>
      <c r="AJ110" s="64">
        <f>SUM(D110:AH110)</f>
        <v>0</v>
      </c>
    </row>
    <row r="111" spans="2:36" ht="15.75" hidden="1" outlineLevel="1" thickTop="1" x14ac:dyDescent="0.25">
      <c r="B111" s="150"/>
      <c r="C111" s="1" t="s">
        <v>1</v>
      </c>
      <c r="D111" s="3"/>
      <c r="E111" s="200"/>
      <c r="F111" s="200"/>
      <c r="G111" s="3"/>
      <c r="H111" s="3"/>
      <c r="I111" s="3"/>
      <c r="J111" s="3"/>
      <c r="K111" s="3"/>
      <c r="L111" s="200"/>
      <c r="M111" s="200"/>
      <c r="N111" s="3"/>
      <c r="O111" s="3"/>
      <c r="P111" s="3"/>
      <c r="Q111" s="3"/>
      <c r="R111" s="3"/>
      <c r="S111" s="200"/>
      <c r="T111" s="200"/>
      <c r="U111" s="3"/>
      <c r="V111" s="3"/>
      <c r="W111" s="3"/>
      <c r="X111" s="3"/>
      <c r="Y111" s="3"/>
      <c r="Z111" s="200"/>
      <c r="AA111" s="200"/>
      <c r="AB111" s="3"/>
      <c r="AC111" s="3"/>
      <c r="AD111" s="3"/>
      <c r="AE111" s="3"/>
      <c r="AF111" s="3"/>
      <c r="AG111" s="200"/>
      <c r="AH111" s="3"/>
      <c r="AJ111" s="70">
        <f t="shared" ref="AJ111:AJ114" si="21">SUM(D111:AH111)</f>
        <v>0</v>
      </c>
    </row>
    <row r="112" spans="2:36" hidden="1" outlineLevel="1" x14ac:dyDescent="0.25">
      <c r="B112" s="151"/>
      <c r="C112" s="1" t="s">
        <v>2</v>
      </c>
      <c r="D112" s="4"/>
      <c r="E112" s="200"/>
      <c r="F112" s="200"/>
      <c r="G112" s="4"/>
      <c r="H112" s="4"/>
      <c r="I112" s="4"/>
      <c r="J112" s="4"/>
      <c r="K112" s="4"/>
      <c r="L112" s="200"/>
      <c r="M112" s="200"/>
      <c r="N112" s="4"/>
      <c r="O112" s="4"/>
      <c r="P112" s="4"/>
      <c r="Q112" s="4"/>
      <c r="R112" s="4"/>
      <c r="S112" s="200"/>
      <c r="T112" s="200"/>
      <c r="U112" s="4"/>
      <c r="V112" s="4"/>
      <c r="W112" s="4"/>
      <c r="X112" s="4"/>
      <c r="Y112" s="4"/>
      <c r="Z112" s="200"/>
      <c r="AA112" s="200"/>
      <c r="AB112" s="4"/>
      <c r="AC112" s="4"/>
      <c r="AD112" s="4"/>
      <c r="AE112" s="4"/>
      <c r="AF112" s="4"/>
      <c r="AG112" s="200"/>
      <c r="AH112" s="4"/>
      <c r="AJ112" s="71">
        <f t="shared" si="21"/>
        <v>0</v>
      </c>
    </row>
    <row r="113" spans="2:36" hidden="1" outlineLevel="1" x14ac:dyDescent="0.25">
      <c r="B113" s="151"/>
      <c r="C113" s="54" t="s">
        <v>77</v>
      </c>
      <c r="D113" s="5"/>
      <c r="E113" s="200"/>
      <c r="F113" s="200"/>
      <c r="G113" s="5"/>
      <c r="H113" s="5"/>
      <c r="I113" s="5"/>
      <c r="J113" s="5"/>
      <c r="K113" s="5"/>
      <c r="L113" s="200"/>
      <c r="M113" s="200"/>
      <c r="N113" s="5"/>
      <c r="O113" s="5"/>
      <c r="P113" s="5"/>
      <c r="Q113" s="5"/>
      <c r="R113" s="5"/>
      <c r="S113" s="200"/>
      <c r="T113" s="200"/>
      <c r="U113" s="5"/>
      <c r="V113" s="5"/>
      <c r="W113" s="5"/>
      <c r="X113" s="5"/>
      <c r="Y113" s="5"/>
      <c r="Z113" s="200"/>
      <c r="AA113" s="200"/>
      <c r="AB113" s="5"/>
      <c r="AC113" s="5"/>
      <c r="AD113" s="5"/>
      <c r="AE113" s="5"/>
      <c r="AF113" s="5"/>
      <c r="AG113" s="200"/>
      <c r="AH113" s="5"/>
      <c r="AJ113" s="72">
        <f t="shared" si="21"/>
        <v>0</v>
      </c>
    </row>
    <row r="114" spans="2:36" ht="15.75" hidden="1" outlineLevel="1" thickBot="1" x14ac:dyDescent="0.3">
      <c r="B114" s="151"/>
      <c r="C114" s="9" t="s">
        <v>3</v>
      </c>
      <c r="D114" s="8"/>
      <c r="E114" s="201"/>
      <c r="F114" s="201"/>
      <c r="G114" s="8"/>
      <c r="H114" s="8"/>
      <c r="I114" s="8"/>
      <c r="J114" s="8"/>
      <c r="K114" s="8"/>
      <c r="L114" s="201"/>
      <c r="M114" s="201"/>
      <c r="N114" s="8"/>
      <c r="O114" s="8"/>
      <c r="P114" s="8"/>
      <c r="Q114" s="8"/>
      <c r="R114" s="8"/>
      <c r="S114" s="201"/>
      <c r="T114" s="201"/>
      <c r="U114" s="8"/>
      <c r="V114" s="8"/>
      <c r="W114" s="8"/>
      <c r="X114" s="8"/>
      <c r="Y114" s="8"/>
      <c r="Z114" s="201"/>
      <c r="AA114" s="201"/>
      <c r="AB114" s="8"/>
      <c r="AC114" s="8"/>
      <c r="AD114" s="8"/>
      <c r="AE114" s="8"/>
      <c r="AF114" s="8"/>
      <c r="AG114" s="201"/>
      <c r="AH114" s="8"/>
      <c r="AI114" s="7"/>
      <c r="AJ114" s="69">
        <f t="shared" si="21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2"/>
      <c r="E115" s="200"/>
      <c r="F115" s="200"/>
      <c r="G115" s="2"/>
      <c r="H115" s="2"/>
      <c r="I115" s="2"/>
      <c r="J115" s="2"/>
      <c r="K115" s="2"/>
      <c r="L115" s="200"/>
      <c r="M115" s="200"/>
      <c r="N115" s="2"/>
      <c r="O115" s="2"/>
      <c r="P115" s="2"/>
      <c r="Q115" s="2"/>
      <c r="R115" s="2"/>
      <c r="S115" s="200"/>
      <c r="T115" s="200"/>
      <c r="U115" s="2"/>
      <c r="V115" s="2"/>
      <c r="W115" s="2"/>
      <c r="X115" s="2"/>
      <c r="Y115" s="2"/>
      <c r="Z115" s="200"/>
      <c r="AA115" s="200"/>
      <c r="AB115" s="2"/>
      <c r="AC115" s="2"/>
      <c r="AD115" s="2"/>
      <c r="AE115" s="2"/>
      <c r="AF115" s="2"/>
      <c r="AG115" s="200"/>
      <c r="AH115" s="2"/>
      <c r="AJ115" s="64">
        <f>SUM(D115:AH115)</f>
        <v>0</v>
      </c>
    </row>
    <row r="116" spans="2:36" ht="15.75" hidden="1" outlineLevel="1" thickTop="1" x14ac:dyDescent="0.25">
      <c r="B116" s="150"/>
      <c r="C116" s="1" t="s">
        <v>1</v>
      </c>
      <c r="D116" s="3"/>
      <c r="E116" s="200"/>
      <c r="F116" s="200"/>
      <c r="G116" s="3"/>
      <c r="H116" s="3"/>
      <c r="I116" s="3"/>
      <c r="J116" s="3"/>
      <c r="K116" s="3"/>
      <c r="L116" s="200"/>
      <c r="M116" s="200"/>
      <c r="N116" s="3"/>
      <c r="O116" s="3"/>
      <c r="P116" s="3"/>
      <c r="Q116" s="3"/>
      <c r="R116" s="3"/>
      <c r="S116" s="200"/>
      <c r="T116" s="200"/>
      <c r="U116" s="3"/>
      <c r="V116" s="3"/>
      <c r="W116" s="3"/>
      <c r="X116" s="3"/>
      <c r="Y116" s="3"/>
      <c r="Z116" s="200"/>
      <c r="AA116" s="200"/>
      <c r="AB116" s="3"/>
      <c r="AC116" s="3"/>
      <c r="AD116" s="3"/>
      <c r="AE116" s="3"/>
      <c r="AF116" s="3"/>
      <c r="AG116" s="200"/>
      <c r="AH116" s="3"/>
      <c r="AJ116" s="70">
        <f t="shared" ref="AJ116:AJ119" si="22">SUM(D116:AH116)</f>
        <v>0</v>
      </c>
    </row>
    <row r="117" spans="2:36" hidden="1" outlineLevel="1" x14ac:dyDescent="0.25">
      <c r="B117" s="151"/>
      <c r="C117" s="1" t="s">
        <v>2</v>
      </c>
      <c r="D117" s="4"/>
      <c r="E117" s="200"/>
      <c r="F117" s="200"/>
      <c r="G117" s="4"/>
      <c r="H117" s="4"/>
      <c r="I117" s="4"/>
      <c r="J117" s="4"/>
      <c r="K117" s="4"/>
      <c r="L117" s="200"/>
      <c r="M117" s="200"/>
      <c r="N117" s="4"/>
      <c r="O117" s="4"/>
      <c r="P117" s="4"/>
      <c r="Q117" s="4"/>
      <c r="R117" s="4"/>
      <c r="S117" s="200"/>
      <c r="T117" s="200"/>
      <c r="U117" s="4"/>
      <c r="V117" s="4"/>
      <c r="W117" s="4"/>
      <c r="X117" s="4"/>
      <c r="Y117" s="4"/>
      <c r="Z117" s="200"/>
      <c r="AA117" s="200"/>
      <c r="AB117" s="4"/>
      <c r="AC117" s="4"/>
      <c r="AD117" s="4"/>
      <c r="AE117" s="4"/>
      <c r="AF117" s="4"/>
      <c r="AG117" s="200"/>
      <c r="AH117" s="4"/>
      <c r="AJ117" s="71">
        <f t="shared" si="22"/>
        <v>0</v>
      </c>
    </row>
    <row r="118" spans="2:36" hidden="1" outlineLevel="1" x14ac:dyDescent="0.25">
      <c r="B118" s="151"/>
      <c r="C118" s="54" t="s">
        <v>77</v>
      </c>
      <c r="D118" s="5"/>
      <c r="E118" s="200"/>
      <c r="F118" s="200"/>
      <c r="G118" s="5"/>
      <c r="H118" s="5"/>
      <c r="I118" s="5"/>
      <c r="J118" s="5"/>
      <c r="K118" s="5"/>
      <c r="L118" s="200"/>
      <c r="M118" s="200"/>
      <c r="N118" s="5"/>
      <c r="O118" s="5"/>
      <c r="P118" s="5"/>
      <c r="Q118" s="5"/>
      <c r="R118" s="5"/>
      <c r="S118" s="200"/>
      <c r="T118" s="200"/>
      <c r="U118" s="5"/>
      <c r="V118" s="5"/>
      <c r="W118" s="5"/>
      <c r="X118" s="5"/>
      <c r="Y118" s="5"/>
      <c r="Z118" s="200"/>
      <c r="AA118" s="200"/>
      <c r="AB118" s="5"/>
      <c r="AC118" s="5"/>
      <c r="AD118" s="5"/>
      <c r="AE118" s="5"/>
      <c r="AF118" s="5"/>
      <c r="AG118" s="200"/>
      <c r="AH118" s="5"/>
      <c r="AJ118" s="72">
        <f t="shared" si="22"/>
        <v>0</v>
      </c>
    </row>
    <row r="119" spans="2:36" ht="15.75" hidden="1" outlineLevel="1" thickBot="1" x14ac:dyDescent="0.3">
      <c r="B119" s="151"/>
      <c r="C119" s="9" t="s">
        <v>3</v>
      </c>
      <c r="D119" s="69"/>
      <c r="E119" s="203"/>
      <c r="F119" s="203"/>
      <c r="G119" s="69"/>
      <c r="H119" s="69"/>
      <c r="I119" s="69"/>
      <c r="J119" s="69"/>
      <c r="K119" s="69"/>
      <c r="L119" s="203"/>
      <c r="M119" s="203"/>
      <c r="N119" s="69"/>
      <c r="O119" s="69"/>
      <c r="P119" s="69"/>
      <c r="Q119" s="69"/>
      <c r="R119" s="69"/>
      <c r="S119" s="203"/>
      <c r="T119" s="203"/>
      <c r="U119" s="69"/>
      <c r="V119" s="69"/>
      <c r="W119" s="69"/>
      <c r="X119" s="69"/>
      <c r="Y119" s="69"/>
      <c r="Z119" s="203"/>
      <c r="AA119" s="203"/>
      <c r="AB119" s="69"/>
      <c r="AC119" s="69"/>
      <c r="AD119" s="69"/>
      <c r="AE119" s="69"/>
      <c r="AF119" s="69"/>
      <c r="AG119" s="203"/>
      <c r="AH119" s="69"/>
      <c r="AI119" s="7"/>
      <c r="AJ119" s="69">
        <f t="shared" si="22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2"/>
      <c r="E120" s="200"/>
      <c r="F120" s="200"/>
      <c r="G120" s="2"/>
      <c r="H120" s="2"/>
      <c r="I120" s="2"/>
      <c r="J120" s="2"/>
      <c r="K120" s="2"/>
      <c r="L120" s="200"/>
      <c r="M120" s="200"/>
      <c r="N120" s="2"/>
      <c r="O120" s="2"/>
      <c r="P120" s="2"/>
      <c r="Q120" s="2"/>
      <c r="R120" s="2"/>
      <c r="S120" s="200"/>
      <c r="T120" s="200"/>
      <c r="U120" s="2"/>
      <c r="V120" s="2"/>
      <c r="W120" s="2"/>
      <c r="X120" s="2"/>
      <c r="Y120" s="2"/>
      <c r="Z120" s="200"/>
      <c r="AA120" s="200"/>
      <c r="AB120" s="2"/>
      <c r="AC120" s="2"/>
      <c r="AD120" s="2"/>
      <c r="AE120" s="2"/>
      <c r="AF120" s="2"/>
      <c r="AG120" s="200"/>
      <c r="AH120" s="2"/>
      <c r="AJ120" s="64">
        <f>SUM(D120:AH120)</f>
        <v>0</v>
      </c>
    </row>
    <row r="121" spans="2:36" ht="15.75" hidden="1" outlineLevel="1" thickTop="1" x14ac:dyDescent="0.25">
      <c r="B121" s="150"/>
      <c r="C121" s="1" t="s">
        <v>1</v>
      </c>
      <c r="D121" s="3"/>
      <c r="E121" s="200"/>
      <c r="F121" s="200"/>
      <c r="G121" s="3"/>
      <c r="H121" s="3"/>
      <c r="I121" s="3"/>
      <c r="J121" s="3"/>
      <c r="K121" s="3"/>
      <c r="L121" s="200"/>
      <c r="M121" s="200"/>
      <c r="N121" s="3"/>
      <c r="O121" s="3"/>
      <c r="P121" s="3"/>
      <c r="Q121" s="3"/>
      <c r="R121" s="3"/>
      <c r="S121" s="200"/>
      <c r="T121" s="200"/>
      <c r="U121" s="3"/>
      <c r="V121" s="3"/>
      <c r="W121" s="3"/>
      <c r="X121" s="3"/>
      <c r="Y121" s="3"/>
      <c r="Z121" s="200"/>
      <c r="AA121" s="200"/>
      <c r="AB121" s="3"/>
      <c r="AC121" s="3"/>
      <c r="AD121" s="3"/>
      <c r="AE121" s="3"/>
      <c r="AF121" s="3"/>
      <c r="AG121" s="200"/>
      <c r="AH121" s="3"/>
      <c r="AJ121" s="70">
        <f t="shared" ref="AJ121:AJ124" si="23">SUM(D121:AH121)</f>
        <v>0</v>
      </c>
    </row>
    <row r="122" spans="2:36" hidden="1" outlineLevel="1" x14ac:dyDescent="0.25">
      <c r="B122" s="151"/>
      <c r="C122" s="1" t="s">
        <v>2</v>
      </c>
      <c r="D122" s="4"/>
      <c r="E122" s="200"/>
      <c r="F122" s="200"/>
      <c r="G122" s="4"/>
      <c r="H122" s="4"/>
      <c r="I122" s="4"/>
      <c r="J122" s="4"/>
      <c r="K122" s="4"/>
      <c r="L122" s="200"/>
      <c r="M122" s="200"/>
      <c r="N122" s="4"/>
      <c r="O122" s="4"/>
      <c r="P122" s="4"/>
      <c r="Q122" s="4"/>
      <c r="R122" s="4"/>
      <c r="S122" s="200"/>
      <c r="T122" s="200"/>
      <c r="U122" s="4"/>
      <c r="V122" s="4"/>
      <c r="W122" s="4"/>
      <c r="X122" s="4"/>
      <c r="Y122" s="4"/>
      <c r="Z122" s="200"/>
      <c r="AA122" s="200"/>
      <c r="AB122" s="4"/>
      <c r="AC122" s="4"/>
      <c r="AD122" s="4"/>
      <c r="AE122" s="4"/>
      <c r="AF122" s="4"/>
      <c r="AG122" s="200"/>
      <c r="AH122" s="4"/>
      <c r="AJ122" s="71">
        <f t="shared" si="23"/>
        <v>0</v>
      </c>
    </row>
    <row r="123" spans="2:36" hidden="1" outlineLevel="1" x14ac:dyDescent="0.25">
      <c r="B123" s="151"/>
      <c r="C123" s="54" t="s">
        <v>77</v>
      </c>
      <c r="D123" s="5"/>
      <c r="E123" s="200"/>
      <c r="F123" s="200"/>
      <c r="G123" s="5"/>
      <c r="H123" s="5"/>
      <c r="I123" s="5"/>
      <c r="J123" s="5"/>
      <c r="K123" s="5"/>
      <c r="L123" s="200"/>
      <c r="M123" s="200"/>
      <c r="N123" s="5"/>
      <c r="O123" s="5"/>
      <c r="P123" s="5"/>
      <c r="Q123" s="5"/>
      <c r="R123" s="5"/>
      <c r="S123" s="200"/>
      <c r="T123" s="200"/>
      <c r="U123" s="5"/>
      <c r="V123" s="5"/>
      <c r="W123" s="5"/>
      <c r="X123" s="5"/>
      <c r="Y123" s="5"/>
      <c r="Z123" s="200"/>
      <c r="AA123" s="200"/>
      <c r="AB123" s="5"/>
      <c r="AC123" s="5"/>
      <c r="AD123" s="5"/>
      <c r="AE123" s="5"/>
      <c r="AF123" s="5"/>
      <c r="AG123" s="200"/>
      <c r="AH123" s="5"/>
      <c r="AJ123" s="72">
        <f t="shared" si="23"/>
        <v>0</v>
      </c>
    </row>
    <row r="124" spans="2:36" ht="15.75" hidden="1" outlineLevel="1" thickBot="1" x14ac:dyDescent="0.3">
      <c r="B124" s="151"/>
      <c r="C124" s="9" t="s">
        <v>3</v>
      </c>
      <c r="D124" s="8"/>
      <c r="E124" s="201"/>
      <c r="F124" s="201"/>
      <c r="G124" s="8"/>
      <c r="H124" s="8"/>
      <c r="I124" s="8"/>
      <c r="J124" s="8"/>
      <c r="K124" s="8"/>
      <c r="L124" s="201"/>
      <c r="M124" s="201"/>
      <c r="N124" s="8"/>
      <c r="O124" s="8"/>
      <c r="P124" s="8"/>
      <c r="Q124" s="8"/>
      <c r="R124" s="8"/>
      <c r="S124" s="201"/>
      <c r="T124" s="201"/>
      <c r="U124" s="8"/>
      <c r="V124" s="8"/>
      <c r="W124" s="8"/>
      <c r="X124" s="8"/>
      <c r="Y124" s="8"/>
      <c r="Z124" s="201"/>
      <c r="AA124" s="201"/>
      <c r="AB124" s="8"/>
      <c r="AC124" s="8"/>
      <c r="AD124" s="8"/>
      <c r="AE124" s="8"/>
      <c r="AF124" s="8"/>
      <c r="AG124" s="201"/>
      <c r="AH124" s="8"/>
      <c r="AI124" s="7"/>
      <c r="AJ124" s="69">
        <f t="shared" si="23"/>
        <v>0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2"/>
      <c r="E125" s="200"/>
      <c r="F125" s="200"/>
      <c r="G125" s="2"/>
      <c r="H125" s="2"/>
      <c r="I125" s="2"/>
      <c r="J125" s="2"/>
      <c r="K125" s="2"/>
      <c r="L125" s="200"/>
      <c r="M125" s="200"/>
      <c r="N125" s="2"/>
      <c r="O125" s="2"/>
      <c r="P125" s="2"/>
      <c r="Q125" s="2"/>
      <c r="R125" s="2"/>
      <c r="S125" s="200"/>
      <c r="T125" s="200"/>
      <c r="U125" s="2"/>
      <c r="V125" s="2"/>
      <c r="W125" s="2"/>
      <c r="X125" s="2"/>
      <c r="Y125" s="2"/>
      <c r="Z125" s="200"/>
      <c r="AA125" s="200"/>
      <c r="AB125" s="2"/>
      <c r="AC125" s="2"/>
      <c r="AD125" s="2"/>
      <c r="AE125" s="2"/>
      <c r="AF125" s="2"/>
      <c r="AG125" s="200"/>
      <c r="AH125" s="2"/>
      <c r="AJ125" s="64">
        <f>SUM(D125:AH125)</f>
        <v>0</v>
      </c>
    </row>
    <row r="126" spans="2:36" ht="15.75" hidden="1" outlineLevel="1" thickTop="1" x14ac:dyDescent="0.25">
      <c r="B126" s="150"/>
      <c r="C126" s="1" t="s">
        <v>1</v>
      </c>
      <c r="D126" s="3"/>
      <c r="E126" s="200"/>
      <c r="F126" s="200"/>
      <c r="G126" s="3"/>
      <c r="H126" s="3"/>
      <c r="I126" s="3"/>
      <c r="J126" s="3"/>
      <c r="K126" s="3"/>
      <c r="L126" s="200"/>
      <c r="M126" s="200"/>
      <c r="N126" s="3"/>
      <c r="O126" s="3"/>
      <c r="P126" s="3"/>
      <c r="Q126" s="3"/>
      <c r="R126" s="3"/>
      <c r="S126" s="200"/>
      <c r="T126" s="200"/>
      <c r="U126" s="3"/>
      <c r="V126" s="3"/>
      <c r="W126" s="3"/>
      <c r="X126" s="3"/>
      <c r="Y126" s="3"/>
      <c r="Z126" s="200"/>
      <c r="AA126" s="200"/>
      <c r="AB126" s="3"/>
      <c r="AC126" s="3"/>
      <c r="AD126" s="3"/>
      <c r="AE126" s="3"/>
      <c r="AF126" s="3"/>
      <c r="AG126" s="200"/>
      <c r="AH126" s="3"/>
      <c r="AJ126" s="70">
        <f t="shared" ref="AJ126:AJ129" si="24">SUM(D126:AH126)</f>
        <v>0</v>
      </c>
    </row>
    <row r="127" spans="2:36" hidden="1" outlineLevel="1" x14ac:dyDescent="0.25">
      <c r="B127" s="151"/>
      <c r="C127" s="1" t="s">
        <v>2</v>
      </c>
      <c r="D127" s="4"/>
      <c r="E127" s="200"/>
      <c r="F127" s="200"/>
      <c r="G127" s="4"/>
      <c r="H127" s="4"/>
      <c r="I127" s="4"/>
      <c r="J127" s="4"/>
      <c r="K127" s="4"/>
      <c r="L127" s="200"/>
      <c r="M127" s="200"/>
      <c r="N127" s="4"/>
      <c r="O127" s="4"/>
      <c r="P127" s="4"/>
      <c r="Q127" s="4"/>
      <c r="R127" s="4"/>
      <c r="S127" s="200"/>
      <c r="T127" s="200"/>
      <c r="U127" s="4"/>
      <c r="V127" s="4"/>
      <c r="W127" s="4"/>
      <c r="X127" s="4"/>
      <c r="Y127" s="4"/>
      <c r="Z127" s="200"/>
      <c r="AA127" s="200"/>
      <c r="AB127" s="4"/>
      <c r="AC127" s="4"/>
      <c r="AD127" s="4"/>
      <c r="AE127" s="4"/>
      <c r="AF127" s="4"/>
      <c r="AG127" s="200"/>
      <c r="AH127" s="4"/>
      <c r="AJ127" s="71">
        <f t="shared" si="24"/>
        <v>0</v>
      </c>
    </row>
    <row r="128" spans="2:36" hidden="1" outlineLevel="1" x14ac:dyDescent="0.25">
      <c r="B128" s="151"/>
      <c r="C128" s="54" t="s">
        <v>77</v>
      </c>
      <c r="D128" s="5"/>
      <c r="E128" s="200"/>
      <c r="F128" s="200"/>
      <c r="G128" s="5"/>
      <c r="H128" s="5"/>
      <c r="I128" s="5"/>
      <c r="J128" s="5"/>
      <c r="K128" s="5"/>
      <c r="L128" s="200"/>
      <c r="M128" s="200"/>
      <c r="N128" s="5"/>
      <c r="O128" s="5"/>
      <c r="P128" s="5"/>
      <c r="Q128" s="5"/>
      <c r="R128" s="5"/>
      <c r="S128" s="200"/>
      <c r="T128" s="200"/>
      <c r="U128" s="5"/>
      <c r="V128" s="5"/>
      <c r="W128" s="5"/>
      <c r="X128" s="5"/>
      <c r="Y128" s="5"/>
      <c r="Z128" s="200"/>
      <c r="AA128" s="200"/>
      <c r="AB128" s="5"/>
      <c r="AC128" s="5"/>
      <c r="AD128" s="5"/>
      <c r="AE128" s="5"/>
      <c r="AF128" s="5"/>
      <c r="AG128" s="200"/>
      <c r="AH128" s="5"/>
      <c r="AJ128" s="72">
        <f t="shared" si="24"/>
        <v>0</v>
      </c>
    </row>
    <row r="129" spans="2:36" ht="15.75" hidden="1" outlineLevel="1" thickBot="1" x14ac:dyDescent="0.3">
      <c r="B129" s="151"/>
      <c r="C129" s="9" t="s">
        <v>3</v>
      </c>
      <c r="D129" s="8"/>
      <c r="E129" s="201"/>
      <c r="F129" s="201"/>
      <c r="G129" s="8"/>
      <c r="H129" s="8"/>
      <c r="I129" s="8"/>
      <c r="J129" s="8"/>
      <c r="K129" s="8"/>
      <c r="L129" s="201"/>
      <c r="M129" s="201"/>
      <c r="N129" s="8"/>
      <c r="O129" s="8"/>
      <c r="P129" s="8"/>
      <c r="Q129" s="8"/>
      <c r="R129" s="8"/>
      <c r="S129" s="201"/>
      <c r="T129" s="201"/>
      <c r="U129" s="8"/>
      <c r="V129" s="8"/>
      <c r="W129" s="8"/>
      <c r="X129" s="8"/>
      <c r="Y129" s="8"/>
      <c r="Z129" s="201"/>
      <c r="AA129" s="201"/>
      <c r="AB129" s="8"/>
      <c r="AC129" s="8"/>
      <c r="AD129" s="8"/>
      <c r="AE129" s="8"/>
      <c r="AF129" s="8"/>
      <c r="AG129" s="201"/>
      <c r="AH129" s="8"/>
      <c r="AI129" s="7"/>
      <c r="AJ129" s="69">
        <f t="shared" si="24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255">
        <v>0</v>
      </c>
      <c r="E130" s="200"/>
      <c r="F130" s="200"/>
      <c r="G130" s="2"/>
      <c r="H130" s="2"/>
      <c r="I130" s="2"/>
      <c r="J130" s="2"/>
      <c r="K130" s="255">
        <v>0</v>
      </c>
      <c r="L130" s="200"/>
      <c r="M130" s="200"/>
      <c r="N130" s="2"/>
      <c r="O130" s="2"/>
      <c r="P130" s="2"/>
      <c r="Q130" s="2"/>
      <c r="R130" s="255">
        <v>0</v>
      </c>
      <c r="S130" s="200"/>
      <c r="T130" s="200"/>
      <c r="U130" s="2"/>
      <c r="V130" s="2"/>
      <c r="W130" s="2"/>
      <c r="X130" s="2"/>
      <c r="Y130" s="255">
        <v>0</v>
      </c>
      <c r="Z130" s="200"/>
      <c r="AA130" s="200"/>
      <c r="AB130" s="2"/>
      <c r="AC130" s="2"/>
      <c r="AD130" s="2"/>
      <c r="AE130" s="2"/>
      <c r="AF130" s="255">
        <v>0</v>
      </c>
      <c r="AG130" s="200"/>
      <c r="AH130" s="2"/>
      <c r="AJ130" s="64">
        <f>SUM(D130:AH130)</f>
        <v>0</v>
      </c>
    </row>
    <row r="131" spans="2:36" ht="15.75" hidden="1" outlineLevel="1" thickTop="1" x14ac:dyDescent="0.25">
      <c r="B131" s="150"/>
      <c r="C131" s="1" t="s">
        <v>1</v>
      </c>
      <c r="D131" s="3"/>
      <c r="E131" s="200"/>
      <c r="F131" s="200"/>
      <c r="G131" s="3"/>
      <c r="H131" s="3"/>
      <c r="I131" s="3"/>
      <c r="J131" s="3"/>
      <c r="K131" s="3"/>
      <c r="L131" s="200"/>
      <c r="M131" s="200"/>
      <c r="N131" s="3"/>
      <c r="O131" s="3"/>
      <c r="P131" s="3"/>
      <c r="Q131" s="3"/>
      <c r="R131" s="3"/>
      <c r="S131" s="200"/>
      <c r="T131" s="200"/>
      <c r="U131" s="3"/>
      <c r="V131" s="3"/>
      <c r="W131" s="3"/>
      <c r="X131" s="3"/>
      <c r="Y131" s="3"/>
      <c r="Z131" s="200"/>
      <c r="AA131" s="200"/>
      <c r="AB131" s="3"/>
      <c r="AC131" s="3"/>
      <c r="AD131" s="3"/>
      <c r="AE131" s="3"/>
      <c r="AF131" s="3"/>
      <c r="AG131" s="200"/>
      <c r="AH131" s="3"/>
      <c r="AJ131" s="70">
        <f t="shared" ref="AJ131:AJ134" si="25">SUM(D131:AH131)</f>
        <v>0</v>
      </c>
    </row>
    <row r="132" spans="2:36" hidden="1" outlineLevel="1" x14ac:dyDescent="0.25">
      <c r="B132" s="151"/>
      <c r="C132" s="1" t="s">
        <v>2</v>
      </c>
      <c r="D132" s="4"/>
      <c r="E132" s="200"/>
      <c r="F132" s="200"/>
      <c r="G132" s="4"/>
      <c r="H132" s="4"/>
      <c r="I132" s="4"/>
      <c r="J132" s="4"/>
      <c r="K132" s="4"/>
      <c r="L132" s="200"/>
      <c r="M132" s="200"/>
      <c r="N132" s="4"/>
      <c r="O132" s="4"/>
      <c r="P132" s="4"/>
      <c r="Q132" s="4"/>
      <c r="R132" s="4"/>
      <c r="S132" s="200"/>
      <c r="T132" s="200"/>
      <c r="U132" s="4"/>
      <c r="V132" s="4"/>
      <c r="W132" s="4"/>
      <c r="X132" s="4"/>
      <c r="Y132" s="4"/>
      <c r="Z132" s="200"/>
      <c r="AA132" s="200"/>
      <c r="AB132" s="4"/>
      <c r="AC132" s="4"/>
      <c r="AD132" s="4"/>
      <c r="AE132" s="4"/>
      <c r="AF132" s="4"/>
      <c r="AG132" s="200"/>
      <c r="AH132" s="4"/>
      <c r="AJ132" s="71">
        <f t="shared" si="25"/>
        <v>0</v>
      </c>
    </row>
    <row r="133" spans="2:36" hidden="1" outlineLevel="1" x14ac:dyDescent="0.25">
      <c r="B133" s="151"/>
      <c r="C133" s="54" t="s">
        <v>77</v>
      </c>
      <c r="D133" s="5"/>
      <c r="E133" s="200"/>
      <c r="F133" s="200"/>
      <c r="G133" s="5"/>
      <c r="H133" s="5"/>
      <c r="I133" s="5"/>
      <c r="J133" s="5"/>
      <c r="K133" s="5"/>
      <c r="L133" s="200"/>
      <c r="M133" s="200"/>
      <c r="N133" s="5"/>
      <c r="O133" s="5"/>
      <c r="P133" s="5"/>
      <c r="Q133" s="5"/>
      <c r="R133" s="5"/>
      <c r="S133" s="200"/>
      <c r="T133" s="200"/>
      <c r="U133" s="5"/>
      <c r="V133" s="5"/>
      <c r="W133" s="5"/>
      <c r="X133" s="5"/>
      <c r="Y133" s="5"/>
      <c r="Z133" s="200"/>
      <c r="AA133" s="200"/>
      <c r="AB133" s="5"/>
      <c r="AC133" s="5"/>
      <c r="AD133" s="5"/>
      <c r="AE133" s="5"/>
      <c r="AF133" s="5"/>
      <c r="AG133" s="200"/>
      <c r="AH133" s="5"/>
      <c r="AJ133" s="72">
        <f t="shared" si="25"/>
        <v>0</v>
      </c>
    </row>
    <row r="134" spans="2:36" ht="15.75" hidden="1" outlineLevel="1" thickBot="1" x14ac:dyDescent="0.3">
      <c r="B134" s="151"/>
      <c r="C134" s="9" t="s">
        <v>3</v>
      </c>
      <c r="D134" s="8"/>
      <c r="E134" s="201"/>
      <c r="F134" s="201"/>
      <c r="G134" s="8"/>
      <c r="H134" s="8"/>
      <c r="I134" s="8"/>
      <c r="J134" s="8"/>
      <c r="K134" s="8"/>
      <c r="L134" s="201"/>
      <c r="M134" s="201"/>
      <c r="N134" s="8"/>
      <c r="O134" s="8"/>
      <c r="P134" s="8"/>
      <c r="Q134" s="8"/>
      <c r="R134" s="8"/>
      <c r="S134" s="201"/>
      <c r="T134" s="201"/>
      <c r="U134" s="8"/>
      <c r="V134" s="8"/>
      <c r="W134" s="8"/>
      <c r="X134" s="8"/>
      <c r="Y134" s="8"/>
      <c r="Z134" s="201"/>
      <c r="AA134" s="201"/>
      <c r="AB134" s="8"/>
      <c r="AC134" s="8"/>
      <c r="AD134" s="8"/>
      <c r="AE134" s="8"/>
      <c r="AF134" s="8"/>
      <c r="AG134" s="201"/>
      <c r="AH134" s="8"/>
      <c r="AI134" s="7"/>
      <c r="AJ134" s="69">
        <f t="shared" si="25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2"/>
      <c r="E135" s="200"/>
      <c r="F135" s="200"/>
      <c r="G135" s="2"/>
      <c r="H135" s="2"/>
      <c r="I135" s="2"/>
      <c r="J135" s="2"/>
      <c r="K135" s="2"/>
      <c r="L135" s="200"/>
      <c r="M135" s="200"/>
      <c r="N135" s="2"/>
      <c r="O135" s="2"/>
      <c r="P135" s="2"/>
      <c r="Q135" s="2"/>
      <c r="R135" s="2"/>
      <c r="S135" s="200"/>
      <c r="T135" s="200"/>
      <c r="U135" s="2"/>
      <c r="V135" s="2"/>
      <c r="W135" s="2"/>
      <c r="X135" s="2"/>
      <c r="Y135" s="2"/>
      <c r="Z135" s="200"/>
      <c r="AA135" s="200"/>
      <c r="AB135" s="2"/>
      <c r="AC135" s="2"/>
      <c r="AD135" s="2"/>
      <c r="AE135" s="2"/>
      <c r="AF135" s="2"/>
      <c r="AG135" s="200"/>
      <c r="AH135" s="2"/>
      <c r="AJ135" s="64">
        <f>SUM(D135:AH135)</f>
        <v>0</v>
      </c>
    </row>
    <row r="136" spans="2:36" ht="15.75" hidden="1" outlineLevel="1" thickTop="1" x14ac:dyDescent="0.25">
      <c r="B136" s="150"/>
      <c r="C136" s="1" t="s">
        <v>1</v>
      </c>
      <c r="D136" s="3"/>
      <c r="E136" s="200"/>
      <c r="F136" s="200"/>
      <c r="G136" s="3"/>
      <c r="H136" s="3"/>
      <c r="I136" s="3"/>
      <c r="J136" s="3"/>
      <c r="K136" s="3"/>
      <c r="L136" s="200"/>
      <c r="M136" s="200"/>
      <c r="N136" s="3"/>
      <c r="O136" s="3"/>
      <c r="P136" s="3"/>
      <c r="Q136" s="3"/>
      <c r="R136" s="3"/>
      <c r="S136" s="200"/>
      <c r="T136" s="200"/>
      <c r="U136" s="3"/>
      <c r="V136" s="3"/>
      <c r="W136" s="3"/>
      <c r="X136" s="3"/>
      <c r="Y136" s="3"/>
      <c r="Z136" s="200"/>
      <c r="AA136" s="200"/>
      <c r="AB136" s="3"/>
      <c r="AC136" s="3"/>
      <c r="AD136" s="3"/>
      <c r="AE136" s="3"/>
      <c r="AF136" s="3"/>
      <c r="AG136" s="200"/>
      <c r="AH136" s="3"/>
      <c r="AJ136" s="70">
        <f t="shared" ref="AJ136:AJ139" si="26">SUM(D136:AH136)</f>
        <v>0</v>
      </c>
    </row>
    <row r="137" spans="2:36" hidden="1" outlineLevel="1" x14ac:dyDescent="0.25">
      <c r="B137" s="151"/>
      <c r="C137" s="1" t="s">
        <v>2</v>
      </c>
      <c r="D137" s="4"/>
      <c r="E137" s="200"/>
      <c r="F137" s="200"/>
      <c r="G137" s="4"/>
      <c r="H137" s="4"/>
      <c r="I137" s="4"/>
      <c r="J137" s="4"/>
      <c r="K137" s="4"/>
      <c r="L137" s="200"/>
      <c r="M137" s="200"/>
      <c r="N137" s="4"/>
      <c r="O137" s="4"/>
      <c r="P137" s="4"/>
      <c r="Q137" s="4"/>
      <c r="R137" s="4"/>
      <c r="S137" s="200"/>
      <c r="T137" s="200"/>
      <c r="U137" s="4"/>
      <c r="V137" s="4"/>
      <c r="W137" s="4"/>
      <c r="X137" s="4"/>
      <c r="Y137" s="4"/>
      <c r="Z137" s="200"/>
      <c r="AA137" s="200"/>
      <c r="AB137" s="4"/>
      <c r="AC137" s="4"/>
      <c r="AD137" s="4"/>
      <c r="AE137" s="4"/>
      <c r="AF137" s="4"/>
      <c r="AG137" s="200"/>
      <c r="AH137" s="4"/>
      <c r="AJ137" s="71">
        <f t="shared" si="26"/>
        <v>0</v>
      </c>
    </row>
    <row r="138" spans="2:36" hidden="1" outlineLevel="1" x14ac:dyDescent="0.25">
      <c r="B138" s="151"/>
      <c r="C138" s="54" t="s">
        <v>77</v>
      </c>
      <c r="D138" s="5"/>
      <c r="E138" s="200"/>
      <c r="F138" s="200"/>
      <c r="G138" s="5"/>
      <c r="H138" s="5"/>
      <c r="I138" s="5"/>
      <c r="J138" s="5"/>
      <c r="K138" s="5"/>
      <c r="L138" s="200"/>
      <c r="M138" s="200"/>
      <c r="N138" s="5"/>
      <c r="O138" s="5"/>
      <c r="P138" s="5"/>
      <c r="Q138" s="5"/>
      <c r="R138" s="5"/>
      <c r="S138" s="200"/>
      <c r="T138" s="200"/>
      <c r="U138" s="5"/>
      <c r="V138" s="5"/>
      <c r="W138" s="5"/>
      <c r="X138" s="5"/>
      <c r="Y138" s="5"/>
      <c r="Z138" s="200"/>
      <c r="AA138" s="200"/>
      <c r="AB138" s="5"/>
      <c r="AC138" s="5"/>
      <c r="AD138" s="5"/>
      <c r="AE138" s="5"/>
      <c r="AF138" s="5"/>
      <c r="AG138" s="200"/>
      <c r="AH138" s="5"/>
      <c r="AJ138" s="72">
        <f t="shared" si="26"/>
        <v>0</v>
      </c>
    </row>
    <row r="139" spans="2:36" ht="15.75" hidden="1" outlineLevel="1" thickBot="1" x14ac:dyDescent="0.3">
      <c r="B139" s="151"/>
      <c r="C139" s="9" t="s">
        <v>3</v>
      </c>
      <c r="D139" s="8"/>
      <c r="E139" s="201"/>
      <c r="F139" s="201"/>
      <c r="G139" s="8"/>
      <c r="H139" s="8"/>
      <c r="I139" s="8"/>
      <c r="J139" s="8"/>
      <c r="K139" s="8"/>
      <c r="L139" s="201"/>
      <c r="M139" s="201"/>
      <c r="N139" s="8"/>
      <c r="O139" s="8"/>
      <c r="P139" s="8"/>
      <c r="Q139" s="8"/>
      <c r="R139" s="8"/>
      <c r="S139" s="201"/>
      <c r="T139" s="201"/>
      <c r="U139" s="8"/>
      <c r="V139" s="8"/>
      <c r="W139" s="8"/>
      <c r="X139" s="8"/>
      <c r="Y139" s="8"/>
      <c r="Z139" s="201"/>
      <c r="AA139" s="201"/>
      <c r="AB139" s="8"/>
      <c r="AC139" s="8"/>
      <c r="AD139" s="8"/>
      <c r="AE139" s="8"/>
      <c r="AF139" s="8"/>
      <c r="AG139" s="201"/>
      <c r="AH139" s="8"/>
      <c r="AI139" s="7"/>
      <c r="AJ139" s="69">
        <f t="shared" si="26"/>
        <v>0</v>
      </c>
    </row>
    <row r="140" spans="2:36" ht="16.5" collapsed="1" thickTop="1" thickBot="1" x14ac:dyDescent="0.3">
      <c r="B140" s="253" t="str">
        <f>'Hours Scheduled'!B31</f>
        <v>Thom van Bodegraven</v>
      </c>
      <c r="C140" t="s">
        <v>0</v>
      </c>
      <c r="D140" s="2"/>
      <c r="E140" s="200"/>
      <c r="F140" s="200"/>
      <c r="G140" s="2"/>
      <c r="H140" s="2"/>
      <c r="I140" s="2"/>
      <c r="J140" s="2"/>
      <c r="K140" s="2"/>
      <c r="L140" s="200"/>
      <c r="M140" s="200"/>
      <c r="N140" s="2"/>
      <c r="O140" s="2"/>
      <c r="P140" s="2"/>
      <c r="Q140" s="2"/>
      <c r="R140" s="2"/>
      <c r="S140" s="200"/>
      <c r="T140" s="200"/>
      <c r="U140" s="2"/>
      <c r="V140" s="2"/>
      <c r="W140" s="2"/>
      <c r="X140" s="2"/>
      <c r="Y140" s="2"/>
      <c r="Z140" s="200"/>
      <c r="AA140" s="200"/>
      <c r="AB140" s="2"/>
      <c r="AC140" s="2"/>
      <c r="AD140" s="2"/>
      <c r="AE140" s="2"/>
      <c r="AF140" s="2"/>
      <c r="AG140" s="200"/>
      <c r="AH140" s="2"/>
      <c r="AJ140" s="64">
        <f>SUM(D140:AH140)</f>
        <v>0</v>
      </c>
    </row>
    <row r="141" spans="2:36" ht="15.75" hidden="1" outlineLevel="1" thickTop="1" x14ac:dyDescent="0.25">
      <c r="B141" s="150"/>
      <c r="C141" s="1" t="s">
        <v>1</v>
      </c>
      <c r="D141" s="3"/>
      <c r="E141" s="200"/>
      <c r="F141" s="200"/>
      <c r="G141" s="3"/>
      <c r="H141" s="3"/>
      <c r="I141" s="3"/>
      <c r="J141" s="3"/>
      <c r="K141" s="3"/>
      <c r="L141" s="200"/>
      <c r="M141" s="200"/>
      <c r="N141" s="3"/>
      <c r="O141" s="3"/>
      <c r="P141" s="3"/>
      <c r="Q141" s="3"/>
      <c r="R141" s="3"/>
      <c r="S141" s="200"/>
      <c r="T141" s="200"/>
      <c r="U141" s="3"/>
      <c r="V141" s="3"/>
      <c r="W141" s="3"/>
      <c r="X141" s="3"/>
      <c r="Y141" s="3"/>
      <c r="Z141" s="200"/>
      <c r="AA141" s="200"/>
      <c r="AB141" s="3"/>
      <c r="AC141" s="3"/>
      <c r="AD141" s="3"/>
      <c r="AE141" s="3"/>
      <c r="AF141" s="3"/>
      <c r="AG141" s="200"/>
      <c r="AH141" s="3"/>
      <c r="AJ141" s="70">
        <f t="shared" ref="AJ141:AJ144" si="27">SUM(D141:AH141)</f>
        <v>0</v>
      </c>
    </row>
    <row r="142" spans="2:36" hidden="1" outlineLevel="1" x14ac:dyDescent="0.25">
      <c r="B142" s="151"/>
      <c r="C142" s="1" t="s">
        <v>2</v>
      </c>
      <c r="D142" s="4"/>
      <c r="E142" s="200"/>
      <c r="F142" s="200"/>
      <c r="G142" s="4"/>
      <c r="H142" s="4"/>
      <c r="I142" s="4"/>
      <c r="J142" s="4"/>
      <c r="K142" s="4"/>
      <c r="L142" s="200"/>
      <c r="M142" s="200"/>
      <c r="N142" s="4"/>
      <c r="O142" s="4"/>
      <c r="P142" s="4"/>
      <c r="Q142" s="4"/>
      <c r="R142" s="4"/>
      <c r="S142" s="200"/>
      <c r="T142" s="200"/>
      <c r="U142" s="4"/>
      <c r="V142" s="4"/>
      <c r="W142" s="4"/>
      <c r="X142" s="4"/>
      <c r="Y142" s="4"/>
      <c r="Z142" s="200"/>
      <c r="AA142" s="200"/>
      <c r="AB142" s="4"/>
      <c r="AC142" s="4"/>
      <c r="AD142" s="4"/>
      <c r="AE142" s="4"/>
      <c r="AF142" s="4"/>
      <c r="AG142" s="200"/>
      <c r="AH142" s="4"/>
      <c r="AJ142" s="71">
        <f t="shared" si="27"/>
        <v>0</v>
      </c>
    </row>
    <row r="143" spans="2:36" hidden="1" outlineLevel="1" x14ac:dyDescent="0.25">
      <c r="B143" s="151"/>
      <c r="C143" s="54" t="s">
        <v>77</v>
      </c>
      <c r="D143" s="5"/>
      <c r="E143" s="200"/>
      <c r="F143" s="200"/>
      <c r="G143" s="5"/>
      <c r="H143" s="5"/>
      <c r="I143" s="5"/>
      <c r="J143" s="5"/>
      <c r="K143" s="5"/>
      <c r="L143" s="200"/>
      <c r="M143" s="200"/>
      <c r="N143" s="5"/>
      <c r="O143" s="5"/>
      <c r="P143" s="5"/>
      <c r="Q143" s="5"/>
      <c r="R143" s="5"/>
      <c r="S143" s="200"/>
      <c r="T143" s="200"/>
      <c r="U143" s="5"/>
      <c r="V143" s="5"/>
      <c r="W143" s="5"/>
      <c r="X143" s="5"/>
      <c r="Y143" s="5"/>
      <c r="Z143" s="200"/>
      <c r="AA143" s="200"/>
      <c r="AB143" s="5"/>
      <c r="AC143" s="5"/>
      <c r="AD143" s="5"/>
      <c r="AE143" s="5"/>
      <c r="AF143" s="5"/>
      <c r="AG143" s="200"/>
      <c r="AH143" s="5"/>
      <c r="AJ143" s="72">
        <f t="shared" si="27"/>
        <v>0</v>
      </c>
    </row>
    <row r="144" spans="2:36" ht="15.75" hidden="1" outlineLevel="1" thickBot="1" x14ac:dyDescent="0.3">
      <c r="B144" s="151"/>
      <c r="C144" s="9" t="s">
        <v>3</v>
      </c>
      <c r="D144" s="8"/>
      <c r="E144" s="201"/>
      <c r="F144" s="201"/>
      <c r="G144" s="8"/>
      <c r="H144" s="8"/>
      <c r="I144" s="8"/>
      <c r="J144" s="8"/>
      <c r="K144" s="8"/>
      <c r="L144" s="201"/>
      <c r="M144" s="201"/>
      <c r="N144" s="8"/>
      <c r="O144" s="8"/>
      <c r="P144" s="8"/>
      <c r="Q144" s="8"/>
      <c r="R144" s="8"/>
      <c r="S144" s="201"/>
      <c r="T144" s="201"/>
      <c r="U144" s="8"/>
      <c r="V144" s="8"/>
      <c r="W144" s="8"/>
      <c r="X144" s="8"/>
      <c r="Y144" s="8"/>
      <c r="Z144" s="201"/>
      <c r="AA144" s="201"/>
      <c r="AB144" s="8"/>
      <c r="AC144" s="8"/>
      <c r="AD144" s="8"/>
      <c r="AE144" s="8"/>
      <c r="AF144" s="8"/>
      <c r="AG144" s="201"/>
      <c r="AH144" s="8"/>
      <c r="AI144" s="7"/>
      <c r="AJ144" s="69">
        <f t="shared" si="27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2"/>
      <c r="E145" s="200"/>
      <c r="F145" s="200"/>
      <c r="G145" s="2"/>
      <c r="H145" s="2"/>
      <c r="I145" s="2"/>
      <c r="J145" s="2"/>
      <c r="K145" s="2"/>
      <c r="L145" s="200"/>
      <c r="M145" s="200"/>
      <c r="N145" s="2"/>
      <c r="O145" s="2"/>
      <c r="P145" s="2"/>
      <c r="Q145" s="2"/>
      <c r="R145" s="2"/>
      <c r="S145" s="200"/>
      <c r="T145" s="200"/>
      <c r="U145" s="2"/>
      <c r="V145" s="2"/>
      <c r="W145" s="2"/>
      <c r="X145" s="2"/>
      <c r="Y145" s="2"/>
      <c r="Z145" s="200"/>
      <c r="AA145" s="200"/>
      <c r="AB145" s="2"/>
      <c r="AC145" s="2"/>
      <c r="AD145" s="2"/>
      <c r="AE145" s="2"/>
      <c r="AF145" s="2"/>
      <c r="AG145" s="200"/>
      <c r="AH145" s="2"/>
      <c r="AJ145" s="64">
        <f>SUM(D145:AH145)</f>
        <v>0</v>
      </c>
    </row>
    <row r="146" spans="2:36" ht="15.75" hidden="1" outlineLevel="1" thickTop="1" x14ac:dyDescent="0.25">
      <c r="B146" s="150"/>
      <c r="C146" s="1" t="s">
        <v>1</v>
      </c>
      <c r="D146" s="3"/>
      <c r="E146" s="200"/>
      <c r="F146" s="200"/>
      <c r="G146" s="3"/>
      <c r="H146" s="3"/>
      <c r="I146" s="3"/>
      <c r="J146" s="3"/>
      <c r="K146" s="3"/>
      <c r="L146" s="200"/>
      <c r="M146" s="200"/>
      <c r="N146" s="3"/>
      <c r="O146" s="3"/>
      <c r="P146" s="3"/>
      <c r="Q146" s="3"/>
      <c r="R146" s="3"/>
      <c r="S146" s="200"/>
      <c r="T146" s="200"/>
      <c r="U146" s="3"/>
      <c r="V146" s="3"/>
      <c r="W146" s="3"/>
      <c r="X146" s="3"/>
      <c r="Y146" s="3"/>
      <c r="Z146" s="200"/>
      <c r="AA146" s="200"/>
      <c r="AB146" s="3"/>
      <c r="AC146" s="3"/>
      <c r="AD146" s="3"/>
      <c r="AE146" s="3"/>
      <c r="AF146" s="3"/>
      <c r="AG146" s="200"/>
      <c r="AH146" s="3"/>
      <c r="AJ146" s="70">
        <f t="shared" ref="AJ146:AJ149" si="28">SUM(D146:AH146)</f>
        <v>0</v>
      </c>
    </row>
    <row r="147" spans="2:36" hidden="1" outlineLevel="1" x14ac:dyDescent="0.25">
      <c r="B147" s="151"/>
      <c r="C147" s="1" t="s">
        <v>2</v>
      </c>
      <c r="D147" s="4"/>
      <c r="E147" s="200"/>
      <c r="F147" s="200"/>
      <c r="G147" s="4"/>
      <c r="H147" s="4"/>
      <c r="I147" s="4"/>
      <c r="J147" s="4"/>
      <c r="K147" s="4"/>
      <c r="L147" s="200"/>
      <c r="M147" s="200"/>
      <c r="N147" s="4"/>
      <c r="O147" s="4"/>
      <c r="P147" s="4"/>
      <c r="Q147" s="4"/>
      <c r="R147" s="4"/>
      <c r="S147" s="200"/>
      <c r="T147" s="200"/>
      <c r="U147" s="4"/>
      <c r="V147" s="4"/>
      <c r="W147" s="4"/>
      <c r="X147" s="4"/>
      <c r="Y147" s="4"/>
      <c r="Z147" s="200"/>
      <c r="AA147" s="200"/>
      <c r="AB147" s="4"/>
      <c r="AC147" s="4"/>
      <c r="AD147" s="4"/>
      <c r="AE147" s="4"/>
      <c r="AF147" s="4"/>
      <c r="AG147" s="200"/>
      <c r="AH147" s="4"/>
      <c r="AJ147" s="71">
        <f t="shared" si="28"/>
        <v>0</v>
      </c>
    </row>
    <row r="148" spans="2:36" hidden="1" outlineLevel="1" x14ac:dyDescent="0.25">
      <c r="B148" s="151"/>
      <c r="C148" s="54" t="s">
        <v>77</v>
      </c>
      <c r="D148" s="5"/>
      <c r="E148" s="200"/>
      <c r="F148" s="200"/>
      <c r="G148" s="5"/>
      <c r="H148" s="5"/>
      <c r="I148" s="5"/>
      <c r="J148" s="5"/>
      <c r="K148" s="5"/>
      <c r="L148" s="200"/>
      <c r="M148" s="200"/>
      <c r="N148" s="5"/>
      <c r="O148" s="5"/>
      <c r="P148" s="5"/>
      <c r="Q148" s="5"/>
      <c r="R148" s="5"/>
      <c r="S148" s="200"/>
      <c r="T148" s="200"/>
      <c r="U148" s="5"/>
      <c r="V148" s="5"/>
      <c r="W148" s="5"/>
      <c r="X148" s="5"/>
      <c r="Y148" s="5"/>
      <c r="Z148" s="200"/>
      <c r="AA148" s="200"/>
      <c r="AB148" s="5"/>
      <c r="AC148" s="5"/>
      <c r="AD148" s="5"/>
      <c r="AE148" s="5"/>
      <c r="AF148" s="5"/>
      <c r="AG148" s="200"/>
      <c r="AH148" s="5"/>
      <c r="AJ148" s="72">
        <f t="shared" si="28"/>
        <v>0</v>
      </c>
    </row>
    <row r="149" spans="2:36" ht="15.75" hidden="1" outlineLevel="1" thickBot="1" x14ac:dyDescent="0.3">
      <c r="B149" s="151"/>
      <c r="C149" s="9" t="s">
        <v>3</v>
      </c>
      <c r="D149" s="8"/>
      <c r="E149" s="201"/>
      <c r="F149" s="201"/>
      <c r="G149" s="8"/>
      <c r="H149" s="8"/>
      <c r="I149" s="8"/>
      <c r="J149" s="8"/>
      <c r="K149" s="8"/>
      <c r="L149" s="201"/>
      <c r="M149" s="201"/>
      <c r="N149" s="8"/>
      <c r="O149" s="8"/>
      <c r="P149" s="8"/>
      <c r="Q149" s="8"/>
      <c r="R149" s="8"/>
      <c r="S149" s="201"/>
      <c r="T149" s="201"/>
      <c r="U149" s="8"/>
      <c r="V149" s="8"/>
      <c r="W149" s="8"/>
      <c r="X149" s="8"/>
      <c r="Y149" s="8"/>
      <c r="Z149" s="201"/>
      <c r="AA149" s="201"/>
      <c r="AB149" s="8"/>
      <c r="AC149" s="8"/>
      <c r="AD149" s="8"/>
      <c r="AE149" s="8"/>
      <c r="AF149" s="8"/>
      <c r="AG149" s="201"/>
      <c r="AH149" s="8"/>
      <c r="AI149" s="7"/>
      <c r="AJ149" s="69">
        <f t="shared" si="28"/>
        <v>0</v>
      </c>
    </row>
    <row r="150" spans="2:36" ht="16.5" collapsed="1" thickTop="1" thickBot="1" x14ac:dyDescent="0.3">
      <c r="B150" s="149" t="str">
        <f>'Hours Scheduled'!B33</f>
        <v>Erik Jaspers</v>
      </c>
      <c r="C150" t="s">
        <v>0</v>
      </c>
      <c r="D150" s="2"/>
      <c r="E150" s="200"/>
      <c r="F150" s="200"/>
      <c r="G150" s="2"/>
      <c r="H150" s="2"/>
      <c r="I150" s="2"/>
      <c r="J150" s="2"/>
      <c r="K150" s="2"/>
      <c r="L150" s="200"/>
      <c r="M150" s="200"/>
      <c r="N150" s="2"/>
      <c r="O150" s="2"/>
      <c r="P150" s="2"/>
      <c r="Q150" s="2"/>
      <c r="R150" s="2"/>
      <c r="S150" s="200"/>
      <c r="T150" s="200"/>
      <c r="U150" s="2"/>
      <c r="V150" s="2"/>
      <c r="W150" s="2"/>
      <c r="X150" s="2"/>
      <c r="Y150" s="2"/>
      <c r="Z150" s="200"/>
      <c r="AA150" s="200"/>
      <c r="AB150" s="2"/>
      <c r="AC150" s="2"/>
      <c r="AD150" s="2"/>
      <c r="AE150" s="2"/>
      <c r="AF150" s="2"/>
      <c r="AG150" s="200"/>
      <c r="AH150" s="2"/>
      <c r="AJ150" s="64">
        <f>SUM(D150:AH150)</f>
        <v>0</v>
      </c>
    </row>
    <row r="151" spans="2:36" ht="15.75" hidden="1" outlineLevel="1" thickTop="1" x14ac:dyDescent="0.25">
      <c r="B151" s="150"/>
      <c r="C151" s="1" t="s">
        <v>1</v>
      </c>
      <c r="D151" s="3"/>
      <c r="E151" s="200"/>
      <c r="F151" s="200"/>
      <c r="G151" s="3"/>
      <c r="H151" s="3"/>
      <c r="I151" s="3"/>
      <c r="J151" s="3"/>
      <c r="K151" s="3"/>
      <c r="L151" s="200"/>
      <c r="M151" s="200"/>
      <c r="N151" s="3"/>
      <c r="O151" s="3"/>
      <c r="P151" s="3"/>
      <c r="Q151" s="3"/>
      <c r="R151" s="3"/>
      <c r="S151" s="200"/>
      <c r="T151" s="200"/>
      <c r="U151" s="3"/>
      <c r="V151" s="3"/>
      <c r="W151" s="3"/>
      <c r="X151" s="3"/>
      <c r="Y151" s="3"/>
      <c r="Z151" s="200"/>
      <c r="AA151" s="200"/>
      <c r="AB151" s="3"/>
      <c r="AC151" s="3"/>
      <c r="AD151" s="3"/>
      <c r="AE151" s="3"/>
      <c r="AF151" s="3"/>
      <c r="AG151" s="200"/>
      <c r="AH151" s="3"/>
      <c r="AJ151" s="70">
        <f t="shared" ref="AJ151:AJ154" si="29">SUM(D151:AH151)</f>
        <v>0</v>
      </c>
    </row>
    <row r="152" spans="2:36" hidden="1" outlineLevel="1" x14ac:dyDescent="0.25">
      <c r="B152" s="151"/>
      <c r="C152" s="1" t="s">
        <v>2</v>
      </c>
      <c r="D152" s="4"/>
      <c r="E152" s="200"/>
      <c r="F152" s="200"/>
      <c r="G152" s="4"/>
      <c r="H152" s="4"/>
      <c r="I152" s="4"/>
      <c r="J152" s="4"/>
      <c r="K152" s="4"/>
      <c r="L152" s="200"/>
      <c r="M152" s="200"/>
      <c r="N152" s="4"/>
      <c r="O152" s="4"/>
      <c r="P152" s="4"/>
      <c r="Q152" s="4"/>
      <c r="R152" s="4"/>
      <c r="S152" s="200"/>
      <c r="T152" s="200"/>
      <c r="U152" s="4"/>
      <c r="V152" s="4"/>
      <c r="W152" s="4"/>
      <c r="X152" s="4"/>
      <c r="Y152" s="4"/>
      <c r="Z152" s="200"/>
      <c r="AA152" s="200"/>
      <c r="AB152" s="4"/>
      <c r="AC152" s="4"/>
      <c r="AD152" s="4"/>
      <c r="AE152" s="4"/>
      <c r="AF152" s="4"/>
      <c r="AG152" s="200"/>
      <c r="AH152" s="4"/>
      <c r="AJ152" s="71">
        <f t="shared" si="29"/>
        <v>0</v>
      </c>
    </row>
    <row r="153" spans="2:36" hidden="1" outlineLevel="1" x14ac:dyDescent="0.25">
      <c r="B153" s="151"/>
      <c r="C153" s="54" t="s">
        <v>77</v>
      </c>
      <c r="D153" s="5"/>
      <c r="E153" s="200"/>
      <c r="F153" s="200"/>
      <c r="G153" s="5"/>
      <c r="H153" s="5"/>
      <c r="I153" s="5"/>
      <c r="J153" s="5"/>
      <c r="K153" s="5"/>
      <c r="L153" s="200"/>
      <c r="M153" s="200"/>
      <c r="N153" s="5"/>
      <c r="O153" s="5"/>
      <c r="P153" s="5"/>
      <c r="Q153" s="5"/>
      <c r="R153" s="5"/>
      <c r="S153" s="200"/>
      <c r="T153" s="200"/>
      <c r="U153" s="5"/>
      <c r="V153" s="5"/>
      <c r="W153" s="5"/>
      <c r="X153" s="5"/>
      <c r="Y153" s="5"/>
      <c r="Z153" s="200"/>
      <c r="AA153" s="200"/>
      <c r="AB153" s="5"/>
      <c r="AC153" s="5"/>
      <c r="AD153" s="5"/>
      <c r="AE153" s="5"/>
      <c r="AF153" s="5"/>
      <c r="AG153" s="200"/>
      <c r="AH153" s="5"/>
      <c r="AJ153" s="72">
        <f t="shared" si="29"/>
        <v>0</v>
      </c>
    </row>
    <row r="154" spans="2:36" ht="15.75" hidden="1" outlineLevel="1" thickBot="1" x14ac:dyDescent="0.3">
      <c r="B154" s="151"/>
      <c r="C154" s="9" t="s">
        <v>3</v>
      </c>
      <c r="D154" s="8"/>
      <c r="E154" s="201"/>
      <c r="F154" s="201"/>
      <c r="G154" s="8"/>
      <c r="H154" s="8"/>
      <c r="I154" s="8"/>
      <c r="J154" s="8"/>
      <c r="K154" s="8"/>
      <c r="L154" s="201"/>
      <c r="M154" s="201"/>
      <c r="N154" s="8"/>
      <c r="O154" s="8"/>
      <c r="P154" s="8"/>
      <c r="Q154" s="8"/>
      <c r="R154" s="8"/>
      <c r="S154" s="201"/>
      <c r="T154" s="201"/>
      <c r="U154" s="8"/>
      <c r="V154" s="8"/>
      <c r="W154" s="8"/>
      <c r="X154" s="8"/>
      <c r="Y154" s="8"/>
      <c r="Z154" s="201"/>
      <c r="AA154" s="201"/>
      <c r="AB154" s="8"/>
      <c r="AC154" s="8"/>
      <c r="AD154" s="8"/>
      <c r="AE154" s="8"/>
      <c r="AF154" s="8"/>
      <c r="AG154" s="201"/>
      <c r="AH154" s="8"/>
      <c r="AI154" s="7"/>
      <c r="AJ154" s="69">
        <f t="shared" si="29"/>
        <v>0</v>
      </c>
    </row>
    <row r="155" spans="2:36" ht="16.5" collapsed="1" thickTop="1" thickBot="1" x14ac:dyDescent="0.3">
      <c r="B155" s="149" t="str">
        <f>'Hours Scheduled'!B34</f>
        <v>Leo Wijnands</v>
      </c>
      <c r="C155" t="s">
        <v>0</v>
      </c>
      <c r="D155" s="2"/>
      <c r="E155" s="200"/>
      <c r="F155" s="200"/>
      <c r="G155" s="2"/>
      <c r="H155" s="2"/>
      <c r="I155" s="2"/>
      <c r="J155" s="2"/>
      <c r="K155" s="2"/>
      <c r="L155" s="200"/>
      <c r="M155" s="200"/>
      <c r="N155" s="2"/>
      <c r="O155" s="2"/>
      <c r="P155" s="2"/>
      <c r="Q155" s="2"/>
      <c r="R155" s="2"/>
      <c r="S155" s="200"/>
      <c r="T155" s="200"/>
      <c r="U155" s="2"/>
      <c r="V155" s="2"/>
      <c r="W155" s="2"/>
      <c r="X155" s="2"/>
      <c r="Y155" s="2"/>
      <c r="Z155" s="200"/>
      <c r="AA155" s="200"/>
      <c r="AB155" s="2"/>
      <c r="AC155" s="2"/>
      <c r="AD155" s="2"/>
      <c r="AE155" s="2"/>
      <c r="AF155" s="2"/>
      <c r="AG155" s="200"/>
      <c r="AH155" s="2"/>
      <c r="AJ155" s="64">
        <f>SUM(D155:AH155)</f>
        <v>0</v>
      </c>
    </row>
    <row r="156" spans="2:36" ht="15.75" hidden="1" outlineLevel="1" thickTop="1" x14ac:dyDescent="0.25">
      <c r="B156" s="150"/>
      <c r="C156" s="1" t="s">
        <v>1</v>
      </c>
      <c r="D156" s="3"/>
      <c r="E156" s="200"/>
      <c r="F156" s="200"/>
      <c r="G156" s="3"/>
      <c r="H156" s="3"/>
      <c r="I156" s="3"/>
      <c r="J156" s="3"/>
      <c r="K156" s="3"/>
      <c r="L156" s="200"/>
      <c r="M156" s="200"/>
      <c r="N156" s="3"/>
      <c r="O156" s="3"/>
      <c r="P156" s="3"/>
      <c r="Q156" s="3"/>
      <c r="R156" s="3"/>
      <c r="S156" s="200"/>
      <c r="T156" s="200"/>
      <c r="U156" s="3"/>
      <c r="V156" s="3"/>
      <c r="W156" s="3"/>
      <c r="X156" s="3"/>
      <c r="Y156" s="3"/>
      <c r="Z156" s="200"/>
      <c r="AA156" s="200"/>
      <c r="AB156" s="3"/>
      <c r="AC156" s="3"/>
      <c r="AD156" s="3"/>
      <c r="AE156" s="3"/>
      <c r="AF156" s="3"/>
      <c r="AG156" s="200"/>
      <c r="AH156" s="3"/>
      <c r="AJ156" s="70">
        <f t="shared" ref="AJ156:AJ159" si="30">SUM(D156:AH156)</f>
        <v>0</v>
      </c>
    </row>
    <row r="157" spans="2:36" hidden="1" outlineLevel="1" x14ac:dyDescent="0.25">
      <c r="B157" s="151"/>
      <c r="C157" s="1" t="s">
        <v>2</v>
      </c>
      <c r="D157" s="4"/>
      <c r="E157" s="200"/>
      <c r="F157" s="200"/>
      <c r="G157" s="4"/>
      <c r="H157" s="4"/>
      <c r="I157" s="4"/>
      <c r="J157" s="4"/>
      <c r="K157" s="4"/>
      <c r="L157" s="200"/>
      <c r="M157" s="200"/>
      <c r="N157" s="4"/>
      <c r="O157" s="4"/>
      <c r="P157" s="4"/>
      <c r="Q157" s="4"/>
      <c r="R157" s="4"/>
      <c r="S157" s="200"/>
      <c r="T157" s="200"/>
      <c r="U157" s="4"/>
      <c r="V157" s="4"/>
      <c r="W157" s="4"/>
      <c r="X157" s="4"/>
      <c r="Y157" s="4"/>
      <c r="Z157" s="200"/>
      <c r="AA157" s="200"/>
      <c r="AB157" s="4"/>
      <c r="AC157" s="4"/>
      <c r="AD157" s="4"/>
      <c r="AE157" s="4"/>
      <c r="AF157" s="4"/>
      <c r="AG157" s="200"/>
      <c r="AH157" s="4"/>
      <c r="AJ157" s="71">
        <f t="shared" si="30"/>
        <v>0</v>
      </c>
    </row>
    <row r="158" spans="2:36" hidden="1" outlineLevel="1" x14ac:dyDescent="0.25">
      <c r="B158" s="151"/>
      <c r="C158" s="54" t="s">
        <v>77</v>
      </c>
      <c r="D158" s="5"/>
      <c r="E158" s="200"/>
      <c r="F158" s="200"/>
      <c r="G158" s="5"/>
      <c r="H158" s="5"/>
      <c r="I158" s="5"/>
      <c r="J158" s="5"/>
      <c r="K158" s="5"/>
      <c r="L158" s="200"/>
      <c r="M158" s="200"/>
      <c r="N158" s="5"/>
      <c r="O158" s="5"/>
      <c r="P158" s="5"/>
      <c r="Q158" s="5"/>
      <c r="R158" s="5"/>
      <c r="S158" s="200"/>
      <c r="T158" s="200"/>
      <c r="U158" s="5"/>
      <c r="V158" s="5"/>
      <c r="W158" s="5"/>
      <c r="X158" s="5"/>
      <c r="Y158" s="5"/>
      <c r="Z158" s="200"/>
      <c r="AA158" s="200"/>
      <c r="AB158" s="5"/>
      <c r="AC158" s="5"/>
      <c r="AD158" s="5"/>
      <c r="AE158" s="5"/>
      <c r="AF158" s="5"/>
      <c r="AG158" s="200"/>
      <c r="AH158" s="5"/>
      <c r="AJ158" s="72">
        <f t="shared" si="30"/>
        <v>0</v>
      </c>
    </row>
    <row r="159" spans="2:36" ht="15.75" hidden="1" outlineLevel="1" thickBot="1" x14ac:dyDescent="0.3">
      <c r="B159" s="151"/>
      <c r="C159" s="9" t="s">
        <v>3</v>
      </c>
      <c r="D159" s="8"/>
      <c r="E159" s="201"/>
      <c r="F159" s="201"/>
      <c r="G159" s="8"/>
      <c r="H159" s="8"/>
      <c r="I159" s="8"/>
      <c r="J159" s="8"/>
      <c r="K159" s="8"/>
      <c r="L159" s="201"/>
      <c r="M159" s="201"/>
      <c r="N159" s="8"/>
      <c r="O159" s="8"/>
      <c r="P159" s="8"/>
      <c r="Q159" s="8"/>
      <c r="R159" s="8"/>
      <c r="S159" s="201"/>
      <c r="T159" s="201"/>
      <c r="U159" s="8"/>
      <c r="V159" s="8"/>
      <c r="W159" s="8"/>
      <c r="X159" s="8"/>
      <c r="Y159" s="8"/>
      <c r="Z159" s="201"/>
      <c r="AA159" s="201"/>
      <c r="AB159" s="8"/>
      <c r="AC159" s="8"/>
      <c r="AD159" s="8"/>
      <c r="AE159" s="8"/>
      <c r="AF159" s="8"/>
      <c r="AG159" s="201"/>
      <c r="AH159" s="8"/>
      <c r="AI159" s="7"/>
      <c r="AJ159" s="69">
        <f t="shared" si="30"/>
        <v>0</v>
      </c>
    </row>
    <row r="160" spans="2:36" ht="16.5" collapsed="1" thickTop="1" thickBot="1" x14ac:dyDescent="0.3">
      <c r="B160" s="149" t="str">
        <f>'Hours Scheduled'!B35</f>
        <v>Danny Ummels</v>
      </c>
      <c r="C160" t="s">
        <v>0</v>
      </c>
      <c r="D160" s="2"/>
      <c r="E160" s="200"/>
      <c r="F160" s="200"/>
      <c r="G160" s="2"/>
      <c r="H160" s="2"/>
      <c r="I160" s="2"/>
      <c r="J160" s="2"/>
      <c r="K160" s="2"/>
      <c r="L160" s="200"/>
      <c r="M160" s="200"/>
      <c r="N160" s="2"/>
      <c r="O160" s="2"/>
      <c r="P160" s="2"/>
      <c r="Q160" s="2"/>
      <c r="R160" s="2"/>
      <c r="S160" s="200"/>
      <c r="T160" s="200"/>
      <c r="U160" s="2"/>
      <c r="V160" s="2"/>
      <c r="W160" s="2"/>
      <c r="X160" s="2"/>
      <c r="Y160" s="2"/>
      <c r="Z160" s="200"/>
      <c r="AA160" s="200"/>
      <c r="AB160" s="2"/>
      <c r="AC160" s="2"/>
      <c r="AD160" s="2"/>
      <c r="AE160" s="2"/>
      <c r="AF160" s="2"/>
      <c r="AG160" s="200"/>
      <c r="AH160" s="2"/>
      <c r="AJ160" s="64">
        <f>SUM(D160:AH160)</f>
        <v>0</v>
      </c>
    </row>
    <row r="161" spans="2:36" ht="15.75" hidden="1" outlineLevel="1" thickTop="1" x14ac:dyDescent="0.25">
      <c r="B161" s="150"/>
      <c r="C161" s="1" t="s">
        <v>1</v>
      </c>
      <c r="D161" s="3"/>
      <c r="E161" s="200"/>
      <c r="F161" s="200"/>
      <c r="G161" s="3"/>
      <c r="H161" s="3"/>
      <c r="I161" s="3"/>
      <c r="J161" s="3"/>
      <c r="K161" s="3"/>
      <c r="L161" s="200"/>
      <c r="M161" s="200"/>
      <c r="N161" s="3"/>
      <c r="O161" s="3"/>
      <c r="P161" s="3"/>
      <c r="Q161" s="3"/>
      <c r="R161" s="3"/>
      <c r="S161" s="200"/>
      <c r="T161" s="200"/>
      <c r="U161" s="3"/>
      <c r="V161" s="3"/>
      <c r="W161" s="3"/>
      <c r="X161" s="3"/>
      <c r="Y161" s="3"/>
      <c r="Z161" s="200"/>
      <c r="AA161" s="200"/>
      <c r="AB161" s="3"/>
      <c r="AC161" s="3"/>
      <c r="AD161" s="3"/>
      <c r="AE161" s="3"/>
      <c r="AF161" s="3"/>
      <c r="AG161" s="200"/>
      <c r="AH161" s="3"/>
      <c r="AJ161" s="70">
        <f t="shared" ref="AJ161:AJ164" si="31">SUM(D161:AH161)</f>
        <v>0</v>
      </c>
    </row>
    <row r="162" spans="2:36" hidden="1" outlineLevel="1" x14ac:dyDescent="0.25">
      <c r="B162" s="151"/>
      <c r="C162" s="1" t="s">
        <v>2</v>
      </c>
      <c r="D162" s="4"/>
      <c r="E162" s="200"/>
      <c r="F162" s="200"/>
      <c r="G162" s="4"/>
      <c r="H162" s="4"/>
      <c r="I162" s="4"/>
      <c r="J162" s="4"/>
      <c r="K162" s="4"/>
      <c r="L162" s="200"/>
      <c r="M162" s="200"/>
      <c r="N162" s="4"/>
      <c r="O162" s="4"/>
      <c r="P162" s="4"/>
      <c r="Q162" s="4"/>
      <c r="R162" s="4"/>
      <c r="S162" s="200"/>
      <c r="T162" s="200"/>
      <c r="U162" s="4"/>
      <c r="V162" s="4"/>
      <c r="W162" s="4"/>
      <c r="X162" s="4"/>
      <c r="Y162" s="4"/>
      <c r="Z162" s="200"/>
      <c r="AA162" s="200"/>
      <c r="AB162" s="4"/>
      <c r="AC162" s="4"/>
      <c r="AD162" s="4"/>
      <c r="AE162" s="4"/>
      <c r="AF162" s="4"/>
      <c r="AG162" s="200"/>
      <c r="AH162" s="4"/>
      <c r="AJ162" s="71">
        <f t="shared" si="31"/>
        <v>0</v>
      </c>
    </row>
    <row r="163" spans="2:36" hidden="1" outlineLevel="1" x14ac:dyDescent="0.25">
      <c r="B163" s="151"/>
      <c r="C163" s="54" t="s">
        <v>77</v>
      </c>
      <c r="D163" s="5"/>
      <c r="E163" s="200"/>
      <c r="F163" s="200"/>
      <c r="G163" s="5"/>
      <c r="H163" s="5"/>
      <c r="I163" s="5"/>
      <c r="J163" s="5"/>
      <c r="K163" s="5"/>
      <c r="L163" s="200"/>
      <c r="M163" s="200"/>
      <c r="N163" s="5"/>
      <c r="O163" s="5"/>
      <c r="P163" s="5"/>
      <c r="Q163" s="5"/>
      <c r="R163" s="5"/>
      <c r="S163" s="200"/>
      <c r="T163" s="200"/>
      <c r="U163" s="5"/>
      <c r="V163" s="5"/>
      <c r="W163" s="5"/>
      <c r="X163" s="5"/>
      <c r="Y163" s="5"/>
      <c r="Z163" s="200"/>
      <c r="AA163" s="200"/>
      <c r="AB163" s="5"/>
      <c r="AC163" s="5"/>
      <c r="AD163" s="5"/>
      <c r="AE163" s="5"/>
      <c r="AF163" s="5"/>
      <c r="AG163" s="200"/>
      <c r="AH163" s="5"/>
      <c r="AJ163" s="72">
        <f t="shared" si="31"/>
        <v>0</v>
      </c>
    </row>
    <row r="164" spans="2:36" ht="15.75" hidden="1" outlineLevel="1" thickBot="1" x14ac:dyDescent="0.3">
      <c r="B164" s="151"/>
      <c r="C164" s="9" t="s">
        <v>3</v>
      </c>
      <c r="D164" s="8"/>
      <c r="E164" s="201"/>
      <c r="F164" s="201"/>
      <c r="G164" s="8"/>
      <c r="H164" s="8"/>
      <c r="I164" s="8"/>
      <c r="J164" s="8"/>
      <c r="K164" s="8"/>
      <c r="L164" s="201"/>
      <c r="M164" s="201"/>
      <c r="N164" s="8"/>
      <c r="O164" s="8"/>
      <c r="P164" s="8"/>
      <c r="Q164" s="8"/>
      <c r="R164" s="8"/>
      <c r="S164" s="201"/>
      <c r="T164" s="201"/>
      <c r="U164" s="8"/>
      <c r="V164" s="8"/>
      <c r="W164" s="8"/>
      <c r="X164" s="8"/>
      <c r="Y164" s="8"/>
      <c r="Z164" s="201"/>
      <c r="AA164" s="201"/>
      <c r="AB164" s="8"/>
      <c r="AC164" s="8"/>
      <c r="AD164" s="8"/>
      <c r="AE164" s="8"/>
      <c r="AF164" s="8"/>
      <c r="AG164" s="201"/>
      <c r="AH164" s="8"/>
      <c r="AI164" s="7"/>
      <c r="AJ164" s="69">
        <f t="shared" si="31"/>
        <v>0</v>
      </c>
    </row>
    <row r="165" spans="2:36" ht="16.5" collapsed="1" thickTop="1" thickBot="1" x14ac:dyDescent="0.3">
      <c r="B165" s="149">
        <f>'Hours Scheduled'!B36</f>
        <v>0</v>
      </c>
      <c r="C165" t="s">
        <v>0</v>
      </c>
      <c r="D165" s="2"/>
      <c r="E165" s="200"/>
      <c r="F165" s="200"/>
      <c r="G165" s="2"/>
      <c r="H165" s="2"/>
      <c r="I165" s="2"/>
      <c r="J165" s="2"/>
      <c r="K165" s="2"/>
      <c r="L165" s="200"/>
      <c r="M165" s="200"/>
      <c r="N165" s="2"/>
      <c r="O165" s="2"/>
      <c r="P165" s="2"/>
      <c r="Q165" s="2"/>
      <c r="R165" s="2"/>
      <c r="S165" s="200"/>
      <c r="T165" s="200"/>
      <c r="U165" s="2"/>
      <c r="V165" s="2"/>
      <c r="W165" s="2"/>
      <c r="X165" s="2"/>
      <c r="Y165" s="2"/>
      <c r="Z165" s="200"/>
      <c r="AA165" s="200"/>
      <c r="AB165" s="2"/>
      <c r="AC165" s="2"/>
      <c r="AD165" s="2"/>
      <c r="AE165" s="2"/>
      <c r="AF165" s="2"/>
      <c r="AG165" s="200"/>
      <c r="AH165" s="2"/>
      <c r="AJ165" s="64">
        <f>SUM(D165:AH165)</f>
        <v>0</v>
      </c>
    </row>
    <row r="166" spans="2:36" ht="15.75" hidden="1" outlineLevel="1" thickTop="1" x14ac:dyDescent="0.25">
      <c r="B166" s="150"/>
      <c r="C166" s="1" t="s">
        <v>1</v>
      </c>
      <c r="D166" s="3"/>
      <c r="E166" s="200"/>
      <c r="F166" s="200"/>
      <c r="G166" s="3"/>
      <c r="H166" s="3"/>
      <c r="I166" s="3"/>
      <c r="J166" s="3"/>
      <c r="K166" s="3"/>
      <c r="L166" s="200"/>
      <c r="M166" s="200"/>
      <c r="N166" s="3"/>
      <c r="O166" s="3"/>
      <c r="P166" s="3"/>
      <c r="Q166" s="3"/>
      <c r="R166" s="3"/>
      <c r="S166" s="200"/>
      <c r="T166" s="200"/>
      <c r="U166" s="3"/>
      <c r="V166" s="3"/>
      <c r="W166" s="3"/>
      <c r="X166" s="3"/>
      <c r="Y166" s="3"/>
      <c r="Z166" s="200"/>
      <c r="AA166" s="200"/>
      <c r="AB166" s="3"/>
      <c r="AC166" s="3"/>
      <c r="AD166" s="3"/>
      <c r="AE166" s="3"/>
      <c r="AF166" s="3"/>
      <c r="AG166" s="200"/>
      <c r="AH166" s="3"/>
      <c r="AJ166" s="70">
        <f t="shared" ref="AJ166:AJ169" si="32">SUM(D166:AH166)</f>
        <v>0</v>
      </c>
    </row>
    <row r="167" spans="2:36" hidden="1" outlineLevel="1" x14ac:dyDescent="0.25">
      <c r="B167" s="151"/>
      <c r="C167" s="1" t="s">
        <v>2</v>
      </c>
      <c r="D167" s="4"/>
      <c r="E167" s="200"/>
      <c r="F167" s="200"/>
      <c r="G167" s="4"/>
      <c r="H167" s="4"/>
      <c r="I167" s="4"/>
      <c r="J167" s="4"/>
      <c r="K167" s="4"/>
      <c r="L167" s="200"/>
      <c r="M167" s="200"/>
      <c r="N167" s="4"/>
      <c r="O167" s="4"/>
      <c r="P167" s="4"/>
      <c r="Q167" s="4"/>
      <c r="R167" s="4"/>
      <c r="S167" s="200"/>
      <c r="T167" s="200"/>
      <c r="U167" s="4"/>
      <c r="V167" s="4"/>
      <c r="W167" s="4"/>
      <c r="X167" s="4"/>
      <c r="Y167" s="4"/>
      <c r="Z167" s="200"/>
      <c r="AA167" s="200"/>
      <c r="AB167" s="4"/>
      <c r="AC167" s="4"/>
      <c r="AD167" s="4"/>
      <c r="AE167" s="4"/>
      <c r="AF167" s="4"/>
      <c r="AG167" s="200"/>
      <c r="AH167" s="4"/>
      <c r="AJ167" s="71">
        <f t="shared" si="32"/>
        <v>0</v>
      </c>
    </row>
    <row r="168" spans="2:36" hidden="1" outlineLevel="1" x14ac:dyDescent="0.25">
      <c r="B168" s="151"/>
      <c r="C168" s="54" t="s">
        <v>77</v>
      </c>
      <c r="D168" s="5"/>
      <c r="E168" s="200"/>
      <c r="F168" s="200"/>
      <c r="G168" s="5"/>
      <c r="H168" s="5"/>
      <c r="I168" s="5"/>
      <c r="J168" s="5"/>
      <c r="K168" s="5"/>
      <c r="L168" s="200"/>
      <c r="M168" s="200"/>
      <c r="N168" s="5"/>
      <c r="O168" s="5"/>
      <c r="P168" s="5"/>
      <c r="Q168" s="5"/>
      <c r="R168" s="5"/>
      <c r="S168" s="200"/>
      <c r="T168" s="200"/>
      <c r="U168" s="5"/>
      <c r="V168" s="5"/>
      <c r="W168" s="5"/>
      <c r="X168" s="5"/>
      <c r="Y168" s="5"/>
      <c r="Z168" s="200"/>
      <c r="AA168" s="200"/>
      <c r="AB168" s="5"/>
      <c r="AC168" s="5"/>
      <c r="AD168" s="5"/>
      <c r="AE168" s="5"/>
      <c r="AF168" s="5"/>
      <c r="AG168" s="200"/>
      <c r="AH168" s="5"/>
      <c r="AJ168" s="72">
        <f t="shared" si="32"/>
        <v>0</v>
      </c>
    </row>
    <row r="169" spans="2:36" ht="15.75" hidden="1" outlineLevel="1" thickBot="1" x14ac:dyDescent="0.3">
      <c r="B169" s="151"/>
      <c r="C169" s="9" t="s">
        <v>3</v>
      </c>
      <c r="D169" s="8"/>
      <c r="E169" s="201"/>
      <c r="F169" s="201"/>
      <c r="G169" s="8"/>
      <c r="H169" s="8"/>
      <c r="I169" s="8"/>
      <c r="J169" s="8"/>
      <c r="K169" s="8"/>
      <c r="L169" s="201"/>
      <c r="M169" s="201"/>
      <c r="N169" s="8"/>
      <c r="O169" s="8"/>
      <c r="P169" s="8"/>
      <c r="Q169" s="8"/>
      <c r="R169" s="8"/>
      <c r="S169" s="201"/>
      <c r="T169" s="201"/>
      <c r="U169" s="8"/>
      <c r="V169" s="8"/>
      <c r="W169" s="8"/>
      <c r="X169" s="8"/>
      <c r="Y169" s="8"/>
      <c r="Z169" s="201"/>
      <c r="AA169" s="201"/>
      <c r="AB169" s="8"/>
      <c r="AC169" s="8"/>
      <c r="AD169" s="8"/>
      <c r="AE169" s="8"/>
      <c r="AF169" s="8"/>
      <c r="AG169" s="201"/>
      <c r="AH169" s="8"/>
      <c r="AI169" s="7"/>
      <c r="AJ169" s="69">
        <f t="shared" si="32"/>
        <v>0</v>
      </c>
    </row>
    <row r="170" spans="2:36" ht="16.5" collapsed="1" thickTop="1" thickBot="1" x14ac:dyDescent="0.3">
      <c r="B170" s="149">
        <f>'Hours Scheduled'!B37</f>
        <v>0</v>
      </c>
      <c r="C170" t="s">
        <v>0</v>
      </c>
      <c r="D170" s="2"/>
      <c r="E170" s="200"/>
      <c r="F170" s="200"/>
      <c r="G170" s="2"/>
      <c r="H170" s="2"/>
      <c r="I170" s="2"/>
      <c r="J170" s="2"/>
      <c r="K170" s="2"/>
      <c r="L170" s="200"/>
      <c r="M170" s="200"/>
      <c r="N170" s="2"/>
      <c r="O170" s="2"/>
      <c r="P170" s="2"/>
      <c r="Q170" s="2"/>
      <c r="R170" s="2"/>
      <c r="S170" s="200"/>
      <c r="T170" s="200"/>
      <c r="U170" s="2"/>
      <c r="V170" s="2"/>
      <c r="W170" s="2"/>
      <c r="X170" s="2"/>
      <c r="Y170" s="2"/>
      <c r="Z170" s="200"/>
      <c r="AA170" s="200"/>
      <c r="AB170" s="2"/>
      <c r="AC170" s="2"/>
      <c r="AD170" s="2"/>
      <c r="AE170" s="2"/>
      <c r="AF170" s="2"/>
      <c r="AG170" s="200"/>
      <c r="AH170" s="2"/>
      <c r="AJ170" s="64">
        <f>SUM(D170:AH170)</f>
        <v>0</v>
      </c>
    </row>
    <row r="171" spans="2:36" ht="15.75" hidden="1" outlineLevel="1" thickTop="1" x14ac:dyDescent="0.25">
      <c r="B171" s="150"/>
      <c r="C171" s="1" t="s">
        <v>1</v>
      </c>
      <c r="D171" s="3"/>
      <c r="E171" s="200"/>
      <c r="F171" s="200"/>
      <c r="G171" s="3"/>
      <c r="H171" s="3"/>
      <c r="I171" s="3"/>
      <c r="J171" s="3"/>
      <c r="K171" s="3"/>
      <c r="L171" s="200"/>
      <c r="M171" s="200"/>
      <c r="N171" s="3"/>
      <c r="O171" s="3"/>
      <c r="P171" s="3"/>
      <c r="Q171" s="3"/>
      <c r="R171" s="3"/>
      <c r="S171" s="200"/>
      <c r="T171" s="200"/>
      <c r="U171" s="3"/>
      <c r="V171" s="3"/>
      <c r="W171" s="3"/>
      <c r="X171" s="3"/>
      <c r="Y171" s="3"/>
      <c r="Z171" s="200"/>
      <c r="AA171" s="200"/>
      <c r="AB171" s="3"/>
      <c r="AC171" s="3"/>
      <c r="AD171" s="3"/>
      <c r="AE171" s="3"/>
      <c r="AF171" s="3"/>
      <c r="AG171" s="200"/>
      <c r="AH171" s="3"/>
      <c r="AJ171" s="70">
        <f t="shared" ref="AJ171:AJ174" si="33">SUM(D171:AH171)</f>
        <v>0</v>
      </c>
    </row>
    <row r="172" spans="2:36" hidden="1" outlineLevel="1" x14ac:dyDescent="0.25">
      <c r="B172" s="151"/>
      <c r="C172" s="1" t="s">
        <v>2</v>
      </c>
      <c r="D172" s="4"/>
      <c r="E172" s="200"/>
      <c r="F172" s="200"/>
      <c r="G172" s="4"/>
      <c r="H172" s="4"/>
      <c r="I172" s="4"/>
      <c r="J172" s="4"/>
      <c r="K172" s="4"/>
      <c r="L172" s="200"/>
      <c r="M172" s="200"/>
      <c r="N172" s="4"/>
      <c r="O172" s="4"/>
      <c r="P172" s="4"/>
      <c r="Q172" s="4"/>
      <c r="R172" s="4"/>
      <c r="S172" s="200"/>
      <c r="T172" s="200"/>
      <c r="U172" s="4"/>
      <c r="V172" s="4"/>
      <c r="W172" s="4"/>
      <c r="X172" s="4"/>
      <c r="Y172" s="4"/>
      <c r="Z172" s="200"/>
      <c r="AA172" s="200"/>
      <c r="AB172" s="4"/>
      <c r="AC172" s="4"/>
      <c r="AD172" s="4"/>
      <c r="AE172" s="4"/>
      <c r="AF172" s="4"/>
      <c r="AG172" s="200"/>
      <c r="AH172" s="4"/>
      <c r="AJ172" s="71">
        <f t="shared" si="33"/>
        <v>0</v>
      </c>
    </row>
    <row r="173" spans="2:36" hidden="1" outlineLevel="1" x14ac:dyDescent="0.25">
      <c r="B173" s="151"/>
      <c r="C173" s="54" t="s">
        <v>77</v>
      </c>
      <c r="D173" s="5"/>
      <c r="E173" s="200"/>
      <c r="F173" s="200"/>
      <c r="G173" s="5"/>
      <c r="H173" s="5"/>
      <c r="I173" s="5"/>
      <c r="J173" s="5"/>
      <c r="K173" s="5"/>
      <c r="L173" s="200"/>
      <c r="M173" s="200"/>
      <c r="N173" s="5"/>
      <c r="O173" s="5"/>
      <c r="P173" s="5"/>
      <c r="Q173" s="5"/>
      <c r="R173" s="5"/>
      <c r="S173" s="200"/>
      <c r="T173" s="200"/>
      <c r="U173" s="5"/>
      <c r="V173" s="5"/>
      <c r="W173" s="5"/>
      <c r="X173" s="5"/>
      <c r="Y173" s="5"/>
      <c r="Z173" s="200"/>
      <c r="AA173" s="200"/>
      <c r="AB173" s="5"/>
      <c r="AC173" s="5"/>
      <c r="AD173" s="5"/>
      <c r="AE173" s="5"/>
      <c r="AF173" s="5"/>
      <c r="AG173" s="200"/>
      <c r="AH173" s="5"/>
      <c r="AJ173" s="72">
        <f t="shared" si="33"/>
        <v>0</v>
      </c>
    </row>
    <row r="174" spans="2:36" ht="15.75" hidden="1" outlineLevel="1" thickBot="1" x14ac:dyDescent="0.3">
      <c r="B174" s="151"/>
      <c r="C174" s="9" t="s">
        <v>3</v>
      </c>
      <c r="D174" s="8"/>
      <c r="E174" s="201"/>
      <c r="F174" s="201"/>
      <c r="G174" s="8"/>
      <c r="H174" s="8"/>
      <c r="I174" s="8"/>
      <c r="J174" s="8"/>
      <c r="K174" s="8"/>
      <c r="L174" s="201"/>
      <c r="M174" s="201"/>
      <c r="N174" s="8"/>
      <c r="O174" s="8"/>
      <c r="P174" s="8"/>
      <c r="Q174" s="8"/>
      <c r="R174" s="8"/>
      <c r="S174" s="201"/>
      <c r="T174" s="201"/>
      <c r="U174" s="8"/>
      <c r="V174" s="8"/>
      <c r="W174" s="8"/>
      <c r="X174" s="8"/>
      <c r="Y174" s="8"/>
      <c r="Z174" s="201"/>
      <c r="AA174" s="201"/>
      <c r="AB174" s="8"/>
      <c r="AC174" s="8"/>
      <c r="AD174" s="8"/>
      <c r="AE174" s="8"/>
      <c r="AF174" s="8"/>
      <c r="AG174" s="201"/>
      <c r="AH174" s="8"/>
      <c r="AI174" s="7"/>
      <c r="AJ174" s="69">
        <f t="shared" si="33"/>
        <v>0</v>
      </c>
    </row>
    <row r="175" spans="2:36" ht="16.5" collapsed="1" thickTop="1" thickBot="1" x14ac:dyDescent="0.3">
      <c r="B175" s="149">
        <f>'Hours Scheduled'!B38</f>
        <v>0</v>
      </c>
      <c r="C175" t="s">
        <v>0</v>
      </c>
      <c r="D175" s="2"/>
      <c r="E175" s="200"/>
      <c r="F175" s="200"/>
      <c r="G175" s="2"/>
      <c r="H175" s="2"/>
      <c r="I175" s="2"/>
      <c r="J175" s="2"/>
      <c r="K175" s="2"/>
      <c r="L175" s="200"/>
      <c r="M175" s="200"/>
      <c r="N175" s="2"/>
      <c r="O175" s="2"/>
      <c r="P175" s="2"/>
      <c r="Q175" s="2"/>
      <c r="R175" s="2"/>
      <c r="S175" s="200"/>
      <c r="T175" s="200"/>
      <c r="U175" s="2"/>
      <c r="V175" s="2"/>
      <c r="W175" s="2"/>
      <c r="X175" s="2"/>
      <c r="Y175" s="2"/>
      <c r="Z175" s="200"/>
      <c r="AA175" s="200"/>
      <c r="AB175" s="2"/>
      <c r="AC175" s="2"/>
      <c r="AD175" s="2"/>
      <c r="AE175" s="2"/>
      <c r="AF175" s="2"/>
      <c r="AG175" s="200"/>
      <c r="AH175" s="2"/>
      <c r="AJ175" s="64">
        <f>SUM(D175:AH175)</f>
        <v>0</v>
      </c>
    </row>
    <row r="176" spans="2:36" ht="15.75" hidden="1" outlineLevel="1" thickTop="1" x14ac:dyDescent="0.25">
      <c r="B176" s="150"/>
      <c r="C176" s="1" t="s">
        <v>1</v>
      </c>
      <c r="D176" s="3"/>
      <c r="E176" s="200"/>
      <c r="F176" s="200"/>
      <c r="G176" s="3"/>
      <c r="H176" s="3"/>
      <c r="I176" s="3"/>
      <c r="J176" s="3"/>
      <c r="K176" s="3"/>
      <c r="L176" s="200"/>
      <c r="M176" s="200"/>
      <c r="N176" s="3"/>
      <c r="O176" s="3"/>
      <c r="P176" s="3"/>
      <c r="Q176" s="3"/>
      <c r="R176" s="3"/>
      <c r="S176" s="200"/>
      <c r="T176" s="200"/>
      <c r="U176" s="3"/>
      <c r="V176" s="3"/>
      <c r="W176" s="3"/>
      <c r="X176" s="3"/>
      <c r="Y176" s="3"/>
      <c r="Z176" s="200"/>
      <c r="AA176" s="200"/>
      <c r="AB176" s="3"/>
      <c r="AC176" s="3"/>
      <c r="AD176" s="3"/>
      <c r="AE176" s="3"/>
      <c r="AF176" s="3"/>
      <c r="AG176" s="200"/>
      <c r="AH176" s="3"/>
      <c r="AJ176" s="70">
        <f t="shared" ref="AJ176:AJ179" si="34">SUM(D176:AH176)</f>
        <v>0</v>
      </c>
    </row>
    <row r="177" spans="2:36" hidden="1" outlineLevel="1" x14ac:dyDescent="0.25">
      <c r="B177" s="151"/>
      <c r="C177" s="1" t="s">
        <v>2</v>
      </c>
      <c r="D177" s="4"/>
      <c r="E177" s="200"/>
      <c r="F177" s="200"/>
      <c r="G177" s="4"/>
      <c r="H177" s="4"/>
      <c r="I177" s="4"/>
      <c r="J177" s="4"/>
      <c r="K177" s="4"/>
      <c r="L177" s="200"/>
      <c r="M177" s="200"/>
      <c r="N177" s="4"/>
      <c r="O177" s="4"/>
      <c r="P177" s="4"/>
      <c r="Q177" s="4"/>
      <c r="R177" s="4"/>
      <c r="S177" s="200"/>
      <c r="T177" s="200"/>
      <c r="U177" s="4"/>
      <c r="V177" s="4"/>
      <c r="W177" s="4"/>
      <c r="X177" s="4"/>
      <c r="Y177" s="4"/>
      <c r="Z177" s="200"/>
      <c r="AA177" s="200"/>
      <c r="AB177" s="4"/>
      <c r="AC177" s="4"/>
      <c r="AD177" s="4"/>
      <c r="AE177" s="4"/>
      <c r="AF177" s="4"/>
      <c r="AG177" s="200"/>
      <c r="AH177" s="4"/>
      <c r="AJ177" s="71">
        <f t="shared" si="34"/>
        <v>0</v>
      </c>
    </row>
    <row r="178" spans="2:36" hidden="1" outlineLevel="1" x14ac:dyDescent="0.25">
      <c r="B178" s="151"/>
      <c r="C178" s="54" t="s">
        <v>77</v>
      </c>
      <c r="D178" s="5"/>
      <c r="E178" s="200"/>
      <c r="F178" s="200"/>
      <c r="G178" s="5"/>
      <c r="H178" s="5"/>
      <c r="I178" s="5"/>
      <c r="J178" s="5"/>
      <c r="K178" s="5"/>
      <c r="L178" s="200"/>
      <c r="M178" s="200"/>
      <c r="N178" s="5"/>
      <c r="O178" s="5"/>
      <c r="P178" s="5"/>
      <c r="Q178" s="5"/>
      <c r="R178" s="5"/>
      <c r="S178" s="200"/>
      <c r="T178" s="200"/>
      <c r="U178" s="5"/>
      <c r="V178" s="5"/>
      <c r="W178" s="5"/>
      <c r="X178" s="5"/>
      <c r="Y178" s="5"/>
      <c r="Z178" s="200"/>
      <c r="AA178" s="200"/>
      <c r="AB178" s="5"/>
      <c r="AC178" s="5"/>
      <c r="AD178" s="5"/>
      <c r="AE178" s="5"/>
      <c r="AF178" s="5"/>
      <c r="AG178" s="200"/>
      <c r="AH178" s="5"/>
      <c r="AJ178" s="72">
        <f t="shared" si="34"/>
        <v>0</v>
      </c>
    </row>
    <row r="179" spans="2:36" ht="15.75" hidden="1" outlineLevel="1" thickBot="1" x14ac:dyDescent="0.3">
      <c r="B179" s="151"/>
      <c r="C179" s="9" t="s">
        <v>3</v>
      </c>
      <c r="D179" s="8"/>
      <c r="E179" s="201"/>
      <c r="F179" s="201"/>
      <c r="G179" s="8"/>
      <c r="H179" s="8"/>
      <c r="I179" s="8"/>
      <c r="J179" s="8"/>
      <c r="K179" s="8"/>
      <c r="L179" s="201"/>
      <c r="M179" s="201"/>
      <c r="N179" s="8"/>
      <c r="O179" s="8"/>
      <c r="P179" s="8"/>
      <c r="Q179" s="8"/>
      <c r="R179" s="8"/>
      <c r="S179" s="201"/>
      <c r="T179" s="201"/>
      <c r="U179" s="8"/>
      <c r="V179" s="8"/>
      <c r="W179" s="8"/>
      <c r="X179" s="8"/>
      <c r="Y179" s="8"/>
      <c r="Z179" s="201"/>
      <c r="AA179" s="201"/>
      <c r="AB179" s="8"/>
      <c r="AC179" s="8"/>
      <c r="AD179" s="8"/>
      <c r="AE179" s="8"/>
      <c r="AF179" s="8"/>
      <c r="AG179" s="201"/>
      <c r="AH179" s="8"/>
      <c r="AI179" s="7"/>
      <c r="AJ179" s="69">
        <f t="shared" si="34"/>
        <v>0</v>
      </c>
    </row>
    <row r="180" spans="2:36" ht="16.5" collapsed="1" thickTop="1" thickBot="1" x14ac:dyDescent="0.3">
      <c r="B180" s="149">
        <f>'Hours Scheduled'!B39</f>
        <v>0</v>
      </c>
      <c r="C180" t="s">
        <v>0</v>
      </c>
      <c r="D180" s="2"/>
      <c r="E180" s="200"/>
      <c r="F180" s="200"/>
      <c r="G180" s="2"/>
      <c r="H180" s="2"/>
      <c r="I180" s="2"/>
      <c r="J180" s="2"/>
      <c r="K180" s="2"/>
      <c r="L180" s="200"/>
      <c r="M180" s="200"/>
      <c r="N180" s="2"/>
      <c r="O180" s="2"/>
      <c r="P180" s="2"/>
      <c r="Q180" s="2"/>
      <c r="R180" s="2"/>
      <c r="S180" s="200"/>
      <c r="T180" s="200"/>
      <c r="U180" s="2"/>
      <c r="V180" s="2"/>
      <c r="W180" s="2"/>
      <c r="X180" s="2"/>
      <c r="Y180" s="2"/>
      <c r="Z180" s="200"/>
      <c r="AA180" s="200"/>
      <c r="AB180" s="2"/>
      <c r="AC180" s="2"/>
      <c r="AD180" s="2"/>
      <c r="AE180" s="2"/>
      <c r="AF180" s="2"/>
      <c r="AG180" s="200"/>
      <c r="AH180" s="2"/>
      <c r="AJ180" s="64">
        <f>SUM(D180:AH180)</f>
        <v>0</v>
      </c>
    </row>
    <row r="181" spans="2:36" ht="15.75" hidden="1" outlineLevel="1" thickTop="1" x14ac:dyDescent="0.25">
      <c r="B181" s="150"/>
      <c r="C181" s="1" t="s">
        <v>1</v>
      </c>
      <c r="D181" s="3"/>
      <c r="E181" s="200"/>
      <c r="F181" s="200"/>
      <c r="G181" s="3"/>
      <c r="H181" s="3"/>
      <c r="I181" s="3"/>
      <c r="J181" s="3"/>
      <c r="K181" s="3"/>
      <c r="L181" s="200"/>
      <c r="M181" s="200"/>
      <c r="N181" s="3"/>
      <c r="O181" s="3"/>
      <c r="P181" s="3"/>
      <c r="Q181" s="3"/>
      <c r="R181" s="3"/>
      <c r="S181" s="200"/>
      <c r="T181" s="200"/>
      <c r="U181" s="3"/>
      <c r="V181" s="3"/>
      <c r="W181" s="3"/>
      <c r="X181" s="3"/>
      <c r="Y181" s="3"/>
      <c r="Z181" s="200"/>
      <c r="AA181" s="200"/>
      <c r="AB181" s="3"/>
      <c r="AC181" s="3"/>
      <c r="AD181" s="3"/>
      <c r="AE181" s="3"/>
      <c r="AF181" s="3"/>
      <c r="AG181" s="200"/>
      <c r="AH181" s="3"/>
      <c r="AJ181" s="70">
        <f t="shared" ref="AJ181:AJ184" si="35">SUM(D181:AH181)</f>
        <v>0</v>
      </c>
    </row>
    <row r="182" spans="2:36" hidden="1" outlineLevel="1" x14ac:dyDescent="0.25">
      <c r="B182" s="151"/>
      <c r="C182" s="1" t="s">
        <v>2</v>
      </c>
      <c r="D182" s="4"/>
      <c r="E182" s="200"/>
      <c r="F182" s="200"/>
      <c r="G182" s="4"/>
      <c r="H182" s="4"/>
      <c r="I182" s="4"/>
      <c r="J182" s="4"/>
      <c r="K182" s="4"/>
      <c r="L182" s="200"/>
      <c r="M182" s="200"/>
      <c r="N182" s="4"/>
      <c r="O182" s="4"/>
      <c r="P182" s="4"/>
      <c r="Q182" s="4"/>
      <c r="R182" s="4"/>
      <c r="S182" s="200"/>
      <c r="T182" s="200"/>
      <c r="U182" s="4"/>
      <c r="V182" s="4"/>
      <c r="W182" s="4"/>
      <c r="X182" s="4"/>
      <c r="Y182" s="4"/>
      <c r="Z182" s="200"/>
      <c r="AA182" s="200"/>
      <c r="AB182" s="4"/>
      <c r="AC182" s="4"/>
      <c r="AD182" s="4"/>
      <c r="AE182" s="4"/>
      <c r="AF182" s="4"/>
      <c r="AG182" s="200"/>
      <c r="AH182" s="4"/>
      <c r="AJ182" s="71">
        <f t="shared" si="35"/>
        <v>0</v>
      </c>
    </row>
    <row r="183" spans="2:36" hidden="1" outlineLevel="1" x14ac:dyDescent="0.25">
      <c r="B183" s="151"/>
      <c r="C183" s="54" t="s">
        <v>77</v>
      </c>
      <c r="D183" s="5"/>
      <c r="E183" s="200"/>
      <c r="F183" s="200"/>
      <c r="G183" s="5"/>
      <c r="H183" s="5"/>
      <c r="I183" s="5"/>
      <c r="J183" s="5"/>
      <c r="K183" s="5"/>
      <c r="L183" s="200"/>
      <c r="M183" s="200"/>
      <c r="N183" s="5"/>
      <c r="O183" s="5"/>
      <c r="P183" s="5"/>
      <c r="Q183" s="5"/>
      <c r="R183" s="5"/>
      <c r="S183" s="200"/>
      <c r="T183" s="200"/>
      <c r="U183" s="5"/>
      <c r="V183" s="5"/>
      <c r="W183" s="5"/>
      <c r="X183" s="5"/>
      <c r="Y183" s="5"/>
      <c r="Z183" s="200"/>
      <c r="AA183" s="200"/>
      <c r="AB183" s="5"/>
      <c r="AC183" s="5"/>
      <c r="AD183" s="5"/>
      <c r="AE183" s="5"/>
      <c r="AF183" s="5"/>
      <c r="AG183" s="200"/>
      <c r="AH183" s="5"/>
      <c r="AJ183" s="72">
        <f t="shared" si="35"/>
        <v>0</v>
      </c>
    </row>
    <row r="184" spans="2:36" ht="15.75" hidden="1" outlineLevel="1" thickBot="1" x14ac:dyDescent="0.3">
      <c r="B184" s="151"/>
      <c r="C184" s="9" t="s">
        <v>3</v>
      </c>
      <c r="D184" s="8"/>
      <c r="E184" s="201"/>
      <c r="F184" s="201"/>
      <c r="G184" s="8"/>
      <c r="H184" s="8"/>
      <c r="I184" s="8"/>
      <c r="J184" s="8"/>
      <c r="K184" s="8"/>
      <c r="L184" s="201"/>
      <c r="M184" s="201"/>
      <c r="N184" s="8"/>
      <c r="O184" s="8"/>
      <c r="P184" s="8"/>
      <c r="Q184" s="8"/>
      <c r="R184" s="8"/>
      <c r="S184" s="201"/>
      <c r="T184" s="201"/>
      <c r="U184" s="8"/>
      <c r="V184" s="8"/>
      <c r="W184" s="8"/>
      <c r="X184" s="8"/>
      <c r="Y184" s="8"/>
      <c r="Z184" s="201"/>
      <c r="AA184" s="201"/>
      <c r="AB184" s="8"/>
      <c r="AC184" s="8"/>
      <c r="AD184" s="8"/>
      <c r="AE184" s="8"/>
      <c r="AF184" s="8"/>
      <c r="AG184" s="201"/>
      <c r="AH184" s="8"/>
      <c r="AI184" s="7"/>
      <c r="AJ184" s="69">
        <f t="shared" si="35"/>
        <v>0</v>
      </c>
    </row>
    <row r="185" spans="2:36" ht="15.75" collapsed="1" thickTop="1" x14ac:dyDescent="0.25"/>
  </sheetData>
  <autoFilter ref="B4:AJ184"/>
  <customSheetViews>
    <customSheetView guid="{98CBC5BF-8C89-48A4-860E-9C56014CD200}" scale="90" showGridLines="0" showAutoFilter="1" hiddenRows="1" topLeftCell="A2">
      <pane ySplit="3" topLeftCell="A50" activePane="bottomLeft" state="frozenSplit"/>
      <selection pane="bottomLeft" activeCell="AM60" sqref="AM60"/>
      <pageMargins left="0.7" right="0.7" top="0.75" bottom="0.75" header="0.3" footer="0.3"/>
      <pageSetup paperSize="9" orientation="portrait" horizontalDpi="1200" r:id="rId1"/>
      <autoFilter ref="B4:AJ184"/>
    </customSheetView>
    <customSheetView guid="{1BC25061-32D5-45DE-83F9-EFA3A1092E03}" scale="90" showGridLines="0" showAutoFilter="1" topLeftCell="A2">
      <pane ySplit="3" topLeftCell="A5" activePane="bottomLeft" state="frozenSplit"/>
      <selection pane="bottomLeft" activeCell="A2" sqref="A2"/>
      <pageMargins left="0.7" right="0.7" top="0.75" bottom="0.75" header="0.3" footer="0.3"/>
      <pageSetup paperSize="9" orientation="portrait" horizontalDpi="1200" r:id="rId2"/>
      <autoFilter ref="B4:AJ189"/>
    </customSheetView>
    <customSheetView guid="{CF917189-7AB9-4E55-816F-ACFC7FA45C05}" scale="90" showGridLines="0" showAutoFilter="1" hiddenRows="1" topLeftCell="A2">
      <pane ySplit="3" topLeftCell="A5" activePane="bottomLeft" state="frozenSplit"/>
      <selection pane="bottomLeft" activeCell="S18" sqref="S18"/>
      <pageMargins left="0.7" right="0.7" top="0.75" bottom="0.75" header="0.3" footer="0.3"/>
      <pageSetup paperSize="9" orientation="portrait" horizontalDpi="1200" r:id="rId3"/>
      <autoFilter ref="B4:AJ189"/>
    </customSheetView>
    <customSheetView guid="{4155806E-C0D0-4CC9-9B31-04245B7DD4C8}" showGridLines="0" fitToPage="1" showAutoFilter="1" hiddenRows="1" topLeftCell="A2">
      <pane ySplit="7" topLeftCell="A10" activePane="bottomLeft" state="frozenSplit"/>
      <selection pane="bottomLeft" activeCell="AC15" sqref="AC15:AG15"/>
      <pageMargins left="0.7" right="0.7" top="0.75" bottom="0.75" header="0.3" footer="0.3"/>
      <pageSetup paperSize="9" scale="68" orientation="landscape" horizontalDpi="1200" r:id="rId4"/>
      <autoFilter ref="B4:AJ174"/>
    </customSheetView>
    <customSheetView guid="{1587CBCC-2CC7-4525-8A49-E261AB2E1606}" scale="90" showGridLines="0" showAutoFilter="1" hiddenRows="1" topLeftCell="A2">
      <pane ySplit="3" topLeftCell="A80" activePane="bottomLeft" state="frozenSplit"/>
      <selection pane="bottomLeft" activeCell="AF155" sqref="AF155:AF158"/>
      <pageMargins left="0.7" right="0.7" top="0.75" bottom="0.75" header="0.3" footer="0.3"/>
      <pageSetup paperSize="9" orientation="portrait" horizontalDpi="1200" r:id="rId5"/>
      <autoFilter ref="B4:AJ184"/>
    </customSheetView>
    <customSheetView guid="{C5D9000A-81ED-4920-B6AF-4B234775AEC9}" scale="90" showGridLines="0" showAutoFilter="1" hiddenRows="1" topLeftCell="A2">
      <pane ySplit="3" topLeftCell="A5" activePane="bottomLeft" state="frozenSplit"/>
      <selection pane="bottomLeft"/>
      <pageMargins left="0.7" right="0.7" top="0.75" bottom="0.75" header="0.3" footer="0.3"/>
      <pageSetup paperSize="9" orientation="portrait" horizontalDpi="1200" r:id="rId6"/>
      <autoFilter ref="B4:AJ184"/>
    </customSheetView>
  </customSheetViews>
  <conditionalFormatting sqref="D3:AG3">
    <cfRule type="expression" dxfId="11" priority="11">
      <formula>WEEKDAY(D3:AH3)=1</formula>
    </cfRule>
    <cfRule type="expression" dxfId="10" priority="12">
      <formula>WEEKDAY(D3:AH3)=7</formula>
    </cfRule>
  </conditionalFormatting>
  <conditionalFormatting sqref="A11:A140">
    <cfRule type="cellIs" dxfId="9" priority="10" operator="equal">
      <formula>"08:00/16:30"</formula>
    </cfRule>
  </conditionalFormatting>
  <conditionalFormatting sqref="A15:A140">
    <cfRule type="cellIs" dxfId="8" priority="9" operator="equal">
      <formula>"09:30/18:00"</formula>
    </cfRule>
  </conditionalFormatting>
  <conditionalFormatting sqref="A5:A10">
    <cfRule type="cellIs" dxfId="7" priority="2" operator="equal">
      <formula>"08:00/16:30"</formula>
    </cfRule>
  </conditionalFormatting>
  <conditionalFormatting sqref="A5:A10">
    <cfRule type="cellIs" dxfId="6" priority="1" operator="equal">
      <formula>"09:30/18:00"</formula>
    </cfRule>
  </conditionalFormatting>
  <dataValidations count="2">
    <dataValidation type="list" allowBlank="1" showInputMessage="1" sqref="A140 A115 A120 A125 A130 A135 A5 A10 A15 A20 A25 A30 A35 A40 A50 A55 A60 A65 A70 A75 A80 A85 A90 A95:A110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" right="0.7" top="0.75" bottom="0.75" header="0.3" footer="0.3"/>
  <pageSetup paperSize="9" orientation="portrait" horizontalDpi="1200" r:id="rId7"/>
  <legacyDrawing r:id="rId8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CCFFCC"/>
  </sheetPr>
  <dimension ref="B1:AJ185"/>
  <sheetViews>
    <sheetView showGridLines="0" topLeftCell="A2" zoomScale="90" zoomScaleNormal="100" workbookViewId="0">
      <pane ySplit="2" topLeftCell="A75" activePane="bottomLeft" state="frozenSplit"/>
      <selection activeCell="A2" sqref="A2"/>
      <selection pane="bottomLeft" activeCell="AN105" sqref="AN105"/>
    </sheetView>
  </sheetViews>
  <sheetFormatPr defaultRowHeight="15" outlineLevelRow="1" x14ac:dyDescent="0.25"/>
  <cols>
    <col min="1" max="1" width="12.85546875" bestFit="1" customWidth="1"/>
    <col min="2" max="2" width="18.85546875" style="152" customWidth="1"/>
    <col min="3" max="3" width="11.5703125" bestFit="1" customWidth="1"/>
    <col min="4" max="27" width="3.42578125" bestFit="1" customWidth="1"/>
    <col min="28" max="29" width="3.42578125" style="206" bestFit="1" customWidth="1"/>
    <col min="30" max="34" width="3.42578125" bestFit="1" customWidth="1"/>
    <col min="35" max="35" width="3.7109375" customWidth="1"/>
    <col min="36" max="36" width="4.140625" bestFit="1" customWidth="1"/>
  </cols>
  <sheetData>
    <row r="1" spans="2:36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 s="206">
        <v>25</v>
      </c>
      <c r="AC1" s="206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2:36" x14ac:dyDescent="0.25">
      <c r="B2" s="153" t="s">
        <v>18</v>
      </c>
    </row>
    <row r="3" spans="2:36" ht="128.25" customHeight="1" x14ac:dyDescent="0.25">
      <c r="B3" s="152" t="s">
        <v>4</v>
      </c>
      <c r="D3" s="78">
        <f>DATE(Title!$F$12,12,D1)</f>
        <v>41609</v>
      </c>
      <c r="E3" s="78">
        <f>DATE(Title!$F$12,12,E1)</f>
        <v>41610</v>
      </c>
      <c r="F3" s="78">
        <f>DATE(Title!$F$12,12,F1)</f>
        <v>41611</v>
      </c>
      <c r="G3" s="78">
        <f>DATE(Title!$F$12,12,G1)</f>
        <v>41612</v>
      </c>
      <c r="H3" s="78">
        <f>DATE(Title!$F$12,12,H1)</f>
        <v>41613</v>
      </c>
      <c r="I3" s="78">
        <f>DATE(Title!$F$12,12,I1)</f>
        <v>41614</v>
      </c>
      <c r="J3" s="78">
        <f>DATE(Title!$F$12,12,J1)</f>
        <v>41615</v>
      </c>
      <c r="K3" s="78">
        <f>DATE(Title!$F$12,12,K1)</f>
        <v>41616</v>
      </c>
      <c r="L3" s="78">
        <f>DATE(Title!$F$12,12,L1)</f>
        <v>41617</v>
      </c>
      <c r="M3" s="78">
        <f>DATE(Title!$F$12,12,M1)</f>
        <v>41618</v>
      </c>
      <c r="N3" s="78">
        <f>DATE(Title!$F$12,12,N1)</f>
        <v>41619</v>
      </c>
      <c r="O3" s="78">
        <f>DATE(Title!$F$12,12,O1)</f>
        <v>41620</v>
      </c>
      <c r="P3" s="78">
        <f>DATE(Title!$F$12,12,P1)</f>
        <v>41621</v>
      </c>
      <c r="Q3" s="78">
        <f>DATE(Title!$F$12,12,Q1)</f>
        <v>41622</v>
      </c>
      <c r="R3" s="78">
        <f>DATE(Title!$F$12,12,R1)</f>
        <v>41623</v>
      </c>
      <c r="S3" s="78">
        <f>DATE(Title!$F$12,12,S1)</f>
        <v>41624</v>
      </c>
      <c r="T3" s="78">
        <f>DATE(Title!$F$12,12,T1)</f>
        <v>41625</v>
      </c>
      <c r="U3" s="78">
        <f>DATE(Title!$F$12,12,U1)</f>
        <v>41626</v>
      </c>
      <c r="V3" s="78">
        <f>DATE(Title!$F$12,12,V1)</f>
        <v>41627</v>
      </c>
      <c r="W3" s="78">
        <f>DATE(Title!$F$12,12,W1)</f>
        <v>41628</v>
      </c>
      <c r="X3" s="78">
        <f>DATE(Title!$F$12,12,X1)</f>
        <v>41629</v>
      </c>
      <c r="Y3" s="78">
        <f>DATE(Title!$F$12,12,Y1)</f>
        <v>41630</v>
      </c>
      <c r="Z3" s="78">
        <f>DATE(Title!$F$12,12,Z1)</f>
        <v>41631</v>
      </c>
      <c r="AA3" s="78">
        <f>DATE(Title!$F$12,12,AA1)</f>
        <v>41632</v>
      </c>
      <c r="AB3" s="233">
        <f>DATE(Title!$F$12,12,AB1)</f>
        <v>41633</v>
      </c>
      <c r="AC3" s="233">
        <f>DATE(Title!$F$12,12,AC1)</f>
        <v>41634</v>
      </c>
      <c r="AD3" s="78">
        <f>DATE(Title!$F$12,12,AD1)</f>
        <v>41635</v>
      </c>
      <c r="AE3" s="78">
        <f>DATE(Title!$F$12,12,AE1)</f>
        <v>41636</v>
      </c>
      <c r="AF3" s="78">
        <f>DATE(Title!$F$12,12,AF1)</f>
        <v>41637</v>
      </c>
      <c r="AG3" s="78">
        <f>DATE(Title!$F$12,12,AG1)</f>
        <v>41638</v>
      </c>
      <c r="AH3" s="78">
        <f>DATE(Title!$F$12,12,AH1)</f>
        <v>41639</v>
      </c>
      <c r="AJ3" s="6" t="s">
        <v>5</v>
      </c>
    </row>
    <row r="5" spans="2:36" ht="15.75" thickBot="1" x14ac:dyDescent="0.3">
      <c r="B5" s="149" t="str">
        <f>'Hours Scheduled'!B4</f>
        <v>Barry Berendhuysen</v>
      </c>
      <c r="C5" t="s">
        <v>0</v>
      </c>
      <c r="D5" s="198"/>
      <c r="E5" s="180"/>
      <c r="F5" s="180"/>
      <c r="G5" s="180"/>
      <c r="H5" s="180"/>
      <c r="I5" s="180"/>
      <c r="J5" s="198"/>
      <c r="K5" s="198"/>
      <c r="L5" s="180"/>
      <c r="M5" s="180"/>
      <c r="N5" s="180"/>
      <c r="O5" s="180"/>
      <c r="P5" s="180"/>
      <c r="Q5" s="198"/>
      <c r="R5" s="198"/>
      <c r="S5" s="180"/>
      <c r="T5" s="180"/>
      <c r="U5" s="180"/>
      <c r="V5" s="180"/>
      <c r="W5" s="180"/>
      <c r="X5" s="198"/>
      <c r="Y5" s="198"/>
      <c r="Z5" s="180"/>
      <c r="AA5" s="180"/>
      <c r="AB5" s="183"/>
      <c r="AC5" s="183"/>
      <c r="AD5" s="180"/>
      <c r="AE5" s="198"/>
      <c r="AF5" s="198"/>
      <c r="AG5" s="180"/>
      <c r="AH5" s="180"/>
      <c r="AJ5" s="64">
        <f>SUM(D5:AH5)</f>
        <v>0</v>
      </c>
    </row>
    <row r="6" spans="2:36" ht="15.75" hidden="1" outlineLevel="1" thickTop="1" x14ac:dyDescent="0.25">
      <c r="B6" s="150"/>
      <c r="C6" s="1" t="s">
        <v>1</v>
      </c>
      <c r="D6" s="200"/>
      <c r="E6" s="3"/>
      <c r="F6" s="3"/>
      <c r="G6" s="3"/>
      <c r="H6" s="3"/>
      <c r="I6" s="3"/>
      <c r="J6" s="200"/>
      <c r="K6" s="200"/>
      <c r="L6" s="3"/>
      <c r="M6" s="3"/>
      <c r="N6" s="3"/>
      <c r="O6" s="3"/>
      <c r="P6" s="3"/>
      <c r="Q6" s="200"/>
      <c r="R6" s="200"/>
      <c r="S6" s="3"/>
      <c r="T6" s="3"/>
      <c r="U6" s="3"/>
      <c r="V6" s="3"/>
      <c r="W6" s="3"/>
      <c r="X6" s="200"/>
      <c r="Y6" s="200"/>
      <c r="Z6" s="3"/>
      <c r="AA6" s="3"/>
      <c r="AB6" s="5"/>
      <c r="AC6" s="5"/>
      <c r="AD6" s="3"/>
      <c r="AE6" s="200"/>
      <c r="AF6" s="200"/>
      <c r="AG6" s="3"/>
      <c r="AH6" s="3"/>
      <c r="AJ6" s="70">
        <f t="shared" ref="AJ6:AJ9" si="0">SUM(D6:AH6)</f>
        <v>0</v>
      </c>
    </row>
    <row r="7" spans="2:36" hidden="1" outlineLevel="1" x14ac:dyDescent="0.25">
      <c r="B7" s="151"/>
      <c r="C7" s="1" t="s">
        <v>2</v>
      </c>
      <c r="D7" s="200"/>
      <c r="E7" s="4"/>
      <c r="F7" s="4"/>
      <c r="G7" s="4"/>
      <c r="H7" s="4"/>
      <c r="I7" s="4"/>
      <c r="J7" s="200"/>
      <c r="K7" s="200"/>
      <c r="L7" s="4"/>
      <c r="M7" s="4"/>
      <c r="N7" s="4"/>
      <c r="O7" s="4"/>
      <c r="P7" s="4"/>
      <c r="Q7" s="200"/>
      <c r="R7" s="200"/>
      <c r="S7" s="4"/>
      <c r="T7" s="4"/>
      <c r="U7" s="4"/>
      <c r="V7" s="4"/>
      <c r="W7" s="4"/>
      <c r="X7" s="200"/>
      <c r="Y7" s="200"/>
      <c r="Z7" s="4"/>
      <c r="AA7" s="4"/>
      <c r="AB7" s="5"/>
      <c r="AC7" s="5"/>
      <c r="AD7" s="4"/>
      <c r="AE7" s="200"/>
      <c r="AF7" s="200"/>
      <c r="AG7" s="4"/>
      <c r="AH7" s="4"/>
      <c r="AJ7" s="71">
        <f t="shared" si="0"/>
        <v>0</v>
      </c>
    </row>
    <row r="8" spans="2:36" hidden="1" outlineLevel="1" x14ac:dyDescent="0.25">
      <c r="B8" s="151"/>
      <c r="C8" s="54" t="s">
        <v>77</v>
      </c>
      <c r="D8" s="200"/>
      <c r="E8" s="5"/>
      <c r="F8" s="5"/>
      <c r="G8" s="5"/>
      <c r="H8" s="5"/>
      <c r="I8" s="5"/>
      <c r="J8" s="200"/>
      <c r="K8" s="200"/>
      <c r="L8" s="5"/>
      <c r="M8" s="5"/>
      <c r="N8" s="5"/>
      <c r="O8" s="5"/>
      <c r="P8" s="5"/>
      <c r="Q8" s="200"/>
      <c r="R8" s="200"/>
      <c r="S8" s="5"/>
      <c r="T8" s="5"/>
      <c r="U8" s="5"/>
      <c r="V8" s="5"/>
      <c r="W8" s="5"/>
      <c r="X8" s="200"/>
      <c r="Y8" s="200"/>
      <c r="Z8" s="5"/>
      <c r="AA8" s="5"/>
      <c r="AB8" s="5"/>
      <c r="AC8" s="5"/>
      <c r="AD8" s="5"/>
      <c r="AE8" s="200"/>
      <c r="AF8" s="200"/>
      <c r="AG8" s="5"/>
      <c r="AH8" s="5"/>
      <c r="AJ8" s="72">
        <f t="shared" si="0"/>
        <v>0</v>
      </c>
    </row>
    <row r="9" spans="2:36" ht="15.75" hidden="1" outlineLevel="1" thickBot="1" x14ac:dyDescent="0.3">
      <c r="B9" s="151"/>
      <c r="C9" s="9" t="s">
        <v>3</v>
      </c>
      <c r="D9" s="201"/>
      <c r="E9" s="8"/>
      <c r="F9" s="8"/>
      <c r="G9" s="8"/>
      <c r="H9" s="8"/>
      <c r="I9" s="8"/>
      <c r="J9" s="201"/>
      <c r="K9" s="201"/>
      <c r="L9" s="8"/>
      <c r="M9" s="8"/>
      <c r="N9" s="8"/>
      <c r="O9" s="8"/>
      <c r="P9" s="8"/>
      <c r="Q9" s="201"/>
      <c r="R9" s="201"/>
      <c r="S9" s="8"/>
      <c r="T9" s="8"/>
      <c r="U9" s="8"/>
      <c r="V9" s="8"/>
      <c r="W9" s="8"/>
      <c r="X9" s="201"/>
      <c r="Y9" s="201"/>
      <c r="Z9" s="8"/>
      <c r="AA9" s="8"/>
      <c r="AB9" s="234"/>
      <c r="AC9" s="234"/>
      <c r="AD9" s="8"/>
      <c r="AE9" s="201"/>
      <c r="AF9" s="201"/>
      <c r="AG9" s="8"/>
      <c r="AH9" s="8"/>
      <c r="AI9" s="7"/>
      <c r="AJ9" s="69">
        <f t="shared" si="0"/>
        <v>0</v>
      </c>
    </row>
    <row r="10" spans="2:36" ht="16.5" collapsed="1" thickTop="1" thickBot="1" x14ac:dyDescent="0.3">
      <c r="B10" s="253" t="str">
        <f>'Hours Scheduled'!B5</f>
        <v>Bas Boermans</v>
      </c>
      <c r="C10" t="s">
        <v>0</v>
      </c>
      <c r="D10" s="200"/>
      <c r="E10" s="2"/>
      <c r="F10" s="2"/>
      <c r="G10" s="2"/>
      <c r="H10" s="2"/>
      <c r="I10" s="2"/>
      <c r="J10" s="200"/>
      <c r="K10" s="200"/>
      <c r="L10" s="2"/>
      <c r="M10" s="2"/>
      <c r="N10" s="2"/>
      <c r="O10" s="2"/>
      <c r="P10" s="2"/>
      <c r="Q10" s="200"/>
      <c r="R10" s="200"/>
      <c r="S10" s="2"/>
      <c r="T10" s="2"/>
      <c r="U10" s="2"/>
      <c r="V10" s="2"/>
      <c r="W10" s="2"/>
      <c r="X10" s="200"/>
      <c r="Y10" s="200"/>
      <c r="Z10" s="2"/>
      <c r="AA10" s="2"/>
      <c r="AB10" s="5"/>
      <c r="AC10" s="5"/>
      <c r="AD10" s="2"/>
      <c r="AE10" s="200"/>
      <c r="AF10" s="200"/>
      <c r="AG10" s="2"/>
      <c r="AH10" s="2"/>
      <c r="AJ10" s="64">
        <f>SUM(D10:AH10)</f>
        <v>0</v>
      </c>
    </row>
    <row r="11" spans="2:36" ht="15.75" hidden="1" outlineLevel="1" thickTop="1" x14ac:dyDescent="0.25">
      <c r="B11" s="150"/>
      <c r="C11" s="1" t="s">
        <v>1</v>
      </c>
      <c r="D11" s="200"/>
      <c r="E11" s="3"/>
      <c r="F11" s="3"/>
      <c r="G11" s="3"/>
      <c r="H11" s="3"/>
      <c r="I11" s="3"/>
      <c r="J11" s="200"/>
      <c r="K11" s="200"/>
      <c r="L11" s="3"/>
      <c r="M11" s="3"/>
      <c r="N11" s="3"/>
      <c r="O11" s="3"/>
      <c r="P11" s="3"/>
      <c r="Q11" s="200"/>
      <c r="R11" s="200"/>
      <c r="S11" s="3"/>
      <c r="T11" s="3"/>
      <c r="U11" s="3"/>
      <c r="V11" s="3"/>
      <c r="W11" s="3"/>
      <c r="X11" s="200"/>
      <c r="Y11" s="200"/>
      <c r="Z11" s="3"/>
      <c r="AA11" s="3"/>
      <c r="AB11" s="5"/>
      <c r="AC11" s="5"/>
      <c r="AD11" s="3"/>
      <c r="AE11" s="200"/>
      <c r="AF11" s="200"/>
      <c r="AG11" s="3"/>
      <c r="AH11" s="3"/>
      <c r="AJ11" s="70">
        <f t="shared" ref="AJ11:AJ14" si="1">SUM(D11:AH11)</f>
        <v>0</v>
      </c>
    </row>
    <row r="12" spans="2:36" hidden="1" outlineLevel="1" x14ac:dyDescent="0.25">
      <c r="B12" s="151"/>
      <c r="C12" s="1" t="s">
        <v>2</v>
      </c>
      <c r="D12" s="200"/>
      <c r="E12" s="4"/>
      <c r="F12" s="4"/>
      <c r="G12" s="4"/>
      <c r="H12" s="4"/>
      <c r="I12" s="4"/>
      <c r="J12" s="200"/>
      <c r="K12" s="200"/>
      <c r="L12" s="4"/>
      <c r="M12" s="4"/>
      <c r="N12" s="4"/>
      <c r="O12" s="4"/>
      <c r="P12" s="4"/>
      <c r="Q12" s="200"/>
      <c r="R12" s="200"/>
      <c r="S12" s="4"/>
      <c r="T12" s="4"/>
      <c r="U12" s="4"/>
      <c r="V12" s="4"/>
      <c r="W12" s="4"/>
      <c r="X12" s="200"/>
      <c r="Y12" s="200"/>
      <c r="Z12" s="4"/>
      <c r="AA12" s="4"/>
      <c r="AB12" s="5"/>
      <c r="AC12" s="5"/>
      <c r="AD12" s="4"/>
      <c r="AE12" s="200"/>
      <c r="AF12" s="200"/>
      <c r="AG12" s="4"/>
      <c r="AH12" s="4"/>
      <c r="AJ12" s="71">
        <f t="shared" si="1"/>
        <v>0</v>
      </c>
    </row>
    <row r="13" spans="2:36" hidden="1" outlineLevel="1" x14ac:dyDescent="0.25">
      <c r="B13" s="151"/>
      <c r="C13" s="54" t="s">
        <v>77</v>
      </c>
      <c r="D13" s="200"/>
      <c r="E13" s="5"/>
      <c r="F13" s="5"/>
      <c r="G13" s="5"/>
      <c r="H13" s="5"/>
      <c r="I13" s="5"/>
      <c r="J13" s="200"/>
      <c r="K13" s="200"/>
      <c r="L13" s="5"/>
      <c r="M13" s="5"/>
      <c r="N13" s="5"/>
      <c r="O13" s="5"/>
      <c r="P13" s="5"/>
      <c r="Q13" s="200"/>
      <c r="R13" s="200"/>
      <c r="S13" s="5"/>
      <c r="T13" s="5"/>
      <c r="U13" s="5"/>
      <c r="V13" s="5"/>
      <c r="W13" s="5"/>
      <c r="X13" s="200"/>
      <c r="Y13" s="200"/>
      <c r="Z13" s="5"/>
      <c r="AA13" s="5"/>
      <c r="AB13" s="5"/>
      <c r="AC13" s="5"/>
      <c r="AD13" s="5"/>
      <c r="AE13" s="200"/>
      <c r="AF13" s="200"/>
      <c r="AG13" s="5"/>
      <c r="AH13" s="5"/>
      <c r="AJ13" s="72">
        <f t="shared" si="1"/>
        <v>0</v>
      </c>
    </row>
    <row r="14" spans="2:36" ht="15.75" hidden="1" outlineLevel="1" thickBot="1" x14ac:dyDescent="0.3">
      <c r="B14" s="151"/>
      <c r="C14" s="9" t="s">
        <v>3</v>
      </c>
      <c r="D14" s="201"/>
      <c r="E14" s="8"/>
      <c r="F14" s="8"/>
      <c r="G14" s="8"/>
      <c r="H14" s="8"/>
      <c r="I14" s="8"/>
      <c r="J14" s="201"/>
      <c r="K14" s="201"/>
      <c r="L14" s="8"/>
      <c r="M14" s="8"/>
      <c r="N14" s="8"/>
      <c r="O14" s="8"/>
      <c r="P14" s="8"/>
      <c r="Q14" s="201"/>
      <c r="R14" s="201"/>
      <c r="S14" s="8"/>
      <c r="T14" s="8"/>
      <c r="U14" s="8"/>
      <c r="V14" s="8"/>
      <c r="W14" s="8"/>
      <c r="X14" s="201"/>
      <c r="Y14" s="201"/>
      <c r="Z14" s="8"/>
      <c r="AA14" s="8"/>
      <c r="AB14" s="234"/>
      <c r="AC14" s="234"/>
      <c r="AD14" s="8"/>
      <c r="AE14" s="201"/>
      <c r="AF14" s="201"/>
      <c r="AG14" s="8"/>
      <c r="AH14" s="8"/>
      <c r="AI14" s="7"/>
      <c r="AJ14" s="69">
        <f t="shared" si="1"/>
        <v>0</v>
      </c>
    </row>
    <row r="15" spans="2:36" ht="16.5" collapsed="1" thickTop="1" thickBot="1" x14ac:dyDescent="0.3">
      <c r="B15" s="253" t="str">
        <f>'Hours Scheduled'!B6</f>
        <v>Bastiaan Franssen</v>
      </c>
      <c r="C15" t="s">
        <v>0</v>
      </c>
      <c r="D15" s="200"/>
      <c r="E15" s="2"/>
      <c r="F15" s="2"/>
      <c r="G15" s="2"/>
      <c r="H15" s="2"/>
      <c r="I15" s="2"/>
      <c r="J15" s="200"/>
      <c r="K15" s="200"/>
      <c r="L15" s="2"/>
      <c r="M15" s="2"/>
      <c r="N15" s="2"/>
      <c r="O15" s="2"/>
      <c r="P15" s="2"/>
      <c r="Q15" s="200"/>
      <c r="R15" s="200"/>
      <c r="S15" s="2"/>
      <c r="T15" s="2"/>
      <c r="U15" s="2"/>
      <c r="V15" s="2"/>
      <c r="W15" s="2"/>
      <c r="X15" s="200"/>
      <c r="Y15" s="200"/>
      <c r="Z15" s="2"/>
      <c r="AA15" s="2"/>
      <c r="AB15" s="5"/>
      <c r="AC15" s="5"/>
      <c r="AD15" s="2"/>
      <c r="AE15" s="200"/>
      <c r="AF15" s="200"/>
      <c r="AG15" s="2"/>
      <c r="AH15" s="2"/>
      <c r="AJ15" s="64">
        <f>SUM(D15:AH15)</f>
        <v>0</v>
      </c>
    </row>
    <row r="16" spans="2:36" ht="15.75" hidden="1" outlineLevel="1" thickTop="1" x14ac:dyDescent="0.25">
      <c r="B16" s="150"/>
      <c r="C16" s="1" t="s">
        <v>1</v>
      </c>
      <c r="D16" s="200"/>
      <c r="E16" s="3"/>
      <c r="F16" s="3"/>
      <c r="G16" s="3"/>
      <c r="H16" s="3"/>
      <c r="I16" s="3"/>
      <c r="J16" s="200"/>
      <c r="K16" s="200"/>
      <c r="L16" s="3"/>
      <c r="M16" s="3"/>
      <c r="N16" s="3"/>
      <c r="O16" s="3"/>
      <c r="P16" s="3"/>
      <c r="Q16" s="200"/>
      <c r="R16" s="200"/>
      <c r="S16" s="3"/>
      <c r="T16" s="3"/>
      <c r="U16" s="3"/>
      <c r="V16" s="3"/>
      <c r="W16" s="3"/>
      <c r="X16" s="200"/>
      <c r="Y16" s="200"/>
      <c r="Z16" s="3"/>
      <c r="AA16" s="3"/>
      <c r="AB16" s="5"/>
      <c r="AC16" s="5"/>
      <c r="AD16" s="3"/>
      <c r="AE16" s="200"/>
      <c r="AF16" s="200"/>
      <c r="AG16" s="3"/>
      <c r="AH16" s="3"/>
      <c r="AJ16" s="70">
        <f t="shared" ref="AJ16:AJ19" si="2">SUM(D16:AH16)</f>
        <v>0</v>
      </c>
    </row>
    <row r="17" spans="2:36" hidden="1" outlineLevel="1" x14ac:dyDescent="0.25">
      <c r="B17" s="151"/>
      <c r="C17" s="1" t="s">
        <v>2</v>
      </c>
      <c r="D17" s="200"/>
      <c r="E17" s="4"/>
      <c r="F17" s="4"/>
      <c r="G17" s="4"/>
      <c r="H17" s="4"/>
      <c r="I17" s="4"/>
      <c r="J17" s="200"/>
      <c r="K17" s="200"/>
      <c r="L17" s="4"/>
      <c r="M17" s="4"/>
      <c r="N17" s="4"/>
      <c r="O17" s="4"/>
      <c r="P17" s="4"/>
      <c r="Q17" s="200"/>
      <c r="R17" s="200"/>
      <c r="S17" s="4"/>
      <c r="T17" s="4"/>
      <c r="U17" s="4"/>
      <c r="V17" s="4"/>
      <c r="W17" s="4"/>
      <c r="X17" s="200"/>
      <c r="Y17" s="200"/>
      <c r="Z17" s="4"/>
      <c r="AA17" s="4"/>
      <c r="AB17" s="5"/>
      <c r="AC17" s="5"/>
      <c r="AD17" s="4"/>
      <c r="AE17" s="200"/>
      <c r="AF17" s="200"/>
      <c r="AG17" s="4"/>
      <c r="AH17" s="4"/>
      <c r="AJ17" s="71">
        <f t="shared" si="2"/>
        <v>0</v>
      </c>
    </row>
    <row r="18" spans="2:36" hidden="1" outlineLevel="1" x14ac:dyDescent="0.25">
      <c r="B18" s="151"/>
      <c r="C18" s="54" t="s">
        <v>77</v>
      </c>
      <c r="D18" s="200"/>
      <c r="E18" s="5"/>
      <c r="F18" s="5"/>
      <c r="G18" s="5"/>
      <c r="H18" s="5"/>
      <c r="I18" s="5"/>
      <c r="J18" s="200"/>
      <c r="K18" s="200"/>
      <c r="L18" s="5"/>
      <c r="M18" s="5"/>
      <c r="N18" s="5"/>
      <c r="O18" s="5"/>
      <c r="P18" s="5"/>
      <c r="Q18" s="200"/>
      <c r="R18" s="200"/>
      <c r="S18" s="5"/>
      <c r="T18" s="5"/>
      <c r="U18" s="5"/>
      <c r="V18" s="5"/>
      <c r="W18" s="5"/>
      <c r="X18" s="200"/>
      <c r="Y18" s="200"/>
      <c r="Z18" s="5"/>
      <c r="AA18" s="5"/>
      <c r="AB18" s="5"/>
      <c r="AC18" s="5"/>
      <c r="AD18" s="5"/>
      <c r="AE18" s="200"/>
      <c r="AF18" s="200"/>
      <c r="AG18" s="5"/>
      <c r="AH18" s="5"/>
      <c r="AJ18" s="72">
        <f t="shared" si="2"/>
        <v>0</v>
      </c>
    </row>
    <row r="19" spans="2:36" ht="15.75" hidden="1" outlineLevel="1" thickBot="1" x14ac:dyDescent="0.3">
      <c r="B19" s="151"/>
      <c r="C19" s="9" t="s">
        <v>3</v>
      </c>
      <c r="D19" s="201"/>
      <c r="E19" s="8"/>
      <c r="F19" s="8"/>
      <c r="G19" s="8"/>
      <c r="H19" s="8"/>
      <c r="I19" s="8"/>
      <c r="J19" s="201"/>
      <c r="K19" s="201"/>
      <c r="L19" s="8"/>
      <c r="M19" s="8"/>
      <c r="N19" s="8"/>
      <c r="O19" s="8"/>
      <c r="P19" s="8"/>
      <c r="Q19" s="201"/>
      <c r="R19" s="201"/>
      <c r="S19" s="8"/>
      <c r="T19" s="8"/>
      <c r="U19" s="8"/>
      <c r="V19" s="8"/>
      <c r="W19" s="8"/>
      <c r="X19" s="201"/>
      <c r="Y19" s="201"/>
      <c r="Z19" s="8"/>
      <c r="AA19" s="8"/>
      <c r="AB19" s="234"/>
      <c r="AC19" s="234"/>
      <c r="AD19" s="8"/>
      <c r="AE19" s="201"/>
      <c r="AF19" s="201"/>
      <c r="AG19" s="8"/>
      <c r="AH19" s="8"/>
      <c r="AI19" s="7"/>
      <c r="AJ19" s="69">
        <f t="shared" si="2"/>
        <v>0</v>
      </c>
    </row>
    <row r="20" spans="2:36" ht="16.5" collapsed="1" thickTop="1" thickBot="1" x14ac:dyDescent="0.3">
      <c r="B20" s="149" t="str">
        <f>'Hours Scheduled'!B7</f>
        <v>Bjorn Haagen</v>
      </c>
      <c r="C20" t="s">
        <v>0</v>
      </c>
      <c r="D20" s="200"/>
      <c r="E20" s="2"/>
      <c r="F20" s="2"/>
      <c r="G20" s="2"/>
      <c r="H20" s="2"/>
      <c r="I20" s="2"/>
      <c r="J20" s="200"/>
      <c r="K20" s="200"/>
      <c r="L20" s="2"/>
      <c r="M20" s="2"/>
      <c r="N20" s="2"/>
      <c r="O20" s="2"/>
      <c r="P20" s="2"/>
      <c r="Q20" s="200"/>
      <c r="R20" s="200"/>
      <c r="S20" s="2"/>
      <c r="T20" s="2"/>
      <c r="U20" s="2"/>
      <c r="V20" s="2">
        <v>8</v>
      </c>
      <c r="W20" s="2">
        <v>8</v>
      </c>
      <c r="X20" s="200"/>
      <c r="Y20" s="200"/>
      <c r="Z20" s="2">
        <v>8</v>
      </c>
      <c r="AA20" s="2">
        <v>8</v>
      </c>
      <c r="AB20" s="5"/>
      <c r="AC20" s="5"/>
      <c r="AD20" s="2">
        <v>8</v>
      </c>
      <c r="AE20" s="200"/>
      <c r="AF20" s="200"/>
      <c r="AG20" s="2">
        <v>8</v>
      </c>
      <c r="AH20" s="2">
        <v>8</v>
      </c>
      <c r="AJ20" s="64">
        <f>SUM(D20:AH20)</f>
        <v>56</v>
      </c>
    </row>
    <row r="21" spans="2:36" ht="15.75" hidden="1" outlineLevel="1" thickTop="1" x14ac:dyDescent="0.25">
      <c r="B21" s="150"/>
      <c r="C21" s="1" t="s">
        <v>1</v>
      </c>
      <c r="D21" s="200"/>
      <c r="E21" s="3"/>
      <c r="F21" s="3"/>
      <c r="G21" s="3"/>
      <c r="H21" s="3"/>
      <c r="I21" s="3"/>
      <c r="J21" s="200"/>
      <c r="K21" s="200"/>
      <c r="L21" s="3"/>
      <c r="M21" s="3"/>
      <c r="N21" s="3"/>
      <c r="O21" s="3"/>
      <c r="P21" s="3"/>
      <c r="Q21" s="200"/>
      <c r="R21" s="200"/>
      <c r="S21" s="3"/>
      <c r="T21" s="3"/>
      <c r="U21" s="3"/>
      <c r="V21" s="3"/>
      <c r="W21" s="3"/>
      <c r="X21" s="200"/>
      <c r="Y21" s="200"/>
      <c r="Z21" s="3"/>
      <c r="AA21" s="3"/>
      <c r="AB21" s="5"/>
      <c r="AC21" s="5"/>
      <c r="AD21" s="3"/>
      <c r="AE21" s="200"/>
      <c r="AF21" s="200"/>
      <c r="AG21" s="3"/>
      <c r="AH21" s="3"/>
      <c r="AJ21" s="70">
        <f t="shared" ref="AJ21:AJ24" si="3">SUM(D21:AH21)</f>
        <v>0</v>
      </c>
    </row>
    <row r="22" spans="2:36" hidden="1" outlineLevel="1" x14ac:dyDescent="0.25">
      <c r="B22" s="151"/>
      <c r="C22" s="1" t="s">
        <v>2</v>
      </c>
      <c r="D22" s="200"/>
      <c r="E22" s="4"/>
      <c r="F22" s="4"/>
      <c r="G22" s="4"/>
      <c r="H22" s="4"/>
      <c r="I22" s="4"/>
      <c r="J22" s="200"/>
      <c r="K22" s="200"/>
      <c r="L22" s="4"/>
      <c r="M22" s="4"/>
      <c r="N22" s="4"/>
      <c r="O22" s="4"/>
      <c r="P22" s="4"/>
      <c r="Q22" s="200"/>
      <c r="R22" s="200"/>
      <c r="S22" s="4"/>
      <c r="T22" s="4"/>
      <c r="U22" s="4"/>
      <c r="V22" s="4"/>
      <c r="W22" s="4"/>
      <c r="X22" s="200"/>
      <c r="Y22" s="200"/>
      <c r="Z22" s="4"/>
      <c r="AA22" s="4"/>
      <c r="AB22" s="5"/>
      <c r="AC22" s="5"/>
      <c r="AD22" s="4"/>
      <c r="AE22" s="200"/>
      <c r="AF22" s="200"/>
      <c r="AG22" s="4"/>
      <c r="AH22" s="4"/>
      <c r="AJ22" s="71">
        <f t="shared" si="3"/>
        <v>0</v>
      </c>
    </row>
    <row r="23" spans="2:36" hidden="1" outlineLevel="1" x14ac:dyDescent="0.25">
      <c r="B23" s="151"/>
      <c r="C23" s="54" t="s">
        <v>77</v>
      </c>
      <c r="D23" s="200"/>
      <c r="E23" s="5"/>
      <c r="F23" s="5"/>
      <c r="G23" s="5"/>
      <c r="H23" s="5"/>
      <c r="I23" s="5"/>
      <c r="J23" s="200"/>
      <c r="K23" s="200"/>
      <c r="L23" s="5"/>
      <c r="M23" s="5"/>
      <c r="N23" s="5"/>
      <c r="O23" s="5"/>
      <c r="P23" s="5"/>
      <c r="Q23" s="200"/>
      <c r="R23" s="200"/>
      <c r="S23" s="5"/>
      <c r="T23" s="5"/>
      <c r="U23" s="5"/>
      <c r="V23" s="5"/>
      <c r="W23" s="5"/>
      <c r="X23" s="200"/>
      <c r="Y23" s="200"/>
      <c r="Z23" s="5"/>
      <c r="AA23" s="5"/>
      <c r="AB23" s="5"/>
      <c r="AC23" s="5"/>
      <c r="AD23" s="5"/>
      <c r="AE23" s="200"/>
      <c r="AF23" s="200"/>
      <c r="AG23" s="5"/>
      <c r="AH23" s="5"/>
      <c r="AJ23" s="72">
        <f t="shared" si="3"/>
        <v>0</v>
      </c>
    </row>
    <row r="24" spans="2:36" ht="15.75" hidden="1" outlineLevel="1" thickBot="1" x14ac:dyDescent="0.3">
      <c r="B24" s="151"/>
      <c r="C24" s="9" t="s">
        <v>3</v>
      </c>
      <c r="D24" s="201"/>
      <c r="E24" s="8"/>
      <c r="F24" s="8"/>
      <c r="G24" s="8"/>
      <c r="H24" s="8"/>
      <c r="I24" s="8"/>
      <c r="J24" s="201"/>
      <c r="K24" s="201"/>
      <c r="L24" s="8"/>
      <c r="M24" s="8"/>
      <c r="N24" s="8"/>
      <c r="O24" s="8"/>
      <c r="P24" s="8"/>
      <c r="Q24" s="201"/>
      <c r="R24" s="201"/>
      <c r="S24" s="8"/>
      <c r="T24" s="8"/>
      <c r="U24" s="8"/>
      <c r="V24" s="8"/>
      <c r="W24" s="8"/>
      <c r="X24" s="201"/>
      <c r="Y24" s="201"/>
      <c r="Z24" s="8"/>
      <c r="AA24" s="8"/>
      <c r="AB24" s="234"/>
      <c r="AC24" s="234"/>
      <c r="AD24" s="8"/>
      <c r="AE24" s="201"/>
      <c r="AF24" s="201"/>
      <c r="AG24" s="8"/>
      <c r="AH24" s="8"/>
      <c r="AI24" s="7"/>
      <c r="AJ24" s="69">
        <f t="shared" si="3"/>
        <v>0</v>
      </c>
    </row>
    <row r="25" spans="2:36" ht="16.5" collapsed="1" thickTop="1" thickBot="1" x14ac:dyDescent="0.3">
      <c r="B25" s="149" t="str">
        <f>'Hours Scheduled'!B8</f>
        <v>Dave Creusen</v>
      </c>
      <c r="C25" t="s">
        <v>0</v>
      </c>
      <c r="D25" s="200"/>
      <c r="E25" s="2"/>
      <c r="F25" s="2"/>
      <c r="G25" s="2"/>
      <c r="H25" s="2"/>
      <c r="I25" s="2"/>
      <c r="J25" s="200"/>
      <c r="K25" s="200"/>
      <c r="L25" s="2"/>
      <c r="M25" s="2"/>
      <c r="N25" s="2"/>
      <c r="O25" s="2"/>
      <c r="P25" s="2"/>
      <c r="Q25" s="200"/>
      <c r="R25" s="200"/>
      <c r="S25" s="2"/>
      <c r="T25" s="2"/>
      <c r="U25" s="2"/>
      <c r="V25" s="2"/>
      <c r="W25" s="2"/>
      <c r="X25" s="200"/>
      <c r="Y25" s="200"/>
      <c r="Z25" s="2"/>
      <c r="AA25" s="2"/>
      <c r="AB25" s="5"/>
      <c r="AC25" s="5"/>
      <c r="AD25" s="2"/>
      <c r="AE25" s="200"/>
      <c r="AF25" s="200"/>
      <c r="AG25" s="2"/>
      <c r="AH25" s="2"/>
      <c r="AJ25" s="64">
        <f>SUM(D25:AH25)</f>
        <v>0</v>
      </c>
    </row>
    <row r="26" spans="2:36" ht="15.75" hidden="1" outlineLevel="1" thickTop="1" x14ac:dyDescent="0.25">
      <c r="B26" s="150"/>
      <c r="C26" s="1" t="s">
        <v>1</v>
      </c>
      <c r="D26" s="200"/>
      <c r="E26" s="3"/>
      <c r="F26" s="3"/>
      <c r="G26" s="3"/>
      <c r="H26" s="3"/>
      <c r="I26" s="3"/>
      <c r="J26" s="200"/>
      <c r="K26" s="200"/>
      <c r="L26" s="3"/>
      <c r="M26" s="3"/>
      <c r="N26" s="3"/>
      <c r="O26" s="3"/>
      <c r="P26" s="3"/>
      <c r="Q26" s="200"/>
      <c r="R26" s="200"/>
      <c r="S26" s="3"/>
      <c r="T26" s="3"/>
      <c r="U26" s="3"/>
      <c r="V26" s="3"/>
      <c r="W26" s="3"/>
      <c r="X26" s="200"/>
      <c r="Y26" s="200"/>
      <c r="Z26" s="3"/>
      <c r="AA26" s="3"/>
      <c r="AB26" s="5"/>
      <c r="AC26" s="5"/>
      <c r="AD26" s="3"/>
      <c r="AE26" s="200"/>
      <c r="AF26" s="200"/>
      <c r="AG26" s="3"/>
      <c r="AH26" s="3"/>
      <c r="AJ26" s="70">
        <f t="shared" ref="AJ26:AJ29" si="4">SUM(D26:AH26)</f>
        <v>0</v>
      </c>
    </row>
    <row r="27" spans="2:36" hidden="1" outlineLevel="1" x14ac:dyDescent="0.25">
      <c r="B27" s="151"/>
      <c r="C27" s="1" t="s">
        <v>2</v>
      </c>
      <c r="D27" s="200"/>
      <c r="E27" s="4"/>
      <c r="F27" s="4"/>
      <c r="G27" s="4"/>
      <c r="H27" s="4"/>
      <c r="I27" s="4"/>
      <c r="J27" s="200"/>
      <c r="K27" s="200"/>
      <c r="L27" s="4"/>
      <c r="M27" s="4"/>
      <c r="N27" s="4"/>
      <c r="O27" s="4"/>
      <c r="P27" s="4"/>
      <c r="Q27" s="200"/>
      <c r="R27" s="200"/>
      <c r="S27" s="4"/>
      <c r="T27" s="4"/>
      <c r="U27" s="4"/>
      <c r="V27" s="4"/>
      <c r="W27" s="4"/>
      <c r="X27" s="200"/>
      <c r="Y27" s="200"/>
      <c r="Z27" s="4"/>
      <c r="AA27" s="4"/>
      <c r="AB27" s="5"/>
      <c r="AC27" s="5"/>
      <c r="AD27" s="4"/>
      <c r="AE27" s="200"/>
      <c r="AF27" s="200"/>
      <c r="AG27" s="4"/>
      <c r="AH27" s="4"/>
      <c r="AJ27" s="71">
        <f t="shared" si="4"/>
        <v>0</v>
      </c>
    </row>
    <row r="28" spans="2:36" hidden="1" outlineLevel="1" x14ac:dyDescent="0.25">
      <c r="B28" s="151"/>
      <c r="C28" s="54" t="s">
        <v>77</v>
      </c>
      <c r="D28" s="200"/>
      <c r="E28" s="5"/>
      <c r="F28" s="5"/>
      <c r="G28" s="5"/>
      <c r="H28" s="5"/>
      <c r="I28" s="5"/>
      <c r="J28" s="200"/>
      <c r="K28" s="200"/>
      <c r="L28" s="5"/>
      <c r="M28" s="5"/>
      <c r="N28" s="5"/>
      <c r="O28" s="5"/>
      <c r="P28" s="5"/>
      <c r="Q28" s="200"/>
      <c r="R28" s="200"/>
      <c r="S28" s="5"/>
      <c r="T28" s="5"/>
      <c r="U28" s="5"/>
      <c r="V28" s="5"/>
      <c r="W28" s="5"/>
      <c r="X28" s="200"/>
      <c r="Y28" s="200"/>
      <c r="Z28" s="5"/>
      <c r="AA28" s="5"/>
      <c r="AB28" s="5"/>
      <c r="AC28" s="5"/>
      <c r="AD28" s="5"/>
      <c r="AE28" s="200"/>
      <c r="AF28" s="200"/>
      <c r="AG28" s="5"/>
      <c r="AH28" s="5"/>
      <c r="AJ28" s="72">
        <f t="shared" si="4"/>
        <v>0</v>
      </c>
    </row>
    <row r="29" spans="2:36" ht="15.75" hidden="1" outlineLevel="1" thickBot="1" x14ac:dyDescent="0.3">
      <c r="B29" s="151"/>
      <c r="C29" s="9" t="s">
        <v>3</v>
      </c>
      <c r="D29" s="201"/>
      <c r="E29" s="8"/>
      <c r="F29" s="8"/>
      <c r="G29" s="8"/>
      <c r="H29" s="8"/>
      <c r="I29" s="8"/>
      <c r="J29" s="201"/>
      <c r="K29" s="201"/>
      <c r="L29" s="8"/>
      <c r="M29" s="8"/>
      <c r="N29" s="8"/>
      <c r="O29" s="8"/>
      <c r="P29" s="8"/>
      <c r="Q29" s="201"/>
      <c r="R29" s="201"/>
      <c r="S29" s="8"/>
      <c r="T29" s="8"/>
      <c r="U29" s="8"/>
      <c r="V29" s="8"/>
      <c r="W29" s="8"/>
      <c r="X29" s="201"/>
      <c r="Y29" s="201"/>
      <c r="Z29" s="8"/>
      <c r="AA29" s="8"/>
      <c r="AB29" s="234"/>
      <c r="AC29" s="234"/>
      <c r="AD29" s="8"/>
      <c r="AE29" s="201"/>
      <c r="AF29" s="201"/>
      <c r="AG29" s="8"/>
      <c r="AH29" s="8"/>
      <c r="AI29" s="7"/>
      <c r="AJ29" s="69">
        <f t="shared" si="4"/>
        <v>0</v>
      </c>
    </row>
    <row r="30" spans="2:36" ht="16.5" collapsed="1" thickTop="1" thickBot="1" x14ac:dyDescent="0.3">
      <c r="B30" s="149" t="str">
        <f>'Hours Scheduled'!B9</f>
        <v>Davy Smeets</v>
      </c>
      <c r="C30" t="s">
        <v>0</v>
      </c>
      <c r="D30" s="200"/>
      <c r="E30" s="2"/>
      <c r="F30" s="2"/>
      <c r="G30" s="2"/>
      <c r="H30" s="2"/>
      <c r="I30" s="2"/>
      <c r="J30" s="200"/>
      <c r="K30" s="200"/>
      <c r="L30" s="2"/>
      <c r="M30" s="2"/>
      <c r="N30" s="2"/>
      <c r="O30" s="2"/>
      <c r="P30" s="2"/>
      <c r="Q30" s="200"/>
      <c r="R30" s="200"/>
      <c r="S30" s="2"/>
      <c r="T30" s="2"/>
      <c r="U30" s="2"/>
      <c r="V30" s="2"/>
      <c r="W30" s="2"/>
      <c r="X30" s="200"/>
      <c r="Y30" s="200"/>
      <c r="Z30" s="2"/>
      <c r="AA30" s="2"/>
      <c r="AB30" s="5"/>
      <c r="AC30" s="5"/>
      <c r="AD30" s="2"/>
      <c r="AE30" s="200"/>
      <c r="AF30" s="200"/>
      <c r="AG30" s="2"/>
      <c r="AH30" s="2"/>
      <c r="AJ30" s="64">
        <f>SUM(D30:AH30)</f>
        <v>0</v>
      </c>
    </row>
    <row r="31" spans="2:36" ht="15.75" hidden="1" outlineLevel="1" thickTop="1" x14ac:dyDescent="0.25">
      <c r="B31" s="150"/>
      <c r="C31" s="1" t="s">
        <v>1</v>
      </c>
      <c r="D31" s="200"/>
      <c r="E31" s="3"/>
      <c r="F31" s="3"/>
      <c r="G31" s="3"/>
      <c r="H31" s="3"/>
      <c r="I31" s="3"/>
      <c r="J31" s="200"/>
      <c r="K31" s="200"/>
      <c r="L31" s="3"/>
      <c r="M31" s="3"/>
      <c r="N31" s="3"/>
      <c r="O31" s="3"/>
      <c r="P31" s="3"/>
      <c r="Q31" s="200"/>
      <c r="R31" s="200"/>
      <c r="S31" s="3"/>
      <c r="T31" s="3"/>
      <c r="U31" s="3"/>
      <c r="V31" s="3"/>
      <c r="W31" s="3"/>
      <c r="X31" s="200"/>
      <c r="Y31" s="200"/>
      <c r="Z31" s="3"/>
      <c r="AA31" s="3"/>
      <c r="AB31" s="5"/>
      <c r="AC31" s="5"/>
      <c r="AD31" s="3"/>
      <c r="AE31" s="200"/>
      <c r="AF31" s="200"/>
      <c r="AG31" s="3"/>
      <c r="AH31" s="3"/>
      <c r="AJ31" s="70">
        <f t="shared" ref="AJ31:AJ34" si="5">SUM(D31:AH31)</f>
        <v>0</v>
      </c>
    </row>
    <row r="32" spans="2:36" hidden="1" outlineLevel="1" x14ac:dyDescent="0.25">
      <c r="B32" s="151"/>
      <c r="C32" s="1" t="s">
        <v>2</v>
      </c>
      <c r="D32" s="200"/>
      <c r="E32" s="4"/>
      <c r="F32" s="4"/>
      <c r="G32" s="4"/>
      <c r="H32" s="4"/>
      <c r="I32" s="4"/>
      <c r="J32" s="200"/>
      <c r="K32" s="200"/>
      <c r="L32" s="4"/>
      <c r="M32" s="4"/>
      <c r="N32" s="4"/>
      <c r="O32" s="4"/>
      <c r="P32" s="4"/>
      <c r="Q32" s="200"/>
      <c r="R32" s="200"/>
      <c r="S32" s="4"/>
      <c r="T32" s="4"/>
      <c r="U32" s="4"/>
      <c r="V32" s="4"/>
      <c r="W32" s="4"/>
      <c r="X32" s="200"/>
      <c r="Y32" s="200"/>
      <c r="Z32" s="4"/>
      <c r="AA32" s="4"/>
      <c r="AB32" s="5"/>
      <c r="AC32" s="5"/>
      <c r="AD32" s="4"/>
      <c r="AE32" s="200"/>
      <c r="AF32" s="200"/>
      <c r="AG32" s="4"/>
      <c r="AH32" s="4"/>
      <c r="AJ32" s="71">
        <f t="shared" si="5"/>
        <v>0</v>
      </c>
    </row>
    <row r="33" spans="2:36" hidden="1" outlineLevel="1" x14ac:dyDescent="0.25">
      <c r="B33" s="151"/>
      <c r="C33" s="54" t="s">
        <v>77</v>
      </c>
      <c r="D33" s="200"/>
      <c r="E33" s="5"/>
      <c r="F33" s="5"/>
      <c r="G33" s="5"/>
      <c r="H33" s="5"/>
      <c r="I33" s="5"/>
      <c r="J33" s="200"/>
      <c r="K33" s="200"/>
      <c r="L33" s="5"/>
      <c r="M33" s="5"/>
      <c r="N33" s="5"/>
      <c r="O33" s="5"/>
      <c r="P33" s="5"/>
      <c r="Q33" s="200"/>
      <c r="R33" s="200"/>
      <c r="S33" s="5"/>
      <c r="T33" s="5"/>
      <c r="U33" s="5"/>
      <c r="V33" s="5"/>
      <c r="W33" s="5"/>
      <c r="X33" s="200"/>
      <c r="Y33" s="200"/>
      <c r="Z33" s="5"/>
      <c r="AA33" s="5"/>
      <c r="AB33" s="5"/>
      <c r="AC33" s="5"/>
      <c r="AD33" s="5"/>
      <c r="AE33" s="200"/>
      <c r="AF33" s="200"/>
      <c r="AG33" s="5"/>
      <c r="AH33" s="5"/>
      <c r="AJ33" s="72">
        <f t="shared" si="5"/>
        <v>0</v>
      </c>
    </row>
    <row r="34" spans="2:36" ht="15.75" hidden="1" outlineLevel="1" thickBot="1" x14ac:dyDescent="0.3">
      <c r="B34" s="151"/>
      <c r="C34" s="9" t="s">
        <v>3</v>
      </c>
      <c r="D34" s="201"/>
      <c r="E34" s="8"/>
      <c r="F34" s="8"/>
      <c r="G34" s="8"/>
      <c r="H34" s="8"/>
      <c r="I34" s="8"/>
      <c r="J34" s="201"/>
      <c r="K34" s="201"/>
      <c r="L34" s="8"/>
      <c r="M34" s="8"/>
      <c r="N34" s="8"/>
      <c r="O34" s="8"/>
      <c r="P34" s="8"/>
      <c r="Q34" s="201"/>
      <c r="R34" s="201"/>
      <c r="S34" s="8"/>
      <c r="T34" s="8"/>
      <c r="U34" s="8"/>
      <c r="V34" s="8"/>
      <c r="W34" s="8"/>
      <c r="X34" s="201"/>
      <c r="Y34" s="201"/>
      <c r="Z34" s="8"/>
      <c r="AA34" s="8"/>
      <c r="AB34" s="234"/>
      <c r="AC34" s="234"/>
      <c r="AD34" s="8"/>
      <c r="AE34" s="201"/>
      <c r="AF34" s="201"/>
      <c r="AG34" s="8"/>
      <c r="AH34" s="8"/>
      <c r="AI34" s="7"/>
      <c r="AJ34" s="69">
        <f t="shared" si="5"/>
        <v>0</v>
      </c>
    </row>
    <row r="35" spans="2:36" ht="16.5" collapsed="1" thickTop="1" thickBot="1" x14ac:dyDescent="0.3">
      <c r="B35" s="253" t="str">
        <f>'Hours Scheduled'!B10</f>
        <v>Dennis van 't Hul</v>
      </c>
      <c r="C35" t="s">
        <v>0</v>
      </c>
      <c r="D35" s="200"/>
      <c r="E35" s="2"/>
      <c r="F35" s="2"/>
      <c r="G35" s="2"/>
      <c r="H35" s="2"/>
      <c r="I35" s="2"/>
      <c r="J35" s="200"/>
      <c r="K35" s="200"/>
      <c r="L35" s="2"/>
      <c r="M35" s="2"/>
      <c r="N35" s="2"/>
      <c r="O35" s="2"/>
      <c r="P35" s="2"/>
      <c r="Q35" s="200"/>
      <c r="R35" s="200"/>
      <c r="S35" s="2"/>
      <c r="T35" s="2"/>
      <c r="U35" s="2"/>
      <c r="V35" s="2"/>
      <c r="W35" s="2"/>
      <c r="X35" s="200"/>
      <c r="Y35" s="200"/>
      <c r="Z35" s="2"/>
      <c r="AA35" s="2"/>
      <c r="AB35" s="5"/>
      <c r="AC35" s="5"/>
      <c r="AD35" s="2"/>
      <c r="AE35" s="200"/>
      <c r="AF35" s="200"/>
      <c r="AG35" s="2"/>
      <c r="AH35" s="2"/>
      <c r="AJ35" s="64">
        <f>SUM(D35:AH35)</f>
        <v>0</v>
      </c>
    </row>
    <row r="36" spans="2:36" ht="15.75" hidden="1" outlineLevel="1" thickTop="1" x14ac:dyDescent="0.25">
      <c r="B36" s="150"/>
      <c r="C36" s="1" t="s">
        <v>1</v>
      </c>
      <c r="D36" s="200"/>
      <c r="E36" s="3"/>
      <c r="F36" s="3"/>
      <c r="G36" s="3"/>
      <c r="H36" s="3"/>
      <c r="I36" s="3"/>
      <c r="J36" s="200"/>
      <c r="K36" s="200"/>
      <c r="L36" s="3"/>
      <c r="M36" s="3"/>
      <c r="N36" s="3"/>
      <c r="O36" s="3"/>
      <c r="P36" s="3"/>
      <c r="Q36" s="200"/>
      <c r="R36" s="200"/>
      <c r="S36" s="3"/>
      <c r="T36" s="3"/>
      <c r="U36" s="3"/>
      <c r="V36" s="3"/>
      <c r="W36" s="3"/>
      <c r="X36" s="200"/>
      <c r="Y36" s="200"/>
      <c r="Z36" s="3"/>
      <c r="AA36" s="3"/>
      <c r="AB36" s="5"/>
      <c r="AC36" s="5"/>
      <c r="AD36" s="3"/>
      <c r="AE36" s="200"/>
      <c r="AF36" s="200"/>
      <c r="AG36" s="3"/>
      <c r="AH36" s="3"/>
      <c r="AJ36" s="70">
        <f t="shared" ref="AJ36:AJ39" si="6">SUM(D36:AH36)</f>
        <v>0</v>
      </c>
    </row>
    <row r="37" spans="2:36" hidden="1" outlineLevel="1" x14ac:dyDescent="0.25">
      <c r="B37" s="151"/>
      <c r="C37" s="1" t="s">
        <v>2</v>
      </c>
      <c r="D37" s="200"/>
      <c r="E37" s="4"/>
      <c r="F37" s="4"/>
      <c r="G37" s="4"/>
      <c r="H37" s="4"/>
      <c r="I37" s="4"/>
      <c r="J37" s="200"/>
      <c r="K37" s="200"/>
      <c r="L37" s="4"/>
      <c r="M37" s="4"/>
      <c r="N37" s="4"/>
      <c r="O37" s="4"/>
      <c r="P37" s="4"/>
      <c r="Q37" s="200"/>
      <c r="R37" s="200"/>
      <c r="S37" s="4"/>
      <c r="T37" s="4"/>
      <c r="U37" s="4"/>
      <c r="V37" s="4"/>
      <c r="W37" s="4"/>
      <c r="X37" s="200"/>
      <c r="Y37" s="200"/>
      <c r="Z37" s="4"/>
      <c r="AA37" s="4"/>
      <c r="AB37" s="5"/>
      <c r="AC37" s="5"/>
      <c r="AD37" s="4"/>
      <c r="AE37" s="200"/>
      <c r="AF37" s="200"/>
      <c r="AG37" s="4"/>
      <c r="AH37" s="4"/>
      <c r="AJ37" s="71">
        <f t="shared" si="6"/>
        <v>0</v>
      </c>
    </row>
    <row r="38" spans="2:36" hidden="1" outlineLevel="1" x14ac:dyDescent="0.25">
      <c r="B38" s="151"/>
      <c r="C38" s="54" t="s">
        <v>77</v>
      </c>
      <c r="D38" s="200"/>
      <c r="E38" s="5"/>
      <c r="F38" s="5"/>
      <c r="G38" s="5"/>
      <c r="H38" s="5"/>
      <c r="I38" s="5"/>
      <c r="J38" s="200"/>
      <c r="K38" s="200"/>
      <c r="L38" s="5"/>
      <c r="M38" s="5"/>
      <c r="N38" s="5"/>
      <c r="O38" s="5"/>
      <c r="P38" s="5"/>
      <c r="Q38" s="200"/>
      <c r="R38" s="200"/>
      <c r="S38" s="5"/>
      <c r="T38" s="5"/>
      <c r="U38" s="5"/>
      <c r="V38" s="5"/>
      <c r="W38" s="5"/>
      <c r="X38" s="200"/>
      <c r="Y38" s="200"/>
      <c r="Z38" s="5"/>
      <c r="AA38" s="5"/>
      <c r="AB38" s="5"/>
      <c r="AC38" s="5"/>
      <c r="AD38" s="5"/>
      <c r="AE38" s="200"/>
      <c r="AF38" s="200"/>
      <c r="AG38" s="5"/>
      <c r="AH38" s="5"/>
      <c r="AJ38" s="72">
        <f t="shared" si="6"/>
        <v>0</v>
      </c>
    </row>
    <row r="39" spans="2:36" ht="15.75" hidden="1" outlineLevel="1" thickBot="1" x14ac:dyDescent="0.3">
      <c r="B39" s="151"/>
      <c r="C39" s="9" t="s">
        <v>3</v>
      </c>
      <c r="D39" s="201"/>
      <c r="E39" s="8"/>
      <c r="F39" s="8"/>
      <c r="G39" s="8"/>
      <c r="H39" s="8"/>
      <c r="I39" s="8"/>
      <c r="J39" s="201"/>
      <c r="K39" s="201"/>
      <c r="L39" s="8"/>
      <c r="M39" s="8"/>
      <c r="N39" s="8"/>
      <c r="O39" s="8"/>
      <c r="P39" s="8"/>
      <c r="Q39" s="201"/>
      <c r="R39" s="201"/>
      <c r="S39" s="8"/>
      <c r="T39" s="8"/>
      <c r="U39" s="8"/>
      <c r="V39" s="8"/>
      <c r="W39" s="8"/>
      <c r="X39" s="201"/>
      <c r="Y39" s="201"/>
      <c r="Z39" s="8"/>
      <c r="AA39" s="8"/>
      <c r="AB39" s="234"/>
      <c r="AC39" s="234"/>
      <c r="AD39" s="8"/>
      <c r="AE39" s="201"/>
      <c r="AF39" s="201"/>
      <c r="AG39" s="8"/>
      <c r="AH39" s="8"/>
      <c r="AI39" s="7"/>
      <c r="AJ39" s="69">
        <f t="shared" si="6"/>
        <v>0</v>
      </c>
    </row>
    <row r="40" spans="2:36" ht="16.5" collapsed="1" thickTop="1" thickBot="1" x14ac:dyDescent="0.3">
      <c r="B40" s="149" t="str">
        <f>'Hours Scheduled'!B11</f>
        <v>Dominique Daemen</v>
      </c>
      <c r="C40" t="s">
        <v>0</v>
      </c>
      <c r="D40" s="200"/>
      <c r="E40" s="2"/>
      <c r="F40" s="2"/>
      <c r="G40" s="2"/>
      <c r="H40" s="2"/>
      <c r="I40" s="2"/>
      <c r="J40" s="200"/>
      <c r="K40" s="200"/>
      <c r="L40" s="2"/>
      <c r="M40" s="2"/>
      <c r="N40" s="2"/>
      <c r="O40" s="2"/>
      <c r="P40" s="2"/>
      <c r="Q40" s="200"/>
      <c r="R40" s="200"/>
      <c r="S40" s="2"/>
      <c r="T40" s="2"/>
      <c r="U40" s="2"/>
      <c r="V40" s="2"/>
      <c r="W40" s="2"/>
      <c r="X40" s="200"/>
      <c r="Y40" s="200"/>
      <c r="Z40" s="2"/>
      <c r="AA40" s="2"/>
      <c r="AB40" s="5"/>
      <c r="AC40" s="5"/>
      <c r="AD40" s="2"/>
      <c r="AE40" s="200"/>
      <c r="AF40" s="200"/>
      <c r="AG40" s="2"/>
      <c r="AH40" s="2"/>
      <c r="AJ40" s="64">
        <f>SUM(D40:AH40)</f>
        <v>0</v>
      </c>
    </row>
    <row r="41" spans="2:36" ht="15.75" hidden="1" outlineLevel="1" thickTop="1" x14ac:dyDescent="0.25">
      <c r="B41" s="150"/>
      <c r="C41" s="1" t="s">
        <v>1</v>
      </c>
      <c r="D41" s="200"/>
      <c r="E41" s="3"/>
      <c r="F41" s="3"/>
      <c r="G41" s="3"/>
      <c r="H41" s="3"/>
      <c r="I41" s="3"/>
      <c r="J41" s="200"/>
      <c r="K41" s="200"/>
      <c r="L41" s="3"/>
      <c r="M41" s="3"/>
      <c r="N41" s="3"/>
      <c r="O41" s="3"/>
      <c r="P41" s="3"/>
      <c r="Q41" s="200"/>
      <c r="R41" s="200"/>
      <c r="S41" s="3"/>
      <c r="T41" s="3"/>
      <c r="U41" s="3"/>
      <c r="V41" s="3"/>
      <c r="W41" s="3"/>
      <c r="X41" s="200"/>
      <c r="Y41" s="200"/>
      <c r="Z41" s="3"/>
      <c r="AA41" s="3"/>
      <c r="AB41" s="5"/>
      <c r="AC41" s="5"/>
      <c r="AD41" s="3"/>
      <c r="AE41" s="200"/>
      <c r="AF41" s="200"/>
      <c r="AG41" s="3"/>
      <c r="AH41" s="3"/>
      <c r="AJ41" s="70">
        <f t="shared" ref="AJ41:AJ44" si="7">SUM(D41:AH41)</f>
        <v>0</v>
      </c>
    </row>
    <row r="42" spans="2:36" hidden="1" outlineLevel="1" x14ac:dyDescent="0.25">
      <c r="B42" s="151"/>
      <c r="C42" s="1" t="s">
        <v>2</v>
      </c>
      <c r="D42" s="200"/>
      <c r="E42" s="4"/>
      <c r="F42" s="4"/>
      <c r="G42" s="4"/>
      <c r="H42" s="4"/>
      <c r="I42" s="4"/>
      <c r="J42" s="200"/>
      <c r="K42" s="200"/>
      <c r="L42" s="4"/>
      <c r="M42" s="4"/>
      <c r="N42" s="4"/>
      <c r="O42" s="4"/>
      <c r="P42" s="4"/>
      <c r="Q42" s="200"/>
      <c r="R42" s="200"/>
      <c r="S42" s="4"/>
      <c r="T42" s="4"/>
      <c r="U42" s="4"/>
      <c r="V42" s="4"/>
      <c r="W42" s="4"/>
      <c r="X42" s="200"/>
      <c r="Y42" s="200"/>
      <c r="Z42" s="4"/>
      <c r="AA42" s="4"/>
      <c r="AB42" s="5"/>
      <c r="AC42" s="5"/>
      <c r="AD42" s="4"/>
      <c r="AE42" s="200"/>
      <c r="AF42" s="200"/>
      <c r="AG42" s="4"/>
      <c r="AH42" s="4"/>
      <c r="AJ42" s="71">
        <f t="shared" si="7"/>
        <v>0</v>
      </c>
    </row>
    <row r="43" spans="2:36" hidden="1" outlineLevel="1" x14ac:dyDescent="0.25">
      <c r="B43" s="151"/>
      <c r="C43" s="54" t="s">
        <v>77</v>
      </c>
      <c r="D43" s="200"/>
      <c r="E43" s="5"/>
      <c r="F43" s="5"/>
      <c r="G43" s="5"/>
      <c r="H43" s="5"/>
      <c r="I43" s="5"/>
      <c r="J43" s="200"/>
      <c r="K43" s="200"/>
      <c r="L43" s="5"/>
      <c r="M43" s="5"/>
      <c r="N43" s="5"/>
      <c r="O43" s="5"/>
      <c r="P43" s="5"/>
      <c r="Q43" s="200"/>
      <c r="R43" s="200"/>
      <c r="S43" s="5"/>
      <c r="T43" s="5"/>
      <c r="U43" s="5"/>
      <c r="V43" s="5"/>
      <c r="W43" s="5"/>
      <c r="X43" s="200"/>
      <c r="Y43" s="200"/>
      <c r="Z43" s="5"/>
      <c r="AA43" s="5"/>
      <c r="AB43" s="5"/>
      <c r="AC43" s="5"/>
      <c r="AD43" s="5"/>
      <c r="AE43" s="200"/>
      <c r="AF43" s="200"/>
      <c r="AG43" s="5"/>
      <c r="AH43" s="5"/>
      <c r="AJ43" s="72">
        <f t="shared" si="7"/>
        <v>0</v>
      </c>
    </row>
    <row r="44" spans="2:36" ht="15.75" hidden="1" outlineLevel="1" thickBot="1" x14ac:dyDescent="0.3">
      <c r="B44" s="151"/>
      <c r="C44" s="9" t="s">
        <v>3</v>
      </c>
      <c r="D44" s="201"/>
      <c r="E44" s="8"/>
      <c r="F44" s="8"/>
      <c r="G44" s="8"/>
      <c r="H44" s="8"/>
      <c r="I44" s="8"/>
      <c r="J44" s="201"/>
      <c r="K44" s="201"/>
      <c r="L44" s="8"/>
      <c r="M44" s="8"/>
      <c r="N44" s="8"/>
      <c r="O44" s="8"/>
      <c r="P44" s="8"/>
      <c r="Q44" s="201"/>
      <c r="R44" s="201"/>
      <c r="S44" s="8"/>
      <c r="T44" s="8"/>
      <c r="U44" s="8"/>
      <c r="V44" s="8"/>
      <c r="W44" s="8"/>
      <c r="X44" s="201"/>
      <c r="Y44" s="201"/>
      <c r="Z44" s="8"/>
      <c r="AA44" s="8"/>
      <c r="AB44" s="234"/>
      <c r="AC44" s="234"/>
      <c r="AD44" s="8"/>
      <c r="AE44" s="201"/>
      <c r="AF44" s="201"/>
      <c r="AG44" s="8"/>
      <c r="AH44" s="8"/>
      <c r="AI44" s="7"/>
      <c r="AJ44" s="69">
        <f t="shared" si="7"/>
        <v>0</v>
      </c>
    </row>
    <row r="45" spans="2:36" ht="16.5" collapsed="1" thickTop="1" thickBot="1" x14ac:dyDescent="0.3">
      <c r="B45" s="149" t="str">
        <f>'Hours Scheduled'!B12</f>
        <v>Erwin Deckers</v>
      </c>
      <c r="C45" t="s">
        <v>0</v>
      </c>
      <c r="D45" s="200"/>
      <c r="E45" s="2"/>
      <c r="F45" s="2"/>
      <c r="G45" s="2"/>
      <c r="H45" s="2"/>
      <c r="I45" s="2"/>
      <c r="J45" s="200"/>
      <c r="K45" s="200"/>
      <c r="L45" s="2"/>
      <c r="M45" s="2"/>
      <c r="N45" s="2"/>
      <c r="O45" s="2"/>
      <c r="P45" s="2"/>
      <c r="Q45" s="200"/>
      <c r="R45" s="200"/>
      <c r="S45" s="2"/>
      <c r="T45" s="2"/>
      <c r="U45" s="2"/>
      <c r="V45" s="2"/>
      <c r="W45" s="2"/>
      <c r="X45" s="200"/>
      <c r="Y45" s="200"/>
      <c r="Z45" s="2"/>
      <c r="AA45" s="2"/>
      <c r="AB45" s="5"/>
      <c r="AC45" s="5"/>
      <c r="AD45" s="2"/>
      <c r="AE45" s="200"/>
      <c r="AF45" s="200"/>
      <c r="AG45" s="2"/>
      <c r="AH45" s="2"/>
      <c r="AJ45" s="64">
        <f>SUM(D45:AH45)</f>
        <v>0</v>
      </c>
    </row>
    <row r="46" spans="2:36" ht="15.75" hidden="1" outlineLevel="1" thickTop="1" x14ac:dyDescent="0.25">
      <c r="B46" s="150"/>
      <c r="C46" s="1" t="s">
        <v>1</v>
      </c>
      <c r="D46" s="200"/>
      <c r="E46" s="3"/>
      <c r="F46" s="3"/>
      <c r="G46" s="3"/>
      <c r="H46" s="3"/>
      <c r="I46" s="3"/>
      <c r="J46" s="200"/>
      <c r="K46" s="200"/>
      <c r="L46" s="3"/>
      <c r="M46" s="3"/>
      <c r="N46" s="3"/>
      <c r="O46" s="3"/>
      <c r="P46" s="3"/>
      <c r="Q46" s="200"/>
      <c r="R46" s="200"/>
      <c r="S46" s="3"/>
      <c r="T46" s="3"/>
      <c r="U46" s="3"/>
      <c r="V46" s="3"/>
      <c r="W46" s="3"/>
      <c r="X46" s="200"/>
      <c r="Y46" s="200"/>
      <c r="Z46" s="3"/>
      <c r="AA46" s="3"/>
      <c r="AB46" s="5"/>
      <c r="AC46" s="5"/>
      <c r="AD46" s="3"/>
      <c r="AE46" s="200"/>
      <c r="AF46" s="200"/>
      <c r="AG46" s="3"/>
      <c r="AH46" s="3"/>
      <c r="AJ46" s="70">
        <f t="shared" ref="AJ46:AJ49" si="8">SUM(D46:AH46)</f>
        <v>0</v>
      </c>
    </row>
    <row r="47" spans="2:36" hidden="1" outlineLevel="1" x14ac:dyDescent="0.25">
      <c r="B47" s="151"/>
      <c r="C47" s="1" t="s">
        <v>2</v>
      </c>
      <c r="D47" s="200"/>
      <c r="E47" s="4"/>
      <c r="F47" s="4"/>
      <c r="G47" s="4"/>
      <c r="H47" s="4"/>
      <c r="I47" s="4"/>
      <c r="J47" s="200"/>
      <c r="K47" s="200"/>
      <c r="L47" s="4"/>
      <c r="M47" s="4"/>
      <c r="N47" s="4"/>
      <c r="O47" s="4"/>
      <c r="P47" s="4"/>
      <c r="Q47" s="200"/>
      <c r="R47" s="200"/>
      <c r="S47" s="4"/>
      <c r="T47" s="4"/>
      <c r="U47" s="4"/>
      <c r="V47" s="4"/>
      <c r="W47" s="4"/>
      <c r="X47" s="200"/>
      <c r="Y47" s="200"/>
      <c r="Z47" s="4"/>
      <c r="AA47" s="4"/>
      <c r="AB47" s="5"/>
      <c r="AC47" s="5"/>
      <c r="AD47" s="4"/>
      <c r="AE47" s="200"/>
      <c r="AF47" s="200"/>
      <c r="AG47" s="4"/>
      <c r="AH47" s="4"/>
      <c r="AJ47" s="71">
        <f t="shared" si="8"/>
        <v>0</v>
      </c>
    </row>
    <row r="48" spans="2:36" hidden="1" outlineLevel="1" x14ac:dyDescent="0.25">
      <c r="B48" s="151"/>
      <c r="C48" s="54" t="s">
        <v>77</v>
      </c>
      <c r="D48" s="200"/>
      <c r="E48" s="5"/>
      <c r="F48" s="5"/>
      <c r="G48" s="5"/>
      <c r="H48" s="5"/>
      <c r="I48" s="5"/>
      <c r="J48" s="200"/>
      <c r="K48" s="200"/>
      <c r="L48" s="5"/>
      <c r="M48" s="5"/>
      <c r="N48" s="5"/>
      <c r="O48" s="5"/>
      <c r="P48" s="5"/>
      <c r="Q48" s="200"/>
      <c r="R48" s="200"/>
      <c r="S48" s="5"/>
      <c r="T48" s="5"/>
      <c r="U48" s="5"/>
      <c r="V48" s="5"/>
      <c r="W48" s="5"/>
      <c r="X48" s="200"/>
      <c r="Y48" s="200"/>
      <c r="Z48" s="5"/>
      <c r="AA48" s="5"/>
      <c r="AB48" s="5"/>
      <c r="AC48" s="5"/>
      <c r="AD48" s="5"/>
      <c r="AE48" s="200"/>
      <c r="AF48" s="200"/>
      <c r="AG48" s="5"/>
      <c r="AH48" s="5"/>
      <c r="AJ48" s="72">
        <f t="shared" si="8"/>
        <v>0</v>
      </c>
    </row>
    <row r="49" spans="2:36" ht="15.75" hidden="1" outlineLevel="1" thickBot="1" x14ac:dyDescent="0.3">
      <c r="B49" s="151"/>
      <c r="C49" s="9" t="s">
        <v>3</v>
      </c>
      <c r="D49" s="201"/>
      <c r="E49" s="8"/>
      <c r="F49" s="8"/>
      <c r="G49" s="8"/>
      <c r="H49" s="8"/>
      <c r="I49" s="8"/>
      <c r="J49" s="201"/>
      <c r="K49" s="201"/>
      <c r="L49" s="8"/>
      <c r="M49" s="8"/>
      <c r="N49" s="8"/>
      <c r="O49" s="8"/>
      <c r="P49" s="8"/>
      <c r="Q49" s="201"/>
      <c r="R49" s="201"/>
      <c r="S49" s="8"/>
      <c r="T49" s="8"/>
      <c r="U49" s="8"/>
      <c r="V49" s="8"/>
      <c r="W49" s="8"/>
      <c r="X49" s="201"/>
      <c r="Y49" s="201"/>
      <c r="Z49" s="8"/>
      <c r="AA49" s="8"/>
      <c r="AB49" s="234"/>
      <c r="AC49" s="234"/>
      <c r="AD49" s="8"/>
      <c r="AE49" s="201"/>
      <c r="AF49" s="201"/>
      <c r="AG49" s="8"/>
      <c r="AH49" s="8"/>
      <c r="AI49" s="7"/>
      <c r="AJ49" s="69">
        <f t="shared" si="8"/>
        <v>0</v>
      </c>
    </row>
    <row r="50" spans="2:36" ht="16.5" collapsed="1" thickTop="1" thickBot="1" x14ac:dyDescent="0.3">
      <c r="B50" s="149" t="str">
        <f>'Hours Scheduled'!B13</f>
        <v>Fred Boekwijt</v>
      </c>
      <c r="C50" t="s">
        <v>0</v>
      </c>
      <c r="D50" s="198"/>
      <c r="E50" s="180"/>
      <c r="F50" s="180"/>
      <c r="G50" s="180"/>
      <c r="H50" s="180"/>
      <c r="I50" s="180"/>
      <c r="J50" s="198"/>
      <c r="K50" s="198"/>
      <c r="L50" s="180"/>
      <c r="M50" s="180"/>
      <c r="N50" s="180"/>
      <c r="O50" s="180"/>
      <c r="P50" s="180"/>
      <c r="Q50" s="198"/>
      <c r="R50" s="198"/>
      <c r="S50" s="180"/>
      <c r="T50" s="180"/>
      <c r="U50" s="180"/>
      <c r="V50" s="180"/>
      <c r="W50" s="180"/>
      <c r="X50" s="198"/>
      <c r="Y50" s="198"/>
      <c r="Z50" s="180"/>
      <c r="AA50" s="180"/>
      <c r="AB50" s="183"/>
      <c r="AC50" s="183"/>
      <c r="AD50" s="180"/>
      <c r="AE50" s="198"/>
      <c r="AF50" s="198"/>
      <c r="AG50" s="180"/>
      <c r="AH50" s="180"/>
      <c r="AJ50" s="64">
        <f>SUM(D50:AH50)</f>
        <v>0</v>
      </c>
    </row>
    <row r="51" spans="2:36" ht="15.75" hidden="1" outlineLevel="1" thickTop="1" x14ac:dyDescent="0.25">
      <c r="B51" s="150"/>
      <c r="C51" s="1" t="s">
        <v>1</v>
      </c>
      <c r="D51" s="200"/>
      <c r="E51" s="3"/>
      <c r="F51" s="3"/>
      <c r="G51" s="3"/>
      <c r="H51" s="3"/>
      <c r="I51" s="3"/>
      <c r="J51" s="200"/>
      <c r="K51" s="200"/>
      <c r="L51" s="3"/>
      <c r="M51" s="3"/>
      <c r="N51" s="3"/>
      <c r="O51" s="3"/>
      <c r="P51" s="3"/>
      <c r="Q51" s="200"/>
      <c r="R51" s="200"/>
      <c r="S51" s="3"/>
      <c r="T51" s="3"/>
      <c r="U51" s="3"/>
      <c r="V51" s="3"/>
      <c r="W51" s="3"/>
      <c r="X51" s="200"/>
      <c r="Y51" s="200"/>
      <c r="Z51" s="3"/>
      <c r="AA51" s="3"/>
      <c r="AB51" s="5"/>
      <c r="AC51" s="5"/>
      <c r="AD51" s="3"/>
      <c r="AE51" s="200"/>
      <c r="AF51" s="200"/>
      <c r="AG51" s="3"/>
      <c r="AH51" s="3"/>
      <c r="AJ51" s="70">
        <f t="shared" ref="AJ51:AJ54" si="9">SUM(D51:AH51)</f>
        <v>0</v>
      </c>
    </row>
    <row r="52" spans="2:36" hidden="1" outlineLevel="1" x14ac:dyDescent="0.25">
      <c r="B52" s="151"/>
      <c r="C52" s="1" t="s">
        <v>2</v>
      </c>
      <c r="D52" s="200"/>
      <c r="E52" s="4"/>
      <c r="F52" s="4"/>
      <c r="G52" s="4"/>
      <c r="H52" s="4"/>
      <c r="I52" s="4"/>
      <c r="J52" s="200"/>
      <c r="K52" s="200"/>
      <c r="L52" s="4"/>
      <c r="M52" s="4"/>
      <c r="N52" s="4"/>
      <c r="O52" s="4"/>
      <c r="P52" s="4"/>
      <c r="Q52" s="200"/>
      <c r="R52" s="200"/>
      <c r="S52" s="4"/>
      <c r="T52" s="4"/>
      <c r="U52" s="4"/>
      <c r="V52" s="4"/>
      <c r="W52" s="4"/>
      <c r="X52" s="200"/>
      <c r="Y52" s="200"/>
      <c r="Z52" s="4"/>
      <c r="AA52" s="4"/>
      <c r="AB52" s="5"/>
      <c r="AC52" s="5"/>
      <c r="AD52" s="4"/>
      <c r="AE52" s="200"/>
      <c r="AF52" s="200"/>
      <c r="AG52" s="4"/>
      <c r="AH52" s="4"/>
      <c r="AJ52" s="71">
        <f t="shared" si="9"/>
        <v>0</v>
      </c>
    </row>
    <row r="53" spans="2:36" hidden="1" outlineLevel="1" x14ac:dyDescent="0.25">
      <c r="B53" s="151"/>
      <c r="C53" s="54" t="s">
        <v>77</v>
      </c>
      <c r="D53" s="200"/>
      <c r="E53" s="5"/>
      <c r="F53" s="5"/>
      <c r="G53" s="5"/>
      <c r="H53" s="5"/>
      <c r="I53" s="5"/>
      <c r="J53" s="200"/>
      <c r="K53" s="200"/>
      <c r="L53" s="5"/>
      <c r="M53" s="5"/>
      <c r="N53" s="5"/>
      <c r="O53" s="5"/>
      <c r="P53" s="5"/>
      <c r="Q53" s="200"/>
      <c r="R53" s="200"/>
      <c r="S53" s="5"/>
      <c r="T53" s="5"/>
      <c r="U53" s="5"/>
      <c r="V53" s="5"/>
      <c r="W53" s="5"/>
      <c r="X53" s="200"/>
      <c r="Y53" s="200"/>
      <c r="Z53" s="5"/>
      <c r="AA53" s="5"/>
      <c r="AB53" s="5"/>
      <c r="AC53" s="5"/>
      <c r="AD53" s="5"/>
      <c r="AE53" s="200"/>
      <c r="AF53" s="200"/>
      <c r="AG53" s="5"/>
      <c r="AH53" s="5"/>
      <c r="AJ53" s="72">
        <f t="shared" si="9"/>
        <v>0</v>
      </c>
    </row>
    <row r="54" spans="2:36" ht="15.75" hidden="1" outlineLevel="1" thickBot="1" x14ac:dyDescent="0.3">
      <c r="B54" s="151"/>
      <c r="C54" s="9" t="s">
        <v>3</v>
      </c>
      <c r="D54" s="201"/>
      <c r="E54" s="8"/>
      <c r="F54" s="8"/>
      <c r="G54" s="8"/>
      <c r="H54" s="8"/>
      <c r="I54" s="8"/>
      <c r="J54" s="201"/>
      <c r="K54" s="201"/>
      <c r="L54" s="8"/>
      <c r="M54" s="8"/>
      <c r="N54" s="8"/>
      <c r="O54" s="8"/>
      <c r="P54" s="8"/>
      <c r="Q54" s="201"/>
      <c r="R54" s="201"/>
      <c r="S54" s="8"/>
      <c r="T54" s="8"/>
      <c r="U54" s="8"/>
      <c r="V54" s="8"/>
      <c r="W54" s="8"/>
      <c r="X54" s="201"/>
      <c r="Y54" s="201"/>
      <c r="Z54" s="8"/>
      <c r="AA54" s="8"/>
      <c r="AB54" s="234"/>
      <c r="AC54" s="234"/>
      <c r="AD54" s="8"/>
      <c r="AE54" s="201"/>
      <c r="AF54" s="201"/>
      <c r="AG54" s="8"/>
      <c r="AH54" s="8"/>
      <c r="AI54" s="7"/>
      <c r="AJ54" s="69">
        <f t="shared" si="9"/>
        <v>0</v>
      </c>
    </row>
    <row r="55" spans="2:36" ht="16.5" collapsed="1" thickTop="1" thickBot="1" x14ac:dyDescent="0.3">
      <c r="B55" s="149" t="str">
        <f>'Hours Scheduled'!B14</f>
        <v>Frido Meijer</v>
      </c>
      <c r="C55" t="s">
        <v>0</v>
      </c>
      <c r="D55" s="200"/>
      <c r="E55" s="2"/>
      <c r="F55" s="2"/>
      <c r="G55" s="2"/>
      <c r="H55" s="2"/>
      <c r="I55" s="2"/>
      <c r="J55" s="200"/>
      <c r="K55" s="200"/>
      <c r="L55" s="2"/>
      <c r="M55" s="2"/>
      <c r="N55" s="2"/>
      <c r="O55" s="2"/>
      <c r="P55" s="2"/>
      <c r="Q55" s="200"/>
      <c r="R55" s="200"/>
      <c r="S55" s="2"/>
      <c r="T55" s="2"/>
      <c r="U55" s="2"/>
      <c r="V55" s="2"/>
      <c r="W55" s="2"/>
      <c r="X55" s="200"/>
      <c r="Y55" s="200"/>
      <c r="Z55" s="2">
        <v>8</v>
      </c>
      <c r="AA55" s="2">
        <v>8</v>
      </c>
      <c r="AB55" s="5"/>
      <c r="AC55" s="5"/>
      <c r="AD55" s="2">
        <v>8</v>
      </c>
      <c r="AE55" s="200"/>
      <c r="AF55" s="200"/>
      <c r="AG55" s="2">
        <v>8</v>
      </c>
      <c r="AH55" s="2">
        <v>8</v>
      </c>
      <c r="AJ55" s="64">
        <f>SUM(D55:AH55)</f>
        <v>40</v>
      </c>
    </row>
    <row r="56" spans="2:36" ht="15.75" hidden="1" outlineLevel="1" thickTop="1" x14ac:dyDescent="0.25">
      <c r="B56" s="150"/>
      <c r="C56" s="1" t="s">
        <v>1</v>
      </c>
      <c r="D56" s="200"/>
      <c r="E56" s="3"/>
      <c r="F56" s="3"/>
      <c r="G56" s="3"/>
      <c r="H56" s="3"/>
      <c r="I56" s="3"/>
      <c r="J56" s="200"/>
      <c r="K56" s="200"/>
      <c r="L56" s="3"/>
      <c r="M56" s="3"/>
      <c r="N56" s="3"/>
      <c r="O56" s="3"/>
      <c r="P56" s="3"/>
      <c r="Q56" s="200"/>
      <c r="R56" s="200"/>
      <c r="S56" s="3"/>
      <c r="T56" s="3"/>
      <c r="U56" s="3"/>
      <c r="V56" s="3"/>
      <c r="W56" s="3"/>
      <c r="X56" s="200"/>
      <c r="Y56" s="200"/>
      <c r="Z56" s="3"/>
      <c r="AA56" s="3"/>
      <c r="AB56" s="5"/>
      <c r="AC56" s="5"/>
      <c r="AD56" s="3"/>
      <c r="AE56" s="200"/>
      <c r="AF56" s="200"/>
      <c r="AG56" s="3"/>
      <c r="AH56" s="3"/>
      <c r="AJ56" s="70">
        <f t="shared" ref="AJ56:AJ59" si="10">SUM(D56:AH56)</f>
        <v>0</v>
      </c>
    </row>
    <row r="57" spans="2:36" hidden="1" outlineLevel="1" x14ac:dyDescent="0.25">
      <c r="B57" s="151"/>
      <c r="C57" s="1" t="s">
        <v>2</v>
      </c>
      <c r="D57" s="200"/>
      <c r="E57" s="4"/>
      <c r="F57" s="4"/>
      <c r="G57" s="4"/>
      <c r="H57" s="4"/>
      <c r="I57" s="4"/>
      <c r="J57" s="200"/>
      <c r="K57" s="200"/>
      <c r="L57" s="4"/>
      <c r="M57" s="4"/>
      <c r="N57" s="4"/>
      <c r="O57" s="4"/>
      <c r="P57" s="4"/>
      <c r="Q57" s="200"/>
      <c r="R57" s="200"/>
      <c r="S57" s="4"/>
      <c r="T57" s="4"/>
      <c r="U57" s="4"/>
      <c r="V57" s="4"/>
      <c r="W57" s="4"/>
      <c r="X57" s="200"/>
      <c r="Y57" s="200"/>
      <c r="Z57" s="4"/>
      <c r="AA57" s="4"/>
      <c r="AB57" s="5"/>
      <c r="AC57" s="5"/>
      <c r="AD57" s="4"/>
      <c r="AE57" s="200"/>
      <c r="AF57" s="200"/>
      <c r="AG57" s="4"/>
      <c r="AH57" s="4"/>
      <c r="AJ57" s="71">
        <f t="shared" si="10"/>
        <v>0</v>
      </c>
    </row>
    <row r="58" spans="2:36" hidden="1" outlineLevel="1" x14ac:dyDescent="0.25">
      <c r="B58" s="151"/>
      <c r="C58" s="54" t="s">
        <v>77</v>
      </c>
      <c r="D58" s="200"/>
      <c r="E58" s="5"/>
      <c r="F58" s="5"/>
      <c r="G58" s="5"/>
      <c r="H58" s="5"/>
      <c r="I58" s="5"/>
      <c r="J58" s="200"/>
      <c r="K58" s="200"/>
      <c r="L58" s="5"/>
      <c r="M58" s="5"/>
      <c r="N58" s="5"/>
      <c r="O58" s="5"/>
      <c r="P58" s="5"/>
      <c r="Q58" s="200"/>
      <c r="R58" s="200"/>
      <c r="S58" s="5"/>
      <c r="T58" s="5"/>
      <c r="U58" s="5"/>
      <c r="V58" s="5"/>
      <c r="W58" s="5"/>
      <c r="X58" s="200"/>
      <c r="Y58" s="200"/>
      <c r="Z58" s="5"/>
      <c r="AA58" s="5"/>
      <c r="AB58" s="5"/>
      <c r="AC58" s="5"/>
      <c r="AD58" s="5"/>
      <c r="AE58" s="200"/>
      <c r="AF58" s="200"/>
      <c r="AG58" s="5"/>
      <c r="AH58" s="5"/>
      <c r="AJ58" s="72">
        <f t="shared" si="10"/>
        <v>0</v>
      </c>
    </row>
    <row r="59" spans="2:36" ht="15.75" hidden="1" outlineLevel="1" thickBot="1" x14ac:dyDescent="0.3">
      <c r="B59" s="151"/>
      <c r="C59" s="9" t="s">
        <v>3</v>
      </c>
      <c r="D59" s="201"/>
      <c r="E59" s="8"/>
      <c r="F59" s="8"/>
      <c r="G59" s="8"/>
      <c r="H59" s="8"/>
      <c r="I59" s="8"/>
      <c r="J59" s="201"/>
      <c r="K59" s="201"/>
      <c r="L59" s="8"/>
      <c r="M59" s="8"/>
      <c r="N59" s="8"/>
      <c r="O59" s="8"/>
      <c r="P59" s="8"/>
      <c r="Q59" s="201"/>
      <c r="R59" s="201"/>
      <c r="S59" s="8"/>
      <c r="T59" s="8"/>
      <c r="U59" s="8"/>
      <c r="V59" s="8"/>
      <c r="W59" s="8"/>
      <c r="X59" s="201"/>
      <c r="Y59" s="201"/>
      <c r="Z59" s="8"/>
      <c r="AA59" s="8"/>
      <c r="AB59" s="234"/>
      <c r="AC59" s="234"/>
      <c r="AD59" s="8"/>
      <c r="AE59" s="201"/>
      <c r="AF59" s="201"/>
      <c r="AG59" s="8"/>
      <c r="AH59" s="8"/>
      <c r="AI59" s="7"/>
      <c r="AJ59" s="69">
        <f t="shared" si="10"/>
        <v>0</v>
      </c>
    </row>
    <row r="60" spans="2:36" ht="16.5" collapsed="1" thickTop="1" thickBot="1" x14ac:dyDescent="0.3">
      <c r="B60" s="149" t="str">
        <f>'Hours Scheduled'!B15</f>
        <v>Jean Pierre Knubben</v>
      </c>
      <c r="C60" t="s">
        <v>0</v>
      </c>
      <c r="D60" s="200"/>
      <c r="E60" s="2"/>
      <c r="F60" s="2"/>
      <c r="G60" s="200"/>
      <c r="H60" s="2"/>
      <c r="I60" s="2"/>
      <c r="J60" s="200"/>
      <c r="K60" s="200"/>
      <c r="L60" s="2"/>
      <c r="M60" s="2"/>
      <c r="N60" s="200"/>
      <c r="O60" s="2"/>
      <c r="P60" s="2"/>
      <c r="Q60" s="200"/>
      <c r="R60" s="200"/>
      <c r="S60" s="2"/>
      <c r="T60" s="2"/>
      <c r="U60" s="200"/>
      <c r="V60" s="2"/>
      <c r="W60" s="2"/>
      <c r="X60" s="200"/>
      <c r="Y60" s="200"/>
      <c r="Z60" s="2"/>
      <c r="AA60" s="2"/>
      <c r="AB60" s="5"/>
      <c r="AC60" s="5"/>
      <c r="AD60" s="2"/>
      <c r="AE60" s="200"/>
      <c r="AF60" s="200"/>
      <c r="AG60" s="2"/>
      <c r="AH60" s="2"/>
      <c r="AJ60" s="64">
        <f>SUM(D60:AH60)</f>
        <v>0</v>
      </c>
    </row>
    <row r="61" spans="2:36" ht="15.75" hidden="1" outlineLevel="1" thickTop="1" x14ac:dyDescent="0.25">
      <c r="B61" s="150"/>
      <c r="C61" s="1" t="s">
        <v>1</v>
      </c>
      <c r="D61" s="200"/>
      <c r="E61" s="3"/>
      <c r="F61" s="3"/>
      <c r="G61" s="3"/>
      <c r="H61" s="3"/>
      <c r="I61" s="3"/>
      <c r="J61" s="200"/>
      <c r="K61" s="200"/>
      <c r="L61" s="3"/>
      <c r="M61" s="3"/>
      <c r="N61" s="3"/>
      <c r="O61" s="3"/>
      <c r="P61" s="3"/>
      <c r="Q61" s="200"/>
      <c r="R61" s="200"/>
      <c r="S61" s="3"/>
      <c r="T61" s="3"/>
      <c r="U61" s="3"/>
      <c r="V61" s="3"/>
      <c r="W61" s="3"/>
      <c r="X61" s="200"/>
      <c r="Y61" s="200"/>
      <c r="Z61" s="3"/>
      <c r="AA61" s="3"/>
      <c r="AB61" s="5"/>
      <c r="AC61" s="5"/>
      <c r="AD61" s="3"/>
      <c r="AE61" s="200"/>
      <c r="AF61" s="200"/>
      <c r="AG61" s="3"/>
      <c r="AH61" s="3"/>
      <c r="AJ61" s="70">
        <f t="shared" ref="AJ61:AJ64" si="11">SUM(D61:AH61)</f>
        <v>0</v>
      </c>
    </row>
    <row r="62" spans="2:36" hidden="1" outlineLevel="1" x14ac:dyDescent="0.25">
      <c r="B62" s="151"/>
      <c r="C62" s="1" t="s">
        <v>2</v>
      </c>
      <c r="D62" s="200"/>
      <c r="E62" s="4"/>
      <c r="F62" s="4"/>
      <c r="G62" s="4"/>
      <c r="H62" s="4"/>
      <c r="I62" s="4"/>
      <c r="J62" s="200"/>
      <c r="K62" s="200"/>
      <c r="L62" s="4"/>
      <c r="M62" s="4"/>
      <c r="N62" s="4"/>
      <c r="O62" s="4"/>
      <c r="P62" s="4"/>
      <c r="Q62" s="200"/>
      <c r="R62" s="200"/>
      <c r="S62" s="4"/>
      <c r="T62" s="4"/>
      <c r="U62" s="4"/>
      <c r="V62" s="4"/>
      <c r="W62" s="4"/>
      <c r="X62" s="200"/>
      <c r="Y62" s="200"/>
      <c r="Z62" s="4"/>
      <c r="AA62" s="4"/>
      <c r="AB62" s="5"/>
      <c r="AC62" s="5"/>
      <c r="AD62" s="4"/>
      <c r="AE62" s="200"/>
      <c r="AF62" s="200"/>
      <c r="AG62" s="4"/>
      <c r="AH62" s="4"/>
      <c r="AJ62" s="71">
        <f t="shared" si="11"/>
        <v>0</v>
      </c>
    </row>
    <row r="63" spans="2:36" hidden="1" outlineLevel="1" x14ac:dyDescent="0.25">
      <c r="B63" s="151"/>
      <c r="C63" s="54" t="s">
        <v>77</v>
      </c>
      <c r="D63" s="200"/>
      <c r="E63" s="5"/>
      <c r="F63" s="5"/>
      <c r="G63" s="5"/>
      <c r="H63" s="5"/>
      <c r="I63" s="5"/>
      <c r="J63" s="200"/>
      <c r="K63" s="200"/>
      <c r="L63" s="5"/>
      <c r="M63" s="5"/>
      <c r="N63" s="5"/>
      <c r="O63" s="5"/>
      <c r="P63" s="5"/>
      <c r="Q63" s="200"/>
      <c r="R63" s="200"/>
      <c r="S63" s="5"/>
      <c r="T63" s="5"/>
      <c r="U63" s="5"/>
      <c r="V63" s="5"/>
      <c r="W63" s="5"/>
      <c r="X63" s="200"/>
      <c r="Y63" s="200"/>
      <c r="Z63" s="5"/>
      <c r="AA63" s="5"/>
      <c r="AB63" s="5"/>
      <c r="AC63" s="5"/>
      <c r="AD63" s="5"/>
      <c r="AE63" s="200"/>
      <c r="AF63" s="200"/>
      <c r="AG63" s="5"/>
      <c r="AH63" s="5"/>
      <c r="AJ63" s="72">
        <f t="shared" si="11"/>
        <v>0</v>
      </c>
    </row>
    <row r="64" spans="2:36" ht="15.75" hidden="1" outlineLevel="1" thickBot="1" x14ac:dyDescent="0.3">
      <c r="B64" s="151"/>
      <c r="C64" s="9" t="s">
        <v>3</v>
      </c>
      <c r="D64" s="201"/>
      <c r="E64" s="8"/>
      <c r="F64" s="8"/>
      <c r="G64" s="8"/>
      <c r="H64" s="8"/>
      <c r="I64" s="8"/>
      <c r="J64" s="201"/>
      <c r="K64" s="201"/>
      <c r="L64" s="8"/>
      <c r="M64" s="8"/>
      <c r="N64" s="8"/>
      <c r="O64" s="8"/>
      <c r="P64" s="8"/>
      <c r="Q64" s="201"/>
      <c r="R64" s="201"/>
      <c r="S64" s="8"/>
      <c r="T64" s="8"/>
      <c r="U64" s="8"/>
      <c r="V64" s="8"/>
      <c r="W64" s="8"/>
      <c r="X64" s="201"/>
      <c r="Y64" s="201"/>
      <c r="Z64" s="8"/>
      <c r="AA64" s="8"/>
      <c r="AB64" s="234"/>
      <c r="AC64" s="234"/>
      <c r="AD64" s="8"/>
      <c r="AE64" s="201"/>
      <c r="AF64" s="201"/>
      <c r="AG64" s="8"/>
      <c r="AH64" s="8"/>
      <c r="AI64" s="7"/>
      <c r="AJ64" s="69">
        <f t="shared" si="11"/>
        <v>0</v>
      </c>
    </row>
    <row r="65" spans="2:36" ht="16.5" collapsed="1" thickTop="1" thickBot="1" x14ac:dyDescent="0.3">
      <c r="B65" s="253" t="str">
        <f>'Hours Scheduled'!B16</f>
        <v>Jim van der Weijden</v>
      </c>
      <c r="C65" t="s">
        <v>0</v>
      </c>
      <c r="D65" s="198"/>
      <c r="E65" s="180"/>
      <c r="F65" s="180"/>
      <c r="G65" s="180"/>
      <c r="H65" s="180"/>
      <c r="I65" s="180"/>
      <c r="J65" s="198"/>
      <c r="K65" s="198"/>
      <c r="L65" s="180"/>
      <c r="M65" s="180"/>
      <c r="N65" s="180"/>
      <c r="O65" s="180"/>
      <c r="P65" s="180"/>
      <c r="Q65" s="198"/>
      <c r="R65" s="198"/>
      <c r="S65" s="180"/>
      <c r="T65" s="180"/>
      <c r="U65" s="180"/>
      <c r="V65" s="180"/>
      <c r="W65" s="180"/>
      <c r="X65" s="198"/>
      <c r="Y65" s="198"/>
      <c r="Z65" s="180"/>
      <c r="AA65" s="180"/>
      <c r="AB65" s="183"/>
      <c r="AC65" s="183"/>
      <c r="AD65" s="180"/>
      <c r="AE65" s="198"/>
      <c r="AF65" s="198"/>
      <c r="AG65" s="180"/>
      <c r="AH65" s="180"/>
      <c r="AJ65" s="64">
        <f>SUM(D65:AH65)</f>
        <v>0</v>
      </c>
    </row>
    <row r="66" spans="2:36" ht="15.75" hidden="1" outlineLevel="1" thickTop="1" x14ac:dyDescent="0.25">
      <c r="B66" s="150"/>
      <c r="C66" s="1" t="s">
        <v>1</v>
      </c>
      <c r="D66" s="200"/>
      <c r="E66" s="3"/>
      <c r="F66" s="3"/>
      <c r="G66" s="3"/>
      <c r="H66" s="3"/>
      <c r="I66" s="3"/>
      <c r="J66" s="200"/>
      <c r="K66" s="200"/>
      <c r="L66" s="3"/>
      <c r="M66" s="3"/>
      <c r="N66" s="3"/>
      <c r="O66" s="3"/>
      <c r="P66" s="3"/>
      <c r="Q66" s="200"/>
      <c r="R66" s="200"/>
      <c r="S66" s="3"/>
      <c r="T66" s="3"/>
      <c r="U66" s="3"/>
      <c r="V66" s="3"/>
      <c r="W66" s="3"/>
      <c r="X66" s="200"/>
      <c r="Y66" s="200"/>
      <c r="Z66" s="3"/>
      <c r="AA66" s="3"/>
      <c r="AB66" s="5"/>
      <c r="AC66" s="5"/>
      <c r="AD66" s="3"/>
      <c r="AE66" s="200"/>
      <c r="AF66" s="200"/>
      <c r="AG66" s="3"/>
      <c r="AH66" s="3"/>
      <c r="AJ66" s="70">
        <f t="shared" ref="AJ66:AJ69" si="12">SUM(D66:AH66)</f>
        <v>0</v>
      </c>
    </row>
    <row r="67" spans="2:36" hidden="1" outlineLevel="1" x14ac:dyDescent="0.25">
      <c r="B67" s="151"/>
      <c r="C67" s="1" t="s">
        <v>2</v>
      </c>
      <c r="D67" s="200"/>
      <c r="E67" s="4"/>
      <c r="F67" s="4"/>
      <c r="G67" s="4"/>
      <c r="H67" s="4"/>
      <c r="I67" s="4"/>
      <c r="J67" s="200"/>
      <c r="K67" s="200"/>
      <c r="L67" s="4"/>
      <c r="M67" s="4"/>
      <c r="N67" s="4"/>
      <c r="O67" s="4"/>
      <c r="P67" s="4"/>
      <c r="Q67" s="200"/>
      <c r="R67" s="200"/>
      <c r="S67" s="4"/>
      <c r="T67" s="4"/>
      <c r="U67" s="4"/>
      <c r="V67" s="4"/>
      <c r="W67" s="4"/>
      <c r="X67" s="200"/>
      <c r="Y67" s="200"/>
      <c r="Z67" s="4"/>
      <c r="AA67" s="4"/>
      <c r="AB67" s="5"/>
      <c r="AC67" s="5"/>
      <c r="AD67" s="4"/>
      <c r="AE67" s="200"/>
      <c r="AF67" s="200"/>
      <c r="AG67" s="4"/>
      <c r="AH67" s="4"/>
      <c r="AJ67" s="71">
        <f t="shared" si="12"/>
        <v>0</v>
      </c>
    </row>
    <row r="68" spans="2:36" hidden="1" outlineLevel="1" x14ac:dyDescent="0.25">
      <c r="B68" s="151"/>
      <c r="C68" s="54" t="s">
        <v>77</v>
      </c>
      <c r="D68" s="200"/>
      <c r="E68" s="5"/>
      <c r="F68" s="5"/>
      <c r="G68" s="5"/>
      <c r="H68" s="5"/>
      <c r="I68" s="5"/>
      <c r="J68" s="200"/>
      <c r="K68" s="200"/>
      <c r="L68" s="5"/>
      <c r="M68" s="5"/>
      <c r="N68" s="5"/>
      <c r="O68" s="5"/>
      <c r="P68" s="5"/>
      <c r="Q68" s="200"/>
      <c r="R68" s="200"/>
      <c r="S68" s="5"/>
      <c r="T68" s="5"/>
      <c r="U68" s="5"/>
      <c r="V68" s="5"/>
      <c r="W68" s="5"/>
      <c r="X68" s="200"/>
      <c r="Y68" s="200"/>
      <c r="Z68" s="5"/>
      <c r="AA68" s="5"/>
      <c r="AB68" s="5"/>
      <c r="AC68" s="5"/>
      <c r="AD68" s="5"/>
      <c r="AE68" s="200"/>
      <c r="AF68" s="200"/>
      <c r="AG68" s="5"/>
      <c r="AH68" s="5"/>
      <c r="AJ68" s="72">
        <f t="shared" si="12"/>
        <v>0</v>
      </c>
    </row>
    <row r="69" spans="2:36" ht="15.75" hidden="1" outlineLevel="1" thickBot="1" x14ac:dyDescent="0.3">
      <c r="B69" s="151"/>
      <c r="C69" s="9" t="s">
        <v>3</v>
      </c>
      <c r="D69" s="201"/>
      <c r="E69" s="8"/>
      <c r="F69" s="8"/>
      <c r="G69" s="8"/>
      <c r="H69" s="8"/>
      <c r="I69" s="8"/>
      <c r="J69" s="201"/>
      <c r="K69" s="201"/>
      <c r="L69" s="8"/>
      <c r="M69" s="8"/>
      <c r="N69" s="8"/>
      <c r="O69" s="8"/>
      <c r="P69" s="8"/>
      <c r="Q69" s="201"/>
      <c r="R69" s="201"/>
      <c r="S69" s="8"/>
      <c r="T69" s="8"/>
      <c r="U69" s="8"/>
      <c r="V69" s="8"/>
      <c r="W69" s="8"/>
      <c r="X69" s="201"/>
      <c r="Y69" s="201"/>
      <c r="Z69" s="8"/>
      <c r="AA69" s="8"/>
      <c r="AB69" s="234"/>
      <c r="AC69" s="234"/>
      <c r="AD69" s="8"/>
      <c r="AE69" s="201"/>
      <c r="AF69" s="201"/>
      <c r="AG69" s="8"/>
      <c r="AH69" s="8"/>
      <c r="AI69" s="7"/>
      <c r="AJ69" s="69">
        <f t="shared" si="12"/>
        <v>0</v>
      </c>
    </row>
    <row r="70" spans="2:36" ht="16.5" collapsed="1" thickTop="1" thickBot="1" x14ac:dyDescent="0.3">
      <c r="B70" s="149" t="str">
        <f>'Hours Scheduled'!B17</f>
        <v>Joop Kiefte</v>
      </c>
      <c r="C70" t="s">
        <v>0</v>
      </c>
      <c r="D70" s="200"/>
      <c r="E70" s="2"/>
      <c r="F70" s="2"/>
      <c r="G70" s="2"/>
      <c r="H70" s="2"/>
      <c r="I70" s="2"/>
      <c r="J70" s="200"/>
      <c r="K70" s="200"/>
      <c r="L70" s="2"/>
      <c r="M70" s="2"/>
      <c r="N70" s="2"/>
      <c r="O70" s="2"/>
      <c r="P70" s="2"/>
      <c r="Q70" s="200"/>
      <c r="R70" s="200"/>
      <c r="S70" s="2"/>
      <c r="T70" s="2"/>
      <c r="U70" s="2"/>
      <c r="V70" s="2"/>
      <c r="W70" s="2"/>
      <c r="X70" s="200"/>
      <c r="Y70" s="200"/>
      <c r="Z70" s="2"/>
      <c r="AA70" s="2"/>
      <c r="AB70" s="5"/>
      <c r="AC70" s="5"/>
      <c r="AD70" s="2"/>
      <c r="AE70" s="200"/>
      <c r="AF70" s="200"/>
      <c r="AG70" s="2"/>
      <c r="AH70" s="2"/>
      <c r="AJ70" s="64">
        <f>SUM(D70:AH70)</f>
        <v>0</v>
      </c>
    </row>
    <row r="71" spans="2:36" ht="15.75" hidden="1" outlineLevel="1" thickTop="1" x14ac:dyDescent="0.25">
      <c r="B71" s="150"/>
      <c r="C71" s="1" t="s">
        <v>1</v>
      </c>
      <c r="D71" s="200"/>
      <c r="E71" s="3"/>
      <c r="F71" s="3"/>
      <c r="G71" s="3"/>
      <c r="H71" s="3"/>
      <c r="I71" s="3"/>
      <c r="J71" s="200"/>
      <c r="K71" s="200"/>
      <c r="L71" s="3"/>
      <c r="M71" s="3"/>
      <c r="N71" s="3"/>
      <c r="O71" s="3"/>
      <c r="P71" s="3"/>
      <c r="Q71" s="200"/>
      <c r="R71" s="200"/>
      <c r="S71" s="3"/>
      <c r="T71" s="3"/>
      <c r="U71" s="3"/>
      <c r="V71" s="3"/>
      <c r="W71" s="3"/>
      <c r="X71" s="200"/>
      <c r="Y71" s="200"/>
      <c r="Z71" s="3"/>
      <c r="AA71" s="3"/>
      <c r="AB71" s="5"/>
      <c r="AC71" s="5"/>
      <c r="AD71" s="3"/>
      <c r="AE71" s="200"/>
      <c r="AF71" s="200"/>
      <c r="AG71" s="3"/>
      <c r="AH71" s="3"/>
      <c r="AJ71" s="70">
        <f t="shared" ref="AJ71:AJ74" si="13">SUM(D71:AH71)</f>
        <v>0</v>
      </c>
    </row>
    <row r="72" spans="2:36" hidden="1" outlineLevel="1" x14ac:dyDescent="0.25">
      <c r="B72" s="151"/>
      <c r="C72" s="1" t="s">
        <v>2</v>
      </c>
      <c r="D72" s="200"/>
      <c r="E72" s="4"/>
      <c r="F72" s="4"/>
      <c r="G72" s="4"/>
      <c r="H72" s="4"/>
      <c r="I72" s="4"/>
      <c r="J72" s="200"/>
      <c r="K72" s="200"/>
      <c r="L72" s="4"/>
      <c r="M72" s="4"/>
      <c r="N72" s="4"/>
      <c r="O72" s="4"/>
      <c r="P72" s="4"/>
      <c r="Q72" s="200"/>
      <c r="R72" s="200"/>
      <c r="S72" s="4"/>
      <c r="T72" s="4"/>
      <c r="U72" s="4"/>
      <c r="V72" s="4"/>
      <c r="W72" s="4"/>
      <c r="X72" s="200"/>
      <c r="Y72" s="200"/>
      <c r="Z72" s="4"/>
      <c r="AA72" s="4"/>
      <c r="AB72" s="5"/>
      <c r="AC72" s="5"/>
      <c r="AD72" s="4"/>
      <c r="AE72" s="200"/>
      <c r="AF72" s="200"/>
      <c r="AG72" s="4"/>
      <c r="AH72" s="4"/>
      <c r="AJ72" s="71">
        <f t="shared" si="13"/>
        <v>0</v>
      </c>
    </row>
    <row r="73" spans="2:36" hidden="1" outlineLevel="1" x14ac:dyDescent="0.25">
      <c r="B73" s="151"/>
      <c r="C73" s="54" t="s">
        <v>77</v>
      </c>
      <c r="D73" s="200"/>
      <c r="E73" s="5"/>
      <c r="F73" s="5"/>
      <c r="G73" s="5"/>
      <c r="H73" s="5"/>
      <c r="I73" s="5"/>
      <c r="J73" s="200"/>
      <c r="K73" s="200"/>
      <c r="L73" s="5"/>
      <c r="M73" s="5"/>
      <c r="N73" s="5"/>
      <c r="O73" s="5"/>
      <c r="P73" s="5"/>
      <c r="Q73" s="200"/>
      <c r="R73" s="200"/>
      <c r="S73" s="5"/>
      <c r="T73" s="5"/>
      <c r="U73" s="5"/>
      <c r="V73" s="5"/>
      <c r="W73" s="5"/>
      <c r="X73" s="200"/>
      <c r="Y73" s="200"/>
      <c r="Z73" s="5"/>
      <c r="AA73" s="5"/>
      <c r="AB73" s="5"/>
      <c r="AC73" s="5"/>
      <c r="AD73" s="5"/>
      <c r="AE73" s="200"/>
      <c r="AF73" s="200"/>
      <c r="AG73" s="5"/>
      <c r="AH73" s="5"/>
      <c r="AJ73" s="72">
        <f t="shared" si="13"/>
        <v>0</v>
      </c>
    </row>
    <row r="74" spans="2:36" ht="15.75" hidden="1" outlineLevel="1" thickBot="1" x14ac:dyDescent="0.3">
      <c r="B74" s="151"/>
      <c r="C74" s="9" t="s">
        <v>3</v>
      </c>
      <c r="D74" s="201"/>
      <c r="E74" s="8"/>
      <c r="F74" s="8"/>
      <c r="G74" s="8"/>
      <c r="H74" s="8"/>
      <c r="I74" s="8"/>
      <c r="J74" s="201"/>
      <c r="K74" s="201"/>
      <c r="L74" s="8"/>
      <c r="M74" s="8"/>
      <c r="N74" s="8"/>
      <c r="O74" s="8"/>
      <c r="P74" s="8"/>
      <c r="Q74" s="201"/>
      <c r="R74" s="201"/>
      <c r="S74" s="8"/>
      <c r="T74" s="8"/>
      <c r="U74" s="8"/>
      <c r="V74" s="8"/>
      <c r="W74" s="8"/>
      <c r="X74" s="201"/>
      <c r="Y74" s="201"/>
      <c r="Z74" s="8"/>
      <c r="AA74" s="8"/>
      <c r="AB74" s="234"/>
      <c r="AC74" s="234"/>
      <c r="AD74" s="8"/>
      <c r="AE74" s="201"/>
      <c r="AF74" s="201"/>
      <c r="AG74" s="8"/>
      <c r="AH74" s="8"/>
      <c r="AI74" s="7"/>
      <c r="AJ74" s="69">
        <f t="shared" si="13"/>
        <v>0</v>
      </c>
    </row>
    <row r="75" spans="2:36" ht="16.5" collapsed="1" thickTop="1" thickBot="1" x14ac:dyDescent="0.3">
      <c r="B75" s="149" t="str">
        <f>'Hours Scheduled'!B18</f>
        <v>Kevin Ploum</v>
      </c>
      <c r="C75" t="s">
        <v>0</v>
      </c>
      <c r="D75" s="198"/>
      <c r="E75" s="180"/>
      <c r="F75" s="180"/>
      <c r="G75" s="180"/>
      <c r="H75" s="180"/>
      <c r="I75" s="180"/>
      <c r="J75" s="198"/>
      <c r="K75" s="198"/>
      <c r="L75" s="180"/>
      <c r="M75" s="180"/>
      <c r="N75" s="180"/>
      <c r="O75" s="180"/>
      <c r="P75" s="180"/>
      <c r="Q75" s="198"/>
      <c r="R75" s="198"/>
      <c r="S75" s="180"/>
      <c r="T75" s="180"/>
      <c r="U75" s="180"/>
      <c r="V75" s="180"/>
      <c r="W75" s="180"/>
      <c r="X75" s="198"/>
      <c r="Y75" s="198"/>
      <c r="Z75" s="180"/>
      <c r="AA75" s="180"/>
      <c r="AB75" s="183"/>
      <c r="AC75" s="183"/>
      <c r="AD75" s="180"/>
      <c r="AE75" s="198"/>
      <c r="AF75" s="198"/>
      <c r="AG75" s="180"/>
      <c r="AH75" s="180"/>
      <c r="AJ75" s="64">
        <f>SUM(D75:AH75)</f>
        <v>0</v>
      </c>
    </row>
    <row r="76" spans="2:36" ht="15.75" hidden="1" outlineLevel="1" thickTop="1" x14ac:dyDescent="0.25">
      <c r="B76" s="150"/>
      <c r="C76" s="1" t="s">
        <v>1</v>
      </c>
      <c r="D76" s="200"/>
      <c r="E76" s="3"/>
      <c r="F76" s="3"/>
      <c r="G76" s="3"/>
      <c r="H76" s="3"/>
      <c r="I76" s="3"/>
      <c r="J76" s="200"/>
      <c r="K76" s="200"/>
      <c r="L76" s="3"/>
      <c r="M76" s="3"/>
      <c r="N76" s="3"/>
      <c r="O76" s="3"/>
      <c r="P76" s="3"/>
      <c r="Q76" s="200"/>
      <c r="R76" s="200"/>
      <c r="S76" s="3"/>
      <c r="T76" s="3"/>
      <c r="U76" s="3"/>
      <c r="V76" s="3"/>
      <c r="W76" s="3"/>
      <c r="X76" s="200"/>
      <c r="Y76" s="200"/>
      <c r="Z76" s="3"/>
      <c r="AA76" s="3"/>
      <c r="AB76" s="5"/>
      <c r="AC76" s="5"/>
      <c r="AD76" s="3"/>
      <c r="AE76" s="200"/>
      <c r="AF76" s="200"/>
      <c r="AG76" s="3"/>
      <c r="AH76" s="3"/>
      <c r="AJ76" s="70">
        <f t="shared" ref="AJ76:AJ79" si="14">SUM(D76:AH76)</f>
        <v>0</v>
      </c>
    </row>
    <row r="77" spans="2:36" hidden="1" outlineLevel="1" x14ac:dyDescent="0.25">
      <c r="B77" s="151"/>
      <c r="C77" s="1" t="s">
        <v>2</v>
      </c>
      <c r="D77" s="200"/>
      <c r="E77" s="4"/>
      <c r="F77" s="4"/>
      <c r="G77" s="4"/>
      <c r="H77" s="4"/>
      <c r="I77" s="4"/>
      <c r="J77" s="200"/>
      <c r="K77" s="200"/>
      <c r="L77" s="4"/>
      <c r="M77" s="4"/>
      <c r="N77" s="4"/>
      <c r="O77" s="4"/>
      <c r="P77" s="4"/>
      <c r="Q77" s="200"/>
      <c r="R77" s="200"/>
      <c r="S77" s="4"/>
      <c r="T77" s="4"/>
      <c r="U77" s="4"/>
      <c r="V77" s="4"/>
      <c r="W77" s="4"/>
      <c r="X77" s="200"/>
      <c r="Y77" s="200"/>
      <c r="Z77" s="4"/>
      <c r="AA77" s="4"/>
      <c r="AB77" s="5"/>
      <c r="AC77" s="5"/>
      <c r="AD77" s="4"/>
      <c r="AE77" s="200"/>
      <c r="AF77" s="200"/>
      <c r="AG77" s="4"/>
      <c r="AH77" s="4"/>
      <c r="AJ77" s="71">
        <f t="shared" si="14"/>
        <v>0</v>
      </c>
    </row>
    <row r="78" spans="2:36" hidden="1" outlineLevel="1" x14ac:dyDescent="0.25">
      <c r="B78" s="151"/>
      <c r="C78" s="54" t="s">
        <v>77</v>
      </c>
      <c r="D78" s="200"/>
      <c r="E78" s="5"/>
      <c r="F78" s="5"/>
      <c r="G78" s="5"/>
      <c r="H78" s="5"/>
      <c r="I78" s="5"/>
      <c r="J78" s="200"/>
      <c r="K78" s="200"/>
      <c r="L78" s="5"/>
      <c r="M78" s="5"/>
      <c r="N78" s="5"/>
      <c r="O78" s="5"/>
      <c r="P78" s="5"/>
      <c r="Q78" s="200"/>
      <c r="R78" s="200"/>
      <c r="S78" s="5"/>
      <c r="T78" s="5"/>
      <c r="U78" s="5"/>
      <c r="V78" s="5"/>
      <c r="W78" s="5"/>
      <c r="X78" s="200"/>
      <c r="Y78" s="200"/>
      <c r="Z78" s="5"/>
      <c r="AA78" s="5"/>
      <c r="AB78" s="5"/>
      <c r="AC78" s="5"/>
      <c r="AD78" s="5"/>
      <c r="AE78" s="200"/>
      <c r="AF78" s="200"/>
      <c r="AG78" s="5"/>
      <c r="AH78" s="5"/>
      <c r="AJ78" s="72">
        <f t="shared" si="14"/>
        <v>0</v>
      </c>
    </row>
    <row r="79" spans="2:36" ht="15.75" hidden="1" outlineLevel="1" thickBot="1" x14ac:dyDescent="0.3">
      <c r="B79" s="151"/>
      <c r="C79" s="9" t="s">
        <v>3</v>
      </c>
      <c r="D79" s="201"/>
      <c r="E79" s="8"/>
      <c r="F79" s="8"/>
      <c r="G79" s="8"/>
      <c r="H79" s="8"/>
      <c r="I79" s="8"/>
      <c r="J79" s="201"/>
      <c r="K79" s="201"/>
      <c r="L79" s="8"/>
      <c r="M79" s="8"/>
      <c r="N79" s="8"/>
      <c r="O79" s="8"/>
      <c r="P79" s="8"/>
      <c r="Q79" s="201"/>
      <c r="R79" s="201"/>
      <c r="S79" s="8"/>
      <c r="T79" s="8"/>
      <c r="U79" s="8"/>
      <c r="V79" s="8"/>
      <c r="W79" s="8"/>
      <c r="X79" s="201"/>
      <c r="Y79" s="201"/>
      <c r="Z79" s="8"/>
      <c r="AA79" s="8"/>
      <c r="AB79" s="234"/>
      <c r="AC79" s="234"/>
      <c r="AD79" s="8"/>
      <c r="AE79" s="201"/>
      <c r="AF79" s="201"/>
      <c r="AG79" s="8"/>
      <c r="AH79" s="8"/>
      <c r="AI79" s="7"/>
      <c r="AJ79" s="69">
        <f t="shared" si="14"/>
        <v>0</v>
      </c>
    </row>
    <row r="80" spans="2:36" ht="16.5" collapsed="1" thickTop="1" thickBot="1" x14ac:dyDescent="0.3">
      <c r="B80" s="253" t="str">
        <f>'Hours Scheduled'!B19</f>
        <v>Loek Moling</v>
      </c>
      <c r="C80" t="s">
        <v>0</v>
      </c>
      <c r="D80" s="200"/>
      <c r="E80" s="2"/>
      <c r="F80" s="2"/>
      <c r="G80" s="2"/>
      <c r="H80" s="2"/>
      <c r="I80" s="2"/>
      <c r="J80" s="200"/>
      <c r="K80" s="200"/>
      <c r="L80" s="2"/>
      <c r="M80" s="2"/>
      <c r="N80" s="2"/>
      <c r="O80" s="2"/>
      <c r="P80" s="2"/>
      <c r="Q80" s="200"/>
      <c r="R80" s="200"/>
      <c r="S80" s="2"/>
      <c r="T80" s="2"/>
      <c r="U80" s="2"/>
      <c r="V80" s="2"/>
      <c r="W80" s="2"/>
      <c r="X80" s="200"/>
      <c r="Y80" s="200"/>
      <c r="Z80" s="2"/>
      <c r="AA80" s="2"/>
      <c r="AB80" s="5"/>
      <c r="AC80" s="5"/>
      <c r="AD80" s="2"/>
      <c r="AE80" s="200"/>
      <c r="AF80" s="200"/>
      <c r="AG80" s="2"/>
      <c r="AH80" s="2"/>
      <c r="AJ80" s="64">
        <f>SUM(D80:AH80)</f>
        <v>0</v>
      </c>
    </row>
    <row r="81" spans="2:36" ht="15.75" hidden="1" outlineLevel="1" thickTop="1" x14ac:dyDescent="0.25">
      <c r="B81" s="150"/>
      <c r="C81" s="1" t="s">
        <v>1</v>
      </c>
      <c r="D81" s="200"/>
      <c r="E81" s="3"/>
      <c r="F81" s="3"/>
      <c r="G81" s="3"/>
      <c r="H81" s="3"/>
      <c r="I81" s="3"/>
      <c r="J81" s="200"/>
      <c r="K81" s="200"/>
      <c r="L81" s="3"/>
      <c r="M81" s="3"/>
      <c r="N81" s="3"/>
      <c r="O81" s="3"/>
      <c r="P81" s="3"/>
      <c r="Q81" s="200"/>
      <c r="R81" s="200"/>
      <c r="S81" s="3"/>
      <c r="T81" s="3"/>
      <c r="U81" s="3"/>
      <c r="V81" s="3"/>
      <c r="W81" s="3"/>
      <c r="X81" s="200"/>
      <c r="Y81" s="200"/>
      <c r="Z81" s="3"/>
      <c r="AA81" s="3"/>
      <c r="AB81" s="5"/>
      <c r="AC81" s="5"/>
      <c r="AD81" s="3"/>
      <c r="AE81" s="200"/>
      <c r="AF81" s="200"/>
      <c r="AG81" s="3"/>
      <c r="AH81" s="3"/>
      <c r="AJ81" s="70">
        <f t="shared" ref="AJ81:AJ84" si="15">SUM(D81:AH81)</f>
        <v>0</v>
      </c>
    </row>
    <row r="82" spans="2:36" hidden="1" outlineLevel="1" x14ac:dyDescent="0.25">
      <c r="B82" s="151"/>
      <c r="C82" s="1" t="s">
        <v>2</v>
      </c>
      <c r="D82" s="200"/>
      <c r="E82" s="4"/>
      <c r="F82" s="4"/>
      <c r="G82" s="4"/>
      <c r="H82" s="4"/>
      <c r="I82" s="4"/>
      <c r="J82" s="200"/>
      <c r="K82" s="200"/>
      <c r="L82" s="4"/>
      <c r="M82" s="4"/>
      <c r="N82" s="4"/>
      <c r="O82" s="4"/>
      <c r="P82" s="4"/>
      <c r="Q82" s="200"/>
      <c r="R82" s="200"/>
      <c r="S82" s="4"/>
      <c r="T82" s="4"/>
      <c r="U82" s="4"/>
      <c r="V82" s="4"/>
      <c r="W82" s="4"/>
      <c r="X82" s="200"/>
      <c r="Y82" s="200"/>
      <c r="Z82" s="4"/>
      <c r="AA82" s="4"/>
      <c r="AB82" s="5"/>
      <c r="AC82" s="5"/>
      <c r="AD82" s="4"/>
      <c r="AE82" s="200"/>
      <c r="AF82" s="200"/>
      <c r="AG82" s="4"/>
      <c r="AH82" s="4"/>
      <c r="AJ82" s="71">
        <f t="shared" si="15"/>
        <v>0</v>
      </c>
    </row>
    <row r="83" spans="2:36" hidden="1" outlineLevel="1" x14ac:dyDescent="0.25">
      <c r="B83" s="151"/>
      <c r="C83" s="54" t="s">
        <v>77</v>
      </c>
      <c r="D83" s="200"/>
      <c r="E83" s="5"/>
      <c r="F83" s="5"/>
      <c r="G83" s="5"/>
      <c r="H83" s="5"/>
      <c r="I83" s="5"/>
      <c r="J83" s="200"/>
      <c r="K83" s="200"/>
      <c r="L83" s="5"/>
      <c r="M83" s="5"/>
      <c r="N83" s="5"/>
      <c r="O83" s="5"/>
      <c r="P83" s="5"/>
      <c r="Q83" s="200"/>
      <c r="R83" s="200"/>
      <c r="S83" s="5"/>
      <c r="T83" s="5"/>
      <c r="U83" s="5"/>
      <c r="V83" s="5"/>
      <c r="W83" s="5"/>
      <c r="X83" s="200"/>
      <c r="Y83" s="200"/>
      <c r="Z83" s="5"/>
      <c r="AA83" s="5"/>
      <c r="AB83" s="5"/>
      <c r="AC83" s="5"/>
      <c r="AD83" s="5"/>
      <c r="AE83" s="200"/>
      <c r="AF83" s="200"/>
      <c r="AG83" s="5"/>
      <c r="AH83" s="5"/>
      <c r="AJ83" s="72">
        <f t="shared" si="15"/>
        <v>0</v>
      </c>
    </row>
    <row r="84" spans="2:36" ht="15.75" hidden="1" outlineLevel="1" thickBot="1" x14ac:dyDescent="0.3">
      <c r="B84" s="151"/>
      <c r="C84" s="9" t="s">
        <v>3</v>
      </c>
      <c r="D84" s="201"/>
      <c r="E84" s="8"/>
      <c r="F84" s="8"/>
      <c r="G84" s="8"/>
      <c r="H84" s="8"/>
      <c r="I84" s="8"/>
      <c r="J84" s="201"/>
      <c r="K84" s="201"/>
      <c r="L84" s="8"/>
      <c r="M84" s="8"/>
      <c r="N84" s="8"/>
      <c r="O84" s="8"/>
      <c r="P84" s="8"/>
      <c r="Q84" s="201"/>
      <c r="R84" s="201"/>
      <c r="S84" s="8"/>
      <c r="T84" s="8"/>
      <c r="U84" s="8"/>
      <c r="V84" s="8"/>
      <c r="W84" s="8"/>
      <c r="X84" s="201"/>
      <c r="Y84" s="201"/>
      <c r="Z84" s="8"/>
      <c r="AA84" s="8"/>
      <c r="AB84" s="234"/>
      <c r="AC84" s="234"/>
      <c r="AD84" s="8"/>
      <c r="AE84" s="201"/>
      <c r="AF84" s="201"/>
      <c r="AG84" s="8"/>
      <c r="AH84" s="8"/>
      <c r="AI84" s="7"/>
      <c r="AJ84" s="69">
        <f t="shared" si="15"/>
        <v>0</v>
      </c>
    </row>
    <row r="85" spans="2:36" ht="16.5" collapsed="1" thickTop="1" thickBot="1" x14ac:dyDescent="0.3">
      <c r="B85" s="149" t="str">
        <f>'Hours Scheduled'!B20</f>
        <v>Loode Evers</v>
      </c>
      <c r="C85" t="s">
        <v>0</v>
      </c>
      <c r="D85" s="200"/>
      <c r="E85" s="2"/>
      <c r="F85" s="2"/>
      <c r="G85" s="2"/>
      <c r="H85" s="2"/>
      <c r="I85" s="2"/>
      <c r="J85" s="200"/>
      <c r="K85" s="200"/>
      <c r="L85" s="2"/>
      <c r="M85" s="2"/>
      <c r="N85" s="2"/>
      <c r="O85" s="2"/>
      <c r="P85" s="2"/>
      <c r="Q85" s="200"/>
      <c r="R85" s="200"/>
      <c r="S85" s="2"/>
      <c r="T85" s="2"/>
      <c r="U85" s="2"/>
      <c r="V85" s="2"/>
      <c r="W85" s="2"/>
      <c r="X85" s="200"/>
      <c r="Y85" s="200"/>
      <c r="Z85" s="2">
        <v>8</v>
      </c>
      <c r="AA85" s="2">
        <v>8</v>
      </c>
      <c r="AB85" s="5"/>
      <c r="AC85" s="5"/>
      <c r="AD85" s="2">
        <v>8</v>
      </c>
      <c r="AE85" s="200"/>
      <c r="AF85" s="200"/>
      <c r="AG85" s="2">
        <v>8</v>
      </c>
      <c r="AH85" s="2">
        <v>8</v>
      </c>
      <c r="AJ85" s="64">
        <f>SUM(D85:AH85)</f>
        <v>40</v>
      </c>
    </row>
    <row r="86" spans="2:36" ht="15.75" hidden="1" outlineLevel="1" thickTop="1" x14ac:dyDescent="0.25">
      <c r="B86" s="150"/>
      <c r="C86" s="1" t="s">
        <v>1</v>
      </c>
      <c r="D86" s="200"/>
      <c r="E86" s="3"/>
      <c r="F86" s="3"/>
      <c r="G86" s="3"/>
      <c r="H86" s="3"/>
      <c r="I86" s="3"/>
      <c r="J86" s="200"/>
      <c r="K86" s="200"/>
      <c r="L86" s="3"/>
      <c r="M86" s="3"/>
      <c r="N86" s="3"/>
      <c r="O86" s="3"/>
      <c r="P86" s="3"/>
      <c r="Q86" s="200"/>
      <c r="R86" s="200"/>
      <c r="S86" s="3"/>
      <c r="T86" s="3"/>
      <c r="U86" s="3"/>
      <c r="V86" s="3"/>
      <c r="W86" s="3"/>
      <c r="X86" s="200"/>
      <c r="Y86" s="200"/>
      <c r="Z86" s="3"/>
      <c r="AA86" s="3"/>
      <c r="AB86" s="5"/>
      <c r="AC86" s="5"/>
      <c r="AD86" s="3"/>
      <c r="AE86" s="200"/>
      <c r="AF86" s="200"/>
      <c r="AG86" s="3"/>
      <c r="AH86" s="3"/>
      <c r="AJ86" s="70">
        <f t="shared" ref="AJ86:AJ89" si="16">SUM(D86:AH86)</f>
        <v>0</v>
      </c>
    </row>
    <row r="87" spans="2:36" hidden="1" outlineLevel="1" x14ac:dyDescent="0.25">
      <c r="B87" s="151"/>
      <c r="C87" s="1" t="s">
        <v>2</v>
      </c>
      <c r="D87" s="200"/>
      <c r="E87" s="4"/>
      <c r="F87" s="4"/>
      <c r="G87" s="4"/>
      <c r="H87" s="4"/>
      <c r="I87" s="4"/>
      <c r="J87" s="200"/>
      <c r="K87" s="200"/>
      <c r="L87" s="4"/>
      <c r="M87" s="4"/>
      <c r="N87" s="4"/>
      <c r="O87" s="4"/>
      <c r="P87" s="4"/>
      <c r="Q87" s="200"/>
      <c r="R87" s="200"/>
      <c r="S87" s="4"/>
      <c r="T87" s="4"/>
      <c r="U87" s="4"/>
      <c r="V87" s="4"/>
      <c r="W87" s="4"/>
      <c r="X87" s="200"/>
      <c r="Y87" s="200"/>
      <c r="Z87" s="4"/>
      <c r="AA87" s="4"/>
      <c r="AB87" s="5"/>
      <c r="AC87" s="5"/>
      <c r="AD87" s="4"/>
      <c r="AE87" s="200"/>
      <c r="AF87" s="200"/>
      <c r="AG87" s="4"/>
      <c r="AH87" s="4"/>
      <c r="AJ87" s="71">
        <f t="shared" si="16"/>
        <v>0</v>
      </c>
    </row>
    <row r="88" spans="2:36" hidden="1" outlineLevel="1" x14ac:dyDescent="0.25">
      <c r="B88" s="151"/>
      <c r="C88" s="54" t="s">
        <v>77</v>
      </c>
      <c r="D88" s="200"/>
      <c r="E88" s="5"/>
      <c r="F88" s="5"/>
      <c r="G88" s="5"/>
      <c r="H88" s="5"/>
      <c r="I88" s="5"/>
      <c r="J88" s="200"/>
      <c r="K88" s="200"/>
      <c r="L88" s="5"/>
      <c r="M88" s="5"/>
      <c r="N88" s="5"/>
      <c r="O88" s="5"/>
      <c r="P88" s="5"/>
      <c r="Q88" s="200"/>
      <c r="R88" s="200"/>
      <c r="S88" s="5"/>
      <c r="T88" s="5"/>
      <c r="U88" s="5"/>
      <c r="V88" s="5"/>
      <c r="W88" s="5"/>
      <c r="X88" s="200"/>
      <c r="Y88" s="200"/>
      <c r="Z88" s="5"/>
      <c r="AA88" s="5"/>
      <c r="AB88" s="5"/>
      <c r="AC88" s="5"/>
      <c r="AD88" s="5"/>
      <c r="AE88" s="200"/>
      <c r="AF88" s="200"/>
      <c r="AG88" s="5"/>
      <c r="AH88" s="5"/>
      <c r="AJ88" s="72">
        <f t="shared" si="16"/>
        <v>0</v>
      </c>
    </row>
    <row r="89" spans="2:36" ht="15.75" hidden="1" outlineLevel="1" thickBot="1" x14ac:dyDescent="0.3">
      <c r="B89" s="151"/>
      <c r="C89" s="9" t="s">
        <v>3</v>
      </c>
      <c r="D89" s="201"/>
      <c r="E89" s="8"/>
      <c r="F89" s="8"/>
      <c r="G89" s="8"/>
      <c r="H89" s="8"/>
      <c r="I89" s="8"/>
      <c r="J89" s="201"/>
      <c r="K89" s="201"/>
      <c r="L89" s="8"/>
      <c r="M89" s="8"/>
      <c r="N89" s="8"/>
      <c r="O89" s="8"/>
      <c r="P89" s="8"/>
      <c r="Q89" s="201"/>
      <c r="R89" s="201"/>
      <c r="S89" s="8"/>
      <c r="T89" s="8"/>
      <c r="U89" s="8"/>
      <c r="V89" s="8"/>
      <c r="W89" s="8"/>
      <c r="X89" s="201"/>
      <c r="Y89" s="201"/>
      <c r="Z89" s="8"/>
      <c r="AA89" s="8"/>
      <c r="AB89" s="234"/>
      <c r="AC89" s="234"/>
      <c r="AD89" s="8"/>
      <c r="AE89" s="201"/>
      <c r="AF89" s="201"/>
      <c r="AG89" s="8"/>
      <c r="AH89" s="8"/>
      <c r="AI89" s="7"/>
      <c r="AJ89" s="69">
        <f t="shared" si="16"/>
        <v>0</v>
      </c>
    </row>
    <row r="90" spans="2:36" ht="16.5" collapsed="1" thickTop="1" thickBot="1" x14ac:dyDescent="0.3">
      <c r="B90" s="253" t="str">
        <f>'Hours Scheduled'!B21</f>
        <v>Manuel Sperti</v>
      </c>
      <c r="C90" t="s">
        <v>0</v>
      </c>
      <c r="D90" s="200"/>
      <c r="E90" s="2"/>
      <c r="F90" s="2"/>
      <c r="G90" s="2"/>
      <c r="H90" s="2"/>
      <c r="I90" s="2"/>
      <c r="J90" s="200"/>
      <c r="K90" s="200"/>
      <c r="L90" s="2"/>
      <c r="M90" s="2"/>
      <c r="N90" s="2"/>
      <c r="O90" s="2"/>
      <c r="P90" s="2"/>
      <c r="Q90" s="200"/>
      <c r="R90" s="200"/>
      <c r="S90" s="2"/>
      <c r="T90" s="2"/>
      <c r="U90" s="2"/>
      <c r="V90" s="2"/>
      <c r="W90" s="2"/>
      <c r="X90" s="200"/>
      <c r="Y90" s="200"/>
      <c r="Z90" s="2"/>
      <c r="AA90" s="2"/>
      <c r="AB90" s="5"/>
      <c r="AC90" s="5"/>
      <c r="AD90" s="2"/>
      <c r="AE90" s="200"/>
      <c r="AF90" s="200"/>
      <c r="AG90" s="2"/>
      <c r="AH90" s="2"/>
      <c r="AJ90" s="64">
        <f>SUM(D90:AH90)</f>
        <v>0</v>
      </c>
    </row>
    <row r="91" spans="2:36" ht="15.75" hidden="1" outlineLevel="1" thickTop="1" x14ac:dyDescent="0.25">
      <c r="B91" s="150"/>
      <c r="C91" s="1" t="s">
        <v>1</v>
      </c>
      <c r="D91" s="200"/>
      <c r="E91" s="3"/>
      <c r="F91" s="3"/>
      <c r="G91" s="3"/>
      <c r="H91" s="3"/>
      <c r="I91" s="3"/>
      <c r="J91" s="200"/>
      <c r="K91" s="200"/>
      <c r="L91" s="3"/>
      <c r="M91" s="3"/>
      <c r="N91" s="3"/>
      <c r="O91" s="3"/>
      <c r="P91" s="3"/>
      <c r="Q91" s="200"/>
      <c r="R91" s="200"/>
      <c r="S91" s="3"/>
      <c r="T91" s="3"/>
      <c r="U91" s="3"/>
      <c r="V91" s="3"/>
      <c r="W91" s="3"/>
      <c r="X91" s="200"/>
      <c r="Y91" s="200"/>
      <c r="Z91" s="3"/>
      <c r="AA91" s="3"/>
      <c r="AB91" s="5"/>
      <c r="AC91" s="5"/>
      <c r="AD91" s="3"/>
      <c r="AE91" s="200"/>
      <c r="AF91" s="200"/>
      <c r="AG91" s="3"/>
      <c r="AH91" s="3"/>
      <c r="AJ91" s="70">
        <f t="shared" ref="AJ91:AJ94" si="17">SUM(D91:AH91)</f>
        <v>0</v>
      </c>
    </row>
    <row r="92" spans="2:36" hidden="1" outlineLevel="1" x14ac:dyDescent="0.25">
      <c r="B92" s="151"/>
      <c r="C92" s="1" t="s">
        <v>2</v>
      </c>
      <c r="D92" s="200"/>
      <c r="E92" s="4"/>
      <c r="F92" s="4"/>
      <c r="G92" s="4"/>
      <c r="H92" s="4"/>
      <c r="I92" s="4"/>
      <c r="J92" s="200"/>
      <c r="K92" s="200"/>
      <c r="L92" s="4"/>
      <c r="M92" s="4"/>
      <c r="N92" s="4"/>
      <c r="O92" s="4"/>
      <c r="P92" s="4"/>
      <c r="Q92" s="200"/>
      <c r="R92" s="200"/>
      <c r="S92" s="4"/>
      <c r="T92" s="4"/>
      <c r="U92" s="4"/>
      <c r="V92" s="4"/>
      <c r="W92" s="4"/>
      <c r="X92" s="200"/>
      <c r="Y92" s="200"/>
      <c r="Z92" s="4"/>
      <c r="AA92" s="4"/>
      <c r="AB92" s="5"/>
      <c r="AC92" s="5"/>
      <c r="AD92" s="4"/>
      <c r="AE92" s="200"/>
      <c r="AF92" s="200"/>
      <c r="AG92" s="4"/>
      <c r="AH92" s="4"/>
      <c r="AJ92" s="71">
        <f t="shared" si="17"/>
        <v>0</v>
      </c>
    </row>
    <row r="93" spans="2:36" hidden="1" outlineLevel="1" x14ac:dyDescent="0.25">
      <c r="B93" s="151"/>
      <c r="C93" s="54" t="s">
        <v>77</v>
      </c>
      <c r="D93" s="200"/>
      <c r="E93" s="5"/>
      <c r="F93" s="5"/>
      <c r="G93" s="5"/>
      <c r="H93" s="5"/>
      <c r="I93" s="5"/>
      <c r="J93" s="200"/>
      <c r="K93" s="200"/>
      <c r="L93" s="5"/>
      <c r="M93" s="5"/>
      <c r="N93" s="5"/>
      <c r="O93" s="5"/>
      <c r="P93" s="5"/>
      <c r="Q93" s="200"/>
      <c r="R93" s="200"/>
      <c r="S93" s="5"/>
      <c r="T93" s="5"/>
      <c r="U93" s="5"/>
      <c r="V93" s="5"/>
      <c r="W93" s="5"/>
      <c r="X93" s="200"/>
      <c r="Y93" s="200"/>
      <c r="Z93" s="5"/>
      <c r="AA93" s="5"/>
      <c r="AB93" s="5"/>
      <c r="AC93" s="5"/>
      <c r="AD93" s="5"/>
      <c r="AE93" s="200"/>
      <c r="AF93" s="200"/>
      <c r="AG93" s="5"/>
      <c r="AH93" s="5"/>
      <c r="AJ93" s="72">
        <f t="shared" si="17"/>
        <v>0</v>
      </c>
    </row>
    <row r="94" spans="2:36" ht="15.75" hidden="1" outlineLevel="1" thickBot="1" x14ac:dyDescent="0.3">
      <c r="B94" s="151"/>
      <c r="C94" s="9" t="s">
        <v>3</v>
      </c>
      <c r="D94" s="201"/>
      <c r="E94" s="8"/>
      <c r="F94" s="8"/>
      <c r="G94" s="8"/>
      <c r="H94" s="8"/>
      <c r="I94" s="8"/>
      <c r="J94" s="201"/>
      <c r="K94" s="201"/>
      <c r="L94" s="8"/>
      <c r="M94" s="8"/>
      <c r="N94" s="8"/>
      <c r="O94" s="8"/>
      <c r="P94" s="8"/>
      <c r="Q94" s="201"/>
      <c r="R94" s="201"/>
      <c r="S94" s="8"/>
      <c r="T94" s="8"/>
      <c r="U94" s="8"/>
      <c r="V94" s="8"/>
      <c r="W94" s="8"/>
      <c r="X94" s="201"/>
      <c r="Y94" s="201"/>
      <c r="Z94" s="8"/>
      <c r="AA94" s="8"/>
      <c r="AB94" s="234"/>
      <c r="AC94" s="234"/>
      <c r="AD94" s="8"/>
      <c r="AE94" s="201"/>
      <c r="AF94" s="201"/>
      <c r="AG94" s="8"/>
      <c r="AH94" s="8"/>
      <c r="AI94" s="7"/>
      <c r="AJ94" s="69">
        <f t="shared" si="17"/>
        <v>0</v>
      </c>
    </row>
    <row r="95" spans="2:36" ht="16.5" collapsed="1" thickTop="1" thickBot="1" x14ac:dyDescent="0.3">
      <c r="B95" s="149" t="str">
        <f>'Hours Scheduled'!B22</f>
        <v xml:space="preserve">Marc Linssen </v>
      </c>
      <c r="C95" t="s">
        <v>0</v>
      </c>
      <c r="D95" s="200"/>
      <c r="E95" s="2"/>
      <c r="F95" s="2"/>
      <c r="G95" s="2"/>
      <c r="H95" s="2"/>
      <c r="I95" s="2"/>
      <c r="J95" s="200"/>
      <c r="K95" s="200"/>
      <c r="L95" s="2"/>
      <c r="M95" s="2"/>
      <c r="N95" s="2"/>
      <c r="O95" s="2"/>
      <c r="P95" s="2"/>
      <c r="Q95" s="200"/>
      <c r="R95" s="200"/>
      <c r="S95" s="2"/>
      <c r="T95" s="2"/>
      <c r="U95" s="2"/>
      <c r="V95" s="2"/>
      <c r="W95" s="2"/>
      <c r="X95" s="200"/>
      <c r="Y95" s="200"/>
      <c r="Z95" s="2"/>
      <c r="AA95" s="2"/>
      <c r="AB95" s="5"/>
      <c r="AC95" s="5"/>
      <c r="AD95" s="2"/>
      <c r="AE95" s="200"/>
      <c r="AF95" s="200"/>
      <c r="AG95" s="2"/>
      <c r="AH95" s="2"/>
      <c r="AJ95" s="64">
        <f>SUM(D95:AH95)</f>
        <v>0</v>
      </c>
    </row>
    <row r="96" spans="2:36" ht="15.75" hidden="1" outlineLevel="1" thickTop="1" x14ac:dyDescent="0.25">
      <c r="B96" s="150"/>
      <c r="C96" s="1" t="s">
        <v>1</v>
      </c>
      <c r="D96" s="200"/>
      <c r="E96" s="3"/>
      <c r="F96" s="3"/>
      <c r="G96" s="3"/>
      <c r="H96" s="3"/>
      <c r="I96" s="3"/>
      <c r="J96" s="200"/>
      <c r="K96" s="200"/>
      <c r="L96" s="3"/>
      <c r="M96" s="3"/>
      <c r="N96" s="3"/>
      <c r="O96" s="3"/>
      <c r="P96" s="3"/>
      <c r="Q96" s="200"/>
      <c r="R96" s="200"/>
      <c r="S96" s="3"/>
      <c r="T96" s="3"/>
      <c r="U96" s="3"/>
      <c r="V96" s="3"/>
      <c r="W96" s="3"/>
      <c r="X96" s="200"/>
      <c r="Y96" s="200"/>
      <c r="Z96" s="3"/>
      <c r="AA96" s="3"/>
      <c r="AB96" s="5"/>
      <c r="AC96" s="5"/>
      <c r="AD96" s="3"/>
      <c r="AE96" s="200"/>
      <c r="AF96" s="200"/>
      <c r="AG96" s="3"/>
      <c r="AH96" s="3"/>
      <c r="AJ96" s="70">
        <f t="shared" ref="AJ96:AJ99" si="18">SUM(D96:AH96)</f>
        <v>0</v>
      </c>
    </row>
    <row r="97" spans="2:36" hidden="1" outlineLevel="1" x14ac:dyDescent="0.25">
      <c r="B97" s="151"/>
      <c r="C97" s="1" t="s">
        <v>2</v>
      </c>
      <c r="D97" s="200"/>
      <c r="E97" s="4"/>
      <c r="F97" s="4"/>
      <c r="G97" s="4"/>
      <c r="H97" s="4"/>
      <c r="I97" s="4"/>
      <c r="J97" s="200"/>
      <c r="K97" s="200"/>
      <c r="L97" s="4"/>
      <c r="M97" s="4"/>
      <c r="N97" s="4"/>
      <c r="O97" s="4"/>
      <c r="P97" s="4"/>
      <c r="Q97" s="200"/>
      <c r="R97" s="200"/>
      <c r="S97" s="4"/>
      <c r="T97" s="4"/>
      <c r="U97" s="4"/>
      <c r="V97" s="4"/>
      <c r="W97" s="4"/>
      <c r="X97" s="200"/>
      <c r="Y97" s="200"/>
      <c r="Z97" s="4"/>
      <c r="AA97" s="4"/>
      <c r="AB97" s="5"/>
      <c r="AC97" s="5"/>
      <c r="AD97" s="4"/>
      <c r="AE97" s="200"/>
      <c r="AF97" s="200"/>
      <c r="AG97" s="4"/>
      <c r="AH97" s="4"/>
      <c r="AJ97" s="71">
        <f t="shared" si="18"/>
        <v>0</v>
      </c>
    </row>
    <row r="98" spans="2:36" hidden="1" outlineLevel="1" x14ac:dyDescent="0.25">
      <c r="B98" s="151"/>
      <c r="C98" s="54" t="s">
        <v>77</v>
      </c>
      <c r="D98" s="200"/>
      <c r="E98" s="5"/>
      <c r="F98" s="5"/>
      <c r="G98" s="5"/>
      <c r="H98" s="5"/>
      <c r="I98" s="5"/>
      <c r="J98" s="200"/>
      <c r="K98" s="200"/>
      <c r="L98" s="5"/>
      <c r="M98" s="5"/>
      <c r="N98" s="5"/>
      <c r="O98" s="5"/>
      <c r="P98" s="5"/>
      <c r="Q98" s="200"/>
      <c r="R98" s="200"/>
      <c r="S98" s="5"/>
      <c r="T98" s="5"/>
      <c r="U98" s="5"/>
      <c r="V98" s="5"/>
      <c r="W98" s="5"/>
      <c r="X98" s="200"/>
      <c r="Y98" s="200"/>
      <c r="Z98" s="5"/>
      <c r="AA98" s="5"/>
      <c r="AB98" s="5"/>
      <c r="AC98" s="5"/>
      <c r="AD98" s="5"/>
      <c r="AE98" s="200"/>
      <c r="AF98" s="200"/>
      <c r="AG98" s="5"/>
      <c r="AH98" s="5"/>
      <c r="AJ98" s="72">
        <f t="shared" si="18"/>
        <v>0</v>
      </c>
    </row>
    <row r="99" spans="2:36" ht="15.75" hidden="1" outlineLevel="1" thickBot="1" x14ac:dyDescent="0.3">
      <c r="B99" s="151"/>
      <c r="C99" s="9" t="s">
        <v>3</v>
      </c>
      <c r="D99" s="201"/>
      <c r="E99" s="8"/>
      <c r="F99" s="8"/>
      <c r="G99" s="8"/>
      <c r="H99" s="8"/>
      <c r="I99" s="8"/>
      <c r="J99" s="201"/>
      <c r="K99" s="201"/>
      <c r="L99" s="8"/>
      <c r="M99" s="8"/>
      <c r="N99" s="8"/>
      <c r="O99" s="8"/>
      <c r="P99" s="8"/>
      <c r="Q99" s="201"/>
      <c r="R99" s="201"/>
      <c r="S99" s="8"/>
      <c r="T99" s="8"/>
      <c r="U99" s="8"/>
      <c r="V99" s="8"/>
      <c r="W99" s="8"/>
      <c r="X99" s="201"/>
      <c r="Y99" s="201"/>
      <c r="Z99" s="8"/>
      <c r="AA99" s="8"/>
      <c r="AB99" s="234"/>
      <c r="AC99" s="234"/>
      <c r="AD99" s="8"/>
      <c r="AE99" s="201"/>
      <c r="AF99" s="201"/>
      <c r="AG99" s="8"/>
      <c r="AH99" s="8"/>
      <c r="AI99" s="7"/>
      <c r="AJ99" s="69">
        <f t="shared" si="18"/>
        <v>0</v>
      </c>
    </row>
    <row r="100" spans="2:36" ht="16.5" collapsed="1" thickTop="1" thickBot="1" x14ac:dyDescent="0.3">
      <c r="B100" s="156" t="str">
        <f>'Hours Scheduled'!B23</f>
        <v>Marco Smeekes</v>
      </c>
      <c r="C100" t="s">
        <v>0</v>
      </c>
      <c r="D100" s="200"/>
      <c r="E100" s="2"/>
      <c r="F100" s="2"/>
      <c r="G100" s="2"/>
      <c r="H100" s="2"/>
      <c r="I100" s="2"/>
      <c r="J100" s="200"/>
      <c r="K100" s="200"/>
      <c r="L100" s="2"/>
      <c r="M100" s="2"/>
      <c r="N100" s="2"/>
      <c r="O100" s="2"/>
      <c r="P100" s="2"/>
      <c r="Q100" s="200"/>
      <c r="R100" s="200"/>
      <c r="S100" s="2"/>
      <c r="T100" s="2"/>
      <c r="U100" s="2"/>
      <c r="V100" s="2"/>
      <c r="W100" s="2"/>
      <c r="X100" s="200"/>
      <c r="Y100" s="200"/>
      <c r="Z100" s="2"/>
      <c r="AA100" s="2"/>
      <c r="AB100" s="5"/>
      <c r="AC100" s="5"/>
      <c r="AD100" s="2"/>
      <c r="AE100" s="200"/>
      <c r="AF100" s="200"/>
      <c r="AG100" s="2"/>
      <c r="AH100" s="2"/>
      <c r="AJ100" s="64">
        <f>SUM(D100:AH100)</f>
        <v>0</v>
      </c>
    </row>
    <row r="101" spans="2:36" ht="15.75" hidden="1" outlineLevel="1" thickTop="1" x14ac:dyDescent="0.25">
      <c r="B101" s="150"/>
      <c r="C101" s="1" t="s">
        <v>1</v>
      </c>
      <c r="D101" s="200"/>
      <c r="E101" s="3"/>
      <c r="F101" s="3"/>
      <c r="G101" s="3"/>
      <c r="H101" s="3"/>
      <c r="I101" s="3"/>
      <c r="J101" s="200"/>
      <c r="K101" s="200"/>
      <c r="L101" s="3"/>
      <c r="M101" s="3"/>
      <c r="N101" s="3"/>
      <c r="O101" s="3"/>
      <c r="P101" s="3"/>
      <c r="Q101" s="200"/>
      <c r="R101" s="200"/>
      <c r="S101" s="3"/>
      <c r="T101" s="3"/>
      <c r="U101" s="3"/>
      <c r="V101" s="3"/>
      <c r="W101" s="3"/>
      <c r="X101" s="200"/>
      <c r="Y101" s="200"/>
      <c r="Z101" s="3"/>
      <c r="AA101" s="3"/>
      <c r="AB101" s="5"/>
      <c r="AC101" s="5"/>
      <c r="AD101" s="3"/>
      <c r="AE101" s="200"/>
      <c r="AF101" s="200"/>
      <c r="AG101" s="3"/>
      <c r="AH101" s="3"/>
      <c r="AJ101" s="70">
        <f t="shared" ref="AJ101:AJ104" si="19">SUM(D101:AH101)</f>
        <v>0</v>
      </c>
    </row>
    <row r="102" spans="2:36" hidden="1" outlineLevel="1" x14ac:dyDescent="0.25">
      <c r="B102" s="151"/>
      <c r="C102" s="1" t="s">
        <v>2</v>
      </c>
      <c r="D102" s="200"/>
      <c r="E102" s="4"/>
      <c r="F102" s="4"/>
      <c r="G102" s="4"/>
      <c r="H102" s="4"/>
      <c r="I102" s="4"/>
      <c r="J102" s="200"/>
      <c r="K102" s="200"/>
      <c r="L102" s="4"/>
      <c r="M102" s="4"/>
      <c r="N102" s="4"/>
      <c r="O102" s="4"/>
      <c r="P102" s="4"/>
      <c r="Q102" s="200"/>
      <c r="R102" s="200"/>
      <c r="S102" s="4"/>
      <c r="T102" s="4"/>
      <c r="U102" s="4"/>
      <c r="V102" s="4"/>
      <c r="W102" s="4"/>
      <c r="X102" s="200"/>
      <c r="Y102" s="200"/>
      <c r="Z102" s="4"/>
      <c r="AA102" s="4"/>
      <c r="AB102" s="5"/>
      <c r="AC102" s="5"/>
      <c r="AD102" s="4"/>
      <c r="AE102" s="200"/>
      <c r="AF102" s="200"/>
      <c r="AG102" s="4"/>
      <c r="AH102" s="4"/>
      <c r="AJ102" s="71">
        <f t="shared" si="19"/>
        <v>0</v>
      </c>
    </row>
    <row r="103" spans="2:36" hidden="1" outlineLevel="1" x14ac:dyDescent="0.25">
      <c r="B103" s="151"/>
      <c r="C103" s="54" t="s">
        <v>77</v>
      </c>
      <c r="D103" s="200"/>
      <c r="E103" s="5"/>
      <c r="F103" s="5"/>
      <c r="G103" s="5"/>
      <c r="H103" s="5"/>
      <c r="I103" s="5"/>
      <c r="J103" s="200"/>
      <c r="K103" s="200"/>
      <c r="L103" s="5"/>
      <c r="M103" s="5"/>
      <c r="N103" s="5"/>
      <c r="O103" s="5"/>
      <c r="P103" s="5"/>
      <c r="Q103" s="200"/>
      <c r="R103" s="200"/>
      <c r="S103" s="5"/>
      <c r="T103" s="5"/>
      <c r="U103" s="5"/>
      <c r="V103" s="5"/>
      <c r="W103" s="5"/>
      <c r="X103" s="200"/>
      <c r="Y103" s="200"/>
      <c r="Z103" s="5"/>
      <c r="AA103" s="5"/>
      <c r="AB103" s="5"/>
      <c r="AC103" s="5"/>
      <c r="AD103" s="5"/>
      <c r="AE103" s="200"/>
      <c r="AF103" s="200"/>
      <c r="AG103" s="5"/>
      <c r="AH103" s="5"/>
      <c r="AJ103" s="72">
        <f t="shared" si="19"/>
        <v>0</v>
      </c>
    </row>
    <row r="104" spans="2:36" ht="15.75" hidden="1" outlineLevel="1" thickBot="1" x14ac:dyDescent="0.3">
      <c r="B104" s="151"/>
      <c r="C104" s="9" t="s">
        <v>3</v>
      </c>
      <c r="D104" s="201"/>
      <c r="E104" s="8"/>
      <c r="F104" s="8"/>
      <c r="G104" s="8"/>
      <c r="H104" s="8"/>
      <c r="I104" s="8"/>
      <c r="J104" s="201"/>
      <c r="K104" s="201"/>
      <c r="L104" s="8"/>
      <c r="M104" s="8"/>
      <c r="N104" s="8"/>
      <c r="O104" s="8"/>
      <c r="P104" s="8"/>
      <c r="Q104" s="201"/>
      <c r="R104" s="201"/>
      <c r="S104" s="8"/>
      <c r="T104" s="8"/>
      <c r="U104" s="8"/>
      <c r="V104" s="8"/>
      <c r="W104" s="8"/>
      <c r="X104" s="201"/>
      <c r="Y104" s="201"/>
      <c r="Z104" s="8"/>
      <c r="AA104" s="8"/>
      <c r="AB104" s="234"/>
      <c r="AC104" s="234"/>
      <c r="AD104" s="8"/>
      <c r="AE104" s="201"/>
      <c r="AF104" s="201"/>
      <c r="AG104" s="8"/>
      <c r="AH104" s="8"/>
      <c r="AI104" s="7"/>
      <c r="AJ104" s="69">
        <f t="shared" si="19"/>
        <v>0</v>
      </c>
    </row>
    <row r="105" spans="2:36" ht="16.5" collapsed="1" thickTop="1" thickBot="1" x14ac:dyDescent="0.3">
      <c r="B105" s="156" t="str">
        <f>'Hours Scheduled'!B24</f>
        <v>Mark Meijer</v>
      </c>
      <c r="C105" t="s">
        <v>0</v>
      </c>
      <c r="D105" s="200"/>
      <c r="E105" s="2"/>
      <c r="F105" s="2"/>
      <c r="G105" s="2"/>
      <c r="H105" s="2"/>
      <c r="I105" s="2"/>
      <c r="J105" s="200"/>
      <c r="K105" s="200"/>
      <c r="L105" s="2"/>
      <c r="M105" s="2"/>
      <c r="N105" s="2"/>
      <c r="O105" s="2"/>
      <c r="P105" s="2"/>
      <c r="Q105" s="200"/>
      <c r="R105" s="200"/>
      <c r="S105" s="2"/>
      <c r="T105" s="2"/>
      <c r="U105" s="2"/>
      <c r="V105" s="2"/>
      <c r="W105" s="2"/>
      <c r="X105" s="200"/>
      <c r="Y105" s="200"/>
      <c r="Z105" s="2"/>
      <c r="AA105" s="2"/>
      <c r="AB105" s="5"/>
      <c r="AC105" s="5"/>
      <c r="AD105" s="2"/>
      <c r="AE105" s="200"/>
      <c r="AF105" s="200"/>
      <c r="AG105" s="2"/>
      <c r="AH105" s="2"/>
      <c r="AJ105" s="64">
        <f>SUM(D105:AH105)</f>
        <v>0</v>
      </c>
    </row>
    <row r="106" spans="2:36" ht="15.75" hidden="1" outlineLevel="1" thickTop="1" x14ac:dyDescent="0.25">
      <c r="B106" s="150"/>
      <c r="C106" s="1" t="s">
        <v>1</v>
      </c>
      <c r="D106" s="200"/>
      <c r="E106" s="3"/>
      <c r="F106" s="3"/>
      <c r="G106" s="3"/>
      <c r="H106" s="3"/>
      <c r="I106" s="3"/>
      <c r="J106" s="200"/>
      <c r="K106" s="200"/>
      <c r="L106" s="3"/>
      <c r="M106" s="3"/>
      <c r="N106" s="3"/>
      <c r="O106" s="3"/>
      <c r="P106" s="3"/>
      <c r="Q106" s="200"/>
      <c r="R106" s="200"/>
      <c r="S106" s="3"/>
      <c r="T106" s="3"/>
      <c r="U106" s="3"/>
      <c r="V106" s="3"/>
      <c r="W106" s="3"/>
      <c r="X106" s="200"/>
      <c r="Y106" s="200"/>
      <c r="Z106" s="3"/>
      <c r="AA106" s="3"/>
      <c r="AB106" s="5"/>
      <c r="AC106" s="5"/>
      <c r="AD106" s="3"/>
      <c r="AE106" s="200"/>
      <c r="AF106" s="200"/>
      <c r="AG106" s="3"/>
      <c r="AH106" s="3"/>
      <c r="AJ106" s="70">
        <f t="shared" ref="AJ106:AJ109" si="20">SUM(D106:AH106)</f>
        <v>0</v>
      </c>
    </row>
    <row r="107" spans="2:36" hidden="1" outlineLevel="1" x14ac:dyDescent="0.25">
      <c r="B107" s="151"/>
      <c r="C107" s="1" t="s">
        <v>2</v>
      </c>
      <c r="D107" s="200"/>
      <c r="E107" s="4"/>
      <c r="F107" s="4"/>
      <c r="G107" s="4"/>
      <c r="H107" s="4"/>
      <c r="I107" s="4"/>
      <c r="J107" s="200"/>
      <c r="K107" s="200"/>
      <c r="L107" s="4"/>
      <c r="M107" s="4"/>
      <c r="N107" s="4"/>
      <c r="O107" s="4"/>
      <c r="P107" s="4"/>
      <c r="Q107" s="200"/>
      <c r="R107" s="200"/>
      <c r="S107" s="4"/>
      <c r="T107" s="4"/>
      <c r="U107" s="4"/>
      <c r="V107" s="4"/>
      <c r="W107" s="4"/>
      <c r="X107" s="200"/>
      <c r="Y107" s="200"/>
      <c r="Z107" s="4"/>
      <c r="AA107" s="4"/>
      <c r="AB107" s="5"/>
      <c r="AC107" s="5"/>
      <c r="AD107" s="4"/>
      <c r="AE107" s="200"/>
      <c r="AF107" s="200"/>
      <c r="AG107" s="4"/>
      <c r="AH107" s="4"/>
      <c r="AJ107" s="71">
        <f t="shared" si="20"/>
        <v>0</v>
      </c>
    </row>
    <row r="108" spans="2:36" hidden="1" outlineLevel="1" x14ac:dyDescent="0.25">
      <c r="B108" s="151"/>
      <c r="C108" s="54" t="s">
        <v>77</v>
      </c>
      <c r="D108" s="200"/>
      <c r="E108" s="5"/>
      <c r="F108" s="5"/>
      <c r="G108" s="5"/>
      <c r="H108" s="5"/>
      <c r="I108" s="5"/>
      <c r="J108" s="200"/>
      <c r="K108" s="200"/>
      <c r="L108" s="5"/>
      <c r="M108" s="5"/>
      <c r="N108" s="5"/>
      <c r="O108" s="5"/>
      <c r="P108" s="5"/>
      <c r="Q108" s="200"/>
      <c r="R108" s="200"/>
      <c r="S108" s="5"/>
      <c r="T108" s="5"/>
      <c r="U108" s="5"/>
      <c r="V108" s="5"/>
      <c r="W108" s="5"/>
      <c r="X108" s="200"/>
      <c r="Y108" s="200"/>
      <c r="Z108" s="5"/>
      <c r="AA108" s="5"/>
      <c r="AB108" s="5"/>
      <c r="AC108" s="5"/>
      <c r="AD108" s="5"/>
      <c r="AE108" s="200"/>
      <c r="AF108" s="200"/>
      <c r="AG108" s="5"/>
      <c r="AH108" s="5"/>
      <c r="AJ108" s="72">
        <f t="shared" si="20"/>
        <v>0</v>
      </c>
    </row>
    <row r="109" spans="2:36" ht="15.75" hidden="1" outlineLevel="1" thickBot="1" x14ac:dyDescent="0.3">
      <c r="B109" s="151"/>
      <c r="C109" s="9" t="s">
        <v>3</v>
      </c>
      <c r="D109" s="201"/>
      <c r="E109" s="8"/>
      <c r="F109" s="8"/>
      <c r="G109" s="8"/>
      <c r="H109" s="8"/>
      <c r="I109" s="8"/>
      <c r="J109" s="201"/>
      <c r="K109" s="201"/>
      <c r="L109" s="8"/>
      <c r="M109" s="8"/>
      <c r="N109" s="8"/>
      <c r="O109" s="8"/>
      <c r="P109" s="8"/>
      <c r="Q109" s="201"/>
      <c r="R109" s="201"/>
      <c r="S109" s="8"/>
      <c r="T109" s="8"/>
      <c r="U109" s="8"/>
      <c r="V109" s="8"/>
      <c r="W109" s="8"/>
      <c r="X109" s="201"/>
      <c r="Y109" s="201"/>
      <c r="Z109" s="8"/>
      <c r="AA109" s="8"/>
      <c r="AB109" s="234"/>
      <c r="AC109" s="234"/>
      <c r="AD109" s="8"/>
      <c r="AE109" s="201"/>
      <c r="AF109" s="201"/>
      <c r="AG109" s="8"/>
      <c r="AH109" s="8"/>
      <c r="AI109" s="7"/>
      <c r="AJ109" s="69">
        <f t="shared" si="20"/>
        <v>0</v>
      </c>
    </row>
    <row r="110" spans="2:36" ht="16.5" collapsed="1" thickTop="1" thickBot="1" x14ac:dyDescent="0.3">
      <c r="B110" s="149" t="str">
        <f>'Hours Scheduled'!B25</f>
        <v>Marvin Machelesen</v>
      </c>
      <c r="C110" t="s">
        <v>0</v>
      </c>
      <c r="D110" s="200"/>
      <c r="E110" s="2"/>
      <c r="F110" s="2"/>
      <c r="G110" s="2"/>
      <c r="H110" s="2"/>
      <c r="I110" s="2"/>
      <c r="J110" s="200"/>
      <c r="K110" s="200"/>
      <c r="L110" s="2"/>
      <c r="M110" s="2"/>
      <c r="N110" s="2"/>
      <c r="O110" s="2"/>
      <c r="P110" s="2"/>
      <c r="Q110" s="200"/>
      <c r="R110" s="200"/>
      <c r="S110" s="2"/>
      <c r="T110" s="2"/>
      <c r="U110" s="2"/>
      <c r="V110" s="2"/>
      <c r="W110" s="2"/>
      <c r="X110" s="200"/>
      <c r="Y110" s="200"/>
      <c r="Z110" s="2">
        <v>8</v>
      </c>
      <c r="AA110" s="2">
        <v>8</v>
      </c>
      <c r="AB110" s="5"/>
      <c r="AC110" s="5"/>
      <c r="AD110" s="2">
        <v>8</v>
      </c>
      <c r="AE110" s="200"/>
      <c r="AF110" s="200"/>
      <c r="AG110" s="2">
        <v>8</v>
      </c>
      <c r="AH110" s="2">
        <v>8</v>
      </c>
      <c r="AJ110" s="64">
        <f>SUM(D110:AH110)</f>
        <v>40</v>
      </c>
    </row>
    <row r="111" spans="2:36" ht="15.75" hidden="1" outlineLevel="1" thickTop="1" x14ac:dyDescent="0.25">
      <c r="B111" s="150"/>
      <c r="C111" s="1" t="s">
        <v>1</v>
      </c>
      <c r="D111" s="200"/>
      <c r="E111" s="3"/>
      <c r="F111" s="3"/>
      <c r="G111" s="3"/>
      <c r="H111" s="3"/>
      <c r="I111" s="3"/>
      <c r="J111" s="200"/>
      <c r="K111" s="200"/>
      <c r="L111" s="3"/>
      <c r="M111" s="3"/>
      <c r="N111" s="3"/>
      <c r="O111" s="3"/>
      <c r="P111" s="3"/>
      <c r="Q111" s="200"/>
      <c r="R111" s="200"/>
      <c r="S111" s="3"/>
      <c r="T111" s="3"/>
      <c r="U111" s="3"/>
      <c r="V111" s="3"/>
      <c r="W111" s="3"/>
      <c r="X111" s="200"/>
      <c r="Y111" s="200"/>
      <c r="Z111" s="3"/>
      <c r="AA111" s="3"/>
      <c r="AB111" s="5"/>
      <c r="AC111" s="5"/>
      <c r="AD111" s="3"/>
      <c r="AE111" s="200"/>
      <c r="AF111" s="200"/>
      <c r="AG111" s="3"/>
      <c r="AH111" s="3"/>
      <c r="AJ111" s="70">
        <f t="shared" ref="AJ111:AJ114" si="21">SUM(D111:AH111)</f>
        <v>0</v>
      </c>
    </row>
    <row r="112" spans="2:36" hidden="1" outlineLevel="1" x14ac:dyDescent="0.25">
      <c r="B112" s="151"/>
      <c r="C112" s="1" t="s">
        <v>2</v>
      </c>
      <c r="D112" s="200"/>
      <c r="E112" s="4"/>
      <c r="F112" s="4"/>
      <c r="G112" s="4"/>
      <c r="H112" s="4"/>
      <c r="I112" s="4"/>
      <c r="J112" s="200"/>
      <c r="K112" s="200"/>
      <c r="L112" s="4"/>
      <c r="M112" s="4"/>
      <c r="N112" s="4"/>
      <c r="O112" s="4"/>
      <c r="P112" s="4"/>
      <c r="Q112" s="200"/>
      <c r="R112" s="200"/>
      <c r="S112" s="4"/>
      <c r="T112" s="4"/>
      <c r="U112" s="4"/>
      <c r="V112" s="4"/>
      <c r="W112" s="4"/>
      <c r="X112" s="200"/>
      <c r="Y112" s="200"/>
      <c r="Z112" s="4"/>
      <c r="AA112" s="4"/>
      <c r="AB112" s="5"/>
      <c r="AC112" s="5"/>
      <c r="AD112" s="4"/>
      <c r="AE112" s="200"/>
      <c r="AF112" s="200"/>
      <c r="AG112" s="4"/>
      <c r="AH112" s="4"/>
      <c r="AJ112" s="71">
        <f t="shared" si="21"/>
        <v>0</v>
      </c>
    </row>
    <row r="113" spans="2:36" hidden="1" outlineLevel="1" x14ac:dyDescent="0.25">
      <c r="B113" s="151"/>
      <c r="C113" s="54" t="s">
        <v>77</v>
      </c>
      <c r="D113" s="200"/>
      <c r="E113" s="5"/>
      <c r="F113" s="5"/>
      <c r="G113" s="5"/>
      <c r="H113" s="5"/>
      <c r="I113" s="5"/>
      <c r="J113" s="200"/>
      <c r="K113" s="200"/>
      <c r="L113" s="5"/>
      <c r="M113" s="5"/>
      <c r="N113" s="5"/>
      <c r="O113" s="5"/>
      <c r="P113" s="5"/>
      <c r="Q113" s="200"/>
      <c r="R113" s="200"/>
      <c r="S113" s="5"/>
      <c r="T113" s="5"/>
      <c r="U113" s="5"/>
      <c r="V113" s="5"/>
      <c r="W113" s="5"/>
      <c r="X113" s="200"/>
      <c r="Y113" s="200"/>
      <c r="Z113" s="5"/>
      <c r="AA113" s="5"/>
      <c r="AB113" s="5"/>
      <c r="AC113" s="5"/>
      <c r="AD113" s="5"/>
      <c r="AE113" s="200"/>
      <c r="AF113" s="200"/>
      <c r="AG113" s="5"/>
      <c r="AH113" s="5"/>
      <c r="AJ113" s="72">
        <f t="shared" si="21"/>
        <v>0</v>
      </c>
    </row>
    <row r="114" spans="2:36" ht="15.75" hidden="1" outlineLevel="1" thickBot="1" x14ac:dyDescent="0.3">
      <c r="B114" s="151"/>
      <c r="C114" s="9" t="s">
        <v>3</v>
      </c>
      <c r="D114" s="201"/>
      <c r="E114" s="8"/>
      <c r="F114" s="8"/>
      <c r="G114" s="8"/>
      <c r="H114" s="8"/>
      <c r="I114" s="8"/>
      <c r="J114" s="201"/>
      <c r="K114" s="201"/>
      <c r="L114" s="8"/>
      <c r="M114" s="8"/>
      <c r="N114" s="8"/>
      <c r="O114" s="8"/>
      <c r="P114" s="8"/>
      <c r="Q114" s="201"/>
      <c r="R114" s="201"/>
      <c r="S114" s="8"/>
      <c r="T114" s="8"/>
      <c r="U114" s="8"/>
      <c r="V114" s="8"/>
      <c r="W114" s="8"/>
      <c r="X114" s="201"/>
      <c r="Y114" s="201"/>
      <c r="Z114" s="8"/>
      <c r="AA114" s="8"/>
      <c r="AB114" s="234"/>
      <c r="AC114" s="234"/>
      <c r="AD114" s="8"/>
      <c r="AE114" s="201"/>
      <c r="AF114" s="201"/>
      <c r="AG114" s="8"/>
      <c r="AH114" s="8"/>
      <c r="AI114" s="7"/>
      <c r="AJ114" s="69">
        <f t="shared" si="21"/>
        <v>0</v>
      </c>
    </row>
    <row r="115" spans="2:36" ht="16.5" collapsed="1" thickTop="1" thickBot="1" x14ac:dyDescent="0.3">
      <c r="B115" s="149" t="str">
        <f>'Hours Scheduled'!B26</f>
        <v>Michael Callemeijn</v>
      </c>
      <c r="C115" t="s">
        <v>0</v>
      </c>
      <c r="D115" s="200"/>
      <c r="E115" s="2"/>
      <c r="F115" s="2"/>
      <c r="G115" s="2"/>
      <c r="H115" s="2"/>
      <c r="I115" s="2"/>
      <c r="J115" s="200"/>
      <c r="K115" s="200"/>
      <c r="L115" s="2"/>
      <c r="M115" s="2"/>
      <c r="N115" s="2"/>
      <c r="O115" s="2"/>
      <c r="P115" s="2"/>
      <c r="Q115" s="200"/>
      <c r="R115" s="200"/>
      <c r="S115" s="2"/>
      <c r="T115" s="2"/>
      <c r="U115" s="2"/>
      <c r="V115" s="2"/>
      <c r="W115" s="2"/>
      <c r="X115" s="200"/>
      <c r="Y115" s="200"/>
      <c r="Z115" s="2">
        <v>8</v>
      </c>
      <c r="AA115" s="2">
        <v>8</v>
      </c>
      <c r="AB115" s="5"/>
      <c r="AC115" s="5"/>
      <c r="AD115" s="2">
        <v>8</v>
      </c>
      <c r="AE115" s="200"/>
      <c r="AF115" s="200"/>
      <c r="AG115" s="2">
        <v>8</v>
      </c>
      <c r="AH115" s="2">
        <v>8</v>
      </c>
      <c r="AJ115" s="64">
        <f>SUM(D115:AH115)</f>
        <v>40</v>
      </c>
    </row>
    <row r="116" spans="2:36" ht="15.75" hidden="1" outlineLevel="1" thickTop="1" x14ac:dyDescent="0.25">
      <c r="B116" s="150"/>
      <c r="C116" s="1" t="s">
        <v>1</v>
      </c>
      <c r="D116" s="200"/>
      <c r="E116" s="3"/>
      <c r="F116" s="3"/>
      <c r="G116" s="3"/>
      <c r="H116" s="3"/>
      <c r="I116" s="3"/>
      <c r="J116" s="200"/>
      <c r="K116" s="200"/>
      <c r="L116" s="3"/>
      <c r="M116" s="3"/>
      <c r="N116" s="3"/>
      <c r="O116" s="3"/>
      <c r="P116" s="3"/>
      <c r="Q116" s="200"/>
      <c r="R116" s="200"/>
      <c r="S116" s="3"/>
      <c r="T116" s="3"/>
      <c r="U116" s="3"/>
      <c r="V116" s="3"/>
      <c r="W116" s="3"/>
      <c r="X116" s="200"/>
      <c r="Y116" s="200"/>
      <c r="Z116" s="3"/>
      <c r="AA116" s="3"/>
      <c r="AB116" s="5"/>
      <c r="AC116" s="5"/>
      <c r="AD116" s="3"/>
      <c r="AE116" s="200"/>
      <c r="AF116" s="200"/>
      <c r="AG116" s="3"/>
      <c r="AH116" s="3"/>
      <c r="AJ116" s="70">
        <f t="shared" ref="AJ116:AJ119" si="22">SUM(D116:AH116)</f>
        <v>0</v>
      </c>
    </row>
    <row r="117" spans="2:36" hidden="1" outlineLevel="1" x14ac:dyDescent="0.25">
      <c r="B117" s="151"/>
      <c r="C117" s="1" t="s">
        <v>2</v>
      </c>
      <c r="D117" s="200"/>
      <c r="E117" s="4"/>
      <c r="F117" s="4"/>
      <c r="G117" s="4"/>
      <c r="H117" s="4"/>
      <c r="I117" s="4"/>
      <c r="J117" s="200"/>
      <c r="K117" s="200"/>
      <c r="L117" s="4"/>
      <c r="M117" s="4"/>
      <c r="N117" s="4"/>
      <c r="O117" s="4"/>
      <c r="P117" s="4"/>
      <c r="Q117" s="200"/>
      <c r="R117" s="200"/>
      <c r="S117" s="4"/>
      <c r="T117" s="4"/>
      <c r="U117" s="4"/>
      <c r="V117" s="4"/>
      <c r="W117" s="4"/>
      <c r="X117" s="200"/>
      <c r="Y117" s="200"/>
      <c r="Z117" s="4"/>
      <c r="AA117" s="4"/>
      <c r="AB117" s="5"/>
      <c r="AC117" s="5"/>
      <c r="AD117" s="4"/>
      <c r="AE117" s="200"/>
      <c r="AF117" s="200"/>
      <c r="AG117" s="4"/>
      <c r="AH117" s="4"/>
      <c r="AJ117" s="71">
        <f t="shared" si="22"/>
        <v>0</v>
      </c>
    </row>
    <row r="118" spans="2:36" hidden="1" outlineLevel="1" x14ac:dyDescent="0.25">
      <c r="B118" s="151"/>
      <c r="C118" s="54" t="s">
        <v>77</v>
      </c>
      <c r="D118" s="200"/>
      <c r="E118" s="5"/>
      <c r="F118" s="5"/>
      <c r="G118" s="5"/>
      <c r="H118" s="5"/>
      <c r="I118" s="5"/>
      <c r="J118" s="200"/>
      <c r="K118" s="200"/>
      <c r="L118" s="5"/>
      <c r="M118" s="5"/>
      <c r="N118" s="5"/>
      <c r="O118" s="5"/>
      <c r="P118" s="5"/>
      <c r="Q118" s="200"/>
      <c r="R118" s="200"/>
      <c r="S118" s="5"/>
      <c r="T118" s="5"/>
      <c r="U118" s="5"/>
      <c r="V118" s="5"/>
      <c r="W118" s="5"/>
      <c r="X118" s="200"/>
      <c r="Y118" s="200"/>
      <c r="Z118" s="5"/>
      <c r="AA118" s="5"/>
      <c r="AB118" s="5"/>
      <c r="AC118" s="5"/>
      <c r="AD118" s="5"/>
      <c r="AE118" s="200"/>
      <c r="AF118" s="200"/>
      <c r="AG118" s="5"/>
      <c r="AH118" s="5"/>
      <c r="AJ118" s="72">
        <f t="shared" si="22"/>
        <v>0</v>
      </c>
    </row>
    <row r="119" spans="2:36" ht="15.75" hidden="1" outlineLevel="1" thickBot="1" x14ac:dyDescent="0.3">
      <c r="B119" s="151"/>
      <c r="C119" s="9" t="s">
        <v>3</v>
      </c>
      <c r="D119" s="201"/>
      <c r="E119" s="8"/>
      <c r="F119" s="8"/>
      <c r="G119" s="8"/>
      <c r="H119" s="8"/>
      <c r="I119" s="8"/>
      <c r="J119" s="201"/>
      <c r="K119" s="201"/>
      <c r="L119" s="8"/>
      <c r="M119" s="8"/>
      <c r="N119" s="8"/>
      <c r="O119" s="8"/>
      <c r="P119" s="8"/>
      <c r="Q119" s="201"/>
      <c r="R119" s="201"/>
      <c r="S119" s="8"/>
      <c r="T119" s="8"/>
      <c r="U119" s="8"/>
      <c r="V119" s="8"/>
      <c r="W119" s="8"/>
      <c r="X119" s="201"/>
      <c r="Y119" s="201"/>
      <c r="Z119" s="8"/>
      <c r="AA119" s="8"/>
      <c r="AB119" s="234"/>
      <c r="AC119" s="234"/>
      <c r="AD119" s="8"/>
      <c r="AE119" s="201"/>
      <c r="AF119" s="201"/>
      <c r="AG119" s="8"/>
      <c r="AH119" s="8"/>
      <c r="AI119" s="7"/>
      <c r="AJ119" s="69">
        <f t="shared" si="22"/>
        <v>0</v>
      </c>
    </row>
    <row r="120" spans="2:36" ht="16.5" collapsed="1" thickTop="1" thickBot="1" x14ac:dyDescent="0.3">
      <c r="B120" s="149" t="str">
        <f>'Hours Scheduled'!B27</f>
        <v>Niels Lievaart</v>
      </c>
      <c r="C120" t="s">
        <v>0</v>
      </c>
      <c r="D120" s="200"/>
      <c r="E120" s="2"/>
      <c r="F120" s="2"/>
      <c r="G120" s="2"/>
      <c r="H120" s="2"/>
      <c r="I120" s="2"/>
      <c r="J120" s="200"/>
      <c r="K120" s="200"/>
      <c r="L120" s="2"/>
      <c r="M120" s="2"/>
      <c r="N120" s="2"/>
      <c r="O120" s="2"/>
      <c r="P120" s="2"/>
      <c r="Q120" s="200"/>
      <c r="R120" s="200"/>
      <c r="S120" s="2"/>
      <c r="T120" s="2"/>
      <c r="U120" s="2"/>
      <c r="V120" s="2"/>
      <c r="W120" s="2"/>
      <c r="X120" s="200"/>
      <c r="Y120" s="200"/>
      <c r="Z120" s="2"/>
      <c r="AA120" s="2"/>
      <c r="AB120" s="5"/>
      <c r="AC120" s="5"/>
      <c r="AD120" s="2"/>
      <c r="AE120" s="200"/>
      <c r="AF120" s="200"/>
      <c r="AG120" s="2"/>
      <c r="AH120" s="2"/>
      <c r="AJ120" s="64">
        <f>SUM(D120:AH120)</f>
        <v>0</v>
      </c>
    </row>
    <row r="121" spans="2:36" ht="15.75" hidden="1" outlineLevel="1" thickTop="1" x14ac:dyDescent="0.25">
      <c r="B121" s="150"/>
      <c r="C121" s="1" t="s">
        <v>1</v>
      </c>
      <c r="D121" s="200"/>
      <c r="E121" s="3"/>
      <c r="F121" s="3"/>
      <c r="G121" s="3"/>
      <c r="H121" s="3"/>
      <c r="I121" s="3"/>
      <c r="J121" s="200"/>
      <c r="K121" s="200"/>
      <c r="L121" s="3"/>
      <c r="M121" s="3"/>
      <c r="N121" s="3"/>
      <c r="O121" s="3"/>
      <c r="P121" s="3"/>
      <c r="Q121" s="200"/>
      <c r="R121" s="200"/>
      <c r="S121" s="3"/>
      <c r="T121" s="3"/>
      <c r="U121" s="3"/>
      <c r="V121" s="3"/>
      <c r="W121" s="3"/>
      <c r="X121" s="200"/>
      <c r="Y121" s="200"/>
      <c r="Z121" s="3"/>
      <c r="AA121" s="3"/>
      <c r="AB121" s="5"/>
      <c r="AC121" s="5"/>
      <c r="AD121" s="3"/>
      <c r="AE121" s="200"/>
      <c r="AF121" s="200"/>
      <c r="AG121" s="3"/>
      <c r="AH121" s="3"/>
      <c r="AJ121" s="70">
        <f t="shared" ref="AJ121:AJ124" si="23">SUM(D121:AH121)</f>
        <v>0</v>
      </c>
    </row>
    <row r="122" spans="2:36" hidden="1" outlineLevel="1" x14ac:dyDescent="0.25">
      <c r="B122" s="151"/>
      <c r="C122" s="1" t="s">
        <v>2</v>
      </c>
      <c r="D122" s="200"/>
      <c r="E122" s="4"/>
      <c r="F122" s="4"/>
      <c r="G122" s="4"/>
      <c r="H122" s="4"/>
      <c r="I122" s="4"/>
      <c r="J122" s="200"/>
      <c r="K122" s="200"/>
      <c r="L122" s="4"/>
      <c r="M122" s="4"/>
      <c r="N122" s="4"/>
      <c r="O122" s="4"/>
      <c r="P122" s="4"/>
      <c r="Q122" s="200"/>
      <c r="R122" s="200"/>
      <c r="S122" s="4"/>
      <c r="T122" s="4"/>
      <c r="U122" s="4"/>
      <c r="V122" s="4"/>
      <c r="W122" s="4"/>
      <c r="X122" s="200"/>
      <c r="Y122" s="200"/>
      <c r="Z122" s="4"/>
      <c r="AA122" s="4"/>
      <c r="AB122" s="5"/>
      <c r="AC122" s="5"/>
      <c r="AD122" s="4"/>
      <c r="AE122" s="200"/>
      <c r="AF122" s="200"/>
      <c r="AG122" s="4"/>
      <c r="AH122" s="4"/>
      <c r="AJ122" s="71">
        <f t="shared" si="23"/>
        <v>0</v>
      </c>
    </row>
    <row r="123" spans="2:36" hidden="1" outlineLevel="1" x14ac:dyDescent="0.25">
      <c r="B123" s="151"/>
      <c r="C123" s="54" t="s">
        <v>77</v>
      </c>
      <c r="D123" s="200"/>
      <c r="E123" s="5"/>
      <c r="F123" s="5"/>
      <c r="G123" s="5"/>
      <c r="H123" s="5"/>
      <c r="I123" s="5"/>
      <c r="J123" s="200"/>
      <c r="K123" s="200"/>
      <c r="L123" s="5"/>
      <c r="M123" s="5"/>
      <c r="N123" s="5"/>
      <c r="O123" s="5"/>
      <c r="P123" s="5"/>
      <c r="Q123" s="200"/>
      <c r="R123" s="200"/>
      <c r="S123" s="5"/>
      <c r="T123" s="5"/>
      <c r="U123" s="5"/>
      <c r="V123" s="5"/>
      <c r="W123" s="5"/>
      <c r="X123" s="200"/>
      <c r="Y123" s="200"/>
      <c r="Z123" s="5"/>
      <c r="AA123" s="5"/>
      <c r="AB123" s="5"/>
      <c r="AC123" s="5"/>
      <c r="AD123" s="5"/>
      <c r="AE123" s="200"/>
      <c r="AF123" s="200"/>
      <c r="AG123" s="5"/>
      <c r="AH123" s="5"/>
      <c r="AJ123" s="72">
        <f t="shared" si="23"/>
        <v>0</v>
      </c>
    </row>
    <row r="124" spans="2:36" ht="15.75" hidden="1" outlineLevel="1" thickBot="1" x14ac:dyDescent="0.3">
      <c r="B124" s="151"/>
      <c r="C124" s="9" t="s">
        <v>3</v>
      </c>
      <c r="D124" s="201"/>
      <c r="E124" s="8"/>
      <c r="F124" s="8"/>
      <c r="G124" s="8"/>
      <c r="H124" s="8"/>
      <c r="I124" s="8"/>
      <c r="J124" s="201"/>
      <c r="K124" s="201"/>
      <c r="L124" s="8"/>
      <c r="M124" s="8"/>
      <c r="N124" s="8"/>
      <c r="O124" s="8"/>
      <c r="P124" s="8"/>
      <c r="Q124" s="201"/>
      <c r="R124" s="201"/>
      <c r="S124" s="8"/>
      <c r="T124" s="8"/>
      <c r="U124" s="8"/>
      <c r="V124" s="8"/>
      <c r="W124" s="8"/>
      <c r="X124" s="201"/>
      <c r="Y124" s="201"/>
      <c r="Z124" s="8"/>
      <c r="AA124" s="8"/>
      <c r="AB124" s="234"/>
      <c r="AC124" s="234"/>
      <c r="AD124" s="8"/>
      <c r="AE124" s="201"/>
      <c r="AF124" s="201"/>
      <c r="AG124" s="8"/>
      <c r="AH124" s="8"/>
      <c r="AI124" s="7"/>
      <c r="AJ124" s="69">
        <f t="shared" si="23"/>
        <v>0</v>
      </c>
    </row>
    <row r="125" spans="2:36" ht="16.5" collapsed="1" thickTop="1" thickBot="1" x14ac:dyDescent="0.3">
      <c r="B125" s="149" t="str">
        <f>'Hours Scheduled'!B28</f>
        <v>Patrick Janssen</v>
      </c>
      <c r="C125" t="s">
        <v>0</v>
      </c>
      <c r="D125" s="200"/>
      <c r="E125" s="2"/>
      <c r="F125" s="2"/>
      <c r="G125" s="2"/>
      <c r="H125" s="2"/>
      <c r="I125" s="2"/>
      <c r="J125" s="200"/>
      <c r="K125" s="200"/>
      <c r="L125" s="2"/>
      <c r="M125" s="2"/>
      <c r="N125" s="2"/>
      <c r="O125" s="2"/>
      <c r="P125" s="2"/>
      <c r="Q125" s="200"/>
      <c r="R125" s="200"/>
      <c r="S125" s="2"/>
      <c r="T125" s="2"/>
      <c r="U125" s="2"/>
      <c r="V125" s="2"/>
      <c r="W125" s="2"/>
      <c r="X125" s="200"/>
      <c r="Y125" s="200"/>
      <c r="Z125" s="2">
        <v>8</v>
      </c>
      <c r="AA125" s="2">
        <v>8</v>
      </c>
      <c r="AB125" s="5"/>
      <c r="AC125" s="5"/>
      <c r="AD125" s="2">
        <v>8</v>
      </c>
      <c r="AE125" s="200"/>
      <c r="AF125" s="200"/>
      <c r="AG125" s="2">
        <v>8</v>
      </c>
      <c r="AH125" s="2">
        <v>8</v>
      </c>
      <c r="AJ125" s="64">
        <f>SUM(D125:AH125)</f>
        <v>40</v>
      </c>
    </row>
    <row r="126" spans="2:36" ht="15.75" hidden="1" outlineLevel="1" thickTop="1" x14ac:dyDescent="0.25">
      <c r="B126" s="150"/>
      <c r="C126" s="1" t="s">
        <v>1</v>
      </c>
      <c r="D126" s="200"/>
      <c r="E126" s="3"/>
      <c r="F126" s="3"/>
      <c r="G126" s="3"/>
      <c r="H126" s="3"/>
      <c r="I126" s="3"/>
      <c r="J126" s="200"/>
      <c r="K126" s="200"/>
      <c r="L126" s="3"/>
      <c r="M126" s="3"/>
      <c r="N126" s="3"/>
      <c r="O126" s="3"/>
      <c r="P126" s="3"/>
      <c r="Q126" s="200"/>
      <c r="R126" s="200"/>
      <c r="S126" s="3"/>
      <c r="T126" s="3"/>
      <c r="U126" s="3"/>
      <c r="V126" s="3"/>
      <c r="W126" s="3"/>
      <c r="X126" s="200"/>
      <c r="Y126" s="200"/>
      <c r="Z126" s="3"/>
      <c r="AA126" s="3"/>
      <c r="AB126" s="5"/>
      <c r="AC126" s="5"/>
      <c r="AD126" s="3"/>
      <c r="AE126" s="200"/>
      <c r="AF126" s="200"/>
      <c r="AG126" s="3"/>
      <c r="AH126" s="3"/>
      <c r="AJ126" s="70">
        <f t="shared" ref="AJ126:AJ129" si="24">SUM(D126:AH126)</f>
        <v>0</v>
      </c>
    </row>
    <row r="127" spans="2:36" hidden="1" outlineLevel="1" x14ac:dyDescent="0.25">
      <c r="B127" s="151"/>
      <c r="C127" s="1" t="s">
        <v>2</v>
      </c>
      <c r="D127" s="200"/>
      <c r="E127" s="4"/>
      <c r="F127" s="4"/>
      <c r="G127" s="4"/>
      <c r="H127" s="4"/>
      <c r="I127" s="4"/>
      <c r="J127" s="200"/>
      <c r="K127" s="200"/>
      <c r="L127" s="4"/>
      <c r="M127" s="4"/>
      <c r="N127" s="4"/>
      <c r="O127" s="4"/>
      <c r="P127" s="4"/>
      <c r="Q127" s="200"/>
      <c r="R127" s="200"/>
      <c r="S127" s="4"/>
      <c r="T127" s="4"/>
      <c r="U127" s="4"/>
      <c r="V127" s="4"/>
      <c r="W127" s="4"/>
      <c r="X127" s="200"/>
      <c r="Y127" s="200"/>
      <c r="Z127" s="4"/>
      <c r="AA127" s="4"/>
      <c r="AB127" s="5"/>
      <c r="AC127" s="5"/>
      <c r="AD127" s="4"/>
      <c r="AE127" s="200"/>
      <c r="AF127" s="200"/>
      <c r="AG127" s="4"/>
      <c r="AH127" s="4"/>
      <c r="AJ127" s="71">
        <f t="shared" si="24"/>
        <v>0</v>
      </c>
    </row>
    <row r="128" spans="2:36" hidden="1" outlineLevel="1" x14ac:dyDescent="0.25">
      <c r="B128" s="151"/>
      <c r="C128" s="54" t="s">
        <v>77</v>
      </c>
      <c r="D128" s="200"/>
      <c r="E128" s="5"/>
      <c r="F128" s="5"/>
      <c r="G128" s="5"/>
      <c r="H128" s="5"/>
      <c r="I128" s="5"/>
      <c r="J128" s="200"/>
      <c r="K128" s="200"/>
      <c r="L128" s="5"/>
      <c r="M128" s="5"/>
      <c r="N128" s="5"/>
      <c r="O128" s="5"/>
      <c r="P128" s="5"/>
      <c r="Q128" s="200"/>
      <c r="R128" s="200"/>
      <c r="S128" s="5"/>
      <c r="T128" s="5"/>
      <c r="U128" s="5"/>
      <c r="V128" s="5"/>
      <c r="W128" s="5"/>
      <c r="X128" s="200"/>
      <c r="Y128" s="200"/>
      <c r="Z128" s="5"/>
      <c r="AA128" s="5"/>
      <c r="AB128" s="5"/>
      <c r="AC128" s="5"/>
      <c r="AD128" s="5"/>
      <c r="AE128" s="200"/>
      <c r="AF128" s="200"/>
      <c r="AG128" s="5"/>
      <c r="AH128" s="5"/>
      <c r="AJ128" s="72">
        <f t="shared" si="24"/>
        <v>0</v>
      </c>
    </row>
    <row r="129" spans="2:36" ht="15.75" hidden="1" outlineLevel="1" thickBot="1" x14ac:dyDescent="0.3">
      <c r="B129" s="151"/>
      <c r="C129" s="9" t="s">
        <v>3</v>
      </c>
      <c r="D129" s="201"/>
      <c r="E129" s="8"/>
      <c r="F129" s="8"/>
      <c r="G129" s="8"/>
      <c r="H129" s="8"/>
      <c r="I129" s="8"/>
      <c r="J129" s="201"/>
      <c r="K129" s="201"/>
      <c r="L129" s="8"/>
      <c r="M129" s="8"/>
      <c r="N129" s="8"/>
      <c r="O129" s="8"/>
      <c r="P129" s="8"/>
      <c r="Q129" s="201"/>
      <c r="R129" s="201"/>
      <c r="S129" s="8"/>
      <c r="T129" s="8"/>
      <c r="U129" s="8"/>
      <c r="V129" s="8"/>
      <c r="W129" s="8"/>
      <c r="X129" s="201"/>
      <c r="Y129" s="201"/>
      <c r="Z129" s="8"/>
      <c r="AA129" s="8"/>
      <c r="AB129" s="234"/>
      <c r="AC129" s="234"/>
      <c r="AD129" s="8"/>
      <c r="AE129" s="201"/>
      <c r="AF129" s="201"/>
      <c r="AG129" s="8"/>
      <c r="AH129" s="8"/>
      <c r="AI129" s="7"/>
      <c r="AJ129" s="69">
        <f t="shared" si="24"/>
        <v>0</v>
      </c>
    </row>
    <row r="130" spans="2:36" ht="16.5" collapsed="1" thickTop="1" thickBot="1" x14ac:dyDescent="0.3">
      <c r="B130" s="149" t="str">
        <f>'Hours Scheduled'!B29</f>
        <v>Patrick Ziesen</v>
      </c>
      <c r="C130" t="s">
        <v>0</v>
      </c>
      <c r="D130" s="200"/>
      <c r="E130" s="2"/>
      <c r="F130" s="2"/>
      <c r="G130" s="2"/>
      <c r="H130" s="2"/>
      <c r="I130" s="255">
        <v>0</v>
      </c>
      <c r="J130" s="200"/>
      <c r="K130" s="200"/>
      <c r="L130" s="2"/>
      <c r="M130" s="2"/>
      <c r="N130" s="2"/>
      <c r="O130" s="2"/>
      <c r="P130" s="255">
        <v>0</v>
      </c>
      <c r="Q130" s="200"/>
      <c r="R130" s="200"/>
      <c r="S130" s="2"/>
      <c r="T130" s="2"/>
      <c r="U130" s="2"/>
      <c r="V130" s="2"/>
      <c r="W130" s="255">
        <v>0</v>
      </c>
      <c r="X130" s="200"/>
      <c r="Y130" s="200"/>
      <c r="Z130" s="2"/>
      <c r="AA130" s="2"/>
      <c r="AB130" s="5"/>
      <c r="AC130" s="5"/>
      <c r="AD130" s="255">
        <v>0</v>
      </c>
      <c r="AE130" s="200"/>
      <c r="AF130" s="200"/>
      <c r="AG130" s="2"/>
      <c r="AH130" s="2"/>
      <c r="AJ130" s="64">
        <f>SUM(D130:AH130)</f>
        <v>0</v>
      </c>
    </row>
    <row r="131" spans="2:36" ht="15.75" hidden="1" outlineLevel="1" thickTop="1" x14ac:dyDescent="0.25">
      <c r="B131" s="150"/>
      <c r="C131" s="1" t="s">
        <v>1</v>
      </c>
      <c r="D131" s="200"/>
      <c r="E131" s="3"/>
      <c r="F131" s="3"/>
      <c r="G131" s="3"/>
      <c r="H131" s="3"/>
      <c r="I131" s="3"/>
      <c r="J131" s="200"/>
      <c r="K131" s="200"/>
      <c r="L131" s="3"/>
      <c r="M131" s="3"/>
      <c r="N131" s="3"/>
      <c r="O131" s="3"/>
      <c r="P131" s="3"/>
      <c r="Q131" s="200"/>
      <c r="R131" s="200"/>
      <c r="S131" s="3"/>
      <c r="T131" s="3"/>
      <c r="U131" s="3"/>
      <c r="V131" s="3"/>
      <c r="W131" s="3"/>
      <c r="X131" s="200"/>
      <c r="Y131" s="200"/>
      <c r="Z131" s="3"/>
      <c r="AA131" s="3"/>
      <c r="AB131" s="5"/>
      <c r="AC131" s="5"/>
      <c r="AD131" s="3"/>
      <c r="AE131" s="200"/>
      <c r="AF131" s="200"/>
      <c r="AG131" s="3"/>
      <c r="AH131" s="3"/>
      <c r="AJ131" s="70">
        <f t="shared" ref="AJ131:AJ134" si="25">SUM(D131:AH131)</f>
        <v>0</v>
      </c>
    </row>
    <row r="132" spans="2:36" hidden="1" outlineLevel="1" x14ac:dyDescent="0.25">
      <c r="B132" s="151"/>
      <c r="C132" s="1" t="s">
        <v>2</v>
      </c>
      <c r="D132" s="200"/>
      <c r="E132" s="4"/>
      <c r="F132" s="4"/>
      <c r="G132" s="4"/>
      <c r="H132" s="4"/>
      <c r="I132" s="4"/>
      <c r="J132" s="200"/>
      <c r="K132" s="200"/>
      <c r="L132" s="4"/>
      <c r="M132" s="4"/>
      <c r="N132" s="4"/>
      <c r="O132" s="4"/>
      <c r="P132" s="4"/>
      <c r="Q132" s="200"/>
      <c r="R132" s="200"/>
      <c r="S132" s="4"/>
      <c r="T132" s="4"/>
      <c r="U132" s="4"/>
      <c r="V132" s="4"/>
      <c r="W132" s="4"/>
      <c r="X132" s="200"/>
      <c r="Y132" s="200"/>
      <c r="Z132" s="4"/>
      <c r="AA132" s="4"/>
      <c r="AB132" s="5"/>
      <c r="AC132" s="5"/>
      <c r="AD132" s="4"/>
      <c r="AE132" s="200"/>
      <c r="AF132" s="200"/>
      <c r="AG132" s="4"/>
      <c r="AH132" s="4"/>
      <c r="AJ132" s="71">
        <f t="shared" si="25"/>
        <v>0</v>
      </c>
    </row>
    <row r="133" spans="2:36" hidden="1" outlineLevel="1" x14ac:dyDescent="0.25">
      <c r="B133" s="151"/>
      <c r="C133" s="54" t="s">
        <v>77</v>
      </c>
      <c r="D133" s="200"/>
      <c r="E133" s="5"/>
      <c r="F133" s="5"/>
      <c r="G133" s="5"/>
      <c r="H133" s="5"/>
      <c r="I133" s="5"/>
      <c r="J133" s="200"/>
      <c r="K133" s="200"/>
      <c r="L133" s="5"/>
      <c r="M133" s="5"/>
      <c r="N133" s="5"/>
      <c r="O133" s="5"/>
      <c r="P133" s="5"/>
      <c r="Q133" s="200"/>
      <c r="R133" s="200"/>
      <c r="S133" s="5"/>
      <c r="T133" s="5"/>
      <c r="U133" s="5"/>
      <c r="V133" s="5"/>
      <c r="W133" s="5"/>
      <c r="X133" s="200"/>
      <c r="Y133" s="200"/>
      <c r="Z133" s="5"/>
      <c r="AA133" s="5"/>
      <c r="AB133" s="5"/>
      <c r="AC133" s="5"/>
      <c r="AD133" s="5"/>
      <c r="AE133" s="200"/>
      <c r="AF133" s="200"/>
      <c r="AG133" s="5"/>
      <c r="AH133" s="5"/>
      <c r="AJ133" s="72">
        <f t="shared" si="25"/>
        <v>0</v>
      </c>
    </row>
    <row r="134" spans="2:36" ht="15.75" hidden="1" outlineLevel="1" thickBot="1" x14ac:dyDescent="0.3">
      <c r="B134" s="151"/>
      <c r="C134" s="9" t="s">
        <v>3</v>
      </c>
      <c r="D134" s="201"/>
      <c r="E134" s="8"/>
      <c r="F134" s="8"/>
      <c r="G134" s="8"/>
      <c r="H134" s="8"/>
      <c r="I134" s="8"/>
      <c r="J134" s="201"/>
      <c r="K134" s="201"/>
      <c r="L134" s="8"/>
      <c r="M134" s="8"/>
      <c r="N134" s="8"/>
      <c r="O134" s="8"/>
      <c r="P134" s="8"/>
      <c r="Q134" s="201"/>
      <c r="R134" s="201"/>
      <c r="S134" s="8"/>
      <c r="T134" s="8"/>
      <c r="U134" s="8"/>
      <c r="V134" s="8"/>
      <c r="W134" s="8"/>
      <c r="X134" s="201"/>
      <c r="Y134" s="201"/>
      <c r="Z134" s="8"/>
      <c r="AA134" s="8"/>
      <c r="AB134" s="234"/>
      <c r="AC134" s="234"/>
      <c r="AD134" s="8"/>
      <c r="AE134" s="201"/>
      <c r="AF134" s="201"/>
      <c r="AG134" s="8"/>
      <c r="AH134" s="8"/>
      <c r="AI134" s="7"/>
      <c r="AJ134" s="69">
        <f t="shared" si="25"/>
        <v>0</v>
      </c>
    </row>
    <row r="135" spans="2:36" ht="16.5" collapsed="1" thickTop="1" thickBot="1" x14ac:dyDescent="0.3">
      <c r="B135" s="149" t="str">
        <f>'Hours Scheduled'!B30</f>
        <v>Robin Nieuwenhuis</v>
      </c>
      <c r="C135" t="s">
        <v>0</v>
      </c>
      <c r="D135" s="200"/>
      <c r="E135" s="2"/>
      <c r="F135" s="2"/>
      <c r="G135" s="2"/>
      <c r="H135" s="2"/>
      <c r="I135" s="2"/>
      <c r="J135" s="200"/>
      <c r="K135" s="200"/>
      <c r="L135" s="2"/>
      <c r="M135" s="2"/>
      <c r="N135" s="2"/>
      <c r="O135" s="2"/>
      <c r="P135" s="2"/>
      <c r="Q135" s="200"/>
      <c r="R135" s="200"/>
      <c r="S135" s="2"/>
      <c r="T135" s="2"/>
      <c r="U135" s="2"/>
      <c r="V135" s="2"/>
      <c r="W135" s="2"/>
      <c r="X135" s="200"/>
      <c r="Y135" s="200"/>
      <c r="Z135" s="2"/>
      <c r="AA135" s="2"/>
      <c r="AB135" s="5"/>
      <c r="AC135" s="5"/>
      <c r="AD135" s="2"/>
      <c r="AE135" s="200"/>
      <c r="AF135" s="200"/>
      <c r="AG135" s="2"/>
      <c r="AH135" s="2"/>
      <c r="AJ135" s="64">
        <f>SUM(D135:AH135)</f>
        <v>0</v>
      </c>
    </row>
    <row r="136" spans="2:36" ht="15.75" hidden="1" outlineLevel="1" thickTop="1" x14ac:dyDescent="0.25">
      <c r="B136" s="150"/>
      <c r="C136" s="1" t="s">
        <v>1</v>
      </c>
      <c r="D136" s="200"/>
      <c r="E136" s="3"/>
      <c r="F136" s="3"/>
      <c r="G136" s="3"/>
      <c r="H136" s="3"/>
      <c r="I136" s="3"/>
      <c r="J136" s="200"/>
      <c r="K136" s="200"/>
      <c r="L136" s="3"/>
      <c r="M136" s="3"/>
      <c r="N136" s="3"/>
      <c r="O136" s="3"/>
      <c r="P136" s="3"/>
      <c r="Q136" s="200"/>
      <c r="R136" s="200"/>
      <c r="S136" s="3"/>
      <c r="T136" s="3"/>
      <c r="U136" s="3"/>
      <c r="V136" s="3"/>
      <c r="W136" s="3"/>
      <c r="X136" s="200"/>
      <c r="Y136" s="200"/>
      <c r="Z136" s="3"/>
      <c r="AA136" s="3"/>
      <c r="AB136" s="5"/>
      <c r="AC136" s="5"/>
      <c r="AD136" s="3"/>
      <c r="AE136" s="200"/>
      <c r="AF136" s="200"/>
      <c r="AG136" s="3"/>
      <c r="AH136" s="3"/>
      <c r="AJ136" s="70">
        <f t="shared" ref="AJ136:AJ139" si="26">SUM(D136:AH136)</f>
        <v>0</v>
      </c>
    </row>
    <row r="137" spans="2:36" hidden="1" outlineLevel="1" x14ac:dyDescent="0.25">
      <c r="B137" s="151"/>
      <c r="C137" s="1" t="s">
        <v>2</v>
      </c>
      <c r="D137" s="200"/>
      <c r="E137" s="4"/>
      <c r="F137" s="4"/>
      <c r="G137" s="4"/>
      <c r="H137" s="4"/>
      <c r="I137" s="4"/>
      <c r="J137" s="200"/>
      <c r="K137" s="200"/>
      <c r="L137" s="4"/>
      <c r="M137" s="4"/>
      <c r="N137" s="4"/>
      <c r="O137" s="4"/>
      <c r="P137" s="4"/>
      <c r="Q137" s="200"/>
      <c r="R137" s="200"/>
      <c r="S137" s="4"/>
      <c r="T137" s="4"/>
      <c r="U137" s="4"/>
      <c r="V137" s="4"/>
      <c r="W137" s="4"/>
      <c r="X137" s="200"/>
      <c r="Y137" s="200"/>
      <c r="Z137" s="4"/>
      <c r="AA137" s="4"/>
      <c r="AB137" s="5"/>
      <c r="AC137" s="5"/>
      <c r="AD137" s="4"/>
      <c r="AE137" s="200"/>
      <c r="AF137" s="200"/>
      <c r="AG137" s="4"/>
      <c r="AH137" s="4"/>
      <c r="AJ137" s="71">
        <f t="shared" si="26"/>
        <v>0</v>
      </c>
    </row>
    <row r="138" spans="2:36" hidden="1" outlineLevel="1" x14ac:dyDescent="0.25">
      <c r="B138" s="151"/>
      <c r="C138" s="54" t="s">
        <v>77</v>
      </c>
      <c r="D138" s="200"/>
      <c r="E138" s="5"/>
      <c r="F138" s="5"/>
      <c r="G138" s="5"/>
      <c r="H138" s="5"/>
      <c r="I138" s="5"/>
      <c r="J138" s="200"/>
      <c r="K138" s="200"/>
      <c r="L138" s="5"/>
      <c r="M138" s="5"/>
      <c r="N138" s="5"/>
      <c r="O138" s="5"/>
      <c r="P138" s="5"/>
      <c r="Q138" s="200"/>
      <c r="R138" s="200"/>
      <c r="S138" s="5"/>
      <c r="T138" s="5"/>
      <c r="U138" s="5"/>
      <c r="V138" s="5"/>
      <c r="W138" s="5"/>
      <c r="X138" s="200"/>
      <c r="Y138" s="200"/>
      <c r="Z138" s="5"/>
      <c r="AA138" s="5"/>
      <c r="AB138" s="5"/>
      <c r="AC138" s="5"/>
      <c r="AD138" s="5"/>
      <c r="AE138" s="200"/>
      <c r="AF138" s="200"/>
      <c r="AG138" s="5"/>
      <c r="AH138" s="5"/>
      <c r="AJ138" s="72">
        <f t="shared" si="26"/>
        <v>0</v>
      </c>
    </row>
    <row r="139" spans="2:36" ht="15.75" hidden="1" outlineLevel="1" thickBot="1" x14ac:dyDescent="0.3">
      <c r="B139" s="151"/>
      <c r="C139" s="9" t="s">
        <v>3</v>
      </c>
      <c r="D139" s="201"/>
      <c r="E139" s="8"/>
      <c r="F139" s="8"/>
      <c r="G139" s="8"/>
      <c r="H139" s="8"/>
      <c r="I139" s="8"/>
      <c r="J139" s="201"/>
      <c r="K139" s="201"/>
      <c r="L139" s="8"/>
      <c r="M139" s="8"/>
      <c r="N139" s="8"/>
      <c r="O139" s="8"/>
      <c r="P139" s="8"/>
      <c r="Q139" s="201"/>
      <c r="R139" s="201"/>
      <c r="S139" s="8"/>
      <c r="T139" s="8"/>
      <c r="U139" s="8"/>
      <c r="V139" s="8"/>
      <c r="W139" s="8"/>
      <c r="X139" s="201"/>
      <c r="Y139" s="201"/>
      <c r="Z139" s="8"/>
      <c r="AA139" s="8"/>
      <c r="AB139" s="234"/>
      <c r="AC139" s="234"/>
      <c r="AD139" s="8"/>
      <c r="AE139" s="201"/>
      <c r="AF139" s="201"/>
      <c r="AG139" s="8"/>
      <c r="AH139" s="8"/>
      <c r="AI139" s="7"/>
      <c r="AJ139" s="69">
        <f t="shared" si="26"/>
        <v>0</v>
      </c>
    </row>
    <row r="140" spans="2:36" ht="16.5" collapsed="1" thickTop="1" thickBot="1" x14ac:dyDescent="0.3">
      <c r="B140" s="253" t="str">
        <f>'Hours Scheduled'!B31</f>
        <v>Thom van Bodegraven</v>
      </c>
      <c r="C140" t="s">
        <v>0</v>
      </c>
      <c r="D140" s="200"/>
      <c r="E140" s="2"/>
      <c r="F140" s="2"/>
      <c r="G140" s="2"/>
      <c r="H140" s="2"/>
      <c r="I140" s="2"/>
      <c r="J140" s="200"/>
      <c r="K140" s="200"/>
      <c r="L140" s="2"/>
      <c r="M140" s="2"/>
      <c r="N140" s="2"/>
      <c r="O140" s="2"/>
      <c r="P140" s="2"/>
      <c r="Q140" s="200"/>
      <c r="R140" s="200"/>
      <c r="S140" s="2"/>
      <c r="T140" s="2"/>
      <c r="U140" s="2"/>
      <c r="V140" s="2"/>
      <c r="W140" s="2"/>
      <c r="X140" s="200"/>
      <c r="Y140" s="200"/>
      <c r="Z140" s="2"/>
      <c r="AA140" s="2"/>
      <c r="AB140" s="5"/>
      <c r="AC140" s="5"/>
      <c r="AD140" s="2"/>
      <c r="AE140" s="200"/>
      <c r="AF140" s="200"/>
      <c r="AG140" s="2"/>
      <c r="AH140" s="2"/>
      <c r="AJ140" s="64">
        <f>SUM(D140:AH140)</f>
        <v>0</v>
      </c>
    </row>
    <row r="141" spans="2:36" ht="15.75" hidden="1" outlineLevel="1" thickTop="1" x14ac:dyDescent="0.25">
      <c r="B141" s="150"/>
      <c r="C141" s="1" t="s">
        <v>1</v>
      </c>
      <c r="D141" s="200"/>
      <c r="E141" s="3"/>
      <c r="F141" s="3"/>
      <c r="G141" s="3"/>
      <c r="H141" s="3"/>
      <c r="I141" s="3"/>
      <c r="J141" s="200"/>
      <c r="K141" s="200"/>
      <c r="L141" s="3"/>
      <c r="M141" s="3"/>
      <c r="N141" s="3"/>
      <c r="O141" s="3"/>
      <c r="P141" s="3"/>
      <c r="Q141" s="200"/>
      <c r="R141" s="200"/>
      <c r="S141" s="3"/>
      <c r="T141" s="3"/>
      <c r="U141" s="3"/>
      <c r="V141" s="3"/>
      <c r="W141" s="3"/>
      <c r="X141" s="200"/>
      <c r="Y141" s="200"/>
      <c r="Z141" s="3"/>
      <c r="AA141" s="3"/>
      <c r="AB141" s="5"/>
      <c r="AC141" s="5"/>
      <c r="AD141" s="3"/>
      <c r="AE141" s="200"/>
      <c r="AF141" s="200"/>
      <c r="AG141" s="3"/>
      <c r="AH141" s="3"/>
      <c r="AJ141" s="70">
        <f t="shared" ref="AJ141:AJ144" si="27">SUM(D141:AH141)</f>
        <v>0</v>
      </c>
    </row>
    <row r="142" spans="2:36" hidden="1" outlineLevel="1" x14ac:dyDescent="0.25">
      <c r="B142" s="151"/>
      <c r="C142" s="1" t="s">
        <v>2</v>
      </c>
      <c r="D142" s="200"/>
      <c r="E142" s="4"/>
      <c r="F142" s="4"/>
      <c r="G142" s="4"/>
      <c r="H142" s="4"/>
      <c r="I142" s="4"/>
      <c r="J142" s="200"/>
      <c r="K142" s="200"/>
      <c r="L142" s="4"/>
      <c r="M142" s="4"/>
      <c r="N142" s="4"/>
      <c r="O142" s="4"/>
      <c r="P142" s="4"/>
      <c r="Q142" s="200"/>
      <c r="R142" s="200"/>
      <c r="S142" s="4"/>
      <c r="T142" s="4"/>
      <c r="U142" s="4"/>
      <c r="V142" s="4"/>
      <c r="W142" s="4"/>
      <c r="X142" s="200"/>
      <c r="Y142" s="200"/>
      <c r="Z142" s="4"/>
      <c r="AA142" s="4"/>
      <c r="AB142" s="5"/>
      <c r="AC142" s="5"/>
      <c r="AD142" s="4"/>
      <c r="AE142" s="200"/>
      <c r="AF142" s="200"/>
      <c r="AG142" s="4"/>
      <c r="AH142" s="4"/>
      <c r="AJ142" s="71">
        <f t="shared" si="27"/>
        <v>0</v>
      </c>
    </row>
    <row r="143" spans="2:36" hidden="1" outlineLevel="1" x14ac:dyDescent="0.25">
      <c r="B143" s="151"/>
      <c r="C143" s="54" t="s">
        <v>77</v>
      </c>
      <c r="D143" s="200"/>
      <c r="E143" s="5"/>
      <c r="F143" s="5"/>
      <c r="G143" s="5"/>
      <c r="H143" s="5"/>
      <c r="I143" s="5"/>
      <c r="J143" s="200"/>
      <c r="K143" s="200"/>
      <c r="L143" s="5"/>
      <c r="M143" s="5"/>
      <c r="N143" s="5"/>
      <c r="O143" s="5"/>
      <c r="P143" s="5"/>
      <c r="Q143" s="200"/>
      <c r="R143" s="200"/>
      <c r="S143" s="5"/>
      <c r="T143" s="5"/>
      <c r="U143" s="5"/>
      <c r="V143" s="5"/>
      <c r="W143" s="5"/>
      <c r="X143" s="200"/>
      <c r="Y143" s="200"/>
      <c r="Z143" s="5"/>
      <c r="AA143" s="5"/>
      <c r="AB143" s="5"/>
      <c r="AC143" s="5"/>
      <c r="AD143" s="5"/>
      <c r="AE143" s="200"/>
      <c r="AF143" s="200"/>
      <c r="AG143" s="5"/>
      <c r="AH143" s="5"/>
      <c r="AJ143" s="72">
        <f t="shared" si="27"/>
        <v>0</v>
      </c>
    </row>
    <row r="144" spans="2:36" ht="15.75" hidden="1" outlineLevel="1" thickBot="1" x14ac:dyDescent="0.3">
      <c r="B144" s="151"/>
      <c r="C144" s="9" t="s">
        <v>3</v>
      </c>
      <c r="D144" s="201"/>
      <c r="E144" s="8"/>
      <c r="F144" s="8"/>
      <c r="G144" s="8"/>
      <c r="H144" s="8"/>
      <c r="I144" s="8"/>
      <c r="J144" s="201"/>
      <c r="K144" s="201"/>
      <c r="L144" s="8"/>
      <c r="M144" s="8"/>
      <c r="N144" s="8"/>
      <c r="O144" s="8"/>
      <c r="P144" s="8"/>
      <c r="Q144" s="201"/>
      <c r="R144" s="201"/>
      <c r="S144" s="8"/>
      <c r="T144" s="8"/>
      <c r="U144" s="8"/>
      <c r="V144" s="8"/>
      <c r="W144" s="8"/>
      <c r="X144" s="201"/>
      <c r="Y144" s="201"/>
      <c r="Z144" s="8"/>
      <c r="AA144" s="8"/>
      <c r="AB144" s="234"/>
      <c r="AC144" s="234"/>
      <c r="AD144" s="8"/>
      <c r="AE144" s="201"/>
      <c r="AF144" s="201"/>
      <c r="AG144" s="8"/>
      <c r="AH144" s="8"/>
      <c r="AI144" s="7"/>
      <c r="AJ144" s="69">
        <f t="shared" si="27"/>
        <v>0</v>
      </c>
    </row>
    <row r="145" spans="2:36" ht="16.5" collapsed="1" thickTop="1" thickBot="1" x14ac:dyDescent="0.3">
      <c r="B145" s="149" t="str">
        <f>'Hours Scheduled'!B32</f>
        <v>Tiemen Schumacher</v>
      </c>
      <c r="C145" t="s">
        <v>0</v>
      </c>
      <c r="D145" s="200"/>
      <c r="E145" s="2"/>
      <c r="F145" s="2"/>
      <c r="G145" s="2"/>
      <c r="H145" s="2"/>
      <c r="I145" s="2"/>
      <c r="J145" s="200"/>
      <c r="K145" s="200"/>
      <c r="L145" s="2"/>
      <c r="M145" s="2"/>
      <c r="N145" s="2"/>
      <c r="O145" s="2"/>
      <c r="P145" s="2"/>
      <c r="Q145" s="200"/>
      <c r="R145" s="200"/>
      <c r="S145" s="2"/>
      <c r="T145" s="2"/>
      <c r="U145" s="2"/>
      <c r="V145" s="2"/>
      <c r="W145" s="2"/>
      <c r="X145" s="200"/>
      <c r="Y145" s="200"/>
      <c r="Z145" s="2"/>
      <c r="AA145" s="2"/>
      <c r="AB145" s="5"/>
      <c r="AC145" s="5"/>
      <c r="AD145" s="2"/>
      <c r="AE145" s="200"/>
      <c r="AF145" s="200"/>
      <c r="AG145" s="2"/>
      <c r="AH145" s="2"/>
      <c r="AJ145" s="64">
        <f>SUM(D145:AH145)</f>
        <v>0</v>
      </c>
    </row>
    <row r="146" spans="2:36" ht="15.75" hidden="1" outlineLevel="1" thickTop="1" x14ac:dyDescent="0.25">
      <c r="B146" s="150"/>
      <c r="C146" s="1" t="s">
        <v>1</v>
      </c>
      <c r="D146" s="200"/>
      <c r="E146" s="3"/>
      <c r="F146" s="3"/>
      <c r="G146" s="3"/>
      <c r="H146" s="3"/>
      <c r="I146" s="3"/>
      <c r="J146" s="200"/>
      <c r="K146" s="200"/>
      <c r="L146" s="3"/>
      <c r="M146" s="3"/>
      <c r="N146" s="3"/>
      <c r="O146" s="3"/>
      <c r="P146" s="3"/>
      <c r="Q146" s="200"/>
      <c r="R146" s="200"/>
      <c r="S146" s="3"/>
      <c r="T146" s="3"/>
      <c r="U146" s="3"/>
      <c r="V146" s="3"/>
      <c r="W146" s="3"/>
      <c r="X146" s="200"/>
      <c r="Y146" s="200"/>
      <c r="Z146" s="3"/>
      <c r="AA146" s="3"/>
      <c r="AB146" s="5"/>
      <c r="AC146" s="5"/>
      <c r="AD146" s="3"/>
      <c r="AE146" s="200"/>
      <c r="AF146" s="200"/>
      <c r="AG146" s="3"/>
      <c r="AH146" s="3"/>
      <c r="AJ146" s="70">
        <f t="shared" ref="AJ146:AJ149" si="28">SUM(D146:AH146)</f>
        <v>0</v>
      </c>
    </row>
    <row r="147" spans="2:36" hidden="1" outlineLevel="1" x14ac:dyDescent="0.25">
      <c r="B147" s="151"/>
      <c r="C147" s="1" t="s">
        <v>2</v>
      </c>
      <c r="D147" s="200"/>
      <c r="E147" s="4"/>
      <c r="F147" s="4"/>
      <c r="G147" s="4"/>
      <c r="H147" s="4"/>
      <c r="I147" s="4"/>
      <c r="J147" s="200"/>
      <c r="K147" s="200"/>
      <c r="L147" s="4"/>
      <c r="M147" s="4"/>
      <c r="N147" s="4"/>
      <c r="O147" s="4"/>
      <c r="P147" s="4"/>
      <c r="Q147" s="200"/>
      <c r="R147" s="200"/>
      <c r="S147" s="4"/>
      <c r="T147" s="4"/>
      <c r="U147" s="4"/>
      <c r="V147" s="4"/>
      <c r="W147" s="4"/>
      <c r="X147" s="200"/>
      <c r="Y147" s="200"/>
      <c r="Z147" s="4"/>
      <c r="AA147" s="4"/>
      <c r="AB147" s="5"/>
      <c r="AC147" s="5"/>
      <c r="AD147" s="4"/>
      <c r="AE147" s="200"/>
      <c r="AF147" s="200"/>
      <c r="AG147" s="4"/>
      <c r="AH147" s="4"/>
      <c r="AJ147" s="71">
        <f t="shared" si="28"/>
        <v>0</v>
      </c>
    </row>
    <row r="148" spans="2:36" hidden="1" outlineLevel="1" x14ac:dyDescent="0.25">
      <c r="B148" s="151"/>
      <c r="C148" s="54" t="s">
        <v>77</v>
      </c>
      <c r="D148" s="200"/>
      <c r="E148" s="5"/>
      <c r="F148" s="5"/>
      <c r="G148" s="5"/>
      <c r="H148" s="5"/>
      <c r="I148" s="5"/>
      <c r="J148" s="200"/>
      <c r="K148" s="200"/>
      <c r="L148" s="5"/>
      <c r="M148" s="5"/>
      <c r="N148" s="5"/>
      <c r="O148" s="5"/>
      <c r="P148" s="5"/>
      <c r="Q148" s="200"/>
      <c r="R148" s="200"/>
      <c r="S148" s="5"/>
      <c r="T148" s="5"/>
      <c r="U148" s="5"/>
      <c r="V148" s="5"/>
      <c r="W148" s="5"/>
      <c r="X148" s="200"/>
      <c r="Y148" s="200"/>
      <c r="Z148" s="5"/>
      <c r="AA148" s="5"/>
      <c r="AB148" s="5"/>
      <c r="AC148" s="5"/>
      <c r="AD148" s="5"/>
      <c r="AE148" s="200"/>
      <c r="AF148" s="200"/>
      <c r="AG148" s="5"/>
      <c r="AH148" s="5"/>
      <c r="AJ148" s="72">
        <f t="shared" si="28"/>
        <v>0</v>
      </c>
    </row>
    <row r="149" spans="2:36" ht="15.75" hidden="1" outlineLevel="1" thickBot="1" x14ac:dyDescent="0.3">
      <c r="B149" s="151"/>
      <c r="C149" s="9" t="s">
        <v>3</v>
      </c>
      <c r="D149" s="201"/>
      <c r="E149" s="8"/>
      <c r="F149" s="8"/>
      <c r="G149" s="8"/>
      <c r="H149" s="8"/>
      <c r="I149" s="8"/>
      <c r="J149" s="201"/>
      <c r="K149" s="201"/>
      <c r="L149" s="8"/>
      <c r="M149" s="8"/>
      <c r="N149" s="8"/>
      <c r="O149" s="8"/>
      <c r="P149" s="8"/>
      <c r="Q149" s="201"/>
      <c r="R149" s="201"/>
      <c r="S149" s="8"/>
      <c r="T149" s="8"/>
      <c r="U149" s="8"/>
      <c r="V149" s="8"/>
      <c r="W149" s="8"/>
      <c r="X149" s="201"/>
      <c r="Y149" s="201"/>
      <c r="Z149" s="8"/>
      <c r="AA149" s="8"/>
      <c r="AB149" s="234"/>
      <c r="AC149" s="234"/>
      <c r="AD149" s="8"/>
      <c r="AE149" s="201"/>
      <c r="AF149" s="201"/>
      <c r="AG149" s="8"/>
      <c r="AH149" s="8"/>
      <c r="AI149" s="7"/>
      <c r="AJ149" s="69">
        <f t="shared" si="28"/>
        <v>0</v>
      </c>
    </row>
    <row r="150" spans="2:36" ht="16.5" collapsed="1" thickTop="1" thickBot="1" x14ac:dyDescent="0.3">
      <c r="B150" s="149" t="str">
        <f>'Hours Scheduled'!B33</f>
        <v>Erik Jaspers</v>
      </c>
      <c r="C150" t="s">
        <v>0</v>
      </c>
      <c r="D150" s="200"/>
      <c r="E150" s="2"/>
      <c r="F150" s="2"/>
      <c r="G150" s="2"/>
      <c r="H150" s="2"/>
      <c r="I150" s="2"/>
      <c r="J150" s="200"/>
      <c r="K150" s="200"/>
      <c r="L150" s="2"/>
      <c r="M150" s="2"/>
      <c r="N150" s="2"/>
      <c r="O150" s="2"/>
      <c r="P150" s="2"/>
      <c r="Q150" s="200"/>
      <c r="R150" s="200"/>
      <c r="S150" s="2"/>
      <c r="T150" s="2"/>
      <c r="U150" s="2"/>
      <c r="V150" s="2"/>
      <c r="W150" s="2"/>
      <c r="X150" s="200"/>
      <c r="Y150" s="200"/>
      <c r="Z150" s="2"/>
      <c r="AA150" s="2"/>
      <c r="AB150" s="5"/>
      <c r="AC150" s="5"/>
      <c r="AD150" s="2"/>
      <c r="AE150" s="200"/>
      <c r="AF150" s="200"/>
      <c r="AG150" s="2"/>
      <c r="AH150" s="2"/>
      <c r="AJ150" s="64">
        <f>SUM(D150:AH150)</f>
        <v>0</v>
      </c>
    </row>
    <row r="151" spans="2:36" ht="15.75" hidden="1" outlineLevel="1" thickTop="1" x14ac:dyDescent="0.25">
      <c r="B151" s="150"/>
      <c r="C151" s="1" t="s">
        <v>1</v>
      </c>
      <c r="D151" s="200"/>
      <c r="E151" s="3"/>
      <c r="F151" s="3"/>
      <c r="G151" s="3"/>
      <c r="H151" s="3"/>
      <c r="I151" s="3"/>
      <c r="J151" s="200"/>
      <c r="K151" s="200"/>
      <c r="L151" s="3"/>
      <c r="M151" s="3"/>
      <c r="N151" s="3"/>
      <c r="O151" s="3"/>
      <c r="P151" s="3"/>
      <c r="Q151" s="200"/>
      <c r="R151" s="200"/>
      <c r="S151" s="3"/>
      <c r="T151" s="3"/>
      <c r="U151" s="3"/>
      <c r="V151" s="3"/>
      <c r="W151" s="3"/>
      <c r="X151" s="200"/>
      <c r="Y151" s="200"/>
      <c r="Z151" s="3"/>
      <c r="AA151" s="3"/>
      <c r="AB151" s="5"/>
      <c r="AC151" s="5"/>
      <c r="AD151" s="3"/>
      <c r="AE151" s="200"/>
      <c r="AF151" s="200"/>
      <c r="AG151" s="3"/>
      <c r="AH151" s="3"/>
      <c r="AJ151" s="70">
        <f t="shared" ref="AJ151:AJ154" si="29">SUM(D151:AH151)</f>
        <v>0</v>
      </c>
    </row>
    <row r="152" spans="2:36" hidden="1" outlineLevel="1" x14ac:dyDescent="0.25">
      <c r="B152" s="151"/>
      <c r="C152" s="1" t="s">
        <v>2</v>
      </c>
      <c r="D152" s="200"/>
      <c r="E152" s="4"/>
      <c r="F152" s="4"/>
      <c r="G152" s="4"/>
      <c r="H152" s="4"/>
      <c r="I152" s="4"/>
      <c r="J152" s="200"/>
      <c r="K152" s="200"/>
      <c r="L152" s="4"/>
      <c r="M152" s="4"/>
      <c r="N152" s="4"/>
      <c r="O152" s="4"/>
      <c r="P152" s="4"/>
      <c r="Q152" s="200"/>
      <c r="R152" s="200"/>
      <c r="S152" s="4"/>
      <c r="T152" s="4"/>
      <c r="U152" s="4"/>
      <c r="V152" s="4"/>
      <c r="W152" s="4"/>
      <c r="X152" s="200"/>
      <c r="Y152" s="200"/>
      <c r="Z152" s="4"/>
      <c r="AA152" s="4"/>
      <c r="AB152" s="5"/>
      <c r="AC152" s="5"/>
      <c r="AD152" s="4"/>
      <c r="AE152" s="200"/>
      <c r="AF152" s="200"/>
      <c r="AG152" s="4"/>
      <c r="AH152" s="4"/>
      <c r="AJ152" s="71">
        <f t="shared" si="29"/>
        <v>0</v>
      </c>
    </row>
    <row r="153" spans="2:36" hidden="1" outlineLevel="1" x14ac:dyDescent="0.25">
      <c r="B153" s="151"/>
      <c r="C153" s="54" t="s">
        <v>77</v>
      </c>
      <c r="D153" s="200"/>
      <c r="E153" s="5"/>
      <c r="F153" s="5"/>
      <c r="G153" s="5"/>
      <c r="H153" s="5"/>
      <c r="I153" s="5"/>
      <c r="J153" s="200"/>
      <c r="K153" s="200"/>
      <c r="L153" s="5"/>
      <c r="M153" s="5"/>
      <c r="N153" s="5"/>
      <c r="O153" s="5"/>
      <c r="P153" s="5"/>
      <c r="Q153" s="200"/>
      <c r="R153" s="200"/>
      <c r="S153" s="5"/>
      <c r="T153" s="5"/>
      <c r="U153" s="5"/>
      <c r="V153" s="5"/>
      <c r="W153" s="5"/>
      <c r="X153" s="200"/>
      <c r="Y153" s="200"/>
      <c r="Z153" s="5"/>
      <c r="AA153" s="5"/>
      <c r="AB153" s="5"/>
      <c r="AC153" s="5"/>
      <c r="AD153" s="5"/>
      <c r="AE153" s="200"/>
      <c r="AF153" s="200"/>
      <c r="AG153" s="5"/>
      <c r="AH153" s="5"/>
      <c r="AJ153" s="72">
        <f t="shared" si="29"/>
        <v>0</v>
      </c>
    </row>
    <row r="154" spans="2:36" ht="15.75" hidden="1" outlineLevel="1" thickBot="1" x14ac:dyDescent="0.3">
      <c r="B154" s="151"/>
      <c r="C154" s="9" t="s">
        <v>3</v>
      </c>
      <c r="D154" s="201"/>
      <c r="E154" s="8"/>
      <c r="F154" s="8"/>
      <c r="G154" s="8"/>
      <c r="H154" s="8"/>
      <c r="I154" s="8"/>
      <c r="J154" s="201"/>
      <c r="K154" s="201"/>
      <c r="L154" s="8"/>
      <c r="M154" s="8"/>
      <c r="N154" s="8"/>
      <c r="O154" s="8"/>
      <c r="P154" s="8"/>
      <c r="Q154" s="201"/>
      <c r="R154" s="201"/>
      <c r="S154" s="8"/>
      <c r="T154" s="8"/>
      <c r="U154" s="8"/>
      <c r="V154" s="8"/>
      <c r="W154" s="8"/>
      <c r="X154" s="201"/>
      <c r="Y154" s="201"/>
      <c r="Z154" s="8"/>
      <c r="AA154" s="8"/>
      <c r="AB154" s="234"/>
      <c r="AC154" s="234"/>
      <c r="AD154" s="8"/>
      <c r="AE154" s="201"/>
      <c r="AF154" s="201"/>
      <c r="AG154" s="8"/>
      <c r="AH154" s="8"/>
      <c r="AI154" s="7"/>
      <c r="AJ154" s="69">
        <f t="shared" si="29"/>
        <v>0</v>
      </c>
    </row>
    <row r="155" spans="2:36" ht="16.5" collapsed="1" thickTop="1" thickBot="1" x14ac:dyDescent="0.3">
      <c r="B155" s="149" t="str">
        <f>'Hours Scheduled'!B34</f>
        <v>Leo Wijnands</v>
      </c>
      <c r="C155" t="s">
        <v>0</v>
      </c>
      <c r="D155" s="200"/>
      <c r="E155" s="2"/>
      <c r="F155" s="2"/>
      <c r="G155" s="2"/>
      <c r="H155" s="2"/>
      <c r="I155" s="2"/>
      <c r="J155" s="200"/>
      <c r="K155" s="200"/>
      <c r="L155" s="2"/>
      <c r="M155" s="2"/>
      <c r="N155" s="2"/>
      <c r="O155" s="2"/>
      <c r="P155" s="2"/>
      <c r="Q155" s="200"/>
      <c r="R155" s="200"/>
      <c r="S155" s="2"/>
      <c r="T155" s="2"/>
      <c r="U155" s="2"/>
      <c r="V155" s="2"/>
      <c r="W155" s="2"/>
      <c r="X155" s="200"/>
      <c r="Y155" s="200"/>
      <c r="Z155" s="2"/>
      <c r="AA155" s="2"/>
      <c r="AB155" s="5"/>
      <c r="AC155" s="5"/>
      <c r="AD155" s="2"/>
      <c r="AE155" s="200"/>
      <c r="AF155" s="200"/>
      <c r="AG155" s="2"/>
      <c r="AH155" s="2"/>
      <c r="AJ155" s="64">
        <f>SUM(D155:AH155)</f>
        <v>0</v>
      </c>
    </row>
    <row r="156" spans="2:36" ht="15.75" hidden="1" outlineLevel="1" thickTop="1" x14ac:dyDescent="0.25">
      <c r="B156" s="150"/>
      <c r="C156" s="1" t="s">
        <v>1</v>
      </c>
      <c r="D156" s="200"/>
      <c r="E156" s="3"/>
      <c r="F156" s="3"/>
      <c r="G156" s="3"/>
      <c r="H156" s="3"/>
      <c r="I156" s="3"/>
      <c r="J156" s="200"/>
      <c r="K156" s="200"/>
      <c r="L156" s="3"/>
      <c r="M156" s="3"/>
      <c r="N156" s="3"/>
      <c r="O156" s="3"/>
      <c r="P156" s="3"/>
      <c r="Q156" s="200"/>
      <c r="R156" s="200"/>
      <c r="S156" s="3"/>
      <c r="T156" s="3"/>
      <c r="U156" s="3"/>
      <c r="V156" s="3"/>
      <c r="W156" s="3"/>
      <c r="X156" s="200"/>
      <c r="Y156" s="200"/>
      <c r="Z156" s="3"/>
      <c r="AA156" s="3"/>
      <c r="AB156" s="5"/>
      <c r="AC156" s="5"/>
      <c r="AD156" s="3"/>
      <c r="AE156" s="200"/>
      <c r="AF156" s="200"/>
      <c r="AG156" s="3"/>
      <c r="AH156" s="3"/>
      <c r="AJ156" s="70">
        <f t="shared" ref="AJ156:AJ159" si="30">SUM(D156:AH156)</f>
        <v>0</v>
      </c>
    </row>
    <row r="157" spans="2:36" hidden="1" outlineLevel="1" x14ac:dyDescent="0.25">
      <c r="B157" s="151"/>
      <c r="C157" s="1" t="s">
        <v>2</v>
      </c>
      <c r="D157" s="200"/>
      <c r="E157" s="4"/>
      <c r="F157" s="4"/>
      <c r="G157" s="4"/>
      <c r="H157" s="4"/>
      <c r="I157" s="4"/>
      <c r="J157" s="200"/>
      <c r="K157" s="200"/>
      <c r="L157" s="4"/>
      <c r="M157" s="4"/>
      <c r="N157" s="4"/>
      <c r="O157" s="4"/>
      <c r="P157" s="4"/>
      <c r="Q157" s="200"/>
      <c r="R157" s="200"/>
      <c r="S157" s="4"/>
      <c r="T157" s="4"/>
      <c r="U157" s="4"/>
      <c r="V157" s="4"/>
      <c r="W157" s="4"/>
      <c r="X157" s="200"/>
      <c r="Y157" s="200"/>
      <c r="Z157" s="4"/>
      <c r="AA157" s="4"/>
      <c r="AB157" s="5"/>
      <c r="AC157" s="5"/>
      <c r="AD157" s="4"/>
      <c r="AE157" s="200"/>
      <c r="AF157" s="200"/>
      <c r="AG157" s="4"/>
      <c r="AH157" s="4"/>
      <c r="AJ157" s="71">
        <f t="shared" si="30"/>
        <v>0</v>
      </c>
    </row>
    <row r="158" spans="2:36" hidden="1" outlineLevel="1" x14ac:dyDescent="0.25">
      <c r="B158" s="151"/>
      <c r="C158" s="54" t="s">
        <v>77</v>
      </c>
      <c r="D158" s="200"/>
      <c r="E158" s="5"/>
      <c r="F158" s="5"/>
      <c r="G158" s="5"/>
      <c r="H158" s="5"/>
      <c r="I158" s="5"/>
      <c r="J158" s="200"/>
      <c r="K158" s="200"/>
      <c r="L158" s="5"/>
      <c r="M158" s="5"/>
      <c r="N158" s="5"/>
      <c r="O158" s="5"/>
      <c r="P158" s="5"/>
      <c r="Q158" s="200"/>
      <c r="R158" s="200"/>
      <c r="S158" s="5"/>
      <c r="T158" s="5"/>
      <c r="U158" s="5"/>
      <c r="V158" s="5"/>
      <c r="W158" s="5"/>
      <c r="X158" s="200"/>
      <c r="Y158" s="200"/>
      <c r="Z158" s="5"/>
      <c r="AA158" s="5"/>
      <c r="AB158" s="5"/>
      <c r="AC158" s="5"/>
      <c r="AD158" s="5"/>
      <c r="AE158" s="200"/>
      <c r="AF158" s="200"/>
      <c r="AG158" s="5"/>
      <c r="AH158" s="5"/>
      <c r="AJ158" s="72">
        <f t="shared" si="30"/>
        <v>0</v>
      </c>
    </row>
    <row r="159" spans="2:36" ht="15.75" hidden="1" outlineLevel="1" thickBot="1" x14ac:dyDescent="0.3">
      <c r="B159" s="151"/>
      <c r="C159" s="9" t="s">
        <v>3</v>
      </c>
      <c r="D159" s="201"/>
      <c r="E159" s="8"/>
      <c r="F159" s="8"/>
      <c r="G159" s="8"/>
      <c r="H159" s="8"/>
      <c r="I159" s="8"/>
      <c r="J159" s="201"/>
      <c r="K159" s="201"/>
      <c r="L159" s="8"/>
      <c r="M159" s="8"/>
      <c r="N159" s="8"/>
      <c r="O159" s="8"/>
      <c r="P159" s="8"/>
      <c r="Q159" s="201"/>
      <c r="R159" s="201"/>
      <c r="S159" s="8"/>
      <c r="T159" s="8"/>
      <c r="U159" s="8"/>
      <c r="V159" s="8"/>
      <c r="W159" s="8"/>
      <c r="X159" s="201"/>
      <c r="Y159" s="201"/>
      <c r="Z159" s="8"/>
      <c r="AA159" s="8"/>
      <c r="AB159" s="234"/>
      <c r="AC159" s="234"/>
      <c r="AD159" s="8"/>
      <c r="AE159" s="201"/>
      <c r="AF159" s="201"/>
      <c r="AG159" s="8"/>
      <c r="AH159" s="8"/>
      <c r="AI159" s="7"/>
      <c r="AJ159" s="69">
        <f t="shared" si="30"/>
        <v>0</v>
      </c>
    </row>
    <row r="160" spans="2:36" ht="16.5" collapsed="1" thickTop="1" thickBot="1" x14ac:dyDescent="0.3">
      <c r="B160" s="149" t="str">
        <f>'Hours Scheduled'!B35</f>
        <v>Danny Ummels</v>
      </c>
      <c r="C160" t="s">
        <v>0</v>
      </c>
      <c r="D160" s="200"/>
      <c r="E160" s="2"/>
      <c r="F160" s="2"/>
      <c r="G160" s="2"/>
      <c r="H160" s="2"/>
      <c r="I160" s="2"/>
      <c r="J160" s="200"/>
      <c r="K160" s="200"/>
      <c r="L160" s="2"/>
      <c r="M160" s="2"/>
      <c r="N160" s="2"/>
      <c r="O160" s="2"/>
      <c r="P160" s="2"/>
      <c r="Q160" s="200"/>
      <c r="R160" s="200"/>
      <c r="S160" s="2"/>
      <c r="T160" s="2"/>
      <c r="U160" s="2"/>
      <c r="V160" s="2"/>
      <c r="W160" s="2"/>
      <c r="X160" s="200"/>
      <c r="Y160" s="200"/>
      <c r="Z160" s="2"/>
      <c r="AA160" s="2"/>
      <c r="AB160" s="5"/>
      <c r="AC160" s="5"/>
      <c r="AD160" s="2"/>
      <c r="AE160" s="200"/>
      <c r="AF160" s="200"/>
      <c r="AG160" s="2"/>
      <c r="AH160" s="2"/>
      <c r="AJ160" s="64">
        <f>SUM(D160:AH160)</f>
        <v>0</v>
      </c>
    </row>
    <row r="161" spans="2:36" ht="15.75" hidden="1" outlineLevel="1" thickTop="1" x14ac:dyDescent="0.25">
      <c r="B161" s="150"/>
      <c r="C161" s="1" t="s">
        <v>1</v>
      </c>
      <c r="D161" s="200"/>
      <c r="E161" s="3"/>
      <c r="F161" s="3"/>
      <c r="G161" s="3"/>
      <c r="H161" s="3"/>
      <c r="I161" s="3"/>
      <c r="J161" s="200"/>
      <c r="K161" s="200"/>
      <c r="L161" s="3"/>
      <c r="M161" s="3"/>
      <c r="N161" s="3"/>
      <c r="O161" s="3"/>
      <c r="P161" s="3"/>
      <c r="Q161" s="200"/>
      <c r="R161" s="200"/>
      <c r="S161" s="3"/>
      <c r="T161" s="3"/>
      <c r="U161" s="3"/>
      <c r="V161" s="3"/>
      <c r="W161" s="3"/>
      <c r="X161" s="200"/>
      <c r="Y161" s="200"/>
      <c r="Z161" s="3"/>
      <c r="AA161" s="3"/>
      <c r="AB161" s="5"/>
      <c r="AC161" s="5"/>
      <c r="AD161" s="3"/>
      <c r="AE161" s="200"/>
      <c r="AF161" s="200"/>
      <c r="AG161" s="3"/>
      <c r="AH161" s="3"/>
      <c r="AJ161" s="70">
        <f t="shared" ref="AJ161:AJ164" si="31">SUM(D161:AH161)</f>
        <v>0</v>
      </c>
    </row>
    <row r="162" spans="2:36" hidden="1" outlineLevel="1" x14ac:dyDescent="0.25">
      <c r="B162" s="151"/>
      <c r="C162" s="1" t="s">
        <v>2</v>
      </c>
      <c r="D162" s="200"/>
      <c r="E162" s="4"/>
      <c r="F162" s="4"/>
      <c r="G162" s="4"/>
      <c r="H162" s="4"/>
      <c r="I162" s="4"/>
      <c r="J162" s="200"/>
      <c r="K162" s="200"/>
      <c r="L162" s="4"/>
      <c r="M162" s="4"/>
      <c r="N162" s="4"/>
      <c r="O162" s="4"/>
      <c r="P162" s="4"/>
      <c r="Q162" s="200"/>
      <c r="R162" s="200"/>
      <c r="S162" s="4"/>
      <c r="T162" s="4"/>
      <c r="U162" s="4"/>
      <c r="V162" s="4"/>
      <c r="W162" s="4"/>
      <c r="X162" s="200"/>
      <c r="Y162" s="200"/>
      <c r="Z162" s="4"/>
      <c r="AA162" s="4"/>
      <c r="AB162" s="5"/>
      <c r="AC162" s="5"/>
      <c r="AD162" s="4"/>
      <c r="AE162" s="200"/>
      <c r="AF162" s="200"/>
      <c r="AG162" s="4"/>
      <c r="AH162" s="4"/>
      <c r="AJ162" s="71">
        <f t="shared" si="31"/>
        <v>0</v>
      </c>
    </row>
    <row r="163" spans="2:36" hidden="1" outlineLevel="1" x14ac:dyDescent="0.25">
      <c r="B163" s="151"/>
      <c r="C163" s="54" t="s">
        <v>77</v>
      </c>
      <c r="D163" s="200"/>
      <c r="E163" s="5"/>
      <c r="F163" s="5"/>
      <c r="G163" s="5"/>
      <c r="H163" s="5"/>
      <c r="I163" s="5"/>
      <c r="J163" s="200"/>
      <c r="K163" s="200"/>
      <c r="L163" s="5"/>
      <c r="M163" s="5"/>
      <c r="N163" s="5"/>
      <c r="O163" s="5"/>
      <c r="P163" s="5"/>
      <c r="Q163" s="200"/>
      <c r="R163" s="200"/>
      <c r="S163" s="5"/>
      <c r="T163" s="5"/>
      <c r="U163" s="5"/>
      <c r="V163" s="5"/>
      <c r="W163" s="5"/>
      <c r="X163" s="200"/>
      <c r="Y163" s="200"/>
      <c r="Z163" s="5"/>
      <c r="AA163" s="5"/>
      <c r="AB163" s="5"/>
      <c r="AC163" s="5"/>
      <c r="AD163" s="5"/>
      <c r="AE163" s="200"/>
      <c r="AF163" s="200"/>
      <c r="AG163" s="5"/>
      <c r="AH163" s="5"/>
      <c r="AJ163" s="72">
        <f t="shared" si="31"/>
        <v>0</v>
      </c>
    </row>
    <row r="164" spans="2:36" ht="15.75" hidden="1" outlineLevel="1" thickBot="1" x14ac:dyDescent="0.3">
      <c r="B164" s="151"/>
      <c r="C164" s="9" t="s">
        <v>3</v>
      </c>
      <c r="D164" s="201"/>
      <c r="E164" s="8"/>
      <c r="F164" s="8"/>
      <c r="G164" s="8"/>
      <c r="H164" s="8"/>
      <c r="I164" s="8"/>
      <c r="J164" s="201"/>
      <c r="K164" s="201"/>
      <c r="L164" s="8"/>
      <c r="M164" s="8"/>
      <c r="N164" s="8"/>
      <c r="O164" s="8"/>
      <c r="P164" s="8"/>
      <c r="Q164" s="201"/>
      <c r="R164" s="201"/>
      <c r="S164" s="8"/>
      <c r="T164" s="8"/>
      <c r="U164" s="8"/>
      <c r="V164" s="8"/>
      <c r="W164" s="8"/>
      <c r="X164" s="201"/>
      <c r="Y164" s="201"/>
      <c r="Z164" s="8"/>
      <c r="AA164" s="8"/>
      <c r="AB164" s="234"/>
      <c r="AC164" s="234"/>
      <c r="AD164" s="8"/>
      <c r="AE164" s="201"/>
      <c r="AF164" s="201"/>
      <c r="AG164" s="8"/>
      <c r="AH164" s="8"/>
      <c r="AI164" s="7"/>
      <c r="AJ164" s="69">
        <f t="shared" si="31"/>
        <v>0</v>
      </c>
    </row>
    <row r="165" spans="2:36" ht="16.5" collapsed="1" thickTop="1" thickBot="1" x14ac:dyDescent="0.3">
      <c r="B165" s="149">
        <f>'Hours Scheduled'!B36</f>
        <v>0</v>
      </c>
      <c r="C165" t="s">
        <v>0</v>
      </c>
      <c r="D165" s="200"/>
      <c r="E165" s="2"/>
      <c r="F165" s="2"/>
      <c r="G165" s="2"/>
      <c r="H165" s="2"/>
      <c r="I165" s="2"/>
      <c r="J165" s="200"/>
      <c r="K165" s="200"/>
      <c r="L165" s="2"/>
      <c r="M165" s="2"/>
      <c r="N165" s="2"/>
      <c r="O165" s="2"/>
      <c r="P165" s="2"/>
      <c r="Q165" s="200"/>
      <c r="R165" s="200"/>
      <c r="S165" s="2"/>
      <c r="T165" s="2"/>
      <c r="U165" s="2"/>
      <c r="V165" s="2"/>
      <c r="W165" s="2"/>
      <c r="X165" s="200"/>
      <c r="Y165" s="200"/>
      <c r="Z165" s="2"/>
      <c r="AA165" s="2"/>
      <c r="AB165" s="5"/>
      <c r="AC165" s="5"/>
      <c r="AD165" s="2"/>
      <c r="AE165" s="200"/>
      <c r="AF165" s="200"/>
      <c r="AG165" s="2"/>
      <c r="AH165" s="2"/>
      <c r="AJ165" s="64">
        <f>SUM(D165:AH165)</f>
        <v>0</v>
      </c>
    </row>
    <row r="166" spans="2:36" ht="15.75" hidden="1" outlineLevel="1" thickTop="1" x14ac:dyDescent="0.25">
      <c r="B166" s="150"/>
      <c r="C166" s="1" t="s">
        <v>1</v>
      </c>
      <c r="D166" s="200"/>
      <c r="E166" s="3"/>
      <c r="F166" s="3"/>
      <c r="G166" s="3"/>
      <c r="H166" s="3"/>
      <c r="I166" s="3"/>
      <c r="J166" s="200"/>
      <c r="K166" s="200"/>
      <c r="L166" s="3"/>
      <c r="M166" s="3"/>
      <c r="N166" s="3"/>
      <c r="O166" s="3"/>
      <c r="P166" s="3"/>
      <c r="Q166" s="200"/>
      <c r="R166" s="200"/>
      <c r="S166" s="3"/>
      <c r="T166" s="3"/>
      <c r="U166" s="3"/>
      <c r="V166" s="3"/>
      <c r="W166" s="3"/>
      <c r="X166" s="200"/>
      <c r="Y166" s="200"/>
      <c r="Z166" s="3"/>
      <c r="AA166" s="3"/>
      <c r="AB166" s="5"/>
      <c r="AC166" s="5"/>
      <c r="AD166" s="3"/>
      <c r="AE166" s="200"/>
      <c r="AF166" s="200"/>
      <c r="AG166" s="3"/>
      <c r="AH166" s="3"/>
      <c r="AJ166" s="70">
        <f t="shared" ref="AJ166:AJ169" si="32">SUM(D166:AH166)</f>
        <v>0</v>
      </c>
    </row>
    <row r="167" spans="2:36" hidden="1" outlineLevel="1" x14ac:dyDescent="0.25">
      <c r="B167" s="151"/>
      <c r="C167" s="1" t="s">
        <v>2</v>
      </c>
      <c r="D167" s="200"/>
      <c r="E167" s="4"/>
      <c r="F167" s="4"/>
      <c r="G167" s="4"/>
      <c r="H167" s="4"/>
      <c r="I167" s="4"/>
      <c r="J167" s="200"/>
      <c r="K167" s="200"/>
      <c r="L167" s="4"/>
      <c r="M167" s="4"/>
      <c r="N167" s="4"/>
      <c r="O167" s="4"/>
      <c r="P167" s="4"/>
      <c r="Q167" s="200"/>
      <c r="R167" s="200"/>
      <c r="S167" s="4"/>
      <c r="T167" s="4"/>
      <c r="U167" s="4"/>
      <c r="V167" s="4"/>
      <c r="W167" s="4"/>
      <c r="X167" s="200"/>
      <c r="Y167" s="200"/>
      <c r="Z167" s="4"/>
      <c r="AA167" s="4"/>
      <c r="AB167" s="5"/>
      <c r="AC167" s="5"/>
      <c r="AD167" s="4"/>
      <c r="AE167" s="200"/>
      <c r="AF167" s="200"/>
      <c r="AG167" s="4"/>
      <c r="AH167" s="4"/>
      <c r="AJ167" s="71">
        <f t="shared" si="32"/>
        <v>0</v>
      </c>
    </row>
    <row r="168" spans="2:36" hidden="1" outlineLevel="1" x14ac:dyDescent="0.25">
      <c r="B168" s="151"/>
      <c r="C168" s="54" t="s">
        <v>77</v>
      </c>
      <c r="D168" s="200"/>
      <c r="E168" s="5"/>
      <c r="F168" s="5"/>
      <c r="G168" s="5"/>
      <c r="H168" s="5"/>
      <c r="I168" s="5"/>
      <c r="J168" s="200"/>
      <c r="K168" s="200"/>
      <c r="L168" s="5"/>
      <c r="M168" s="5"/>
      <c r="N168" s="5"/>
      <c r="O168" s="5"/>
      <c r="P168" s="5"/>
      <c r="Q168" s="200"/>
      <c r="R168" s="200"/>
      <c r="S168" s="5"/>
      <c r="T168" s="5"/>
      <c r="U168" s="5"/>
      <c r="V168" s="5"/>
      <c r="W168" s="5"/>
      <c r="X168" s="200"/>
      <c r="Y168" s="200"/>
      <c r="Z168" s="5"/>
      <c r="AA168" s="5"/>
      <c r="AB168" s="5"/>
      <c r="AC168" s="5"/>
      <c r="AD168" s="5"/>
      <c r="AE168" s="200"/>
      <c r="AF168" s="200"/>
      <c r="AG168" s="5"/>
      <c r="AH168" s="5"/>
      <c r="AJ168" s="72">
        <f t="shared" si="32"/>
        <v>0</v>
      </c>
    </row>
    <row r="169" spans="2:36" ht="15.75" hidden="1" outlineLevel="1" thickBot="1" x14ac:dyDescent="0.3">
      <c r="B169" s="151"/>
      <c r="C169" s="9" t="s">
        <v>3</v>
      </c>
      <c r="D169" s="201"/>
      <c r="E169" s="8"/>
      <c r="F169" s="8"/>
      <c r="G169" s="8"/>
      <c r="H169" s="8"/>
      <c r="I169" s="8"/>
      <c r="J169" s="201"/>
      <c r="K169" s="201"/>
      <c r="L169" s="8"/>
      <c r="M169" s="8"/>
      <c r="N169" s="8"/>
      <c r="O169" s="8"/>
      <c r="P169" s="8"/>
      <c r="Q169" s="201"/>
      <c r="R169" s="201"/>
      <c r="S169" s="8"/>
      <c r="T169" s="8"/>
      <c r="U169" s="8"/>
      <c r="V169" s="8"/>
      <c r="W169" s="8"/>
      <c r="X169" s="201"/>
      <c r="Y169" s="201"/>
      <c r="Z169" s="8"/>
      <c r="AA169" s="8"/>
      <c r="AB169" s="234"/>
      <c r="AC169" s="234"/>
      <c r="AD169" s="8"/>
      <c r="AE169" s="201"/>
      <c r="AF169" s="201"/>
      <c r="AG169" s="8"/>
      <c r="AH169" s="8"/>
      <c r="AI169" s="7"/>
      <c r="AJ169" s="69">
        <f t="shared" si="32"/>
        <v>0</v>
      </c>
    </row>
    <row r="170" spans="2:36" ht="16.5" collapsed="1" thickTop="1" thickBot="1" x14ac:dyDescent="0.3">
      <c r="B170" s="149">
        <f>'Hours Scheduled'!B37</f>
        <v>0</v>
      </c>
      <c r="C170" t="s">
        <v>0</v>
      </c>
      <c r="D170" s="200"/>
      <c r="E170" s="2"/>
      <c r="F170" s="2"/>
      <c r="G170" s="2"/>
      <c r="H170" s="2"/>
      <c r="I170" s="2"/>
      <c r="J170" s="200"/>
      <c r="K170" s="200"/>
      <c r="L170" s="2"/>
      <c r="M170" s="2"/>
      <c r="N170" s="2"/>
      <c r="O170" s="2"/>
      <c r="P170" s="2"/>
      <c r="Q170" s="200"/>
      <c r="R170" s="200"/>
      <c r="S170" s="2"/>
      <c r="T170" s="2"/>
      <c r="U170" s="2"/>
      <c r="V170" s="2"/>
      <c r="W170" s="2"/>
      <c r="X170" s="200"/>
      <c r="Y170" s="200"/>
      <c r="Z170" s="2"/>
      <c r="AA170" s="2"/>
      <c r="AB170" s="5"/>
      <c r="AC170" s="5"/>
      <c r="AD170" s="2"/>
      <c r="AE170" s="200"/>
      <c r="AF170" s="200"/>
      <c r="AG170" s="2"/>
      <c r="AH170" s="2"/>
      <c r="AJ170" s="64">
        <f>SUM(D170:AH170)</f>
        <v>0</v>
      </c>
    </row>
    <row r="171" spans="2:36" ht="15.75" hidden="1" outlineLevel="1" thickTop="1" x14ac:dyDescent="0.25">
      <c r="B171" s="150"/>
      <c r="C171" s="1" t="s">
        <v>1</v>
      </c>
      <c r="D171" s="200"/>
      <c r="E171" s="3"/>
      <c r="F171" s="3"/>
      <c r="G171" s="3"/>
      <c r="H171" s="3"/>
      <c r="I171" s="3"/>
      <c r="J171" s="200"/>
      <c r="K171" s="200"/>
      <c r="L171" s="3"/>
      <c r="M171" s="3"/>
      <c r="N171" s="3"/>
      <c r="O171" s="3"/>
      <c r="P171" s="3"/>
      <c r="Q171" s="200"/>
      <c r="R171" s="200"/>
      <c r="S171" s="3"/>
      <c r="T171" s="3"/>
      <c r="U171" s="3"/>
      <c r="V171" s="3"/>
      <c r="W171" s="3"/>
      <c r="X171" s="200"/>
      <c r="Y171" s="200"/>
      <c r="Z171" s="3"/>
      <c r="AA171" s="3"/>
      <c r="AB171" s="5"/>
      <c r="AC171" s="5"/>
      <c r="AD171" s="3"/>
      <c r="AE171" s="200"/>
      <c r="AF171" s="200"/>
      <c r="AG171" s="3"/>
      <c r="AH171" s="3"/>
      <c r="AJ171" s="70">
        <f t="shared" ref="AJ171:AJ174" si="33">SUM(D171:AH171)</f>
        <v>0</v>
      </c>
    </row>
    <row r="172" spans="2:36" hidden="1" outlineLevel="1" x14ac:dyDescent="0.25">
      <c r="B172" s="151"/>
      <c r="C172" s="1" t="s">
        <v>2</v>
      </c>
      <c r="D172" s="200"/>
      <c r="E172" s="4"/>
      <c r="F172" s="4"/>
      <c r="G172" s="4"/>
      <c r="H172" s="4"/>
      <c r="I172" s="4"/>
      <c r="J172" s="200"/>
      <c r="K172" s="200"/>
      <c r="L172" s="4"/>
      <c r="M172" s="4"/>
      <c r="N172" s="4"/>
      <c r="O172" s="4"/>
      <c r="P172" s="4"/>
      <c r="Q172" s="200"/>
      <c r="R172" s="200"/>
      <c r="S172" s="4"/>
      <c r="T172" s="4"/>
      <c r="U172" s="4"/>
      <c r="V172" s="4"/>
      <c r="W172" s="4"/>
      <c r="X172" s="200"/>
      <c r="Y172" s="200"/>
      <c r="Z172" s="4"/>
      <c r="AA172" s="4"/>
      <c r="AB172" s="5"/>
      <c r="AC172" s="5"/>
      <c r="AD172" s="4"/>
      <c r="AE172" s="200"/>
      <c r="AF172" s="200"/>
      <c r="AG172" s="4"/>
      <c r="AH172" s="4"/>
      <c r="AJ172" s="71">
        <f t="shared" si="33"/>
        <v>0</v>
      </c>
    </row>
    <row r="173" spans="2:36" hidden="1" outlineLevel="1" x14ac:dyDescent="0.25">
      <c r="B173" s="151"/>
      <c r="C173" s="54" t="s">
        <v>77</v>
      </c>
      <c r="D173" s="200"/>
      <c r="E173" s="5"/>
      <c r="F173" s="5"/>
      <c r="G173" s="5"/>
      <c r="H173" s="5"/>
      <c r="I173" s="5"/>
      <c r="J173" s="200"/>
      <c r="K173" s="200"/>
      <c r="L173" s="5"/>
      <c r="M173" s="5"/>
      <c r="N173" s="5"/>
      <c r="O173" s="5"/>
      <c r="P173" s="5"/>
      <c r="Q173" s="200"/>
      <c r="R173" s="200"/>
      <c r="S173" s="5"/>
      <c r="T173" s="5"/>
      <c r="U173" s="5"/>
      <c r="V173" s="5"/>
      <c r="W173" s="5"/>
      <c r="X173" s="200"/>
      <c r="Y173" s="200"/>
      <c r="Z173" s="5"/>
      <c r="AA173" s="5"/>
      <c r="AB173" s="5"/>
      <c r="AC173" s="5"/>
      <c r="AD173" s="5"/>
      <c r="AE173" s="200"/>
      <c r="AF173" s="200"/>
      <c r="AG173" s="5"/>
      <c r="AH173" s="5"/>
      <c r="AJ173" s="72">
        <f t="shared" si="33"/>
        <v>0</v>
      </c>
    </row>
    <row r="174" spans="2:36" ht="15.75" hidden="1" outlineLevel="1" thickBot="1" x14ac:dyDescent="0.3">
      <c r="B174" s="151"/>
      <c r="C174" s="9" t="s">
        <v>3</v>
      </c>
      <c r="D174" s="201"/>
      <c r="E174" s="8"/>
      <c r="F174" s="8"/>
      <c r="G174" s="8"/>
      <c r="H174" s="8"/>
      <c r="I174" s="8"/>
      <c r="J174" s="201"/>
      <c r="K174" s="201"/>
      <c r="L174" s="8"/>
      <c r="M174" s="8"/>
      <c r="N174" s="8"/>
      <c r="O174" s="8"/>
      <c r="P174" s="8"/>
      <c r="Q174" s="201"/>
      <c r="R174" s="201"/>
      <c r="S174" s="8"/>
      <c r="T174" s="8"/>
      <c r="U174" s="8"/>
      <c r="V174" s="8"/>
      <c r="W174" s="8"/>
      <c r="X174" s="201"/>
      <c r="Y174" s="201"/>
      <c r="Z174" s="8"/>
      <c r="AA174" s="8"/>
      <c r="AB174" s="234"/>
      <c r="AC174" s="234"/>
      <c r="AD174" s="8"/>
      <c r="AE174" s="201"/>
      <c r="AF174" s="201"/>
      <c r="AG174" s="8"/>
      <c r="AH174" s="8"/>
      <c r="AI174" s="7"/>
      <c r="AJ174" s="69">
        <f t="shared" si="33"/>
        <v>0</v>
      </c>
    </row>
    <row r="175" spans="2:36" ht="16.5" collapsed="1" thickTop="1" thickBot="1" x14ac:dyDescent="0.3">
      <c r="B175" s="149">
        <f>'Hours Scheduled'!B38</f>
        <v>0</v>
      </c>
      <c r="C175" t="s">
        <v>0</v>
      </c>
      <c r="D175" s="200"/>
      <c r="E175" s="2"/>
      <c r="F175" s="2"/>
      <c r="G175" s="2"/>
      <c r="H175" s="2"/>
      <c r="I175" s="2"/>
      <c r="J175" s="200"/>
      <c r="K175" s="200"/>
      <c r="L175" s="2"/>
      <c r="M175" s="2"/>
      <c r="N175" s="2"/>
      <c r="O175" s="2"/>
      <c r="P175" s="2"/>
      <c r="Q175" s="200"/>
      <c r="R175" s="200"/>
      <c r="S175" s="2"/>
      <c r="T175" s="2"/>
      <c r="U175" s="2"/>
      <c r="V175" s="2"/>
      <c r="W175" s="2"/>
      <c r="X175" s="200"/>
      <c r="Y175" s="200"/>
      <c r="Z175" s="2"/>
      <c r="AA175" s="2"/>
      <c r="AB175" s="5"/>
      <c r="AC175" s="5"/>
      <c r="AD175" s="2"/>
      <c r="AE175" s="200"/>
      <c r="AF175" s="200"/>
      <c r="AG175" s="2"/>
      <c r="AH175" s="2"/>
      <c r="AJ175" s="64">
        <f>SUM(D175:AH175)</f>
        <v>0</v>
      </c>
    </row>
    <row r="176" spans="2:36" ht="15.75" hidden="1" outlineLevel="1" thickTop="1" x14ac:dyDescent="0.25">
      <c r="B176" s="150"/>
      <c r="C176" s="1" t="s">
        <v>1</v>
      </c>
      <c r="D176" s="200"/>
      <c r="E176" s="3"/>
      <c r="F176" s="3"/>
      <c r="G176" s="3"/>
      <c r="H176" s="3"/>
      <c r="I176" s="3"/>
      <c r="J176" s="200"/>
      <c r="K176" s="200"/>
      <c r="L176" s="3"/>
      <c r="M176" s="3"/>
      <c r="N176" s="3"/>
      <c r="O176" s="3"/>
      <c r="P176" s="3"/>
      <c r="Q176" s="200"/>
      <c r="R176" s="200"/>
      <c r="S176" s="3"/>
      <c r="T176" s="3"/>
      <c r="U176" s="3"/>
      <c r="V176" s="3"/>
      <c r="W176" s="3"/>
      <c r="X176" s="200"/>
      <c r="Y176" s="200"/>
      <c r="Z176" s="3"/>
      <c r="AA176" s="3"/>
      <c r="AB176" s="5"/>
      <c r="AC176" s="5"/>
      <c r="AD176" s="3"/>
      <c r="AE176" s="200"/>
      <c r="AF176" s="200"/>
      <c r="AG176" s="3"/>
      <c r="AH176" s="3"/>
      <c r="AJ176" s="70">
        <f t="shared" ref="AJ176:AJ179" si="34">SUM(D176:AH176)</f>
        <v>0</v>
      </c>
    </row>
    <row r="177" spans="2:36" hidden="1" outlineLevel="1" x14ac:dyDescent="0.25">
      <c r="B177" s="151"/>
      <c r="C177" s="1" t="s">
        <v>2</v>
      </c>
      <c r="D177" s="200"/>
      <c r="E177" s="4"/>
      <c r="F177" s="4"/>
      <c r="G177" s="4"/>
      <c r="H177" s="4"/>
      <c r="I177" s="4"/>
      <c r="J177" s="200"/>
      <c r="K177" s="200"/>
      <c r="L177" s="4"/>
      <c r="M177" s="4"/>
      <c r="N177" s="4"/>
      <c r="O177" s="4"/>
      <c r="P177" s="4"/>
      <c r="Q177" s="200"/>
      <c r="R177" s="200"/>
      <c r="S177" s="4"/>
      <c r="T177" s="4"/>
      <c r="U177" s="4"/>
      <c r="V177" s="4"/>
      <c r="W177" s="4"/>
      <c r="X177" s="200"/>
      <c r="Y177" s="200"/>
      <c r="Z177" s="4"/>
      <c r="AA177" s="4"/>
      <c r="AB177" s="5"/>
      <c r="AC177" s="5"/>
      <c r="AD177" s="4"/>
      <c r="AE177" s="200"/>
      <c r="AF177" s="200"/>
      <c r="AG177" s="4"/>
      <c r="AH177" s="4"/>
      <c r="AJ177" s="71">
        <f t="shared" si="34"/>
        <v>0</v>
      </c>
    </row>
    <row r="178" spans="2:36" hidden="1" outlineLevel="1" x14ac:dyDescent="0.25">
      <c r="B178" s="151"/>
      <c r="C178" s="54" t="s">
        <v>77</v>
      </c>
      <c r="D178" s="200"/>
      <c r="E178" s="5"/>
      <c r="F178" s="5"/>
      <c r="G178" s="5"/>
      <c r="H178" s="5"/>
      <c r="I178" s="5"/>
      <c r="J178" s="200"/>
      <c r="K178" s="200"/>
      <c r="L178" s="5"/>
      <c r="M178" s="5"/>
      <c r="N178" s="5"/>
      <c r="O178" s="5"/>
      <c r="P178" s="5"/>
      <c r="Q178" s="200"/>
      <c r="R178" s="200"/>
      <c r="S178" s="5"/>
      <c r="T178" s="5"/>
      <c r="U178" s="5"/>
      <c r="V178" s="5"/>
      <c r="W178" s="5"/>
      <c r="X178" s="200"/>
      <c r="Y178" s="200"/>
      <c r="Z178" s="5"/>
      <c r="AA178" s="5"/>
      <c r="AB178" s="5"/>
      <c r="AC178" s="5"/>
      <c r="AD178" s="5"/>
      <c r="AE178" s="200"/>
      <c r="AF178" s="200"/>
      <c r="AG178" s="5"/>
      <c r="AH178" s="5"/>
      <c r="AJ178" s="72">
        <f t="shared" si="34"/>
        <v>0</v>
      </c>
    </row>
    <row r="179" spans="2:36" ht="15.75" hidden="1" outlineLevel="1" thickBot="1" x14ac:dyDescent="0.3">
      <c r="B179" s="151"/>
      <c r="C179" s="9" t="s">
        <v>3</v>
      </c>
      <c r="D179" s="201"/>
      <c r="E179" s="8"/>
      <c r="F179" s="8"/>
      <c r="G179" s="8"/>
      <c r="H179" s="8"/>
      <c r="I179" s="8"/>
      <c r="J179" s="201"/>
      <c r="K179" s="201"/>
      <c r="L179" s="8"/>
      <c r="M179" s="8"/>
      <c r="N179" s="8"/>
      <c r="O179" s="8"/>
      <c r="P179" s="8"/>
      <c r="Q179" s="201"/>
      <c r="R179" s="201"/>
      <c r="S179" s="8"/>
      <c r="T179" s="8"/>
      <c r="U179" s="8"/>
      <c r="V179" s="8"/>
      <c r="W179" s="8"/>
      <c r="X179" s="201"/>
      <c r="Y179" s="201"/>
      <c r="Z179" s="8"/>
      <c r="AA179" s="8"/>
      <c r="AB179" s="234"/>
      <c r="AC179" s="234"/>
      <c r="AD179" s="8"/>
      <c r="AE179" s="201"/>
      <c r="AF179" s="201"/>
      <c r="AG179" s="8"/>
      <c r="AH179" s="8"/>
      <c r="AI179" s="7"/>
      <c r="AJ179" s="69">
        <f t="shared" si="34"/>
        <v>0</v>
      </c>
    </row>
    <row r="180" spans="2:36" ht="16.5" collapsed="1" thickTop="1" thickBot="1" x14ac:dyDescent="0.3">
      <c r="B180" s="149">
        <f>'Hours Scheduled'!B39</f>
        <v>0</v>
      </c>
      <c r="C180" t="s">
        <v>0</v>
      </c>
      <c r="D180" s="200"/>
      <c r="E180" s="2"/>
      <c r="F180" s="2"/>
      <c r="G180" s="2"/>
      <c r="H180" s="2"/>
      <c r="I180" s="2"/>
      <c r="J180" s="200"/>
      <c r="K180" s="200"/>
      <c r="L180" s="2"/>
      <c r="M180" s="2"/>
      <c r="N180" s="2"/>
      <c r="O180" s="2"/>
      <c r="P180" s="2"/>
      <c r="Q180" s="200"/>
      <c r="R180" s="200"/>
      <c r="S180" s="2"/>
      <c r="T180" s="2"/>
      <c r="U180" s="2"/>
      <c r="V180" s="2"/>
      <c r="W180" s="2"/>
      <c r="X180" s="200"/>
      <c r="Y180" s="200"/>
      <c r="Z180" s="2"/>
      <c r="AA180" s="2"/>
      <c r="AB180" s="5"/>
      <c r="AC180" s="5"/>
      <c r="AD180" s="2"/>
      <c r="AE180" s="200"/>
      <c r="AF180" s="200"/>
      <c r="AG180" s="2"/>
      <c r="AH180" s="2"/>
      <c r="AJ180" s="64">
        <f>SUM(D180:AH180)</f>
        <v>0</v>
      </c>
    </row>
    <row r="181" spans="2:36" ht="15.75" hidden="1" outlineLevel="1" thickTop="1" x14ac:dyDescent="0.25">
      <c r="B181" s="150"/>
      <c r="C181" s="1" t="s">
        <v>1</v>
      </c>
      <c r="D181" s="200"/>
      <c r="E181" s="3"/>
      <c r="F181" s="3"/>
      <c r="G181" s="3"/>
      <c r="H181" s="3"/>
      <c r="I181" s="3"/>
      <c r="J181" s="200"/>
      <c r="K181" s="200"/>
      <c r="L181" s="3"/>
      <c r="M181" s="3"/>
      <c r="N181" s="3"/>
      <c r="O181" s="3"/>
      <c r="P181" s="3"/>
      <c r="Q181" s="200"/>
      <c r="R181" s="200"/>
      <c r="S181" s="3"/>
      <c r="T181" s="3"/>
      <c r="U181" s="3"/>
      <c r="V181" s="3"/>
      <c r="W181" s="3"/>
      <c r="X181" s="200"/>
      <c r="Y181" s="200"/>
      <c r="Z181" s="3"/>
      <c r="AA181" s="3"/>
      <c r="AB181" s="5"/>
      <c r="AC181" s="5"/>
      <c r="AD181" s="3"/>
      <c r="AE181" s="200"/>
      <c r="AF181" s="200"/>
      <c r="AG181" s="3"/>
      <c r="AH181" s="3"/>
      <c r="AJ181" s="70">
        <f t="shared" ref="AJ181:AJ184" si="35">SUM(D181:AH181)</f>
        <v>0</v>
      </c>
    </row>
    <row r="182" spans="2:36" hidden="1" outlineLevel="1" x14ac:dyDescent="0.25">
      <c r="B182" s="151"/>
      <c r="C182" s="1" t="s">
        <v>2</v>
      </c>
      <c r="D182" s="200"/>
      <c r="E182" s="4"/>
      <c r="F182" s="4"/>
      <c r="G182" s="4"/>
      <c r="H182" s="4"/>
      <c r="I182" s="4"/>
      <c r="J182" s="200"/>
      <c r="K182" s="200"/>
      <c r="L182" s="4"/>
      <c r="M182" s="4"/>
      <c r="N182" s="4"/>
      <c r="O182" s="4"/>
      <c r="P182" s="4"/>
      <c r="Q182" s="200"/>
      <c r="R182" s="200"/>
      <c r="S182" s="4"/>
      <c r="T182" s="4"/>
      <c r="U182" s="4"/>
      <c r="V182" s="4"/>
      <c r="W182" s="4"/>
      <c r="X182" s="200"/>
      <c r="Y182" s="200"/>
      <c r="Z182" s="4"/>
      <c r="AA182" s="4"/>
      <c r="AB182" s="5"/>
      <c r="AC182" s="5"/>
      <c r="AD182" s="4"/>
      <c r="AE182" s="200"/>
      <c r="AF182" s="200"/>
      <c r="AG182" s="4"/>
      <c r="AH182" s="4"/>
      <c r="AJ182" s="71">
        <f t="shared" si="35"/>
        <v>0</v>
      </c>
    </row>
    <row r="183" spans="2:36" hidden="1" outlineLevel="1" x14ac:dyDescent="0.25">
      <c r="B183" s="151"/>
      <c r="C183" s="54" t="s">
        <v>77</v>
      </c>
      <c r="D183" s="200"/>
      <c r="E183" s="5"/>
      <c r="F183" s="5"/>
      <c r="G183" s="5"/>
      <c r="H183" s="5"/>
      <c r="I183" s="5"/>
      <c r="J183" s="200"/>
      <c r="K183" s="200"/>
      <c r="L183" s="5"/>
      <c r="M183" s="5"/>
      <c r="N183" s="5"/>
      <c r="O183" s="5"/>
      <c r="P183" s="5"/>
      <c r="Q183" s="200"/>
      <c r="R183" s="200"/>
      <c r="S183" s="5"/>
      <c r="T183" s="5"/>
      <c r="U183" s="5"/>
      <c r="V183" s="5"/>
      <c r="W183" s="5"/>
      <c r="X183" s="200"/>
      <c r="Y183" s="200"/>
      <c r="Z183" s="5"/>
      <c r="AA183" s="5"/>
      <c r="AB183" s="5"/>
      <c r="AC183" s="5"/>
      <c r="AD183" s="5"/>
      <c r="AE183" s="200"/>
      <c r="AF183" s="200"/>
      <c r="AG183" s="5"/>
      <c r="AH183" s="5"/>
      <c r="AJ183" s="72">
        <f t="shared" si="35"/>
        <v>0</v>
      </c>
    </row>
    <row r="184" spans="2:36" ht="15.75" hidden="1" outlineLevel="1" thickBot="1" x14ac:dyDescent="0.3">
      <c r="B184" s="151"/>
      <c r="C184" s="9" t="s">
        <v>3</v>
      </c>
      <c r="D184" s="201"/>
      <c r="E184" s="8"/>
      <c r="F184" s="8"/>
      <c r="G184" s="8"/>
      <c r="H184" s="8"/>
      <c r="I184" s="8"/>
      <c r="J184" s="201"/>
      <c r="K184" s="201"/>
      <c r="L184" s="8"/>
      <c r="M184" s="8"/>
      <c r="N184" s="8"/>
      <c r="O184" s="8"/>
      <c r="P184" s="8"/>
      <c r="Q184" s="201"/>
      <c r="R184" s="201"/>
      <c r="S184" s="8"/>
      <c r="T184" s="8"/>
      <c r="U184" s="8"/>
      <c r="V184" s="8"/>
      <c r="W184" s="8"/>
      <c r="X184" s="201"/>
      <c r="Y184" s="201"/>
      <c r="Z184" s="8"/>
      <c r="AA184" s="8"/>
      <c r="AB184" s="234"/>
      <c r="AC184" s="234"/>
      <c r="AD184" s="8"/>
      <c r="AE184" s="201"/>
      <c r="AF184" s="201"/>
      <c r="AG184" s="8"/>
      <c r="AH184" s="8"/>
      <c r="AI184" s="7"/>
      <c r="AJ184" s="69">
        <f t="shared" si="35"/>
        <v>0</v>
      </c>
    </row>
    <row r="185" spans="2:36" ht="15.75" collapsed="1" thickTop="1" x14ac:dyDescent="0.25"/>
  </sheetData>
  <autoFilter ref="B4:AJ184"/>
  <customSheetViews>
    <customSheetView guid="{98CBC5BF-8C89-48A4-860E-9C56014CD200}" scale="90" showGridLines="0" showAutoFilter="1" hiddenRows="1" topLeftCell="A2">
      <pane ySplit="2" topLeftCell="A75" activePane="bottomLeft" state="frozenSplit"/>
      <selection pane="bottomLeft" activeCell="AN105" sqref="AN105"/>
      <pageMargins left="0.7" right="0.7" top="0.75" bottom="0.75" header="0.3" footer="0.3"/>
      <pageSetup paperSize="9" orientation="portrait" horizontalDpi="1200" r:id="rId1"/>
      <autoFilter ref="B4:AJ184"/>
    </customSheetView>
    <customSheetView guid="{1BC25061-32D5-45DE-83F9-EFA3A1092E03}" scale="90" showGridLines="0" showAutoFilter="1" hiddenRows="1" topLeftCell="A2">
      <pane ySplit="3" topLeftCell="A5" activePane="bottomLeft" state="frozenSplit"/>
      <selection pane="bottomLeft" activeCell="V20" sqref="V20"/>
      <pageMargins left="0.7" right="0.7" top="0.75" bottom="0.75" header="0.3" footer="0.3"/>
      <pageSetup paperSize="9" orientation="portrait" horizontalDpi="1200" r:id="rId2"/>
      <autoFilter ref="B4:AJ189"/>
    </customSheetView>
    <customSheetView guid="{CF917189-7AB9-4E55-816F-ACFC7FA45C05}" scale="90" showGridLines="0" showAutoFilter="1" hiddenRows="1" topLeftCell="A2">
      <pane ySplit="2" topLeftCell="A4" activePane="bottomLeft" state="frozenSplit"/>
      <selection pane="bottomLeft" activeCell="AN115" sqref="AN115"/>
      <pageMargins left="0.7" right="0.7" top="0.75" bottom="0.75" header="0.3" footer="0.3"/>
      <pageSetup paperSize="9" orientation="portrait" horizontalDpi="1200" r:id="rId3"/>
      <autoFilter ref="B4:AJ189"/>
    </customSheetView>
    <customSheetView guid="{4155806E-C0D0-4CC9-9B31-04245B7DD4C8}" showGridLines="0" showAutoFilter="1" hiddenRows="1" topLeftCell="A2">
      <pane ySplit="7" topLeftCell="A10" activePane="bottomLeft" state="frozenSplit"/>
      <selection pane="bottomLeft" activeCell="AG70" sqref="AG70"/>
      <pageMargins left="0.25" right="0.25" top="0.75" bottom="0.75" header="0.3" footer="0.3"/>
      <pageSetup paperSize="9" orientation="landscape" horizontalDpi="1200" r:id="rId4"/>
      <autoFilter ref="B4:AJ174"/>
    </customSheetView>
    <customSheetView guid="{1587CBCC-2CC7-4525-8A49-E261AB2E1606}" scale="90" showGridLines="0" showAutoFilter="1" hiddenRows="1" topLeftCell="A2">
      <pane ySplit="2" topLeftCell="A4" activePane="bottomLeft" state="frozenSplit"/>
      <selection pane="bottomLeft" activeCell="Z35" sqref="Z35"/>
      <pageMargins left="0.7" right="0.7" top="0.75" bottom="0.75" header="0.3" footer="0.3"/>
      <pageSetup paperSize="9" orientation="portrait" horizontalDpi="1200" r:id="rId5"/>
      <autoFilter ref="B4:AJ184"/>
    </customSheetView>
    <customSheetView guid="{C5D9000A-81ED-4920-B6AF-4B234775AEC9}" scale="90" showGridLines="0" showAutoFilter="1" hiddenRows="1" topLeftCell="A2">
      <pane ySplit="2" topLeftCell="A4" activePane="bottomLeft" state="frozenSplit"/>
      <selection pane="bottomLeft"/>
      <pageMargins left="0.7" right="0.7" top="0.75" bottom="0.75" header="0.3" footer="0.3"/>
      <pageSetup paperSize="9" orientation="portrait" horizontalDpi="1200" r:id="rId6"/>
      <autoFilter ref="B4:AJ184"/>
    </customSheetView>
  </customSheetViews>
  <conditionalFormatting sqref="D3:AH3">
    <cfRule type="expression" dxfId="5" priority="11">
      <formula>WEEKDAY(D3:AH3)=1</formula>
    </cfRule>
    <cfRule type="expression" dxfId="4" priority="12">
      <formula>WEEKDAY(D3:AH3)=7</formula>
    </cfRule>
  </conditionalFormatting>
  <conditionalFormatting sqref="A11:A140">
    <cfRule type="cellIs" dxfId="3" priority="10" operator="equal">
      <formula>"08:00/16:30"</formula>
    </cfRule>
  </conditionalFormatting>
  <conditionalFormatting sqref="A15:A140">
    <cfRule type="cellIs" dxfId="2" priority="9" operator="equal">
      <formula>"09:30/18:00"</formula>
    </cfRule>
  </conditionalFormatting>
  <conditionalFormatting sqref="A5:A10">
    <cfRule type="cellIs" dxfId="1" priority="2" operator="equal">
      <formula>"08:00/16:30"</formula>
    </cfRule>
  </conditionalFormatting>
  <conditionalFormatting sqref="A5:A10">
    <cfRule type="cellIs" dxfId="0" priority="1" operator="equal">
      <formula>"09:30/18:00"</formula>
    </cfRule>
  </conditionalFormatting>
  <dataValidations count="2">
    <dataValidation type="list" allowBlank="1" showInputMessage="1" sqref="A140 A115 A120 A125 A130 A135 A5 A10 A15 A20 A25 A30 A35 A40 A50 A55 A60 A65 A70 A75 A80 A85 A90 A95:A110">
      <formula1>"08:00/16:30,09:00/17:00,09:30/18:00"</formula1>
    </dataValidation>
    <dataValidation type="list" allowBlank="1" showInputMessage="1" sqref="A45">
      <formula1>"08:00/16:30,08:30/17:00,09:30/18:00"</formula1>
    </dataValidation>
  </dataValidations>
  <pageMargins left="0.7" right="0.7" top="0.75" bottom="0.75" header="0.3" footer="0.3"/>
  <pageSetup paperSize="9" orientation="portrait" horizontalDpi="1200" r:id="rId7"/>
  <legacy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FF0000"/>
  </sheetPr>
  <dimension ref="A1:M14"/>
  <sheetViews>
    <sheetView workbookViewId="0">
      <selection activeCell="D24" sqref="D24"/>
    </sheetView>
  </sheetViews>
  <sheetFormatPr defaultRowHeight="15" x14ac:dyDescent="0.25"/>
  <cols>
    <col min="1" max="1" width="15.7109375" bestFit="1" customWidth="1"/>
    <col min="2" max="2" width="20.5703125" customWidth="1"/>
    <col min="3" max="3" width="13.5703125" style="95" bestFit="1" customWidth="1"/>
    <col min="4" max="4" width="23.42578125" style="95" bestFit="1" customWidth="1"/>
    <col min="5" max="5" width="14.42578125" style="95" bestFit="1" customWidth="1"/>
    <col min="6" max="6" width="16.85546875" style="95" bestFit="1" customWidth="1"/>
    <col min="7" max="7" width="18" style="95" bestFit="1" customWidth="1"/>
    <col min="8" max="8" width="10" bestFit="1" customWidth="1"/>
    <col min="9" max="9" width="11" bestFit="1" customWidth="1"/>
  </cols>
  <sheetData>
    <row r="1" spans="1:13" x14ac:dyDescent="0.25">
      <c r="A1" s="87" t="s">
        <v>132</v>
      </c>
      <c r="B1" s="159">
        <v>41323</v>
      </c>
      <c r="C1" s="159"/>
      <c r="D1" s="88"/>
      <c r="E1" s="88"/>
      <c r="F1" s="88"/>
      <c r="G1" s="88"/>
      <c r="H1" s="163"/>
      <c r="I1" s="163"/>
      <c r="J1" s="89"/>
      <c r="K1" s="89"/>
      <c r="L1" s="89"/>
      <c r="M1" s="89"/>
    </row>
    <row r="2" spans="1:13" x14ac:dyDescent="0.25">
      <c r="A2" s="90" t="s">
        <v>133</v>
      </c>
      <c r="B2" s="90" t="s">
        <v>207</v>
      </c>
      <c r="C2" s="90" t="s">
        <v>208</v>
      </c>
      <c r="D2" s="90"/>
      <c r="E2" s="90"/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55" t="s">
        <v>134</v>
      </c>
      <c r="B3" s="164" t="s">
        <v>209</v>
      </c>
      <c r="C3" s="164" t="s">
        <v>209</v>
      </c>
      <c r="D3" s="164"/>
      <c r="E3" s="164"/>
      <c r="F3" s="103"/>
      <c r="G3" s="103"/>
      <c r="H3" s="94"/>
      <c r="I3" s="164"/>
      <c r="J3" s="93"/>
      <c r="K3" s="93"/>
      <c r="L3" s="93"/>
      <c r="M3" s="93"/>
    </row>
    <row r="4" spans="1:13" x14ac:dyDescent="0.25">
      <c r="A4" s="86"/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5" spans="1:13" x14ac:dyDescent="0.25">
      <c r="A5" s="86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</row>
    <row r="6" spans="1:13" x14ac:dyDescent="0.25">
      <c r="A6" s="86"/>
      <c r="B6" s="92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1:13" x14ac:dyDescent="0.25">
      <c r="A7" s="86"/>
      <c r="B7" s="86"/>
      <c r="C7" s="93"/>
      <c r="D7" s="94"/>
      <c r="E7" s="93"/>
      <c r="F7" s="93"/>
      <c r="G7" s="93"/>
      <c r="H7" s="93"/>
      <c r="I7" s="93"/>
      <c r="J7" s="93"/>
      <c r="K7" s="93"/>
      <c r="L7" s="93"/>
      <c r="M7" s="93"/>
    </row>
    <row r="8" spans="1:13" x14ac:dyDescent="0.25">
      <c r="A8" s="86"/>
      <c r="B8" s="86"/>
      <c r="C8" s="93"/>
      <c r="D8" s="94"/>
      <c r="E8" s="93"/>
      <c r="F8" s="93"/>
      <c r="G8" s="93"/>
      <c r="H8" s="93"/>
      <c r="I8" s="93"/>
      <c r="J8" s="93"/>
      <c r="K8" s="93"/>
      <c r="L8" s="93"/>
      <c r="M8" s="93"/>
    </row>
    <row r="9" spans="1:13" x14ac:dyDescent="0.25">
      <c r="A9" s="86"/>
      <c r="B9" s="86"/>
      <c r="C9" s="93"/>
      <c r="D9" s="94"/>
      <c r="E9" s="93"/>
      <c r="F9" s="93"/>
      <c r="G9" s="93"/>
      <c r="H9" s="93"/>
      <c r="I9" s="93"/>
      <c r="J9" s="93"/>
      <c r="K9" s="93"/>
      <c r="L9" s="93"/>
      <c r="M9" s="93"/>
    </row>
    <row r="10" spans="1:13" x14ac:dyDescent="0.25">
      <c r="A10" s="86"/>
      <c r="B10" s="86"/>
      <c r="C10" s="94"/>
      <c r="D10" s="94"/>
      <c r="E10" s="94"/>
      <c r="F10" s="94"/>
      <c r="G10" s="93"/>
      <c r="H10" s="93"/>
      <c r="I10" s="93"/>
      <c r="J10" s="93"/>
      <c r="K10" s="93"/>
      <c r="L10" s="93"/>
      <c r="M10" s="93"/>
    </row>
    <row r="11" spans="1:13" x14ac:dyDescent="0.25">
      <c r="A11" s="86"/>
      <c r="B11" s="86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</row>
    <row r="13" spans="1:13" x14ac:dyDescent="0.25">
      <c r="A13" s="275" t="s">
        <v>138</v>
      </c>
      <c r="B13" s="275"/>
      <c r="C13" s="275"/>
      <c r="D13" s="275"/>
    </row>
    <row r="14" spans="1:13" x14ac:dyDescent="0.25">
      <c r="A14" s="275"/>
      <c r="B14" s="275"/>
      <c r="C14" s="275"/>
      <c r="D14" s="275"/>
    </row>
  </sheetData>
  <customSheetViews>
    <customSheetView guid="{98CBC5BF-8C89-48A4-860E-9C56014CD200}">
      <selection activeCell="D24" sqref="D24"/>
      <pageMargins left="0.7" right="0.7" top="0.75" bottom="0.75" header="0.3" footer="0.3"/>
      <pageSetup orientation="portrait" r:id="rId1"/>
    </customSheetView>
    <customSheetView guid="{1BC25061-32D5-45DE-83F9-EFA3A1092E03}">
      <selection activeCell="B1" sqref="B1:M11"/>
      <pageMargins left="0.7" right="0.7" top="0.75" bottom="0.75" header="0.3" footer="0.3"/>
      <pageSetup orientation="portrait" r:id="rId2"/>
    </customSheetView>
    <customSheetView guid="{CF917189-7AB9-4E55-816F-ACFC7FA45C05}">
      <selection activeCell="B1" sqref="B1:M11"/>
      <pageMargins left="0.7" right="0.7" top="0.75" bottom="0.75" header="0.3" footer="0.3"/>
      <pageSetup orientation="portrait" r:id="rId3"/>
    </customSheetView>
    <customSheetView guid="{4155806E-C0D0-4CC9-9B31-04245B7DD4C8}">
      <selection activeCell="B1" sqref="B1:M11"/>
      <pageMargins left="0.7" right="0.7" top="0.75" bottom="0.75" header="0.3" footer="0.3"/>
      <pageSetup orientation="portrait" r:id="rId4"/>
    </customSheetView>
    <customSheetView guid="{1587CBCC-2CC7-4525-8A49-E261AB2E1606}">
      <selection activeCell="J30" sqref="J30"/>
      <pageMargins left="0.7" right="0.7" top="0.75" bottom="0.75" header="0.3" footer="0.3"/>
      <pageSetup orientation="portrait" r:id="rId5"/>
    </customSheetView>
    <customSheetView guid="{C5D9000A-81ED-4920-B6AF-4B234775AEC9}">
      <selection activeCell="J30" sqref="J30"/>
      <pageMargins left="0.7" right="0.7" top="0.75" bottom="0.75" header="0.3" footer="0.3"/>
      <pageSetup orientation="portrait" r:id="rId6"/>
    </customSheetView>
  </customSheetViews>
  <mergeCells count="1">
    <mergeCell ref="A13:D14"/>
  </mergeCells>
  <pageMargins left="0.7" right="0.7" top="0.75" bottom="0.75" header="0.3" footer="0.3"/>
  <pageSetup orientation="portrait" r:id="rId7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N44"/>
  <sheetViews>
    <sheetView showGridLines="0" zoomScale="90" zoomScaleNormal="100" workbookViewId="0">
      <selection activeCell="C29" sqref="C29"/>
    </sheetView>
  </sheetViews>
  <sheetFormatPr defaultRowHeight="15" x14ac:dyDescent="0.25"/>
  <cols>
    <col min="1" max="1" width="10.7109375" bestFit="1" customWidth="1"/>
    <col min="2" max="2" width="20.85546875" bestFit="1" customWidth="1"/>
    <col min="3" max="3" width="4.7109375" bestFit="1" customWidth="1"/>
    <col min="4" max="4" width="3.42578125" bestFit="1" customWidth="1"/>
    <col min="5" max="5" width="3.85546875" bestFit="1" customWidth="1"/>
    <col min="6" max="6" width="3.42578125" bestFit="1" customWidth="1"/>
    <col min="7" max="7" width="4" bestFit="1" customWidth="1"/>
    <col min="8" max="8" width="3.42578125" bestFit="1" customWidth="1"/>
    <col min="9" max="9" width="3" bestFit="1" customWidth="1"/>
    <col min="10" max="11" width="3.5703125" bestFit="1" customWidth="1"/>
    <col min="12" max="12" width="3.42578125" bestFit="1" customWidth="1"/>
    <col min="13" max="14" width="3.85546875" bestFit="1" customWidth="1"/>
  </cols>
  <sheetData>
    <row r="1" spans="1:14" ht="48" customHeight="1" x14ac:dyDescent="0.35">
      <c r="B1" s="20"/>
      <c r="C1" s="276" t="s">
        <v>161</v>
      </c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</row>
    <row r="2" spans="1:14" x14ac:dyDescent="0.25">
      <c r="C2" s="36"/>
    </row>
    <row r="3" spans="1:14" x14ac:dyDescent="0.25">
      <c r="A3" s="65" t="s">
        <v>111</v>
      </c>
      <c r="B3" s="65" t="s">
        <v>98</v>
      </c>
      <c r="C3" s="65" t="s">
        <v>120</v>
      </c>
      <c r="D3" s="65" t="s">
        <v>121</v>
      </c>
      <c r="E3" s="65" t="s">
        <v>122</v>
      </c>
      <c r="F3" s="65" t="s">
        <v>123</v>
      </c>
      <c r="G3" s="65" t="s">
        <v>124</v>
      </c>
      <c r="H3" s="65" t="s">
        <v>125</v>
      </c>
      <c r="I3" s="65" t="s">
        <v>126</v>
      </c>
      <c r="J3" s="65" t="s">
        <v>127</v>
      </c>
      <c r="K3" s="65" t="s">
        <v>128</v>
      </c>
      <c r="L3" s="65" t="s">
        <v>129</v>
      </c>
      <c r="M3" s="65" t="s">
        <v>130</v>
      </c>
      <c r="N3" s="65" t="s">
        <v>131</v>
      </c>
    </row>
    <row r="4" spans="1:14" x14ac:dyDescent="0.25">
      <c r="A4" s="66">
        <f>'Employee List'!A4</f>
        <v>31656</v>
      </c>
      <c r="B4" s="66" t="str">
        <f>'Employee List'!B4</f>
        <v>Barry Berendhuysen</v>
      </c>
      <c r="C4" s="207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</row>
    <row r="5" spans="1:14" x14ac:dyDescent="0.25">
      <c r="A5" s="66">
        <f>'Employee List'!A5</f>
        <v>34529</v>
      </c>
      <c r="B5" s="66" t="str">
        <f>'Employee List'!B5</f>
        <v>Bas Boermans</v>
      </c>
      <c r="C5" s="207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x14ac:dyDescent="0.25">
      <c r="A6" s="66">
        <f>'Employee List'!A6</f>
        <v>34576</v>
      </c>
      <c r="B6" s="66" t="str">
        <f>'Employee List'!B6</f>
        <v>Bastiaan Franssen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x14ac:dyDescent="0.25">
      <c r="A7" s="66">
        <f>'Employee List'!A7</f>
        <v>30527</v>
      </c>
      <c r="B7" s="66" t="str">
        <f>'Employee List'!B7</f>
        <v>Bjorn Haagen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x14ac:dyDescent="0.25">
      <c r="A8" s="66">
        <f>'Employee List'!A8</f>
        <v>30920</v>
      </c>
      <c r="B8" s="66" t="str">
        <f>'Employee List'!B8</f>
        <v>Dave Creusen</v>
      </c>
      <c r="C8" s="86"/>
      <c r="D8" s="92"/>
      <c r="E8" s="86"/>
      <c r="F8" s="86"/>
      <c r="G8" s="86"/>
      <c r="H8" s="86"/>
      <c r="I8" s="86"/>
      <c r="J8" s="86"/>
      <c r="K8" s="86"/>
      <c r="L8" s="86"/>
      <c r="M8" s="86"/>
      <c r="N8" s="86"/>
    </row>
    <row r="9" spans="1:14" x14ac:dyDescent="0.25">
      <c r="A9" s="66">
        <f>'Employee List'!A9</f>
        <v>30828</v>
      </c>
      <c r="B9" s="66" t="str">
        <f>'Employee List'!B9</f>
        <v>Davy Smeets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</row>
    <row r="10" spans="1:14" x14ac:dyDescent="0.25">
      <c r="A10" s="66">
        <f>'Employee List'!A10</f>
        <v>34561</v>
      </c>
      <c r="B10" s="66" t="str">
        <f>'Employee List'!B10</f>
        <v>Dennis van 't Hul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</row>
    <row r="11" spans="1:14" x14ac:dyDescent="0.25">
      <c r="A11" s="66">
        <f>'Employee List'!A11</f>
        <v>20043</v>
      </c>
      <c r="B11" s="66" t="str">
        <f>'Employee List'!B11</f>
        <v>Dominique Daemen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</row>
    <row r="12" spans="1:14" x14ac:dyDescent="0.25">
      <c r="A12" s="66">
        <f>'Employee List'!A12</f>
        <v>30763</v>
      </c>
      <c r="B12" s="66" t="str">
        <f>'Employee List'!B12</f>
        <v>Erwin Deckers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</row>
    <row r="13" spans="1:14" x14ac:dyDescent="0.25">
      <c r="A13" s="66">
        <f>'Employee List'!A13</f>
        <v>21025</v>
      </c>
      <c r="B13" s="66" t="str">
        <f>'Employee List'!B13</f>
        <v>Fred Boekwijt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</row>
    <row r="14" spans="1:14" x14ac:dyDescent="0.25">
      <c r="A14" s="66">
        <f>'Employee List'!A14</f>
        <v>21167</v>
      </c>
      <c r="B14" s="66" t="str">
        <f>'Employee List'!B14</f>
        <v>Frido Meijer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</row>
    <row r="15" spans="1:14" x14ac:dyDescent="0.25">
      <c r="A15" s="66">
        <f>'Employee List'!A15</f>
        <v>30528</v>
      </c>
      <c r="B15" s="66" t="str">
        <f>'Employee List'!B15</f>
        <v>Jean Pierre Knubben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</row>
    <row r="16" spans="1:14" x14ac:dyDescent="0.25">
      <c r="A16" s="66">
        <f>'Employee List'!A16</f>
        <v>34555</v>
      </c>
      <c r="B16" s="66" t="str">
        <f>'Employee List'!B16</f>
        <v>Jim van der Weijden</v>
      </c>
      <c r="C16" s="207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</row>
    <row r="17" spans="1:14" x14ac:dyDescent="0.25">
      <c r="A17" s="66">
        <f>'Employee List'!A17</f>
        <v>34562</v>
      </c>
      <c r="B17" s="66" t="str">
        <f>'Employee List'!B17</f>
        <v>Joop Kiefte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</row>
    <row r="18" spans="1:14" x14ac:dyDescent="0.25">
      <c r="A18" s="66">
        <f>'Employee List'!A18</f>
        <v>34579</v>
      </c>
      <c r="B18" s="66" t="str">
        <f>'Employee List'!B18</f>
        <v>Kevin Ploum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</row>
    <row r="19" spans="1:14" x14ac:dyDescent="0.25">
      <c r="A19" s="66">
        <f>'Employee List'!A19</f>
        <v>34563</v>
      </c>
      <c r="B19" s="66" t="str">
        <f>'Employee List'!B19</f>
        <v>Loek Moling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</row>
    <row r="20" spans="1:14" x14ac:dyDescent="0.25">
      <c r="A20" s="66">
        <f>'Employee List'!A20</f>
        <v>22057</v>
      </c>
      <c r="B20" s="66" t="str">
        <f>'Employee List'!B20</f>
        <v>Loode Evers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</row>
    <row r="21" spans="1:14" x14ac:dyDescent="0.25">
      <c r="A21" s="66">
        <f>'Employee List'!A21</f>
        <v>30279</v>
      </c>
      <c r="B21" s="66" t="str">
        <f>'Employee List'!B21</f>
        <v>Manuel Sperti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</row>
    <row r="22" spans="1:14" x14ac:dyDescent="0.25">
      <c r="A22" s="66">
        <f>'Employee List'!A22</f>
        <v>21122</v>
      </c>
      <c r="B22" s="66" t="str">
        <f>'Employee List'!B22</f>
        <v xml:space="preserve">Marc Linssen 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</row>
    <row r="23" spans="1:14" x14ac:dyDescent="0.25">
      <c r="A23" s="66">
        <f>'Employee List'!A23</f>
        <v>20955</v>
      </c>
      <c r="B23" s="66" t="str">
        <f>'Employee List'!B23</f>
        <v>Marco Smeekes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</row>
    <row r="24" spans="1:14" x14ac:dyDescent="0.25">
      <c r="A24" s="66">
        <f>'Employee List'!A24</f>
        <v>31673</v>
      </c>
      <c r="B24" s="66" t="str">
        <f>'Employee List'!B24</f>
        <v>Mark Meijer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</row>
    <row r="25" spans="1:14" x14ac:dyDescent="0.25">
      <c r="A25" s="66">
        <f>'Employee List'!A25</f>
        <v>30761</v>
      </c>
      <c r="B25" s="66" t="str">
        <f>'Employee List'!B25</f>
        <v>Marvin Machelesen</v>
      </c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</row>
    <row r="26" spans="1:14" x14ac:dyDescent="0.25">
      <c r="A26" s="66">
        <f>'Employee List'!A26</f>
        <v>31039</v>
      </c>
      <c r="B26" s="66" t="str">
        <f>'Employee List'!B26</f>
        <v>Michael Callemeijn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</row>
    <row r="27" spans="1:14" x14ac:dyDescent="0.25">
      <c r="A27" s="66">
        <f>'Employee List'!A27</f>
        <v>34590</v>
      </c>
      <c r="B27" s="66" t="str">
        <f>'Employee List'!B27</f>
        <v>Niels Lievaart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</row>
    <row r="28" spans="1:14" x14ac:dyDescent="0.25">
      <c r="A28" s="66">
        <f>'Employee List'!A28</f>
        <v>20228</v>
      </c>
      <c r="B28" s="66" t="str">
        <f>'Employee List'!B28</f>
        <v>Patrick Janssen</v>
      </c>
      <c r="C28" s="219" t="s">
        <v>205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</row>
    <row r="29" spans="1:14" x14ac:dyDescent="0.25">
      <c r="A29" s="66">
        <f>'Employee List'!A29</f>
        <v>20449</v>
      </c>
      <c r="B29" s="66" t="str">
        <f>'Employee List'!B29</f>
        <v>Patrick Ziesen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</row>
    <row r="30" spans="1:14" x14ac:dyDescent="0.25">
      <c r="A30" s="66">
        <f>'Employee List'!A30</f>
        <v>30038</v>
      </c>
      <c r="B30" s="66" t="str">
        <f>'Employee List'!B30</f>
        <v>Robin Nieuwenhuis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</row>
    <row r="31" spans="1:14" x14ac:dyDescent="0.25">
      <c r="A31" s="66">
        <f>'Employee List'!A31</f>
        <v>34592</v>
      </c>
      <c r="B31" s="66" t="str">
        <f>'Employee List'!B31</f>
        <v>Thom van Bodegraven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</row>
    <row r="32" spans="1:14" x14ac:dyDescent="0.25">
      <c r="A32" s="66">
        <f>'Employee List'!A32</f>
        <v>30104</v>
      </c>
      <c r="B32" s="66" t="str">
        <f>'Employee List'!B32</f>
        <v>Tiemen Schumacher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</row>
    <row r="33" spans="1:14" x14ac:dyDescent="0.25">
      <c r="A33" s="66">
        <f>'Employee List'!A33</f>
        <v>30680</v>
      </c>
      <c r="B33" s="66" t="str">
        <f>'Employee List'!B33</f>
        <v>Erik Jaspers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</row>
    <row r="34" spans="1:14" x14ac:dyDescent="0.25">
      <c r="A34" s="66">
        <f>'Employee List'!A34</f>
        <v>40296</v>
      </c>
      <c r="B34" s="66" t="str">
        <f>'Employee List'!B34</f>
        <v>Leo Wijnands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</row>
    <row r="35" spans="1:14" x14ac:dyDescent="0.25">
      <c r="A35" s="66">
        <f>'Employee List'!A35</f>
        <v>40325</v>
      </c>
      <c r="B35" s="66" t="str">
        <f>'Employee List'!B35</f>
        <v>Danny Ummels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</row>
    <row r="36" spans="1:14" x14ac:dyDescent="0.25">
      <c r="A36" s="66">
        <f>'Employee List'!A36</f>
        <v>0</v>
      </c>
      <c r="B36" s="66">
        <f>'Employee List'!B36</f>
        <v>0</v>
      </c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</row>
    <row r="37" spans="1:14" x14ac:dyDescent="0.25">
      <c r="A37" s="66">
        <f>'Employee List'!A37</f>
        <v>0</v>
      </c>
      <c r="B37" s="66">
        <f>'Employee List'!B37</f>
        <v>0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</row>
    <row r="38" spans="1:14" x14ac:dyDescent="0.25">
      <c r="A38" s="66">
        <f>'Employee List'!A38</f>
        <v>0</v>
      </c>
      <c r="B38" s="66">
        <f>'Employee List'!B38</f>
        <v>0</v>
      </c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</row>
    <row r="39" spans="1:14" x14ac:dyDescent="0.25">
      <c r="A39" s="66">
        <f>'Employee List'!A39</f>
        <v>0</v>
      </c>
      <c r="B39" s="66">
        <f>'Employee List'!B39</f>
        <v>0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</row>
    <row r="40" spans="1:14" x14ac:dyDescent="0.25">
      <c r="A40" s="66">
        <f>'Employee List'!A40</f>
        <v>0</v>
      </c>
      <c r="B40" s="66">
        <f>'Employee List'!B40</f>
        <v>0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</row>
    <row r="41" spans="1:14" x14ac:dyDescent="0.25">
      <c r="A41" s="66">
        <f>'Employee List'!A41</f>
        <v>0</v>
      </c>
      <c r="B41" s="66">
        <f>'Employee List'!B41</f>
        <v>0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</row>
    <row r="42" spans="1:14" x14ac:dyDescent="0.25">
      <c r="A42" s="66">
        <f>'Employee List'!A42</f>
        <v>0</v>
      </c>
      <c r="B42" s="66">
        <f>'Employee List'!B42</f>
        <v>0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</row>
    <row r="43" spans="1:14" x14ac:dyDescent="0.25">
      <c r="A43" s="66">
        <f>'Employee List'!A43</f>
        <v>0</v>
      </c>
      <c r="B43" s="66">
        <f>'Employee List'!B43</f>
        <v>0</v>
      </c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</row>
    <row r="44" spans="1:14" x14ac:dyDescent="0.25">
      <c r="A44" s="66">
        <f>'Employee List'!A42</f>
        <v>0</v>
      </c>
      <c r="B44" s="66">
        <f>'Employee List'!B44</f>
        <v>0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</row>
  </sheetData>
  <customSheetViews>
    <customSheetView guid="{98CBC5BF-8C89-48A4-860E-9C56014CD200}" scale="90" showGridLines="0">
      <selection activeCell="C29" sqref="C29"/>
      <pageMargins left="0.7" right="0.7" top="0.75" bottom="0.75" header="0.3" footer="0.3"/>
      <pageSetup paperSize="9" orientation="portrait" r:id="rId1"/>
    </customSheetView>
    <customSheetView guid="{1BC25061-32D5-45DE-83F9-EFA3A1092E03}" scale="90" showGridLines="0">
      <selection activeCell="G13" sqref="G13"/>
      <pageMargins left="0.7" right="0.7" top="0.75" bottom="0.75" header="0.3" footer="0.3"/>
      <pageSetup paperSize="9" orientation="portrait" r:id="rId2"/>
    </customSheetView>
    <customSheetView guid="{CF917189-7AB9-4E55-816F-ACFC7FA45C05}" scale="90" showGridLines="0">
      <selection activeCell="D28" sqref="D28"/>
      <pageMargins left="0.7" right="0.7" top="0.75" bottom="0.75" header="0.3" footer="0.3"/>
      <pageSetup paperSize="9" orientation="portrait" r:id="rId3"/>
    </customSheetView>
    <customSheetView guid="{4155806E-C0D0-4CC9-9B31-04245B7DD4C8}" showGridLines="0">
      <selection activeCell="G13" sqref="G13"/>
      <pageMargins left="0.7" right="0.7" top="0.75" bottom="0.75" header="0.3" footer="0.3"/>
      <pageSetup paperSize="9" orientation="portrait" r:id="rId4"/>
    </customSheetView>
    <customSheetView guid="{1587CBCC-2CC7-4525-8A49-E261AB2E1606}" scale="90" showGridLines="0" topLeftCell="A15">
      <selection activeCell="C19" sqref="C19"/>
      <pageMargins left="0.7" right="0.7" top="0.75" bottom="0.75" header="0.3" footer="0.3"/>
      <pageSetup paperSize="9" orientation="portrait" r:id="rId5"/>
    </customSheetView>
    <customSheetView guid="{C5D9000A-81ED-4920-B6AF-4B234775AEC9}" scale="90" showGridLines="0">
      <selection activeCell="C19" sqref="C19"/>
      <pageMargins left="0.7" right="0.7" top="0.75" bottom="0.75" header="0.3" footer="0.3"/>
      <pageSetup paperSize="9" orientation="portrait" r:id="rId6"/>
    </customSheetView>
  </customSheetViews>
  <mergeCells count="1">
    <mergeCell ref="C1:N1"/>
  </mergeCells>
  <pageMargins left="0.7" right="0.7" top="0.75" bottom="0.75" header="0.3" footer="0.3"/>
  <pageSetup paperSize="9" orientation="portrait" r:id="rId7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7030A0"/>
  </sheetPr>
  <dimension ref="A1:O31"/>
  <sheetViews>
    <sheetView showGridLines="0" topLeftCell="A2" zoomScale="90" zoomScaleNormal="100" workbookViewId="0">
      <selection activeCell="A9" sqref="A1:XFD1048576"/>
    </sheetView>
  </sheetViews>
  <sheetFormatPr defaultRowHeight="15" outlineLevelCol="1" x14ac:dyDescent="0.25"/>
  <cols>
    <col min="1" max="1" width="20.85546875" bestFit="1" customWidth="1"/>
    <col min="2" max="2" width="14.5703125" customWidth="1" outlineLevel="1"/>
    <col min="3" max="3" width="8.7109375" bestFit="1" customWidth="1"/>
    <col min="4" max="4" width="9" bestFit="1" customWidth="1"/>
    <col min="5" max="5" width="9.5703125" bestFit="1" customWidth="1"/>
    <col min="6" max="6" width="9" bestFit="1" customWidth="1"/>
    <col min="7" max="7" width="9.5703125" bestFit="1" customWidth="1"/>
    <col min="8" max="8" width="8.85546875" bestFit="1" customWidth="1"/>
    <col min="9" max="9" width="8.28515625" bestFit="1" customWidth="1"/>
    <col min="10" max="11" width="9.140625" bestFit="1" customWidth="1"/>
    <col min="12" max="12" width="9" bestFit="1" customWidth="1"/>
    <col min="13" max="13" width="9.28515625" bestFit="1" customWidth="1"/>
    <col min="14" max="14" width="9.140625" bestFit="1" customWidth="1"/>
    <col min="15" max="15" width="17.7109375" bestFit="1" customWidth="1"/>
  </cols>
  <sheetData>
    <row r="1" spans="1:15" hidden="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5" ht="30" x14ac:dyDescent="0.25">
      <c r="A2" s="99" t="s">
        <v>135</v>
      </c>
      <c r="B2" s="99" t="s">
        <v>136</v>
      </c>
      <c r="C2" s="147">
        <f>DATE(Title!$F$12,'Training Hours Overview year'!C1,$C$1)</f>
        <v>41275</v>
      </c>
      <c r="D2" s="147">
        <f>DATE(Title!$F$12,'Training Hours Overview year'!D1,$C$1)</f>
        <v>41306</v>
      </c>
      <c r="E2" s="147">
        <f>DATE(Title!$F$12,'Training Hours Overview year'!E1,$C$1)</f>
        <v>41334</v>
      </c>
      <c r="F2" s="147">
        <f>DATE(Title!$F$12,'Training Hours Overview year'!F1,$C$1)</f>
        <v>41365</v>
      </c>
      <c r="G2" s="147">
        <f>DATE(Title!$F$12,'Training Hours Overview year'!G1,$C$1)</f>
        <v>41395</v>
      </c>
      <c r="H2" s="147">
        <f>DATE(Title!$F$12,'Training Hours Overview year'!H1,$C$1)</f>
        <v>41426</v>
      </c>
      <c r="I2" s="147">
        <f>DATE(Title!$F$12,'Training Hours Overview year'!I1,$C$1)</f>
        <v>41456</v>
      </c>
      <c r="J2" s="147">
        <f>DATE(Title!$F$12,'Training Hours Overview year'!J1,$C$1)</f>
        <v>41487</v>
      </c>
      <c r="K2" s="147">
        <f>DATE(Title!$F$12,'Training Hours Overview year'!K1,$C$1)</f>
        <v>41518</v>
      </c>
      <c r="L2" s="147">
        <f>DATE(Title!$F$12,'Training Hours Overview year'!L1,$C$1)</f>
        <v>41548</v>
      </c>
      <c r="M2" s="147">
        <f>DATE(Title!$F$12,'Training Hours Overview year'!M1,$C$1)</f>
        <v>41579</v>
      </c>
      <c r="N2" s="147">
        <f>DATE(Title!$F$12,'Training Hours Overview year'!N1,$C$1)</f>
        <v>41609</v>
      </c>
      <c r="O2" s="100" t="s">
        <v>137</v>
      </c>
    </row>
    <row r="3" spans="1:15" x14ac:dyDescent="0.25">
      <c r="A3" s="101" t="str">
        <f>'Employee List'!B4</f>
        <v>Barry Berendhuysen</v>
      </c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>
        <f>SUM(C3:N3)</f>
        <v>0</v>
      </c>
    </row>
    <row r="4" spans="1:15" x14ac:dyDescent="0.25">
      <c r="A4" s="101" t="str">
        <f>'Employee List'!B5</f>
        <v>Bas Boermans</v>
      </c>
      <c r="B4" s="10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4">
        <f t="shared" ref="O4:O30" si="0">SUM(C4:N4)</f>
        <v>0</v>
      </c>
    </row>
    <row r="5" spans="1:15" x14ac:dyDescent="0.25">
      <c r="A5" s="101" t="str">
        <f>'Employee List'!B6</f>
        <v>Bastiaan Franssen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4">
        <f t="shared" si="0"/>
        <v>0</v>
      </c>
    </row>
    <row r="6" spans="1:15" x14ac:dyDescent="0.25">
      <c r="A6" s="101" t="str">
        <f>'Employee List'!B7</f>
        <v>Bjorn Haagen</v>
      </c>
      <c r="B6" s="105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>
        <f t="shared" si="0"/>
        <v>0</v>
      </c>
    </row>
    <row r="7" spans="1:15" x14ac:dyDescent="0.25">
      <c r="A7" s="101" t="str">
        <f>'Employee List'!B8</f>
        <v>Dave Creusen</v>
      </c>
      <c r="B7" s="102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>
        <f t="shared" si="0"/>
        <v>0</v>
      </c>
    </row>
    <row r="8" spans="1:15" x14ac:dyDescent="0.25">
      <c r="A8" s="101" t="str">
        <f>'Employee List'!B9</f>
        <v>Davy Smeets</v>
      </c>
      <c r="B8" s="102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4">
        <f t="shared" si="0"/>
        <v>0</v>
      </c>
    </row>
    <row r="9" spans="1:15" x14ac:dyDescent="0.25">
      <c r="A9" s="101" t="str">
        <f>'Employee List'!B10</f>
        <v>Dennis van 't Hul</v>
      </c>
      <c r="B9" s="102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4">
        <f t="shared" si="0"/>
        <v>0</v>
      </c>
    </row>
    <row r="10" spans="1:15" x14ac:dyDescent="0.25">
      <c r="A10" s="101" t="str">
        <f>'Employee List'!B11</f>
        <v>Dominique Daemen</v>
      </c>
      <c r="B10" s="102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4">
        <f t="shared" si="0"/>
        <v>0</v>
      </c>
    </row>
    <row r="11" spans="1:15" x14ac:dyDescent="0.25">
      <c r="A11" s="101" t="str">
        <f>'Employee List'!B12</f>
        <v>Erwin Deckers</v>
      </c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4">
        <f t="shared" si="0"/>
        <v>0</v>
      </c>
    </row>
    <row r="12" spans="1:15" x14ac:dyDescent="0.25">
      <c r="A12" s="101" t="str">
        <f>'Employee List'!B13</f>
        <v>Fred Boekwijt</v>
      </c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4">
        <f t="shared" si="0"/>
        <v>0</v>
      </c>
    </row>
    <row r="13" spans="1:15" x14ac:dyDescent="0.25">
      <c r="A13" s="101" t="str">
        <f>'Employee List'!B14</f>
        <v>Frido Meijer</v>
      </c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4">
        <f t="shared" si="0"/>
        <v>0</v>
      </c>
    </row>
    <row r="14" spans="1:15" x14ac:dyDescent="0.25">
      <c r="A14" s="101" t="str">
        <f>'Employee List'!B15</f>
        <v>Jean Pierre Knubben</v>
      </c>
      <c r="B14" s="102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4">
        <f t="shared" si="0"/>
        <v>0</v>
      </c>
    </row>
    <row r="15" spans="1:15" x14ac:dyDescent="0.25">
      <c r="A15" s="101" t="str">
        <f>'Employee List'!B16</f>
        <v>Jim van der Weijden</v>
      </c>
      <c r="B15" s="102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4">
        <f t="shared" si="0"/>
        <v>0</v>
      </c>
    </row>
    <row r="16" spans="1:15" x14ac:dyDescent="0.25">
      <c r="A16" s="101" t="str">
        <f>'Employee List'!B17</f>
        <v>Joop Kiefte</v>
      </c>
      <c r="B16" s="10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4">
        <f t="shared" si="0"/>
        <v>0</v>
      </c>
    </row>
    <row r="17" spans="1:15" x14ac:dyDescent="0.25">
      <c r="A17" s="101" t="str">
        <f>'Employee List'!B18</f>
        <v>Kevin Ploum</v>
      </c>
      <c r="B17" s="102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4">
        <f t="shared" si="0"/>
        <v>0</v>
      </c>
    </row>
    <row r="18" spans="1:15" x14ac:dyDescent="0.25">
      <c r="A18" s="101" t="str">
        <f>'Employee List'!B19</f>
        <v>Loek Moling</v>
      </c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>
        <f t="shared" si="0"/>
        <v>0</v>
      </c>
    </row>
    <row r="19" spans="1:15" x14ac:dyDescent="0.25">
      <c r="A19" s="101" t="str">
        <f>'Employee List'!B20</f>
        <v>Loode Evers</v>
      </c>
      <c r="B19" s="102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4">
        <f t="shared" si="0"/>
        <v>0</v>
      </c>
    </row>
    <row r="20" spans="1:15" x14ac:dyDescent="0.25">
      <c r="A20" s="101" t="str">
        <f>'Employee List'!B21</f>
        <v>Manuel Sperti</v>
      </c>
      <c r="B20" s="102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4">
        <f t="shared" si="0"/>
        <v>0</v>
      </c>
    </row>
    <row r="21" spans="1:15" x14ac:dyDescent="0.25">
      <c r="A21" s="101" t="str">
        <f>'Employee List'!B22</f>
        <v xml:space="preserve">Marc Linssen </v>
      </c>
      <c r="B21" s="102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4">
        <f t="shared" si="0"/>
        <v>0</v>
      </c>
    </row>
    <row r="22" spans="1:15" x14ac:dyDescent="0.25">
      <c r="A22" s="101" t="str">
        <f>'Employee List'!B23</f>
        <v>Marco Smeekes</v>
      </c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4">
        <f t="shared" si="0"/>
        <v>0</v>
      </c>
    </row>
    <row r="23" spans="1:15" x14ac:dyDescent="0.25">
      <c r="A23" s="101" t="str">
        <f>'Employee List'!B24</f>
        <v>Mark Meijer</v>
      </c>
      <c r="B23" s="102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4">
        <f t="shared" si="0"/>
        <v>0</v>
      </c>
    </row>
    <row r="24" spans="1:15" x14ac:dyDescent="0.25">
      <c r="A24" s="101" t="str">
        <f>'Employee List'!B25</f>
        <v>Marvin Machelesen</v>
      </c>
      <c r="B24" s="102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4">
        <f t="shared" si="0"/>
        <v>0</v>
      </c>
    </row>
    <row r="25" spans="1:15" x14ac:dyDescent="0.25">
      <c r="A25" s="101" t="str">
        <f>'Employee List'!B26</f>
        <v>Michael Callemeijn</v>
      </c>
      <c r="B25" s="102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>
        <f t="shared" si="0"/>
        <v>0</v>
      </c>
    </row>
    <row r="26" spans="1:15" x14ac:dyDescent="0.25">
      <c r="A26" s="101" t="str">
        <f>'Employee List'!B27</f>
        <v>Niels Lievaart</v>
      </c>
      <c r="B26" s="102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4">
        <f t="shared" si="0"/>
        <v>0</v>
      </c>
    </row>
    <row r="27" spans="1:15" x14ac:dyDescent="0.25">
      <c r="A27" s="101" t="str">
        <f>'Employee List'!B28</f>
        <v>Patrick Janssen</v>
      </c>
      <c r="B27" s="102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4">
        <f t="shared" si="0"/>
        <v>0</v>
      </c>
    </row>
    <row r="28" spans="1:15" x14ac:dyDescent="0.25">
      <c r="A28" s="101" t="str">
        <f>'Employee List'!B29</f>
        <v>Patrick Ziesen</v>
      </c>
      <c r="B28" s="102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4">
        <f t="shared" si="0"/>
        <v>0</v>
      </c>
    </row>
    <row r="29" spans="1:15" x14ac:dyDescent="0.25">
      <c r="A29" s="101" t="str">
        <f>'Employee List'!B30</f>
        <v>Robin Nieuwenhuis</v>
      </c>
      <c r="B29" s="102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4">
        <f t="shared" si="0"/>
        <v>0</v>
      </c>
    </row>
    <row r="30" spans="1:15" x14ac:dyDescent="0.25">
      <c r="A30" s="101" t="str">
        <f>'Employee List'!B31</f>
        <v>Thom van Bodegraven</v>
      </c>
      <c r="B30" s="102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>
        <f t="shared" si="0"/>
        <v>0</v>
      </c>
    </row>
    <row r="31" spans="1:15" x14ac:dyDescent="0.25">
      <c r="A31" s="277" t="str">
        <f>O2</f>
        <v>Total Training Hours</v>
      </c>
      <c r="B31" s="278"/>
      <c r="C31" s="104">
        <f>SUM(C3:C25)</f>
        <v>0</v>
      </c>
      <c r="D31" s="104">
        <f>SUM(D3:D25)</f>
        <v>0</v>
      </c>
      <c r="E31" s="104">
        <f>SUM(E3:E25)</f>
        <v>0</v>
      </c>
      <c r="F31" s="104">
        <f t="shared" ref="F31:N31" si="1">SUM(F3:F25)</f>
        <v>0</v>
      </c>
      <c r="G31" s="104">
        <f t="shared" si="1"/>
        <v>0</v>
      </c>
      <c r="H31" s="104">
        <f t="shared" si="1"/>
        <v>0</v>
      </c>
      <c r="I31" s="104">
        <f t="shared" si="1"/>
        <v>0</v>
      </c>
      <c r="J31" s="104">
        <f t="shared" si="1"/>
        <v>0</v>
      </c>
      <c r="K31" s="104">
        <f t="shared" si="1"/>
        <v>0</v>
      </c>
      <c r="L31" s="104">
        <f t="shared" si="1"/>
        <v>0</v>
      </c>
      <c r="M31" s="104">
        <f t="shared" si="1"/>
        <v>0</v>
      </c>
      <c r="N31" s="104">
        <f t="shared" si="1"/>
        <v>0</v>
      </c>
      <c r="O31" s="106">
        <f>SUM(O3:O25)</f>
        <v>0</v>
      </c>
    </row>
  </sheetData>
  <autoFilter ref="A2:O31"/>
  <customSheetViews>
    <customSheetView guid="{98CBC5BF-8C89-48A4-860E-9C56014CD200}" scale="90" showGridLines="0" showAutoFilter="1" hiddenRows="1" topLeftCell="A2">
      <selection activeCell="A9" sqref="A1:XFD1048576"/>
      <pageMargins left="0.7" right="0.7" top="0.75" bottom="0.75" header="0.3" footer="0.3"/>
      <pageSetup paperSize="9" orientation="portrait" r:id="rId1"/>
      <autoFilter ref="A2:O31"/>
    </customSheetView>
    <customSheetView guid="{1BC25061-32D5-45DE-83F9-EFA3A1092E03}" scale="90" showGridLines="0" showAutoFilter="1" hiddenRows="1" hiddenColumns="1" topLeftCell="A2">
      <selection activeCell="J2" sqref="J1:J1048576"/>
      <pageMargins left="0.7" right="0.7" top="0.75" bottom="0.75" header="0.3" footer="0.3"/>
      <pageSetup paperSize="9" orientation="portrait" r:id="rId2"/>
      <autoFilter ref="A2:O31"/>
    </customSheetView>
    <customSheetView guid="{CF917189-7AB9-4E55-816F-ACFC7FA45C05}" scale="90" showGridLines="0" showAutoFilter="1" hiddenRows="1" hiddenColumns="1" topLeftCell="A2">
      <selection activeCell="J2" sqref="J1:J1048576"/>
      <pageMargins left="0.7" right="0.7" top="0.75" bottom="0.75" header="0.3" footer="0.3"/>
      <pageSetup paperSize="9" orientation="portrait" r:id="rId3"/>
      <autoFilter ref="A2:O31"/>
    </customSheetView>
    <customSheetView guid="{4155806E-C0D0-4CC9-9B31-04245B7DD4C8}" showGridLines="0" showAutoFilter="1" hiddenColumns="1">
      <selection activeCell="D20" sqref="D20"/>
      <pageMargins left="0.7" right="0.7" top="0.75" bottom="0.75" header="0.3" footer="0.3"/>
      <pageSetup paperSize="9" orientation="portrait" r:id="rId4"/>
      <autoFilter ref="A2:O31"/>
    </customSheetView>
    <customSheetView guid="{1587CBCC-2CC7-4525-8A49-E261AB2E1606}" scale="90" showGridLines="0" showAutoFilter="1" hiddenRows="1" hiddenColumns="1" topLeftCell="A2">
      <selection activeCell="J2" sqref="J1:J1048576"/>
      <pageMargins left="0.7" right="0.7" top="0.75" bottom="0.75" header="0.3" footer="0.3"/>
      <pageSetup paperSize="9" orientation="portrait" r:id="rId5"/>
      <autoFilter ref="A2:O31"/>
    </customSheetView>
    <customSheetView guid="{C5D9000A-81ED-4920-B6AF-4B234775AEC9}" scale="90" showGridLines="0" showAutoFilter="1" hiddenRows="1" hiddenColumns="1" topLeftCell="A2">
      <selection activeCell="J2" sqref="J1:J1048576"/>
      <pageMargins left="0.7" right="0.7" top="0.75" bottom="0.75" header="0.3" footer="0.3"/>
      <pageSetup paperSize="9" orientation="portrait" r:id="rId6"/>
      <autoFilter ref="A2:O31"/>
    </customSheetView>
  </customSheetViews>
  <mergeCells count="1">
    <mergeCell ref="A31:B31"/>
  </mergeCell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CFFCC"/>
  </sheetPr>
  <dimension ref="B2:F24"/>
  <sheetViews>
    <sheetView showGridLines="0" workbookViewId="0">
      <selection activeCell="E8" sqref="E8"/>
    </sheetView>
  </sheetViews>
  <sheetFormatPr defaultRowHeight="15" x14ac:dyDescent="0.25"/>
  <cols>
    <col min="3" max="3" width="10.85546875" customWidth="1"/>
    <col min="4" max="4" width="1.5703125" customWidth="1"/>
    <col min="5" max="6" width="12.42578125" customWidth="1"/>
  </cols>
  <sheetData>
    <row r="2" spans="2:6" ht="15.75" x14ac:dyDescent="0.25">
      <c r="B2" s="115" t="s">
        <v>148</v>
      </c>
    </row>
    <row r="4" spans="2:6" x14ac:dyDescent="0.25">
      <c r="B4" t="s">
        <v>149</v>
      </c>
      <c r="C4" s="265" t="str">
        <f>Title!D16</f>
        <v>Microsoft PSS TS NL</v>
      </c>
      <c r="D4" s="266"/>
      <c r="E4" s="267"/>
    </row>
    <row r="5" spans="2:6" x14ac:dyDescent="0.25">
      <c r="B5" t="s">
        <v>150</v>
      </c>
      <c r="C5" s="265" t="str">
        <f>Title!F12</f>
        <v>2013</v>
      </c>
      <c r="D5" s="266"/>
      <c r="E5" s="267"/>
    </row>
    <row r="7" spans="2:6" ht="30" x14ac:dyDescent="0.25">
      <c r="E7" s="109" t="s">
        <v>145</v>
      </c>
      <c r="F7" s="109" t="s">
        <v>146</v>
      </c>
    </row>
    <row r="8" spans="2:6" x14ac:dyDescent="0.25">
      <c r="C8" s="12" t="s">
        <v>6</v>
      </c>
      <c r="E8" s="142">
        <f>Productivity!P36</f>
        <v>0</v>
      </c>
      <c r="F8" s="142">
        <f>Productivity!Q36</f>
        <v>0</v>
      </c>
    </row>
    <row r="9" spans="2:6" x14ac:dyDescent="0.25">
      <c r="C9" s="12" t="s">
        <v>8</v>
      </c>
      <c r="E9" s="142">
        <f>Productivity!P67</f>
        <v>0</v>
      </c>
      <c r="F9" s="142">
        <f>Productivity!Q67</f>
        <v>0</v>
      </c>
    </row>
    <row r="10" spans="2:6" x14ac:dyDescent="0.25">
      <c r="C10" s="12" t="s">
        <v>9</v>
      </c>
      <c r="E10" s="142">
        <f>Productivity!P100</f>
        <v>0</v>
      </c>
      <c r="F10" s="142">
        <f>Productivity!Q100</f>
        <v>0</v>
      </c>
    </row>
    <row r="11" spans="2:6" x14ac:dyDescent="0.25">
      <c r="C11" s="12" t="s">
        <v>10</v>
      </c>
      <c r="E11" s="142">
        <f>Productivity!P132</f>
        <v>0</v>
      </c>
      <c r="F11" s="142">
        <f>Productivity!Q132</f>
        <v>0</v>
      </c>
    </row>
    <row r="12" spans="2:6" x14ac:dyDescent="0.25">
      <c r="C12" s="12" t="s">
        <v>11</v>
      </c>
      <c r="E12" s="142">
        <f>Productivity!P165</f>
        <v>0</v>
      </c>
      <c r="F12" s="142">
        <f>Productivity!Q165</f>
        <v>0</v>
      </c>
    </row>
    <row r="13" spans="2:6" x14ac:dyDescent="0.25">
      <c r="C13" s="12" t="s">
        <v>12</v>
      </c>
      <c r="E13" s="142">
        <f>Productivity!P197</f>
        <v>0</v>
      </c>
      <c r="F13" s="142">
        <f>Productivity!Q197</f>
        <v>0</v>
      </c>
    </row>
    <row r="14" spans="2:6" x14ac:dyDescent="0.25">
      <c r="C14" s="12" t="s">
        <v>13</v>
      </c>
      <c r="E14" s="142">
        <f>Productivity!P230</f>
        <v>0</v>
      </c>
      <c r="F14" s="142">
        <f>Productivity!Q230</f>
        <v>0</v>
      </c>
    </row>
    <row r="15" spans="2:6" x14ac:dyDescent="0.25">
      <c r="C15" s="12" t="s">
        <v>14</v>
      </c>
      <c r="E15" s="142">
        <f>Productivity!P263</f>
        <v>0</v>
      </c>
      <c r="F15" s="142">
        <f>Productivity!Q263</f>
        <v>0</v>
      </c>
    </row>
    <row r="16" spans="2:6" x14ac:dyDescent="0.25">
      <c r="C16" s="12" t="s">
        <v>15</v>
      </c>
      <c r="E16" s="142">
        <f>Productivity!P295</f>
        <v>0</v>
      </c>
      <c r="F16" s="142">
        <f>Productivity!Q295</f>
        <v>0</v>
      </c>
    </row>
    <row r="17" spans="3:6" x14ac:dyDescent="0.25">
      <c r="C17" s="12" t="s">
        <v>16</v>
      </c>
      <c r="E17" s="142">
        <f>Productivity!P328</f>
        <v>0</v>
      </c>
      <c r="F17" s="142">
        <f>Productivity!Q328</f>
        <v>0</v>
      </c>
    </row>
    <row r="18" spans="3:6" x14ac:dyDescent="0.25">
      <c r="C18" s="12" t="s">
        <v>17</v>
      </c>
      <c r="E18" s="142">
        <f>Productivity!P360</f>
        <v>0</v>
      </c>
      <c r="F18" s="142">
        <f>Productivity!Q360</f>
        <v>0</v>
      </c>
    </row>
    <row r="19" spans="3:6" x14ac:dyDescent="0.25">
      <c r="C19" s="12" t="s">
        <v>18</v>
      </c>
      <c r="E19" s="142">
        <f>Productivity!P393</f>
        <v>0</v>
      </c>
      <c r="F19" s="142">
        <f>Productivity!Q393</f>
        <v>0</v>
      </c>
    </row>
    <row r="20" spans="3:6" ht="15.75" thickBot="1" x14ac:dyDescent="0.3">
      <c r="C20" s="12"/>
      <c r="E20" s="123"/>
      <c r="F20" s="123"/>
    </row>
    <row r="21" spans="3:6" ht="15.75" thickBot="1" x14ac:dyDescent="0.3">
      <c r="C21" s="12" t="s">
        <v>147</v>
      </c>
      <c r="E21" s="144">
        <f>Productivity!P395</f>
        <v>0</v>
      </c>
      <c r="F21" s="144">
        <f>Productivity!Q395</f>
        <v>0</v>
      </c>
    </row>
    <row r="24" spans="3:6" x14ac:dyDescent="0.25">
      <c r="C24" s="268" t="s">
        <v>155</v>
      </c>
      <c r="D24" s="269"/>
      <c r="E24" s="270"/>
      <c r="F24" s="143">
        <v>0.6</v>
      </c>
    </row>
  </sheetData>
  <customSheetViews>
    <customSheetView guid="{98CBC5BF-8C89-48A4-860E-9C56014CD200}" showGridLines="0">
      <selection activeCell="E8" sqref="E8"/>
      <pageMargins left="0.7" right="0.7" top="0.75" bottom="0.75" header="0.3" footer="0.3"/>
      <pageSetup paperSize="9" orientation="portrait" r:id="rId1"/>
    </customSheetView>
    <customSheetView guid="{1BC25061-32D5-45DE-83F9-EFA3A1092E03}" showGridLines="0">
      <selection activeCell="E34" sqref="E34"/>
      <pageMargins left="0.7" right="0.7" top="0.75" bottom="0.75" header="0.3" footer="0.3"/>
      <pageSetup paperSize="9" orientation="portrait" r:id="rId2"/>
    </customSheetView>
    <customSheetView guid="{CF917189-7AB9-4E55-816F-ACFC7FA45C05}" showGridLines="0">
      <selection activeCell="E33" sqref="E33"/>
      <pageMargins left="0.7" right="0.7" top="0.75" bottom="0.75" header="0.3" footer="0.3"/>
      <pageSetup paperSize="9" orientation="portrait" r:id="rId3"/>
    </customSheetView>
    <customSheetView guid="{4155806E-C0D0-4CC9-9B31-04245B7DD4C8}" showGridLines="0">
      <selection activeCell="E33" sqref="E33"/>
      <pageMargins left="0.7" right="0.7" top="0.75" bottom="0.75" header="0.3" footer="0.3"/>
      <pageSetup paperSize="9" orientation="portrait" r:id="rId4"/>
    </customSheetView>
    <customSheetView guid="{1587CBCC-2CC7-4525-8A49-E261AB2E1606}" showGridLines="0">
      <selection activeCell="E33" sqref="E33"/>
      <pageMargins left="0.7" right="0.7" top="0.75" bottom="0.75" header="0.3" footer="0.3"/>
      <pageSetup paperSize="9" orientation="portrait" r:id="rId5"/>
    </customSheetView>
    <customSheetView guid="{C5D9000A-81ED-4920-B6AF-4B234775AEC9}" showGridLines="0">
      <selection activeCell="E33" sqref="E33"/>
      <pageMargins left="0.7" right="0.7" top="0.75" bottom="0.75" header="0.3" footer="0.3"/>
      <pageSetup paperSize="9" orientation="portrait" r:id="rId6"/>
    </customSheetView>
  </customSheetViews>
  <mergeCells count="3">
    <mergeCell ref="C4:E4"/>
    <mergeCell ref="C5:E5"/>
    <mergeCell ref="C24:E24"/>
  </mergeCells>
  <conditionalFormatting sqref="E8:F19 E21:F21">
    <cfRule type="cellIs" dxfId="127" priority="1" operator="between">
      <formula>0.01%</formula>
      <formula>$F$24</formula>
    </cfRule>
  </conditionalFormatting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CCFFCC"/>
  </sheetPr>
  <dimension ref="B1:S489"/>
  <sheetViews>
    <sheetView showGridLines="0" topLeftCell="A2" zoomScale="90" zoomScaleNormal="90" workbookViewId="0">
      <selection activeCell="C20" sqref="C20"/>
    </sheetView>
  </sheetViews>
  <sheetFormatPr defaultRowHeight="15" outlineLevelCol="1" x14ac:dyDescent="0.25"/>
  <cols>
    <col min="1" max="1" width="2" customWidth="1"/>
    <col min="2" max="2" width="28.140625" style="110" bestFit="1" customWidth="1"/>
    <col min="3" max="3" width="7.140625" bestFit="1" customWidth="1"/>
    <col min="4" max="4" width="7" customWidth="1"/>
    <col min="5" max="5" width="7.85546875" style="126" hidden="1" customWidth="1" outlineLevel="1"/>
    <col min="6" max="6" width="8.140625" bestFit="1" customWidth="1" collapsed="1"/>
    <col min="7" max="7" width="9" style="134" bestFit="1" customWidth="1"/>
    <col min="8" max="8" width="9.140625" style="134" bestFit="1" customWidth="1"/>
    <col min="9" max="9" width="6.140625" style="134" bestFit="1" customWidth="1"/>
    <col min="10" max="10" width="6.85546875" style="134" bestFit="1" customWidth="1"/>
    <col min="11" max="11" width="1.85546875" customWidth="1"/>
    <col min="12" max="12" width="7.42578125" bestFit="1" customWidth="1"/>
    <col min="13" max="13" width="8.140625" customWidth="1"/>
    <col min="14" max="14" width="6.7109375" bestFit="1" customWidth="1"/>
    <col min="15" max="15" width="1.85546875" customWidth="1"/>
    <col min="16" max="16" width="11.7109375" customWidth="1"/>
    <col min="17" max="17" width="11.5703125" bestFit="1" customWidth="1"/>
    <col min="19" max="19" width="9.140625" hidden="1" customWidth="1"/>
  </cols>
  <sheetData>
    <row r="1" spans="2:19" hidden="1" x14ac:dyDescent="0.25"/>
    <row r="2" spans="2:19" ht="15.75" x14ac:dyDescent="0.25">
      <c r="B2" s="108" t="s">
        <v>139</v>
      </c>
    </row>
    <row r="3" spans="2:19" ht="90" x14ac:dyDescent="0.25">
      <c r="B3" s="136" t="s">
        <v>4</v>
      </c>
      <c r="C3" s="109" t="s">
        <v>140</v>
      </c>
      <c r="D3" s="109" t="s">
        <v>153</v>
      </c>
      <c r="E3" s="137" t="s">
        <v>151</v>
      </c>
      <c r="F3" s="109" t="s">
        <v>141</v>
      </c>
      <c r="G3" s="138" t="s">
        <v>142</v>
      </c>
      <c r="H3" s="138" t="s">
        <v>43</v>
      </c>
      <c r="I3" s="138" t="s">
        <v>143</v>
      </c>
      <c r="J3" s="138" t="s">
        <v>144</v>
      </c>
      <c r="K3" s="12"/>
      <c r="L3" s="139" t="s">
        <v>152</v>
      </c>
      <c r="M3" s="141" t="s">
        <v>154</v>
      </c>
      <c r="N3" s="109" t="s">
        <v>166</v>
      </c>
      <c r="O3" s="12"/>
      <c r="P3" s="109" t="s">
        <v>145</v>
      </c>
      <c r="Q3" s="109" t="s">
        <v>146</v>
      </c>
    </row>
    <row r="4" spans="2:19" x14ac:dyDescent="0.25">
      <c r="B4"/>
    </row>
    <row r="5" spans="2:19" x14ac:dyDescent="0.25">
      <c r="B5" s="110">
        <f>DATE(Title!$F$12,$S$5,S5)</f>
        <v>41275</v>
      </c>
      <c r="C5" s="111">
        <f>IF(WEEKDAY(B5)=1,0,IF(WEEKDAY(B5)=4,'Hours Scheduled'!$D$44-1,IF(WEEKDAY(B5)=7,0,'Hours Scheduled'!$D$44)))</f>
        <v>25</v>
      </c>
      <c r="D5" s="17">
        <f>C5*7.5</f>
        <v>187.5</v>
      </c>
      <c r="E5" s="127">
        <f>C5*8-G5-H5</f>
        <v>200</v>
      </c>
      <c r="F5" s="111"/>
      <c r="G5" s="129">
        <f>INDEX(January!$C$3:$AH$181,3,MATCH(B5,January!$D$3:$AH$3)+1)+INDEX(January!$C$3:$AH$181,8,MATCH(B5,January!$D$3:$AH$3)+1)+INDEX(January!$C$3:$AH$181,13,MATCH(B5,January!$D$3:$AH$3)+1)+INDEX(January!$C$3:$AH$181,18,MATCH(B5,January!$D$3:$AH$3)+1)+INDEX(January!$C$3:$AH$181,23,MATCH(B5,January!$D$3:$AH$3)+1)+INDEX(January!$C$3:$AH$181,28,MATCH(B5,January!$D$3:$AH$3)+1)+INDEX(January!$C$3:$AH$181,33,MATCH(B5,January!$D$3:$AH$3)+1)+INDEX(January!$C$3:$AH$181,38,MATCH(B5,January!$D$3:$AH$3)+1)+INDEX(January!$C$3:$AH$181,43,MATCH(B5,January!$D$3:$AH$3)+1)+INDEX(January!$C$3:$AH$181,48,MATCH(B5,January!$D$3:$AH$3)+1)+INDEX(January!$C$3:$AH$181,53,MATCH(B5,January!$D$3:$AH$3)+1)+INDEX(January!$C$3:$AH$181,58,MATCH(B5,January!$D$3:$AH$3)+1)+INDEX(January!$C$3:$AH$181,63,MATCH(B5,January!$D$3:$AH$3)+1)+INDEX(January!$C$3:$AH$181,68,MATCH(B5,January!$D$3:$AH$3)+1)+INDEX(January!$C$3:$AH$181,73,MATCH(B5,January!$D$3:$AH$3)+1)+INDEX(January!$C$3:$AH$181,78,MATCH(B5,January!$D$3:$AH$3)+1)+INDEX(January!$C$3:$AH$181,83,MATCH(B5,January!$D$3:$AH$3)+1)+INDEX(January!$C$3:$AH$181,88,MATCH(B5,January!$D$3:$AH$3)+1)+INDEX(January!$C$3:$AH$181,93,MATCH(B5,January!$D$3:$AH$3)+1)+INDEX(January!$C$3:$AH$181,98,MATCH(B5,January!$D$3:$AH$3)+1)+INDEX(January!$C$3:$AH$181,103,MATCH(B5,January!$D$3:$AH$3)+1)+INDEX(January!$C$3:$AH$181,108,MATCH(B5,January!$D$3:$AH$3)+1)+INDEX(January!$C$3:$AH$181,113,MATCH(B5,January!$D$3:$AH$3)+1)+INDEX(January!$C$3:$AH$181,118,MATCH(B5,January!$D$3:$AH$3)+1)+INDEX(January!$C$3:$AH$181,123,MATCH(B5,January!$D$3:$AH$3)+1)+INDEX(January!$C$3:$AH$181,128,MATCH(B5,January!$D$3:$AH$3)+1)+INDEX(January!$C$3:$AH$181,133,MATCH(B5,January!$D$3:$AH$3)+1)+INDEX(January!$C$3:$AH$181,138,MATCH(B5,January!$D$3:$AH$3)+1)+INDEX(January!$C$3:$AH$181,143,MATCH(B5,January!$D$3:$AH$3)+1)+INDEX(January!$C$3:$AH$181,148,MATCH(B5,January!$D$3:$AH$3)+1)-INDEX(January!$B$5:$AH$181,MATCH("Patrick Janssen",January!$B$5:$B$181),MATCH(B5,January!$D$3:$AH$3)+2)-INDEX(January!$B$5:$AH$181,MATCH("Patrick Ziesen",January!$B$5:$B$181),MATCH(B5,January!$D$3:$AH$3)+2)-INDEX(January!$B$5:$AH$181,MATCH("Frido Meijer",January!$B$5:$B$181),MATCH(B5,January!$D$3:$AH$3)+2)</f>
        <v>0</v>
      </c>
      <c r="H5" s="130">
        <f>INDEX(January!$C$3:$AH$181,4,MATCH(B5,January!$D$3:$AH$3)+1)+INDEX(January!$C$3:$AH$181,9,MATCH(B5,January!$D$3:$AH$3)+1)+INDEX(January!$C$3:$AH$181,14,MATCH(B5,January!$D$3:$AH$3)+1)+INDEX(January!$C$3:$AH$181,19,MATCH(B5,January!$D$3:$AH$3)+1)+INDEX(January!$C$3:$AH$181,24,MATCH(B5,January!$D$3:$AH$3)+1)+INDEX(January!$C$3:$AH$181,29,MATCH(B5,January!$D$3:$AH$3)+1)+INDEX(January!$C$3:$AH$181,34,MATCH(B5,January!$D$3:$AH$3)+1)+INDEX(January!$C$3:$AH$181,39,MATCH(B5,January!$D$3:$AH$3)+1)+INDEX(January!$C$3:$AH$181,44,MATCH(B5,January!$D$3:$AH$3)+1)+INDEX(January!$C$3:$AH$181,49,MATCH(B5,January!$D$3:$AH$3)+1)+INDEX(January!$C$3:$AH$181,54,MATCH(B5,January!$D$3:$AH$3)+1)+INDEX(January!$C$3:$AH$181,59,MATCH(B5,January!$D$3:$AH$3)+1)+INDEX(January!$C$3:$AH$181,64,MATCH(B5,January!$D$3:$AH$3)+1)+INDEX(January!$C$3:$AH$181,69,MATCH(B5,January!$D$3:$AH$3)+1)+INDEX(January!$C$3:$AH$181,74,MATCH(B5,January!$D$3:$AH$3)+1)+INDEX(January!$C$3:$AH$181,79,MATCH(B5,January!$D$3:$AH$3)+1)+INDEX(January!$C$3:$AH$181,84,MATCH(B5,January!$D$3:$AH$3)+1)+INDEX(January!$C$3:$AH$181,89,MATCH(B5,January!$D$3:$AH$3)+1)+INDEX(January!$C$3:$AH$181,94,MATCH(B5,January!$D$3:$AH$3)+1)+INDEX(January!$C$3:$AH$181,99,MATCH(B5,January!$D$3:$AH$3)+1)+INDEX(January!$C$3:$AH$181,104,MATCH(B5,January!$D$3:$AH$3)+1)+INDEX(January!$C$3:$AH$181,109,MATCH(B5,January!$D$3:$AH$3)+1)+INDEX(January!$C$3:$AH$181,114,MATCH(B5,January!$D$3:$AH$3)+1)+INDEX(January!$C$3:$AH$181,119,MATCH(B5,January!$D$3:$AH$3)+1)+INDEX(January!$C$3:$AH$181,124,MATCH(B5,January!$D$3:$AH$3)+1)+INDEX(January!$C$3:$AH$181,129,MATCH(B5,January!$D$3:$AH$3)+1)+INDEX(January!$C$3:$AH$181,134,MATCH(B5,January!$D$3:$AH$3)+1)+INDEX(January!$C$3:$AH$181,139,MATCH(B5,January!$D$3:$AH$3)+1)+INDEX(January!$C$3:$AH$181,144,MATCH(B5,January!$D$3:$AH$3)+1)+INDEX(January!$C$3:$AH$181,149,MATCH(B5,January!$D$3:$AH$3)+1)-INDEX(January!$B$5:$AH$181,MATCH("Patrick Janssen",January!$B$5:$B$181)+1,MATCH(B5,January!$D$3:$AH$3)+2)-INDEX(January!$B$5:$AH$181,MATCH("Patrick Ziesen",January!$B$5:$B$181)+1,MATCH(B5,January!$D$3:$AH$3)+2)-INDEX(January!$B$5:$AH$181,MATCH("Frido Meijer",January!$B$5:$B$181)+1,MATCH(B5,January!$D$3:$AH$3)+2)</f>
        <v>0</v>
      </c>
      <c r="I5" s="130">
        <v>0</v>
      </c>
      <c r="J5" s="130">
        <v>0</v>
      </c>
      <c r="L5" s="111"/>
      <c r="M5" s="111"/>
      <c r="N5" s="130">
        <f>IF(L5="",0,6*7.5)</f>
        <v>0</v>
      </c>
      <c r="P5" s="112">
        <f>IFERROR((L5+(M5/60)+N5)/(D5-F5-G5-H5-I5-J5),"")</f>
        <v>0</v>
      </c>
      <c r="Q5" s="112">
        <f t="shared" ref="Q5" si="0">IFERROR((L5+(M5/60)+N5)/(D5-(G5+H5)),"")</f>
        <v>0</v>
      </c>
      <c r="S5">
        <v>1</v>
      </c>
    </row>
    <row r="6" spans="2:19" x14ac:dyDescent="0.25">
      <c r="B6" s="110">
        <f>DATE(Title!$F$12,$S$5,S6)</f>
        <v>41276</v>
      </c>
      <c r="C6" s="111">
        <f>IF(WEEKDAY(B6)=1,0,IF(WEEKDAY(B6)=4,'Hours Scheduled'!$D$44-1,IF(WEEKDAY(B6)=7,0,'Hours Scheduled'!$D$44)))-2</f>
        <v>22</v>
      </c>
      <c r="D6" s="17">
        <f t="shared" ref="D6:D36" si="1">C6*7.5</f>
        <v>165</v>
      </c>
      <c r="E6" s="127">
        <f t="shared" ref="E6:E35" si="2">C6*8-G6-H6</f>
        <v>136</v>
      </c>
      <c r="F6" s="111"/>
      <c r="G6" s="129">
        <f>INDEX(January!$C$3:$AH$181,3,MATCH(B6,January!$D$3:$AH$3)+1)+INDEX(January!$C$3:$AH$181,8,MATCH(B6,January!$D$3:$AH$3)+1)+INDEX(January!$C$3:$AH$181,13,MATCH(B6,January!$D$3:$AH$3)+1)+INDEX(January!$C$3:$AH$181,18,MATCH(B6,January!$D$3:$AH$3)+1)+INDEX(January!$C$3:$AH$181,23,MATCH(B6,January!$D$3:$AH$3)+1)+INDEX(January!$C$3:$AH$181,28,MATCH(B6,January!$D$3:$AH$3)+1)+INDEX(January!$C$3:$AH$181,33,MATCH(B6,January!$D$3:$AH$3)+1)+INDEX(January!$C$3:$AH$181,38,MATCH(B6,January!$D$3:$AH$3)+1)+INDEX(January!$C$3:$AH$181,43,MATCH(B6,January!$D$3:$AH$3)+1)+INDEX(January!$C$3:$AH$181,48,MATCH(B6,January!$D$3:$AH$3)+1)+INDEX(January!$C$3:$AH$181,53,MATCH(B6,January!$D$3:$AH$3)+1)+INDEX(January!$C$3:$AH$181,58,MATCH(B6,January!$D$3:$AH$3)+1)+INDEX(January!$C$3:$AH$181,63,MATCH(B6,January!$D$3:$AH$3)+1)+INDEX(January!$C$3:$AH$181,68,MATCH(B6,January!$D$3:$AH$3)+1)+INDEX(January!$C$3:$AH$181,73,MATCH(B6,January!$D$3:$AH$3)+1)+INDEX(January!$C$3:$AH$181,78,MATCH(B6,January!$D$3:$AH$3)+1)+INDEX(January!$C$3:$AH$181,83,MATCH(B6,January!$D$3:$AH$3)+1)+INDEX(January!$C$3:$AH$181,88,MATCH(B6,January!$D$3:$AH$3)+1)+INDEX(January!$C$3:$AH$181,93,MATCH(B6,January!$D$3:$AH$3)+1)+INDEX(January!$C$3:$AH$181,98,MATCH(B6,January!$D$3:$AH$3)+1)+INDEX(January!$C$3:$AH$181,103,MATCH(B6,January!$D$3:$AH$3)+1)+INDEX(January!$C$3:$AH$181,108,MATCH(B6,January!$D$3:$AH$3)+1)+INDEX(January!$C$3:$AH$181,113,MATCH(B6,January!$D$3:$AH$3)+1)+INDEX(January!$C$3:$AH$181,118,MATCH(B6,January!$D$3:$AH$3)+1)+INDEX(January!$C$3:$AH$181,123,MATCH(B6,January!$D$3:$AH$3)+1)+INDEX(January!$C$3:$AH$181,128,MATCH(B6,January!$D$3:$AH$3)+1)+INDEX(January!$C$3:$AH$181,133,MATCH(B6,January!$D$3:$AH$3)+1)+INDEX(January!$C$3:$AH$181,138,MATCH(B6,January!$D$3:$AH$3)+1)+INDEX(January!$C$3:$AH$181,143,MATCH(B6,January!$D$3:$AH$3)+1)+INDEX(January!$C$3:$AH$181,148,MATCH(B6,January!$D$3:$AH$3)+1)-INDEX(January!$B$5:$AH$181,MATCH("Patrick Janssen",January!$B$5:$B$181),MATCH(B6,January!$D$3:$AH$3)+2)-INDEX(January!$B$5:$AH$181,MATCH("Patrick Ziesen",January!$B$5:$B$181),MATCH(B6,January!$D$3:$AH$3)+2)-INDEX(January!$B$5:$AH$181,MATCH("Frido Meijer",January!$B$5:$B$181),MATCH(B6,January!$D$3:$AH$3)+2)</f>
        <v>40</v>
      </c>
      <c r="H6" s="130">
        <f>INDEX(January!$C$3:$AH$181,4,MATCH(B6,January!$D$3:$AH$3)+1)+INDEX(January!$C$3:$AH$181,9,MATCH(B6,January!$D$3:$AH$3)+1)+INDEX(January!$C$3:$AH$181,14,MATCH(B6,January!$D$3:$AH$3)+1)+INDEX(January!$C$3:$AH$181,19,MATCH(B6,January!$D$3:$AH$3)+1)+INDEX(January!$C$3:$AH$181,24,MATCH(B6,January!$D$3:$AH$3)+1)+INDEX(January!$C$3:$AH$181,29,MATCH(B6,January!$D$3:$AH$3)+1)+INDEX(January!$C$3:$AH$181,34,MATCH(B6,January!$D$3:$AH$3)+1)+INDEX(January!$C$3:$AH$181,39,MATCH(B6,January!$D$3:$AH$3)+1)+INDEX(January!$C$3:$AH$181,44,MATCH(B6,January!$D$3:$AH$3)+1)+INDEX(January!$C$3:$AH$181,49,MATCH(B6,January!$D$3:$AH$3)+1)+INDEX(January!$C$3:$AH$181,54,MATCH(B6,January!$D$3:$AH$3)+1)+INDEX(January!$C$3:$AH$181,59,MATCH(B6,January!$D$3:$AH$3)+1)+INDEX(January!$C$3:$AH$181,64,MATCH(B6,January!$D$3:$AH$3)+1)+INDEX(January!$C$3:$AH$181,69,MATCH(B6,January!$D$3:$AH$3)+1)+INDEX(January!$C$3:$AH$181,74,MATCH(B6,January!$D$3:$AH$3)+1)+INDEX(January!$C$3:$AH$181,79,MATCH(B6,January!$D$3:$AH$3)+1)+INDEX(January!$C$3:$AH$181,84,MATCH(B6,January!$D$3:$AH$3)+1)+INDEX(January!$C$3:$AH$181,89,MATCH(B6,January!$D$3:$AH$3)+1)+INDEX(January!$C$3:$AH$181,94,MATCH(B6,January!$D$3:$AH$3)+1)+INDEX(January!$C$3:$AH$181,99,MATCH(B6,January!$D$3:$AH$3)+1)+INDEX(January!$C$3:$AH$181,104,MATCH(B6,January!$D$3:$AH$3)+1)+INDEX(January!$C$3:$AH$181,109,MATCH(B6,January!$D$3:$AH$3)+1)+INDEX(January!$C$3:$AH$181,114,MATCH(B6,January!$D$3:$AH$3)+1)+INDEX(January!$C$3:$AH$181,119,MATCH(B6,January!$D$3:$AH$3)+1)+INDEX(January!$C$3:$AH$181,124,MATCH(B6,January!$D$3:$AH$3)+1)+INDEX(January!$C$3:$AH$181,129,MATCH(B6,January!$D$3:$AH$3)+1)+INDEX(January!$C$3:$AH$181,134,MATCH(B6,January!$D$3:$AH$3)+1)+INDEX(January!$C$3:$AH$181,139,MATCH(B6,January!$D$3:$AH$3)+1)+INDEX(January!$C$3:$AH$181,144,MATCH(B6,January!$D$3:$AH$3)+1)+INDEX(January!$C$3:$AH$181,149,MATCH(B6,January!$D$3:$AH$3)+1)-INDEX(January!$B$5:$AH$181,MATCH("Patrick Janssen",January!$B$5:$B$181)+1,MATCH(B6,January!$D$3:$AH$3)+2)-INDEX(January!$B$5:$AH$181,MATCH("Patrick Ziesen",January!$B$5:$B$181)+1,MATCH(B6,January!$D$3:$AH$3)+2)-INDEX(January!$B$5:$AH$181,MATCH("Frido Meijer",January!$B$5:$B$181)+1,MATCH(B6,January!$D$3:$AH$3)+2)</f>
        <v>0</v>
      </c>
      <c r="I6" s="130">
        <v>0</v>
      </c>
      <c r="J6" s="130">
        <v>0</v>
      </c>
      <c r="L6" s="212"/>
      <c r="M6" s="111"/>
      <c r="N6" s="130">
        <f t="shared" ref="N6:N35" si="3">IF(L6="",0,6*7.5)</f>
        <v>0</v>
      </c>
      <c r="P6" s="112">
        <f>IFERROR((L6+(M6/60)+N6)/(D6-F6-G6-H6-I6-J6),"")</f>
        <v>0</v>
      </c>
      <c r="Q6" s="112">
        <f t="shared" ref="Q6:Q35" si="4">IFERROR((L6+(M6/60)+N6)/(D6-(G6+H6)),"")</f>
        <v>0</v>
      </c>
      <c r="S6">
        <v>2</v>
      </c>
    </row>
    <row r="7" spans="2:19" x14ac:dyDescent="0.25">
      <c r="B7" s="110">
        <f>DATE(Title!$F$12,$S$5,S7)</f>
        <v>41277</v>
      </c>
      <c r="C7" s="111">
        <f>IF(WEEKDAY(B7)=1,0,IF(WEEKDAY(B7)=4,'Hours Scheduled'!$D$44-1,IF(WEEKDAY(B7)=7,0,'Hours Scheduled'!$D$44)))-2</f>
        <v>23</v>
      </c>
      <c r="D7" s="17">
        <f t="shared" si="1"/>
        <v>172.5</v>
      </c>
      <c r="E7" s="127">
        <f>C7*8-G7-H7</f>
        <v>165.5</v>
      </c>
      <c r="F7" s="111"/>
      <c r="G7" s="129">
        <f>INDEX(January!$C$3:$AH$181,3,MATCH(B7,January!$D$3:$AH$3)+1)+INDEX(January!$C$3:$AH$181,8,MATCH(B7,January!$D$3:$AH$3)+1)+INDEX(January!$C$3:$AH$181,13,MATCH(B7,January!$D$3:$AH$3)+1)+INDEX(January!$C$3:$AH$181,18,MATCH(B7,January!$D$3:$AH$3)+1)+INDEX(January!$C$3:$AH$181,23,MATCH(B7,January!$D$3:$AH$3)+1)+INDEX(January!$C$3:$AH$181,28,MATCH(B7,January!$D$3:$AH$3)+1)+INDEX(January!$C$3:$AH$181,33,MATCH(B7,January!$D$3:$AH$3)+1)+INDEX(January!$C$3:$AH$181,38,MATCH(B7,January!$D$3:$AH$3)+1)+INDEX(January!$C$3:$AH$181,43,MATCH(B7,January!$D$3:$AH$3)+1)+INDEX(January!$C$3:$AH$181,48,MATCH(B7,January!$D$3:$AH$3)+1)+INDEX(January!$C$3:$AH$181,53,MATCH(B7,January!$D$3:$AH$3)+1)+INDEX(January!$C$3:$AH$181,58,MATCH(B7,January!$D$3:$AH$3)+1)+INDEX(January!$C$3:$AH$181,63,MATCH(B7,January!$D$3:$AH$3)+1)+INDEX(January!$C$3:$AH$181,68,MATCH(B7,January!$D$3:$AH$3)+1)+INDEX(January!$C$3:$AH$181,73,MATCH(B7,January!$D$3:$AH$3)+1)+INDEX(January!$C$3:$AH$181,78,MATCH(B7,January!$D$3:$AH$3)+1)+INDEX(January!$C$3:$AH$181,83,MATCH(B7,January!$D$3:$AH$3)+1)+INDEX(January!$C$3:$AH$181,88,MATCH(B7,January!$D$3:$AH$3)+1)+INDEX(January!$C$3:$AH$181,93,MATCH(B7,January!$D$3:$AH$3)+1)+INDEX(January!$C$3:$AH$181,98,MATCH(B7,January!$D$3:$AH$3)+1)+INDEX(January!$C$3:$AH$181,103,MATCH(B7,January!$D$3:$AH$3)+1)+INDEX(January!$C$3:$AH$181,108,MATCH(B7,January!$D$3:$AH$3)+1)+INDEX(January!$C$3:$AH$181,113,MATCH(B7,January!$D$3:$AH$3)+1)+INDEX(January!$C$3:$AH$181,118,MATCH(B7,January!$D$3:$AH$3)+1)+INDEX(January!$C$3:$AH$181,123,MATCH(B7,January!$D$3:$AH$3)+1)+INDEX(January!$C$3:$AH$181,128,MATCH(B7,January!$D$3:$AH$3)+1)+INDEX(January!$C$3:$AH$181,133,MATCH(B7,January!$D$3:$AH$3)+1)+INDEX(January!$C$3:$AH$181,138,MATCH(B7,January!$D$3:$AH$3)+1)+INDEX(January!$C$3:$AH$181,143,MATCH(B7,January!$D$3:$AH$3)+1)+INDEX(January!$C$3:$AH$181,148,MATCH(B7,January!$D$3:$AH$3)+1)-INDEX(January!$B$5:$AH$181,MATCH("Patrick Janssen",January!$B$5:$B$181),MATCH(B7,January!$D$3:$AH$3)+2)-INDEX(January!$B$5:$AH$181,MATCH("Patrick Ziesen",January!$B$5:$B$181),MATCH(B7,January!$D$3:$AH$3)+2)-INDEX(January!$B$5:$AH$181,MATCH("Frido Meijer",January!$B$5:$B$181),MATCH(B7,January!$D$3:$AH$3)+2)</f>
        <v>18.5</v>
      </c>
      <c r="H7" s="130">
        <f>INDEX(January!$C$3:$AH$181,4,MATCH(B7,January!$D$3:$AH$3)+1)+INDEX(January!$C$3:$AH$181,9,MATCH(B7,January!$D$3:$AH$3)+1)+INDEX(January!$C$3:$AH$181,14,MATCH(B7,January!$D$3:$AH$3)+1)+INDEX(January!$C$3:$AH$181,19,MATCH(B7,January!$D$3:$AH$3)+1)+INDEX(January!$C$3:$AH$181,24,MATCH(B7,January!$D$3:$AH$3)+1)+INDEX(January!$C$3:$AH$181,29,MATCH(B7,January!$D$3:$AH$3)+1)+INDEX(January!$C$3:$AH$181,34,MATCH(B7,January!$D$3:$AH$3)+1)+INDEX(January!$C$3:$AH$181,39,MATCH(B7,January!$D$3:$AH$3)+1)+INDEX(January!$C$3:$AH$181,44,MATCH(B7,January!$D$3:$AH$3)+1)+INDEX(January!$C$3:$AH$181,49,MATCH(B7,January!$D$3:$AH$3)+1)+INDEX(January!$C$3:$AH$181,54,MATCH(B7,January!$D$3:$AH$3)+1)+INDEX(January!$C$3:$AH$181,59,MATCH(B7,January!$D$3:$AH$3)+1)+INDEX(January!$C$3:$AH$181,64,MATCH(B7,January!$D$3:$AH$3)+1)+INDEX(January!$C$3:$AH$181,69,MATCH(B7,January!$D$3:$AH$3)+1)+INDEX(January!$C$3:$AH$181,74,MATCH(B7,January!$D$3:$AH$3)+1)+INDEX(January!$C$3:$AH$181,79,MATCH(B7,January!$D$3:$AH$3)+1)+INDEX(January!$C$3:$AH$181,84,MATCH(B7,January!$D$3:$AH$3)+1)+INDEX(January!$C$3:$AH$181,89,MATCH(B7,January!$D$3:$AH$3)+1)+INDEX(January!$C$3:$AH$181,94,MATCH(B7,January!$D$3:$AH$3)+1)+INDEX(January!$C$3:$AH$181,99,MATCH(B7,January!$D$3:$AH$3)+1)+INDEX(January!$C$3:$AH$181,104,MATCH(B7,January!$D$3:$AH$3)+1)+INDEX(January!$C$3:$AH$181,109,MATCH(B7,January!$D$3:$AH$3)+1)+INDEX(January!$C$3:$AH$181,114,MATCH(B7,January!$D$3:$AH$3)+1)+INDEX(January!$C$3:$AH$181,119,MATCH(B7,January!$D$3:$AH$3)+1)+INDEX(January!$C$3:$AH$181,124,MATCH(B7,January!$D$3:$AH$3)+1)+INDEX(January!$C$3:$AH$181,129,MATCH(B7,January!$D$3:$AH$3)+1)+INDEX(January!$C$3:$AH$181,134,MATCH(B7,January!$D$3:$AH$3)+1)+INDEX(January!$C$3:$AH$181,139,MATCH(B7,January!$D$3:$AH$3)+1)+INDEX(January!$C$3:$AH$181,144,MATCH(B7,January!$D$3:$AH$3)+1)+INDEX(January!$C$3:$AH$181,149,MATCH(B7,January!$D$3:$AH$3)+1)-INDEX(January!$B$5:$AH$181,MATCH("Patrick Janssen",January!$B$5:$B$181)+1,MATCH(B7,January!$D$3:$AH$3)+2)-INDEX(January!$B$5:$AH$181,MATCH("Patrick Ziesen",January!$B$5:$B$181)+1,MATCH(B7,January!$D$3:$AH$3)+2)-INDEX(January!$B$5:$AH$181,MATCH("Frido Meijer",January!$B$5:$B$181)+1,MATCH(B7,January!$D$3:$AH$3)+2)</f>
        <v>0</v>
      </c>
      <c r="I7" s="130">
        <v>0</v>
      </c>
      <c r="J7" s="130">
        <v>0</v>
      </c>
      <c r="L7" s="212"/>
      <c r="M7" s="111"/>
      <c r="N7" s="130">
        <f t="shared" si="3"/>
        <v>0</v>
      </c>
      <c r="P7" s="112">
        <f t="shared" ref="P7:P35" si="5">IFERROR((L7+(M7/60)+N7)/(D7-F7-G7-H7-I7-J7),"")</f>
        <v>0</v>
      </c>
      <c r="Q7" s="112">
        <f t="shared" si="4"/>
        <v>0</v>
      </c>
      <c r="S7">
        <v>3</v>
      </c>
    </row>
    <row r="8" spans="2:19" x14ac:dyDescent="0.25">
      <c r="B8" s="110">
        <f>DATE(Title!$F$12,$S$5,S8)</f>
        <v>41278</v>
      </c>
      <c r="C8" s="111">
        <f>IF(WEEKDAY(B8)=1,0,IF(WEEKDAY(B8)=4,'Hours Scheduled'!$D$44-1,IF(WEEKDAY(B8)=7,0,'Hours Scheduled'!$D$44)))-2</f>
        <v>23</v>
      </c>
      <c r="D8" s="17">
        <f t="shared" si="1"/>
        <v>172.5</v>
      </c>
      <c r="E8" s="127">
        <f t="shared" si="2"/>
        <v>152</v>
      </c>
      <c r="F8" s="111"/>
      <c r="G8" s="129">
        <f>INDEX(January!$C$3:$AH$181,3,MATCH(B8,January!$D$3:$AH$3)+1)+INDEX(January!$C$3:$AH$181,8,MATCH(B8,January!$D$3:$AH$3)+1)+INDEX(January!$C$3:$AH$181,13,MATCH(B8,January!$D$3:$AH$3)+1)+INDEX(January!$C$3:$AH$181,18,MATCH(B8,January!$D$3:$AH$3)+1)+INDEX(January!$C$3:$AH$181,23,MATCH(B8,January!$D$3:$AH$3)+1)+INDEX(January!$C$3:$AH$181,28,MATCH(B8,January!$D$3:$AH$3)+1)+INDEX(January!$C$3:$AH$181,33,MATCH(B8,January!$D$3:$AH$3)+1)+INDEX(January!$C$3:$AH$181,38,MATCH(B8,January!$D$3:$AH$3)+1)+INDEX(January!$C$3:$AH$181,43,MATCH(B8,January!$D$3:$AH$3)+1)+INDEX(January!$C$3:$AH$181,48,MATCH(B8,January!$D$3:$AH$3)+1)+INDEX(January!$C$3:$AH$181,53,MATCH(B8,January!$D$3:$AH$3)+1)+INDEX(January!$C$3:$AH$181,58,MATCH(B8,January!$D$3:$AH$3)+1)+INDEX(January!$C$3:$AH$181,63,MATCH(B8,January!$D$3:$AH$3)+1)+INDEX(January!$C$3:$AH$181,68,MATCH(B8,January!$D$3:$AH$3)+1)+INDEX(January!$C$3:$AH$181,73,MATCH(B8,January!$D$3:$AH$3)+1)+INDEX(January!$C$3:$AH$181,78,MATCH(B8,January!$D$3:$AH$3)+1)+INDEX(January!$C$3:$AH$181,83,MATCH(B8,January!$D$3:$AH$3)+1)+INDEX(January!$C$3:$AH$181,88,MATCH(B8,January!$D$3:$AH$3)+1)+INDEX(January!$C$3:$AH$181,93,MATCH(B8,January!$D$3:$AH$3)+1)+INDEX(January!$C$3:$AH$181,98,MATCH(B8,January!$D$3:$AH$3)+1)+INDEX(January!$C$3:$AH$181,103,MATCH(B8,January!$D$3:$AH$3)+1)+INDEX(January!$C$3:$AH$181,108,MATCH(B8,January!$D$3:$AH$3)+1)+INDEX(January!$C$3:$AH$181,113,MATCH(B8,January!$D$3:$AH$3)+1)+INDEX(January!$C$3:$AH$181,118,MATCH(B8,January!$D$3:$AH$3)+1)+INDEX(January!$C$3:$AH$181,123,MATCH(B8,January!$D$3:$AH$3)+1)+INDEX(January!$C$3:$AH$181,128,MATCH(B8,January!$D$3:$AH$3)+1)+INDEX(January!$C$3:$AH$181,133,MATCH(B8,January!$D$3:$AH$3)+1)+INDEX(January!$C$3:$AH$181,138,MATCH(B8,January!$D$3:$AH$3)+1)+INDEX(January!$C$3:$AH$181,143,MATCH(B8,January!$D$3:$AH$3)+1)+INDEX(January!$C$3:$AH$181,148,MATCH(B8,January!$D$3:$AH$3)+1)-INDEX(January!$B$5:$AH$181,MATCH("Patrick Janssen",January!$B$5:$B$181),MATCH(B8,January!$D$3:$AH$3)+2)-INDEX(January!$B$5:$AH$181,MATCH("Patrick Ziesen",January!$B$5:$B$181),MATCH(B8,January!$D$3:$AH$3)+2)-INDEX(January!$B$5:$AH$181,MATCH("Frido Meijer",January!$B$5:$B$181),MATCH(B8,January!$D$3:$AH$3)+2)</f>
        <v>24</v>
      </c>
      <c r="H8" s="130">
        <f>INDEX(January!$C$3:$AH$181,4,MATCH(B8,January!$D$3:$AH$3)+1)+INDEX(January!$C$3:$AH$181,9,MATCH(B8,January!$D$3:$AH$3)+1)+INDEX(January!$C$3:$AH$181,14,MATCH(B8,January!$D$3:$AH$3)+1)+INDEX(January!$C$3:$AH$181,19,MATCH(B8,January!$D$3:$AH$3)+1)+INDEX(January!$C$3:$AH$181,24,MATCH(B8,January!$D$3:$AH$3)+1)+INDEX(January!$C$3:$AH$181,29,MATCH(B8,January!$D$3:$AH$3)+1)+INDEX(January!$C$3:$AH$181,34,MATCH(B8,January!$D$3:$AH$3)+1)+INDEX(January!$C$3:$AH$181,39,MATCH(B8,January!$D$3:$AH$3)+1)+INDEX(January!$C$3:$AH$181,44,MATCH(B8,January!$D$3:$AH$3)+1)+INDEX(January!$C$3:$AH$181,49,MATCH(B8,January!$D$3:$AH$3)+1)+INDEX(January!$C$3:$AH$181,54,MATCH(B8,January!$D$3:$AH$3)+1)+INDEX(January!$C$3:$AH$181,59,MATCH(B8,January!$D$3:$AH$3)+1)+INDEX(January!$C$3:$AH$181,64,MATCH(B8,January!$D$3:$AH$3)+1)+INDEX(January!$C$3:$AH$181,69,MATCH(B8,January!$D$3:$AH$3)+1)+INDEX(January!$C$3:$AH$181,74,MATCH(B8,January!$D$3:$AH$3)+1)+INDEX(January!$C$3:$AH$181,79,MATCH(B8,January!$D$3:$AH$3)+1)+INDEX(January!$C$3:$AH$181,84,MATCH(B8,January!$D$3:$AH$3)+1)+INDEX(January!$C$3:$AH$181,89,MATCH(B8,January!$D$3:$AH$3)+1)+INDEX(January!$C$3:$AH$181,94,MATCH(B8,January!$D$3:$AH$3)+1)+INDEX(January!$C$3:$AH$181,99,MATCH(B8,January!$D$3:$AH$3)+1)+INDEX(January!$C$3:$AH$181,104,MATCH(B8,January!$D$3:$AH$3)+1)+INDEX(January!$C$3:$AH$181,109,MATCH(B8,January!$D$3:$AH$3)+1)+INDEX(January!$C$3:$AH$181,114,MATCH(B8,January!$D$3:$AH$3)+1)+INDEX(January!$C$3:$AH$181,119,MATCH(B8,January!$D$3:$AH$3)+1)+INDEX(January!$C$3:$AH$181,124,MATCH(B8,January!$D$3:$AH$3)+1)+INDEX(January!$C$3:$AH$181,129,MATCH(B8,January!$D$3:$AH$3)+1)+INDEX(January!$C$3:$AH$181,134,MATCH(B8,January!$D$3:$AH$3)+1)+INDEX(January!$C$3:$AH$181,139,MATCH(B8,January!$D$3:$AH$3)+1)+INDEX(January!$C$3:$AH$181,144,MATCH(B8,January!$D$3:$AH$3)+1)+INDEX(January!$C$3:$AH$181,149,MATCH(B8,January!$D$3:$AH$3)+1)-INDEX(January!$B$5:$AH$181,MATCH("Patrick Janssen",January!$B$5:$B$181)+1,MATCH(B8,January!$D$3:$AH$3)+2)-INDEX(January!$B$5:$AH$181,MATCH("Patrick Ziesen",January!$B$5:$B$181)+1,MATCH(B8,January!$D$3:$AH$3)+2)-INDEX(January!$B$5:$AH$181,MATCH("Frido Meijer",January!$B$5:$B$181)+1,MATCH(B8,January!$D$3:$AH$3)+2)</f>
        <v>8</v>
      </c>
      <c r="I8" s="130">
        <v>0</v>
      </c>
      <c r="J8" s="130">
        <v>0</v>
      </c>
      <c r="L8" s="212"/>
      <c r="M8" s="111"/>
      <c r="N8" s="130">
        <f t="shared" si="3"/>
        <v>0</v>
      </c>
      <c r="P8" s="112">
        <f t="shared" si="5"/>
        <v>0</v>
      </c>
      <c r="Q8" s="112">
        <f t="shared" si="4"/>
        <v>0</v>
      </c>
      <c r="S8">
        <v>4</v>
      </c>
    </row>
    <row r="9" spans="2:19" x14ac:dyDescent="0.25">
      <c r="B9" s="110">
        <f>DATE(Title!$F$12,$S$5,S9)</f>
        <v>41279</v>
      </c>
      <c r="C9" s="111">
        <f>IF(WEEKDAY(B9)=1,0,IF(WEEKDAY(B9)=4,'Hours Scheduled'!$D$44-1,IF(WEEKDAY(B9)=7,0,'Hours Scheduled'!$D$44)))-2</f>
        <v>-2</v>
      </c>
      <c r="D9" s="17">
        <f t="shared" si="1"/>
        <v>-15</v>
      </c>
      <c r="E9" s="127">
        <f t="shared" si="2"/>
        <v>-16</v>
      </c>
      <c r="F9" s="111"/>
      <c r="G9" s="129">
        <f>INDEX(January!$C$3:$AH$181,3,MATCH(B9,January!$D$3:$AH$3)+1)+INDEX(January!$C$3:$AH$181,8,MATCH(B9,January!$D$3:$AH$3)+1)+INDEX(January!$C$3:$AH$181,13,MATCH(B9,January!$D$3:$AH$3)+1)+INDEX(January!$C$3:$AH$181,18,MATCH(B9,January!$D$3:$AH$3)+1)+INDEX(January!$C$3:$AH$181,23,MATCH(B9,January!$D$3:$AH$3)+1)+INDEX(January!$C$3:$AH$181,28,MATCH(B9,January!$D$3:$AH$3)+1)+INDEX(January!$C$3:$AH$181,33,MATCH(B9,January!$D$3:$AH$3)+1)+INDEX(January!$C$3:$AH$181,38,MATCH(B9,January!$D$3:$AH$3)+1)+INDEX(January!$C$3:$AH$181,43,MATCH(B9,January!$D$3:$AH$3)+1)+INDEX(January!$C$3:$AH$181,48,MATCH(B9,January!$D$3:$AH$3)+1)+INDEX(January!$C$3:$AH$181,53,MATCH(B9,January!$D$3:$AH$3)+1)+INDEX(January!$C$3:$AH$181,58,MATCH(B9,January!$D$3:$AH$3)+1)+INDEX(January!$C$3:$AH$181,63,MATCH(B9,January!$D$3:$AH$3)+1)+INDEX(January!$C$3:$AH$181,68,MATCH(B9,January!$D$3:$AH$3)+1)+INDEX(January!$C$3:$AH$181,73,MATCH(B9,January!$D$3:$AH$3)+1)+INDEX(January!$C$3:$AH$181,78,MATCH(B9,January!$D$3:$AH$3)+1)+INDEX(January!$C$3:$AH$181,83,MATCH(B9,January!$D$3:$AH$3)+1)+INDEX(January!$C$3:$AH$181,88,MATCH(B9,January!$D$3:$AH$3)+1)+INDEX(January!$C$3:$AH$181,93,MATCH(B9,January!$D$3:$AH$3)+1)+INDEX(January!$C$3:$AH$181,98,MATCH(B9,January!$D$3:$AH$3)+1)+INDEX(January!$C$3:$AH$181,103,MATCH(B9,January!$D$3:$AH$3)+1)+INDEX(January!$C$3:$AH$181,108,MATCH(B9,January!$D$3:$AH$3)+1)+INDEX(January!$C$3:$AH$181,113,MATCH(B9,January!$D$3:$AH$3)+1)+INDEX(January!$C$3:$AH$181,118,MATCH(B9,January!$D$3:$AH$3)+1)+INDEX(January!$C$3:$AH$181,123,MATCH(B9,January!$D$3:$AH$3)+1)+INDEX(January!$C$3:$AH$181,128,MATCH(B9,January!$D$3:$AH$3)+1)+INDEX(January!$C$3:$AH$181,133,MATCH(B9,January!$D$3:$AH$3)+1)+INDEX(January!$C$3:$AH$181,138,MATCH(B9,January!$D$3:$AH$3)+1)+INDEX(January!$C$3:$AH$181,143,MATCH(B9,January!$D$3:$AH$3)+1)+INDEX(January!$C$3:$AH$181,148,MATCH(B9,January!$D$3:$AH$3)+1)-INDEX(January!$B$5:$AH$181,MATCH("Patrick Janssen",January!$B$5:$B$181),MATCH(B9,January!$D$3:$AH$3)+2)-INDEX(January!$B$5:$AH$181,MATCH("Patrick Ziesen",January!$B$5:$B$181),MATCH(B9,January!$D$3:$AH$3)+2)-INDEX(January!$B$5:$AH$181,MATCH("Frido Meijer",January!$B$5:$B$181),MATCH(B9,January!$D$3:$AH$3)+2)</f>
        <v>0</v>
      </c>
      <c r="H9" s="130">
        <f>INDEX(January!$C$3:$AH$181,4,MATCH(B9,January!$D$3:$AH$3)+1)+INDEX(January!$C$3:$AH$181,9,MATCH(B9,January!$D$3:$AH$3)+1)+INDEX(January!$C$3:$AH$181,14,MATCH(B9,January!$D$3:$AH$3)+1)+INDEX(January!$C$3:$AH$181,19,MATCH(B9,January!$D$3:$AH$3)+1)+INDEX(January!$C$3:$AH$181,24,MATCH(B9,January!$D$3:$AH$3)+1)+INDEX(January!$C$3:$AH$181,29,MATCH(B9,January!$D$3:$AH$3)+1)+INDEX(January!$C$3:$AH$181,34,MATCH(B9,January!$D$3:$AH$3)+1)+INDEX(January!$C$3:$AH$181,39,MATCH(B9,January!$D$3:$AH$3)+1)+INDEX(January!$C$3:$AH$181,44,MATCH(B9,January!$D$3:$AH$3)+1)+INDEX(January!$C$3:$AH$181,49,MATCH(B9,January!$D$3:$AH$3)+1)+INDEX(January!$C$3:$AH$181,54,MATCH(B9,January!$D$3:$AH$3)+1)+INDEX(January!$C$3:$AH$181,59,MATCH(B9,January!$D$3:$AH$3)+1)+INDEX(January!$C$3:$AH$181,64,MATCH(B9,January!$D$3:$AH$3)+1)+INDEX(January!$C$3:$AH$181,69,MATCH(B9,January!$D$3:$AH$3)+1)+INDEX(January!$C$3:$AH$181,74,MATCH(B9,January!$D$3:$AH$3)+1)+INDEX(January!$C$3:$AH$181,79,MATCH(B9,January!$D$3:$AH$3)+1)+INDEX(January!$C$3:$AH$181,84,MATCH(B9,January!$D$3:$AH$3)+1)+INDEX(January!$C$3:$AH$181,89,MATCH(B9,January!$D$3:$AH$3)+1)+INDEX(January!$C$3:$AH$181,94,MATCH(B9,January!$D$3:$AH$3)+1)+INDEX(January!$C$3:$AH$181,99,MATCH(B9,January!$D$3:$AH$3)+1)+INDEX(January!$C$3:$AH$181,104,MATCH(B9,January!$D$3:$AH$3)+1)+INDEX(January!$C$3:$AH$181,109,MATCH(B9,January!$D$3:$AH$3)+1)+INDEX(January!$C$3:$AH$181,114,MATCH(B9,January!$D$3:$AH$3)+1)+INDEX(January!$C$3:$AH$181,119,MATCH(B9,January!$D$3:$AH$3)+1)+INDEX(January!$C$3:$AH$181,124,MATCH(B9,January!$D$3:$AH$3)+1)+INDEX(January!$C$3:$AH$181,129,MATCH(B9,January!$D$3:$AH$3)+1)+INDEX(January!$C$3:$AH$181,134,MATCH(B9,January!$D$3:$AH$3)+1)+INDEX(January!$C$3:$AH$181,139,MATCH(B9,January!$D$3:$AH$3)+1)+INDEX(January!$C$3:$AH$181,144,MATCH(B9,January!$D$3:$AH$3)+1)+INDEX(January!$C$3:$AH$181,149,MATCH(B9,January!$D$3:$AH$3)+1)-INDEX(January!$B$5:$AH$181,MATCH("Patrick Janssen",January!$B$5:$B$181)+1,MATCH(B9,January!$D$3:$AH$3)+2)-INDEX(January!$B$5:$AH$181,MATCH("Patrick Ziesen",January!$B$5:$B$181)+1,MATCH(B9,January!$D$3:$AH$3)+2)-INDEX(January!$B$5:$AH$181,MATCH("Frido Meijer",January!$B$5:$B$181)+1,MATCH(B9,January!$D$3:$AH$3)+2)</f>
        <v>0</v>
      </c>
      <c r="I9" s="130">
        <v>0</v>
      </c>
      <c r="J9" s="130">
        <v>0</v>
      </c>
      <c r="L9" s="212"/>
      <c r="M9" s="111"/>
      <c r="N9" s="130">
        <f t="shared" si="3"/>
        <v>0</v>
      </c>
      <c r="P9" s="112">
        <f t="shared" si="5"/>
        <v>0</v>
      </c>
      <c r="Q9" s="112">
        <f t="shared" si="4"/>
        <v>0</v>
      </c>
      <c r="S9">
        <v>5</v>
      </c>
    </row>
    <row r="10" spans="2:19" x14ac:dyDescent="0.25">
      <c r="B10" s="110">
        <f>DATE(Title!$F$12,$S$5,S10)</f>
        <v>41280</v>
      </c>
      <c r="C10" s="111">
        <f>IF(WEEKDAY(B10)=1,0,IF(WEEKDAY(B10)=4,'Hours Scheduled'!$D$44-1,IF(WEEKDAY(B10)=7,0,'Hours Scheduled'!$D$44)))-2</f>
        <v>-2</v>
      </c>
      <c r="D10" s="17">
        <f t="shared" si="1"/>
        <v>-15</v>
      </c>
      <c r="E10" s="127">
        <f t="shared" si="2"/>
        <v>-16</v>
      </c>
      <c r="F10" s="111"/>
      <c r="G10" s="129">
        <f>INDEX(January!$C$3:$AH$181,3,MATCH(B10,January!$D$3:$AH$3)+1)+INDEX(January!$C$3:$AH$181,8,MATCH(B10,January!$D$3:$AH$3)+1)+INDEX(January!$C$3:$AH$181,13,MATCH(B10,January!$D$3:$AH$3)+1)+INDEX(January!$C$3:$AH$181,18,MATCH(B10,January!$D$3:$AH$3)+1)+INDEX(January!$C$3:$AH$181,23,MATCH(B10,January!$D$3:$AH$3)+1)+INDEX(January!$C$3:$AH$181,28,MATCH(B10,January!$D$3:$AH$3)+1)+INDEX(January!$C$3:$AH$181,33,MATCH(B10,January!$D$3:$AH$3)+1)+INDEX(January!$C$3:$AH$181,38,MATCH(B10,January!$D$3:$AH$3)+1)+INDEX(January!$C$3:$AH$181,43,MATCH(B10,January!$D$3:$AH$3)+1)+INDEX(January!$C$3:$AH$181,48,MATCH(B10,January!$D$3:$AH$3)+1)+INDEX(January!$C$3:$AH$181,53,MATCH(B10,January!$D$3:$AH$3)+1)+INDEX(January!$C$3:$AH$181,58,MATCH(B10,January!$D$3:$AH$3)+1)+INDEX(January!$C$3:$AH$181,63,MATCH(B10,January!$D$3:$AH$3)+1)+INDEX(January!$C$3:$AH$181,68,MATCH(B10,January!$D$3:$AH$3)+1)+INDEX(January!$C$3:$AH$181,73,MATCH(B10,January!$D$3:$AH$3)+1)+INDEX(January!$C$3:$AH$181,78,MATCH(B10,January!$D$3:$AH$3)+1)+INDEX(January!$C$3:$AH$181,83,MATCH(B10,January!$D$3:$AH$3)+1)+INDEX(January!$C$3:$AH$181,88,MATCH(B10,January!$D$3:$AH$3)+1)+INDEX(January!$C$3:$AH$181,93,MATCH(B10,January!$D$3:$AH$3)+1)+INDEX(January!$C$3:$AH$181,98,MATCH(B10,January!$D$3:$AH$3)+1)+INDEX(January!$C$3:$AH$181,103,MATCH(B10,January!$D$3:$AH$3)+1)+INDEX(January!$C$3:$AH$181,108,MATCH(B10,January!$D$3:$AH$3)+1)+INDEX(January!$C$3:$AH$181,113,MATCH(B10,January!$D$3:$AH$3)+1)+INDEX(January!$C$3:$AH$181,118,MATCH(B10,January!$D$3:$AH$3)+1)+INDEX(January!$C$3:$AH$181,123,MATCH(B10,January!$D$3:$AH$3)+1)+INDEX(January!$C$3:$AH$181,128,MATCH(B10,January!$D$3:$AH$3)+1)+INDEX(January!$C$3:$AH$181,133,MATCH(B10,January!$D$3:$AH$3)+1)+INDEX(January!$C$3:$AH$181,138,MATCH(B10,January!$D$3:$AH$3)+1)+INDEX(January!$C$3:$AH$181,143,MATCH(B10,January!$D$3:$AH$3)+1)+INDEX(January!$C$3:$AH$181,148,MATCH(B10,January!$D$3:$AH$3)+1)-INDEX(January!$B$5:$AH$181,MATCH("Patrick Janssen",January!$B$5:$B$181),MATCH(B10,January!$D$3:$AH$3)+2)-INDEX(January!$B$5:$AH$181,MATCH("Patrick Ziesen",January!$B$5:$B$181),MATCH(B10,January!$D$3:$AH$3)+2)-INDEX(January!$B$5:$AH$181,MATCH("Frido Meijer",January!$B$5:$B$181),MATCH(B10,January!$D$3:$AH$3)+2)</f>
        <v>0</v>
      </c>
      <c r="H10" s="130">
        <f>INDEX(January!$C$3:$AH$181,4,MATCH(B10,January!$D$3:$AH$3)+1)+INDEX(January!$C$3:$AH$181,9,MATCH(B10,January!$D$3:$AH$3)+1)+INDEX(January!$C$3:$AH$181,14,MATCH(B10,January!$D$3:$AH$3)+1)+INDEX(January!$C$3:$AH$181,19,MATCH(B10,January!$D$3:$AH$3)+1)+INDEX(January!$C$3:$AH$181,24,MATCH(B10,January!$D$3:$AH$3)+1)+INDEX(January!$C$3:$AH$181,29,MATCH(B10,January!$D$3:$AH$3)+1)+INDEX(January!$C$3:$AH$181,34,MATCH(B10,January!$D$3:$AH$3)+1)+INDEX(January!$C$3:$AH$181,39,MATCH(B10,January!$D$3:$AH$3)+1)+INDEX(January!$C$3:$AH$181,44,MATCH(B10,January!$D$3:$AH$3)+1)+INDEX(January!$C$3:$AH$181,49,MATCH(B10,January!$D$3:$AH$3)+1)+INDEX(January!$C$3:$AH$181,54,MATCH(B10,January!$D$3:$AH$3)+1)+INDEX(January!$C$3:$AH$181,59,MATCH(B10,January!$D$3:$AH$3)+1)+INDEX(January!$C$3:$AH$181,64,MATCH(B10,January!$D$3:$AH$3)+1)+INDEX(January!$C$3:$AH$181,69,MATCH(B10,January!$D$3:$AH$3)+1)+INDEX(January!$C$3:$AH$181,74,MATCH(B10,January!$D$3:$AH$3)+1)+INDEX(January!$C$3:$AH$181,79,MATCH(B10,January!$D$3:$AH$3)+1)+INDEX(January!$C$3:$AH$181,84,MATCH(B10,January!$D$3:$AH$3)+1)+INDEX(January!$C$3:$AH$181,89,MATCH(B10,January!$D$3:$AH$3)+1)+INDEX(January!$C$3:$AH$181,94,MATCH(B10,January!$D$3:$AH$3)+1)+INDEX(January!$C$3:$AH$181,99,MATCH(B10,January!$D$3:$AH$3)+1)+INDEX(January!$C$3:$AH$181,104,MATCH(B10,January!$D$3:$AH$3)+1)+INDEX(January!$C$3:$AH$181,109,MATCH(B10,January!$D$3:$AH$3)+1)+INDEX(January!$C$3:$AH$181,114,MATCH(B10,January!$D$3:$AH$3)+1)+INDEX(January!$C$3:$AH$181,119,MATCH(B10,January!$D$3:$AH$3)+1)+INDEX(January!$C$3:$AH$181,124,MATCH(B10,January!$D$3:$AH$3)+1)+INDEX(January!$C$3:$AH$181,129,MATCH(B10,January!$D$3:$AH$3)+1)+INDEX(January!$C$3:$AH$181,134,MATCH(B10,January!$D$3:$AH$3)+1)+INDEX(January!$C$3:$AH$181,139,MATCH(B10,January!$D$3:$AH$3)+1)+INDEX(January!$C$3:$AH$181,144,MATCH(B10,January!$D$3:$AH$3)+1)+INDEX(January!$C$3:$AH$181,149,MATCH(B10,January!$D$3:$AH$3)+1)-INDEX(January!$B$5:$AH$181,MATCH("Patrick Janssen",January!$B$5:$B$181)+1,MATCH(B10,January!$D$3:$AH$3)+2)-INDEX(January!$B$5:$AH$181,MATCH("Patrick Ziesen",January!$B$5:$B$181)+1,MATCH(B10,January!$D$3:$AH$3)+2)-INDEX(January!$B$5:$AH$181,MATCH("Frido Meijer",January!$B$5:$B$181)+1,MATCH(B10,January!$D$3:$AH$3)+2)</f>
        <v>0</v>
      </c>
      <c r="I10" s="130">
        <v>0</v>
      </c>
      <c r="J10" s="130">
        <v>0</v>
      </c>
      <c r="L10" s="212"/>
      <c r="M10" s="111"/>
      <c r="N10" s="130">
        <f t="shared" si="3"/>
        <v>0</v>
      </c>
      <c r="P10" s="112">
        <f t="shared" si="5"/>
        <v>0</v>
      </c>
      <c r="Q10" s="112">
        <f t="shared" si="4"/>
        <v>0</v>
      </c>
      <c r="S10">
        <v>6</v>
      </c>
    </row>
    <row r="11" spans="2:19" x14ac:dyDescent="0.25">
      <c r="B11" s="110">
        <f>DATE(Title!$F$12,$S$5,S11)</f>
        <v>41281</v>
      </c>
      <c r="C11" s="111">
        <f>IF(WEEKDAY(B11)=1,0,IF(WEEKDAY(B11)=4,'Hours Scheduled'!$D$44-1,IF(WEEKDAY(B11)=7,0,'Hours Scheduled'!$D$44)))</f>
        <v>25</v>
      </c>
      <c r="D11" s="17">
        <f t="shared" si="1"/>
        <v>187.5</v>
      </c>
      <c r="E11" s="127">
        <f t="shared" si="2"/>
        <v>160</v>
      </c>
      <c r="F11" s="111"/>
      <c r="G11" s="129">
        <f>INDEX(January!$C$3:$AH$181,3,MATCH(B11,January!$D$3:$AH$3)+1)+INDEX(January!$C$3:$AH$181,8,MATCH(B11,January!$D$3:$AH$3)+1)+INDEX(January!$C$3:$AH$181,13,MATCH(B11,January!$D$3:$AH$3)+1)+INDEX(January!$C$3:$AH$181,18,MATCH(B11,January!$D$3:$AH$3)+1)+INDEX(January!$C$3:$AH$181,23,MATCH(B11,January!$D$3:$AH$3)+1)+INDEX(January!$C$3:$AH$181,28,MATCH(B11,January!$D$3:$AH$3)+1)+INDEX(January!$C$3:$AH$181,33,MATCH(B11,January!$D$3:$AH$3)+1)+INDEX(January!$C$3:$AH$181,38,MATCH(B11,January!$D$3:$AH$3)+1)+INDEX(January!$C$3:$AH$181,43,MATCH(B11,January!$D$3:$AH$3)+1)+INDEX(January!$C$3:$AH$181,48,MATCH(B11,January!$D$3:$AH$3)+1)+INDEX(January!$C$3:$AH$181,53,MATCH(B11,January!$D$3:$AH$3)+1)+INDEX(January!$C$3:$AH$181,58,MATCH(B11,January!$D$3:$AH$3)+1)+INDEX(January!$C$3:$AH$181,63,MATCH(B11,January!$D$3:$AH$3)+1)+INDEX(January!$C$3:$AH$181,68,MATCH(B11,January!$D$3:$AH$3)+1)+INDEX(January!$C$3:$AH$181,73,MATCH(B11,January!$D$3:$AH$3)+1)+INDEX(January!$C$3:$AH$181,78,MATCH(B11,January!$D$3:$AH$3)+1)+INDEX(January!$C$3:$AH$181,83,MATCH(B11,January!$D$3:$AH$3)+1)+INDEX(January!$C$3:$AH$181,88,MATCH(B11,January!$D$3:$AH$3)+1)+INDEX(January!$C$3:$AH$181,93,MATCH(B11,January!$D$3:$AH$3)+1)+INDEX(January!$C$3:$AH$181,98,MATCH(B11,January!$D$3:$AH$3)+1)+INDEX(January!$C$3:$AH$181,103,MATCH(B11,January!$D$3:$AH$3)+1)+INDEX(January!$C$3:$AH$181,108,MATCH(B11,January!$D$3:$AH$3)+1)+INDEX(January!$C$3:$AH$181,113,MATCH(B11,January!$D$3:$AH$3)+1)+INDEX(January!$C$3:$AH$181,118,MATCH(B11,January!$D$3:$AH$3)+1)+INDEX(January!$C$3:$AH$181,123,MATCH(B11,January!$D$3:$AH$3)+1)+INDEX(January!$C$3:$AH$181,128,MATCH(B11,January!$D$3:$AH$3)+1)+INDEX(January!$C$3:$AH$181,133,MATCH(B11,January!$D$3:$AH$3)+1)+INDEX(January!$C$3:$AH$181,138,MATCH(B11,January!$D$3:$AH$3)+1)+INDEX(January!$C$3:$AH$181,143,MATCH(B11,January!$D$3:$AH$3)+1)+INDEX(January!$C$3:$AH$181,148,MATCH(B11,January!$D$3:$AH$3)+1)-INDEX(January!$B$5:$AH$181,MATCH("Patrick Janssen",January!$B$5:$B$181),MATCH(B11,January!$D$3:$AH$3)+2)-INDEX(January!$B$5:$AH$181,MATCH("Patrick Ziesen",January!$B$5:$B$181),MATCH(B11,January!$D$3:$AH$3)+2)-INDEX(January!$B$5:$AH$181,MATCH("Frido Meijer",January!$B$5:$B$181),MATCH(B11,January!$D$3:$AH$3)+2)</f>
        <v>32</v>
      </c>
      <c r="H11" s="130">
        <f>INDEX(January!$C$3:$AH$181,4,MATCH(B11,January!$D$3:$AH$3)+1)+INDEX(January!$C$3:$AH$181,9,MATCH(B11,January!$D$3:$AH$3)+1)+INDEX(January!$C$3:$AH$181,14,MATCH(B11,January!$D$3:$AH$3)+1)+INDEX(January!$C$3:$AH$181,19,MATCH(B11,January!$D$3:$AH$3)+1)+INDEX(January!$C$3:$AH$181,24,MATCH(B11,January!$D$3:$AH$3)+1)+INDEX(January!$C$3:$AH$181,29,MATCH(B11,January!$D$3:$AH$3)+1)+INDEX(January!$C$3:$AH$181,34,MATCH(B11,January!$D$3:$AH$3)+1)+INDEX(January!$C$3:$AH$181,39,MATCH(B11,January!$D$3:$AH$3)+1)+INDEX(January!$C$3:$AH$181,44,MATCH(B11,January!$D$3:$AH$3)+1)+INDEX(January!$C$3:$AH$181,49,MATCH(B11,January!$D$3:$AH$3)+1)+INDEX(January!$C$3:$AH$181,54,MATCH(B11,January!$D$3:$AH$3)+1)+INDEX(January!$C$3:$AH$181,59,MATCH(B11,January!$D$3:$AH$3)+1)+INDEX(January!$C$3:$AH$181,64,MATCH(B11,January!$D$3:$AH$3)+1)+INDEX(January!$C$3:$AH$181,69,MATCH(B11,January!$D$3:$AH$3)+1)+INDEX(January!$C$3:$AH$181,74,MATCH(B11,January!$D$3:$AH$3)+1)+INDEX(January!$C$3:$AH$181,79,MATCH(B11,January!$D$3:$AH$3)+1)+INDEX(January!$C$3:$AH$181,84,MATCH(B11,January!$D$3:$AH$3)+1)+INDEX(January!$C$3:$AH$181,89,MATCH(B11,January!$D$3:$AH$3)+1)+INDEX(January!$C$3:$AH$181,94,MATCH(B11,January!$D$3:$AH$3)+1)+INDEX(January!$C$3:$AH$181,99,MATCH(B11,January!$D$3:$AH$3)+1)+INDEX(January!$C$3:$AH$181,104,MATCH(B11,January!$D$3:$AH$3)+1)+INDEX(January!$C$3:$AH$181,109,MATCH(B11,January!$D$3:$AH$3)+1)+INDEX(January!$C$3:$AH$181,114,MATCH(B11,January!$D$3:$AH$3)+1)+INDEX(January!$C$3:$AH$181,119,MATCH(B11,January!$D$3:$AH$3)+1)+INDEX(January!$C$3:$AH$181,124,MATCH(B11,January!$D$3:$AH$3)+1)+INDEX(January!$C$3:$AH$181,129,MATCH(B11,January!$D$3:$AH$3)+1)+INDEX(January!$C$3:$AH$181,134,MATCH(B11,January!$D$3:$AH$3)+1)+INDEX(January!$C$3:$AH$181,139,MATCH(B11,January!$D$3:$AH$3)+1)+INDEX(January!$C$3:$AH$181,144,MATCH(B11,January!$D$3:$AH$3)+1)+INDEX(January!$C$3:$AH$181,149,MATCH(B11,January!$D$3:$AH$3)+1)-INDEX(January!$B$5:$AH$181,MATCH("Patrick Janssen",January!$B$5:$B$181)+1,MATCH(B11,January!$D$3:$AH$3)+2)-INDEX(January!$B$5:$AH$181,MATCH("Patrick Ziesen",January!$B$5:$B$181)+1,MATCH(B11,January!$D$3:$AH$3)+2)-INDEX(January!$B$5:$AH$181,MATCH("Frido Meijer",January!$B$5:$B$181)+1,MATCH(B11,January!$D$3:$AH$3)+2)</f>
        <v>8</v>
      </c>
      <c r="I11" s="130">
        <v>0</v>
      </c>
      <c r="J11" s="130">
        <v>0</v>
      </c>
      <c r="L11" s="111"/>
      <c r="M11" s="111"/>
      <c r="N11" s="130">
        <f t="shared" si="3"/>
        <v>0</v>
      </c>
      <c r="P11" s="112">
        <f t="shared" si="5"/>
        <v>0</v>
      </c>
      <c r="Q11" s="112">
        <f t="shared" si="4"/>
        <v>0</v>
      </c>
      <c r="S11">
        <v>7</v>
      </c>
    </row>
    <row r="12" spans="2:19" x14ac:dyDescent="0.25">
      <c r="B12" s="110">
        <f>DATE(Title!$F$12,$S$5,S12)</f>
        <v>41282</v>
      </c>
      <c r="C12" s="111">
        <f>IF(WEEKDAY(B12)=1,0,IF(WEEKDAY(B12)=4,'Hours Scheduled'!$D$44-1,IF(WEEKDAY(B12)=7,0,'Hours Scheduled'!$D$44)))</f>
        <v>25</v>
      </c>
      <c r="D12" s="17">
        <f t="shared" si="1"/>
        <v>187.5</v>
      </c>
      <c r="E12" s="127">
        <f t="shared" si="2"/>
        <v>156</v>
      </c>
      <c r="F12" s="111"/>
      <c r="G12" s="129">
        <f>INDEX(January!$C$3:$AH$181,3,MATCH(B12,January!$D$3:$AH$3)+1)+INDEX(January!$C$3:$AH$181,8,MATCH(B12,January!$D$3:$AH$3)+1)+INDEX(January!$C$3:$AH$181,13,MATCH(B12,January!$D$3:$AH$3)+1)+INDEX(January!$C$3:$AH$181,18,MATCH(B12,January!$D$3:$AH$3)+1)+INDEX(January!$C$3:$AH$181,23,MATCH(B12,January!$D$3:$AH$3)+1)+INDEX(January!$C$3:$AH$181,28,MATCH(B12,January!$D$3:$AH$3)+1)+INDEX(January!$C$3:$AH$181,33,MATCH(B12,January!$D$3:$AH$3)+1)+INDEX(January!$C$3:$AH$181,38,MATCH(B12,January!$D$3:$AH$3)+1)+INDEX(January!$C$3:$AH$181,43,MATCH(B12,January!$D$3:$AH$3)+1)+INDEX(January!$C$3:$AH$181,48,MATCH(B12,January!$D$3:$AH$3)+1)+INDEX(January!$C$3:$AH$181,53,MATCH(B12,January!$D$3:$AH$3)+1)+INDEX(January!$C$3:$AH$181,58,MATCH(B12,January!$D$3:$AH$3)+1)+INDEX(January!$C$3:$AH$181,63,MATCH(B12,January!$D$3:$AH$3)+1)+INDEX(January!$C$3:$AH$181,68,MATCH(B12,January!$D$3:$AH$3)+1)+INDEX(January!$C$3:$AH$181,73,MATCH(B12,January!$D$3:$AH$3)+1)+INDEX(January!$C$3:$AH$181,78,MATCH(B12,January!$D$3:$AH$3)+1)+INDEX(January!$C$3:$AH$181,83,MATCH(B12,January!$D$3:$AH$3)+1)+INDEX(January!$C$3:$AH$181,88,MATCH(B12,January!$D$3:$AH$3)+1)+INDEX(January!$C$3:$AH$181,93,MATCH(B12,January!$D$3:$AH$3)+1)+INDEX(January!$C$3:$AH$181,98,MATCH(B12,January!$D$3:$AH$3)+1)+INDEX(January!$C$3:$AH$181,103,MATCH(B12,January!$D$3:$AH$3)+1)+INDEX(January!$C$3:$AH$181,108,MATCH(B12,January!$D$3:$AH$3)+1)+INDEX(January!$C$3:$AH$181,113,MATCH(B12,January!$D$3:$AH$3)+1)+INDEX(January!$C$3:$AH$181,118,MATCH(B12,January!$D$3:$AH$3)+1)+INDEX(January!$C$3:$AH$181,123,MATCH(B12,January!$D$3:$AH$3)+1)+INDEX(January!$C$3:$AH$181,128,MATCH(B12,January!$D$3:$AH$3)+1)+INDEX(January!$C$3:$AH$181,133,MATCH(B12,January!$D$3:$AH$3)+1)+INDEX(January!$C$3:$AH$181,138,MATCH(B12,January!$D$3:$AH$3)+1)+INDEX(January!$C$3:$AH$181,143,MATCH(B12,January!$D$3:$AH$3)+1)+INDEX(January!$C$3:$AH$181,148,MATCH(B12,January!$D$3:$AH$3)+1)-INDEX(January!$B$5:$AH$181,MATCH("Patrick Janssen",January!$B$5:$B$181),MATCH(B12,January!$D$3:$AH$3)+2)-INDEX(January!$B$5:$AH$181,MATCH("Patrick Ziesen",January!$B$5:$B$181),MATCH(B12,January!$D$3:$AH$3)+2)-INDEX(January!$B$5:$AH$181,MATCH("Frido Meijer",January!$B$5:$B$181),MATCH(B12,January!$D$3:$AH$3)+2)</f>
        <v>28</v>
      </c>
      <c r="H12" s="130">
        <f>INDEX(January!$C$3:$AH$181,4,MATCH(B12,January!$D$3:$AH$3)+1)+INDEX(January!$C$3:$AH$181,9,MATCH(B12,January!$D$3:$AH$3)+1)+INDEX(January!$C$3:$AH$181,14,MATCH(B12,January!$D$3:$AH$3)+1)+INDEX(January!$C$3:$AH$181,19,MATCH(B12,January!$D$3:$AH$3)+1)+INDEX(January!$C$3:$AH$181,24,MATCH(B12,January!$D$3:$AH$3)+1)+INDEX(January!$C$3:$AH$181,29,MATCH(B12,January!$D$3:$AH$3)+1)+INDEX(January!$C$3:$AH$181,34,MATCH(B12,January!$D$3:$AH$3)+1)+INDEX(January!$C$3:$AH$181,39,MATCH(B12,January!$D$3:$AH$3)+1)+INDEX(January!$C$3:$AH$181,44,MATCH(B12,January!$D$3:$AH$3)+1)+INDEX(January!$C$3:$AH$181,49,MATCH(B12,January!$D$3:$AH$3)+1)+INDEX(January!$C$3:$AH$181,54,MATCH(B12,January!$D$3:$AH$3)+1)+INDEX(January!$C$3:$AH$181,59,MATCH(B12,January!$D$3:$AH$3)+1)+INDEX(January!$C$3:$AH$181,64,MATCH(B12,January!$D$3:$AH$3)+1)+INDEX(January!$C$3:$AH$181,69,MATCH(B12,January!$D$3:$AH$3)+1)+INDEX(January!$C$3:$AH$181,74,MATCH(B12,January!$D$3:$AH$3)+1)+INDEX(January!$C$3:$AH$181,79,MATCH(B12,January!$D$3:$AH$3)+1)+INDEX(January!$C$3:$AH$181,84,MATCH(B12,January!$D$3:$AH$3)+1)+INDEX(January!$C$3:$AH$181,89,MATCH(B12,January!$D$3:$AH$3)+1)+INDEX(January!$C$3:$AH$181,94,MATCH(B12,January!$D$3:$AH$3)+1)+INDEX(January!$C$3:$AH$181,99,MATCH(B12,January!$D$3:$AH$3)+1)+INDEX(January!$C$3:$AH$181,104,MATCH(B12,January!$D$3:$AH$3)+1)+INDEX(January!$C$3:$AH$181,109,MATCH(B12,January!$D$3:$AH$3)+1)+INDEX(January!$C$3:$AH$181,114,MATCH(B12,January!$D$3:$AH$3)+1)+INDEX(January!$C$3:$AH$181,119,MATCH(B12,January!$D$3:$AH$3)+1)+INDEX(January!$C$3:$AH$181,124,MATCH(B12,January!$D$3:$AH$3)+1)+INDEX(January!$C$3:$AH$181,129,MATCH(B12,January!$D$3:$AH$3)+1)+INDEX(January!$C$3:$AH$181,134,MATCH(B12,January!$D$3:$AH$3)+1)+INDEX(January!$C$3:$AH$181,139,MATCH(B12,January!$D$3:$AH$3)+1)+INDEX(January!$C$3:$AH$181,144,MATCH(B12,January!$D$3:$AH$3)+1)+INDEX(January!$C$3:$AH$181,149,MATCH(B12,January!$D$3:$AH$3)+1)-INDEX(January!$B$5:$AH$181,MATCH("Patrick Janssen",January!$B$5:$B$181)+1,MATCH(B12,January!$D$3:$AH$3)+2)-INDEX(January!$B$5:$AH$181,MATCH("Patrick Ziesen",January!$B$5:$B$181)+1,MATCH(B12,January!$D$3:$AH$3)+2)-INDEX(January!$B$5:$AH$181,MATCH("Frido Meijer",January!$B$5:$B$181)+1,MATCH(B12,January!$D$3:$AH$3)+2)</f>
        <v>16</v>
      </c>
      <c r="I12" s="130">
        <v>0</v>
      </c>
      <c r="J12" s="130">
        <v>0</v>
      </c>
      <c r="L12" s="111"/>
      <c r="M12" s="111"/>
      <c r="N12" s="130">
        <f t="shared" si="3"/>
        <v>0</v>
      </c>
      <c r="P12" s="112">
        <f t="shared" si="5"/>
        <v>0</v>
      </c>
      <c r="Q12" s="112">
        <f t="shared" si="4"/>
        <v>0</v>
      </c>
      <c r="S12">
        <v>8</v>
      </c>
    </row>
    <row r="13" spans="2:19" x14ac:dyDescent="0.25">
      <c r="B13" s="110">
        <f>DATE(Title!$F$12,$S$5,S13)</f>
        <v>41283</v>
      </c>
      <c r="C13" s="111">
        <f>IF(WEEKDAY(B13)=1,0,IF(WEEKDAY(B13)=4,'Hours Scheduled'!$D$44-1,IF(WEEKDAY(B13)=7,0,'Hours Scheduled'!$D$44)))</f>
        <v>24</v>
      </c>
      <c r="D13" s="17">
        <f t="shared" si="1"/>
        <v>180</v>
      </c>
      <c r="E13" s="127">
        <f t="shared" si="2"/>
        <v>168</v>
      </c>
      <c r="F13" s="111"/>
      <c r="G13" s="129">
        <f>INDEX(January!$C$3:$AH$181,3,MATCH(B13,January!$D$3:$AH$3)+1)+INDEX(January!$C$3:$AH$181,8,MATCH(B13,January!$D$3:$AH$3)+1)+INDEX(January!$C$3:$AH$181,13,MATCH(B13,January!$D$3:$AH$3)+1)+INDEX(January!$C$3:$AH$181,18,MATCH(B13,January!$D$3:$AH$3)+1)+INDEX(January!$C$3:$AH$181,23,MATCH(B13,January!$D$3:$AH$3)+1)+INDEX(January!$C$3:$AH$181,28,MATCH(B13,January!$D$3:$AH$3)+1)+INDEX(January!$C$3:$AH$181,33,MATCH(B13,January!$D$3:$AH$3)+1)+INDEX(January!$C$3:$AH$181,38,MATCH(B13,January!$D$3:$AH$3)+1)+INDEX(January!$C$3:$AH$181,43,MATCH(B13,January!$D$3:$AH$3)+1)+INDEX(January!$C$3:$AH$181,48,MATCH(B13,January!$D$3:$AH$3)+1)+INDEX(January!$C$3:$AH$181,53,MATCH(B13,January!$D$3:$AH$3)+1)+INDEX(January!$C$3:$AH$181,58,MATCH(B13,January!$D$3:$AH$3)+1)+INDEX(January!$C$3:$AH$181,63,MATCH(B13,January!$D$3:$AH$3)+1)+INDEX(January!$C$3:$AH$181,68,MATCH(B13,January!$D$3:$AH$3)+1)+INDEX(January!$C$3:$AH$181,73,MATCH(B13,January!$D$3:$AH$3)+1)+INDEX(January!$C$3:$AH$181,78,MATCH(B13,January!$D$3:$AH$3)+1)+INDEX(January!$C$3:$AH$181,83,MATCH(B13,January!$D$3:$AH$3)+1)+INDEX(January!$C$3:$AH$181,88,MATCH(B13,January!$D$3:$AH$3)+1)+INDEX(January!$C$3:$AH$181,93,MATCH(B13,January!$D$3:$AH$3)+1)+INDEX(January!$C$3:$AH$181,98,MATCH(B13,January!$D$3:$AH$3)+1)+INDEX(January!$C$3:$AH$181,103,MATCH(B13,January!$D$3:$AH$3)+1)+INDEX(January!$C$3:$AH$181,108,MATCH(B13,January!$D$3:$AH$3)+1)+INDEX(January!$C$3:$AH$181,113,MATCH(B13,January!$D$3:$AH$3)+1)+INDEX(January!$C$3:$AH$181,118,MATCH(B13,January!$D$3:$AH$3)+1)+INDEX(January!$C$3:$AH$181,123,MATCH(B13,January!$D$3:$AH$3)+1)+INDEX(January!$C$3:$AH$181,128,MATCH(B13,January!$D$3:$AH$3)+1)+INDEX(January!$C$3:$AH$181,133,MATCH(B13,January!$D$3:$AH$3)+1)+INDEX(January!$C$3:$AH$181,138,MATCH(B13,January!$D$3:$AH$3)+1)+INDEX(January!$C$3:$AH$181,143,MATCH(B13,January!$D$3:$AH$3)+1)+INDEX(January!$C$3:$AH$181,148,MATCH(B13,January!$D$3:$AH$3)+1)-INDEX(January!$B$5:$AH$181,MATCH("Patrick Janssen",January!$B$5:$B$181),MATCH(B13,January!$D$3:$AH$3)+2)-INDEX(January!$B$5:$AH$181,MATCH("Patrick Ziesen",January!$B$5:$B$181),MATCH(B13,January!$D$3:$AH$3)+2)-INDEX(January!$B$5:$AH$181,MATCH("Frido Meijer",January!$B$5:$B$181),MATCH(B13,January!$D$3:$AH$3)+2)</f>
        <v>8</v>
      </c>
      <c r="H13" s="130">
        <f>INDEX(January!$C$3:$AH$181,4,MATCH(B13,January!$D$3:$AH$3)+1)+INDEX(January!$C$3:$AH$181,9,MATCH(B13,January!$D$3:$AH$3)+1)+INDEX(January!$C$3:$AH$181,14,MATCH(B13,January!$D$3:$AH$3)+1)+INDEX(January!$C$3:$AH$181,19,MATCH(B13,January!$D$3:$AH$3)+1)+INDEX(January!$C$3:$AH$181,24,MATCH(B13,January!$D$3:$AH$3)+1)+INDEX(January!$C$3:$AH$181,29,MATCH(B13,January!$D$3:$AH$3)+1)+INDEX(January!$C$3:$AH$181,34,MATCH(B13,January!$D$3:$AH$3)+1)+INDEX(January!$C$3:$AH$181,39,MATCH(B13,January!$D$3:$AH$3)+1)+INDEX(January!$C$3:$AH$181,44,MATCH(B13,January!$D$3:$AH$3)+1)+INDEX(January!$C$3:$AH$181,49,MATCH(B13,January!$D$3:$AH$3)+1)+INDEX(January!$C$3:$AH$181,54,MATCH(B13,January!$D$3:$AH$3)+1)+INDEX(January!$C$3:$AH$181,59,MATCH(B13,January!$D$3:$AH$3)+1)+INDEX(January!$C$3:$AH$181,64,MATCH(B13,January!$D$3:$AH$3)+1)+INDEX(January!$C$3:$AH$181,69,MATCH(B13,January!$D$3:$AH$3)+1)+INDEX(January!$C$3:$AH$181,74,MATCH(B13,January!$D$3:$AH$3)+1)+INDEX(January!$C$3:$AH$181,79,MATCH(B13,January!$D$3:$AH$3)+1)+INDEX(January!$C$3:$AH$181,84,MATCH(B13,January!$D$3:$AH$3)+1)+INDEX(January!$C$3:$AH$181,89,MATCH(B13,January!$D$3:$AH$3)+1)+INDEX(January!$C$3:$AH$181,94,MATCH(B13,January!$D$3:$AH$3)+1)+INDEX(January!$C$3:$AH$181,99,MATCH(B13,January!$D$3:$AH$3)+1)+INDEX(January!$C$3:$AH$181,104,MATCH(B13,January!$D$3:$AH$3)+1)+INDEX(January!$C$3:$AH$181,109,MATCH(B13,January!$D$3:$AH$3)+1)+INDEX(January!$C$3:$AH$181,114,MATCH(B13,January!$D$3:$AH$3)+1)+INDEX(January!$C$3:$AH$181,119,MATCH(B13,January!$D$3:$AH$3)+1)+INDEX(January!$C$3:$AH$181,124,MATCH(B13,January!$D$3:$AH$3)+1)+INDEX(January!$C$3:$AH$181,129,MATCH(B13,January!$D$3:$AH$3)+1)+INDEX(January!$C$3:$AH$181,134,MATCH(B13,January!$D$3:$AH$3)+1)+INDEX(January!$C$3:$AH$181,139,MATCH(B13,January!$D$3:$AH$3)+1)+INDEX(January!$C$3:$AH$181,144,MATCH(B13,January!$D$3:$AH$3)+1)+INDEX(January!$C$3:$AH$181,149,MATCH(B13,January!$D$3:$AH$3)+1)-INDEX(January!$B$5:$AH$181,MATCH("Patrick Janssen",January!$B$5:$B$181)+1,MATCH(B13,January!$D$3:$AH$3)+2)-INDEX(January!$B$5:$AH$181,MATCH("Patrick Ziesen",January!$B$5:$B$181)+1,MATCH(B13,January!$D$3:$AH$3)+2)-INDEX(January!$B$5:$AH$181,MATCH("Frido Meijer",January!$B$5:$B$181)+1,MATCH(B13,January!$D$3:$AH$3)+2)</f>
        <v>16</v>
      </c>
      <c r="I13" s="130">
        <v>0</v>
      </c>
      <c r="J13" s="130">
        <v>0</v>
      </c>
      <c r="L13" s="212"/>
      <c r="M13" s="111"/>
      <c r="N13" s="130">
        <f t="shared" si="3"/>
        <v>0</v>
      </c>
      <c r="P13" s="112">
        <f t="shared" si="5"/>
        <v>0</v>
      </c>
      <c r="Q13" s="112">
        <f t="shared" si="4"/>
        <v>0</v>
      </c>
      <c r="S13">
        <v>9</v>
      </c>
    </row>
    <row r="14" spans="2:19" x14ac:dyDescent="0.25">
      <c r="B14" s="110">
        <f>DATE(Title!$F$12,$S$5,S14)</f>
        <v>41284</v>
      </c>
      <c r="C14" s="111">
        <f>IF(WEEKDAY(B14)=1,0,IF(WEEKDAY(B14)=4,'Hours Scheduled'!$D$44-1,IF(WEEKDAY(B14)=7,0,'Hours Scheduled'!$D$44)))</f>
        <v>25</v>
      </c>
      <c r="D14" s="17">
        <f t="shared" si="1"/>
        <v>187.5</v>
      </c>
      <c r="E14" s="127">
        <f t="shared" si="2"/>
        <v>164</v>
      </c>
      <c r="F14" s="111"/>
      <c r="G14" s="129">
        <f>INDEX(January!$C$3:$AH$181,3,MATCH(B14,January!$D$3:$AH$3)+1)+INDEX(January!$C$3:$AH$181,8,MATCH(B14,January!$D$3:$AH$3)+1)+INDEX(January!$C$3:$AH$181,13,MATCH(B14,January!$D$3:$AH$3)+1)+INDEX(January!$C$3:$AH$181,18,MATCH(B14,January!$D$3:$AH$3)+1)+INDEX(January!$C$3:$AH$181,23,MATCH(B14,January!$D$3:$AH$3)+1)+INDEX(January!$C$3:$AH$181,28,MATCH(B14,January!$D$3:$AH$3)+1)+INDEX(January!$C$3:$AH$181,33,MATCH(B14,January!$D$3:$AH$3)+1)+INDEX(January!$C$3:$AH$181,38,MATCH(B14,January!$D$3:$AH$3)+1)+INDEX(January!$C$3:$AH$181,43,MATCH(B14,January!$D$3:$AH$3)+1)+INDEX(January!$C$3:$AH$181,48,MATCH(B14,January!$D$3:$AH$3)+1)+INDEX(January!$C$3:$AH$181,53,MATCH(B14,January!$D$3:$AH$3)+1)+INDEX(January!$C$3:$AH$181,58,MATCH(B14,January!$D$3:$AH$3)+1)+INDEX(January!$C$3:$AH$181,63,MATCH(B14,January!$D$3:$AH$3)+1)+INDEX(January!$C$3:$AH$181,68,MATCH(B14,January!$D$3:$AH$3)+1)+INDEX(January!$C$3:$AH$181,73,MATCH(B14,January!$D$3:$AH$3)+1)+INDEX(January!$C$3:$AH$181,78,MATCH(B14,January!$D$3:$AH$3)+1)+INDEX(January!$C$3:$AH$181,83,MATCH(B14,January!$D$3:$AH$3)+1)+INDEX(January!$C$3:$AH$181,88,MATCH(B14,January!$D$3:$AH$3)+1)+INDEX(January!$C$3:$AH$181,93,MATCH(B14,January!$D$3:$AH$3)+1)+INDEX(January!$C$3:$AH$181,98,MATCH(B14,January!$D$3:$AH$3)+1)+INDEX(January!$C$3:$AH$181,103,MATCH(B14,January!$D$3:$AH$3)+1)+INDEX(January!$C$3:$AH$181,108,MATCH(B14,January!$D$3:$AH$3)+1)+INDEX(January!$C$3:$AH$181,113,MATCH(B14,January!$D$3:$AH$3)+1)+INDEX(January!$C$3:$AH$181,118,MATCH(B14,January!$D$3:$AH$3)+1)+INDEX(January!$C$3:$AH$181,123,MATCH(B14,January!$D$3:$AH$3)+1)+INDEX(January!$C$3:$AH$181,128,MATCH(B14,January!$D$3:$AH$3)+1)+INDEX(January!$C$3:$AH$181,133,MATCH(B14,January!$D$3:$AH$3)+1)+INDEX(January!$C$3:$AH$181,138,MATCH(B14,January!$D$3:$AH$3)+1)+INDEX(January!$C$3:$AH$181,143,MATCH(B14,January!$D$3:$AH$3)+1)+INDEX(January!$C$3:$AH$181,148,MATCH(B14,January!$D$3:$AH$3)+1)-INDEX(January!$B$5:$AH$181,MATCH("Patrick Janssen",January!$B$5:$B$181),MATCH(B14,January!$D$3:$AH$3)+2)-INDEX(January!$B$5:$AH$181,MATCH("Patrick Ziesen",January!$B$5:$B$181),MATCH(B14,January!$D$3:$AH$3)+2)-INDEX(January!$B$5:$AH$181,MATCH("Frido Meijer",January!$B$5:$B$181),MATCH(B14,January!$D$3:$AH$3)+2)</f>
        <v>12</v>
      </c>
      <c r="H14" s="130">
        <f>INDEX(January!$C$3:$AH$181,4,MATCH(B14,January!$D$3:$AH$3)+1)+INDEX(January!$C$3:$AH$181,9,MATCH(B14,January!$D$3:$AH$3)+1)+INDEX(January!$C$3:$AH$181,14,MATCH(B14,January!$D$3:$AH$3)+1)+INDEX(January!$C$3:$AH$181,19,MATCH(B14,January!$D$3:$AH$3)+1)+INDEX(January!$C$3:$AH$181,24,MATCH(B14,January!$D$3:$AH$3)+1)+INDEX(January!$C$3:$AH$181,29,MATCH(B14,January!$D$3:$AH$3)+1)+INDEX(January!$C$3:$AH$181,34,MATCH(B14,January!$D$3:$AH$3)+1)+INDEX(January!$C$3:$AH$181,39,MATCH(B14,January!$D$3:$AH$3)+1)+INDEX(January!$C$3:$AH$181,44,MATCH(B14,January!$D$3:$AH$3)+1)+INDEX(January!$C$3:$AH$181,49,MATCH(B14,January!$D$3:$AH$3)+1)+INDEX(January!$C$3:$AH$181,54,MATCH(B14,January!$D$3:$AH$3)+1)+INDEX(January!$C$3:$AH$181,59,MATCH(B14,January!$D$3:$AH$3)+1)+INDEX(January!$C$3:$AH$181,64,MATCH(B14,January!$D$3:$AH$3)+1)+INDEX(January!$C$3:$AH$181,69,MATCH(B14,January!$D$3:$AH$3)+1)+INDEX(January!$C$3:$AH$181,74,MATCH(B14,January!$D$3:$AH$3)+1)+INDEX(January!$C$3:$AH$181,79,MATCH(B14,January!$D$3:$AH$3)+1)+INDEX(January!$C$3:$AH$181,84,MATCH(B14,January!$D$3:$AH$3)+1)+INDEX(January!$C$3:$AH$181,89,MATCH(B14,January!$D$3:$AH$3)+1)+INDEX(January!$C$3:$AH$181,94,MATCH(B14,January!$D$3:$AH$3)+1)+INDEX(January!$C$3:$AH$181,99,MATCH(B14,January!$D$3:$AH$3)+1)+INDEX(January!$C$3:$AH$181,104,MATCH(B14,January!$D$3:$AH$3)+1)+INDEX(January!$C$3:$AH$181,109,MATCH(B14,January!$D$3:$AH$3)+1)+INDEX(January!$C$3:$AH$181,114,MATCH(B14,January!$D$3:$AH$3)+1)+INDEX(January!$C$3:$AH$181,119,MATCH(B14,January!$D$3:$AH$3)+1)+INDEX(January!$C$3:$AH$181,124,MATCH(B14,January!$D$3:$AH$3)+1)+INDEX(January!$C$3:$AH$181,129,MATCH(B14,January!$D$3:$AH$3)+1)+INDEX(January!$C$3:$AH$181,134,MATCH(B14,January!$D$3:$AH$3)+1)+INDEX(January!$C$3:$AH$181,139,MATCH(B14,January!$D$3:$AH$3)+1)+INDEX(January!$C$3:$AH$181,144,MATCH(B14,January!$D$3:$AH$3)+1)+INDEX(January!$C$3:$AH$181,149,MATCH(B14,January!$D$3:$AH$3)+1)-INDEX(January!$B$5:$AH$181,MATCH("Patrick Janssen",January!$B$5:$B$181)+1,MATCH(B14,January!$D$3:$AH$3)+2)-INDEX(January!$B$5:$AH$181,MATCH("Patrick Ziesen",January!$B$5:$B$181)+1,MATCH(B14,January!$D$3:$AH$3)+2)-INDEX(January!$B$5:$AH$181,MATCH("Frido Meijer",January!$B$5:$B$181)+1,MATCH(B14,January!$D$3:$AH$3)+2)</f>
        <v>24</v>
      </c>
      <c r="I14" s="130">
        <v>0</v>
      </c>
      <c r="J14" s="130">
        <v>0</v>
      </c>
      <c r="L14" s="212"/>
      <c r="M14" s="111"/>
      <c r="N14" s="130">
        <f t="shared" si="3"/>
        <v>0</v>
      </c>
      <c r="P14" s="112">
        <f t="shared" si="5"/>
        <v>0</v>
      </c>
      <c r="Q14" s="112">
        <f t="shared" si="4"/>
        <v>0</v>
      </c>
      <c r="S14">
        <v>10</v>
      </c>
    </row>
    <row r="15" spans="2:19" x14ac:dyDescent="0.25">
      <c r="B15" s="110">
        <f>DATE(Title!$F$12,$S$5,S15)</f>
        <v>41285</v>
      </c>
      <c r="C15" s="111">
        <f>IF(WEEKDAY(B15)=1,0,IF(WEEKDAY(B15)=4,'Hours Scheduled'!$D$44-1,IF(WEEKDAY(B15)=7,0,'Hours Scheduled'!$D$44)))</f>
        <v>25</v>
      </c>
      <c r="D15" s="17">
        <f t="shared" si="1"/>
        <v>187.5</v>
      </c>
      <c r="E15" s="127">
        <f t="shared" si="2"/>
        <v>164</v>
      </c>
      <c r="F15" s="111"/>
      <c r="G15" s="129">
        <f>INDEX(January!$C$3:$AH$181,3,MATCH(B15,January!$D$3:$AH$3)+1)+INDEX(January!$C$3:$AH$181,8,MATCH(B15,January!$D$3:$AH$3)+1)+INDEX(January!$C$3:$AH$181,13,MATCH(B15,January!$D$3:$AH$3)+1)+INDEX(January!$C$3:$AH$181,18,MATCH(B15,January!$D$3:$AH$3)+1)+INDEX(January!$C$3:$AH$181,23,MATCH(B15,January!$D$3:$AH$3)+1)+INDEX(January!$C$3:$AH$181,28,MATCH(B15,January!$D$3:$AH$3)+1)+INDEX(January!$C$3:$AH$181,33,MATCH(B15,January!$D$3:$AH$3)+1)+INDEX(January!$C$3:$AH$181,38,MATCH(B15,January!$D$3:$AH$3)+1)+INDEX(January!$C$3:$AH$181,43,MATCH(B15,January!$D$3:$AH$3)+1)+INDEX(January!$C$3:$AH$181,48,MATCH(B15,January!$D$3:$AH$3)+1)+INDEX(January!$C$3:$AH$181,53,MATCH(B15,January!$D$3:$AH$3)+1)+INDEX(January!$C$3:$AH$181,58,MATCH(B15,January!$D$3:$AH$3)+1)+INDEX(January!$C$3:$AH$181,63,MATCH(B15,January!$D$3:$AH$3)+1)+INDEX(January!$C$3:$AH$181,68,MATCH(B15,January!$D$3:$AH$3)+1)+INDEX(January!$C$3:$AH$181,73,MATCH(B15,January!$D$3:$AH$3)+1)+INDEX(January!$C$3:$AH$181,78,MATCH(B15,January!$D$3:$AH$3)+1)+INDEX(January!$C$3:$AH$181,83,MATCH(B15,January!$D$3:$AH$3)+1)+INDEX(January!$C$3:$AH$181,88,MATCH(B15,January!$D$3:$AH$3)+1)+INDEX(January!$C$3:$AH$181,93,MATCH(B15,January!$D$3:$AH$3)+1)+INDEX(January!$C$3:$AH$181,98,MATCH(B15,January!$D$3:$AH$3)+1)+INDEX(January!$C$3:$AH$181,103,MATCH(B15,January!$D$3:$AH$3)+1)+INDEX(January!$C$3:$AH$181,108,MATCH(B15,January!$D$3:$AH$3)+1)+INDEX(January!$C$3:$AH$181,113,MATCH(B15,January!$D$3:$AH$3)+1)+INDEX(January!$C$3:$AH$181,118,MATCH(B15,January!$D$3:$AH$3)+1)+INDEX(January!$C$3:$AH$181,123,MATCH(B15,January!$D$3:$AH$3)+1)+INDEX(January!$C$3:$AH$181,128,MATCH(B15,January!$D$3:$AH$3)+1)+INDEX(January!$C$3:$AH$181,133,MATCH(B15,January!$D$3:$AH$3)+1)+INDEX(January!$C$3:$AH$181,138,MATCH(B15,January!$D$3:$AH$3)+1)+INDEX(January!$C$3:$AH$181,143,MATCH(B15,January!$D$3:$AH$3)+1)+INDEX(January!$C$3:$AH$181,148,MATCH(B15,January!$D$3:$AH$3)+1)-INDEX(January!$B$5:$AH$181,MATCH("Patrick Janssen",January!$B$5:$B$181),MATCH(B15,January!$D$3:$AH$3)+2)-INDEX(January!$B$5:$AH$181,MATCH("Patrick Ziesen",January!$B$5:$B$181),MATCH(B15,January!$D$3:$AH$3)+2)-INDEX(January!$B$5:$AH$181,MATCH("Frido Meijer",January!$B$5:$B$181),MATCH(B15,January!$D$3:$AH$3)+2)</f>
        <v>20</v>
      </c>
      <c r="H15" s="130">
        <f>INDEX(January!$C$3:$AH$181,4,MATCH(B15,January!$D$3:$AH$3)+1)+INDEX(January!$C$3:$AH$181,9,MATCH(B15,January!$D$3:$AH$3)+1)+INDEX(January!$C$3:$AH$181,14,MATCH(B15,January!$D$3:$AH$3)+1)+INDEX(January!$C$3:$AH$181,19,MATCH(B15,January!$D$3:$AH$3)+1)+INDEX(January!$C$3:$AH$181,24,MATCH(B15,January!$D$3:$AH$3)+1)+INDEX(January!$C$3:$AH$181,29,MATCH(B15,January!$D$3:$AH$3)+1)+INDEX(January!$C$3:$AH$181,34,MATCH(B15,January!$D$3:$AH$3)+1)+INDEX(January!$C$3:$AH$181,39,MATCH(B15,January!$D$3:$AH$3)+1)+INDEX(January!$C$3:$AH$181,44,MATCH(B15,January!$D$3:$AH$3)+1)+INDEX(January!$C$3:$AH$181,49,MATCH(B15,January!$D$3:$AH$3)+1)+INDEX(January!$C$3:$AH$181,54,MATCH(B15,January!$D$3:$AH$3)+1)+INDEX(January!$C$3:$AH$181,59,MATCH(B15,January!$D$3:$AH$3)+1)+INDEX(January!$C$3:$AH$181,64,MATCH(B15,January!$D$3:$AH$3)+1)+INDEX(January!$C$3:$AH$181,69,MATCH(B15,January!$D$3:$AH$3)+1)+INDEX(January!$C$3:$AH$181,74,MATCH(B15,January!$D$3:$AH$3)+1)+INDEX(January!$C$3:$AH$181,79,MATCH(B15,January!$D$3:$AH$3)+1)+INDEX(January!$C$3:$AH$181,84,MATCH(B15,January!$D$3:$AH$3)+1)+INDEX(January!$C$3:$AH$181,89,MATCH(B15,January!$D$3:$AH$3)+1)+INDEX(January!$C$3:$AH$181,94,MATCH(B15,January!$D$3:$AH$3)+1)+INDEX(January!$C$3:$AH$181,99,MATCH(B15,January!$D$3:$AH$3)+1)+INDEX(January!$C$3:$AH$181,104,MATCH(B15,January!$D$3:$AH$3)+1)+INDEX(January!$C$3:$AH$181,109,MATCH(B15,January!$D$3:$AH$3)+1)+INDEX(January!$C$3:$AH$181,114,MATCH(B15,January!$D$3:$AH$3)+1)+INDEX(January!$C$3:$AH$181,119,MATCH(B15,January!$D$3:$AH$3)+1)+INDEX(January!$C$3:$AH$181,124,MATCH(B15,January!$D$3:$AH$3)+1)+INDEX(January!$C$3:$AH$181,129,MATCH(B15,January!$D$3:$AH$3)+1)+INDEX(January!$C$3:$AH$181,134,MATCH(B15,January!$D$3:$AH$3)+1)+INDEX(January!$C$3:$AH$181,139,MATCH(B15,January!$D$3:$AH$3)+1)+INDEX(January!$C$3:$AH$181,144,MATCH(B15,January!$D$3:$AH$3)+1)+INDEX(January!$C$3:$AH$181,149,MATCH(B15,January!$D$3:$AH$3)+1)-INDEX(January!$B$5:$AH$181,MATCH("Patrick Janssen",January!$B$5:$B$181)+1,MATCH(B15,January!$D$3:$AH$3)+2)-INDEX(January!$B$5:$AH$181,MATCH("Patrick Ziesen",January!$B$5:$B$181)+1,MATCH(B15,January!$D$3:$AH$3)+2)-INDEX(January!$B$5:$AH$181,MATCH("Frido Meijer",January!$B$5:$B$181)+1,MATCH(B15,January!$D$3:$AH$3)+2)</f>
        <v>16</v>
      </c>
      <c r="I15" s="130">
        <v>0</v>
      </c>
      <c r="J15" s="130">
        <v>0</v>
      </c>
      <c r="L15" s="212"/>
      <c r="M15" s="111"/>
      <c r="N15" s="130">
        <f t="shared" si="3"/>
        <v>0</v>
      </c>
      <c r="P15" s="112">
        <f t="shared" si="5"/>
        <v>0</v>
      </c>
      <c r="Q15" s="112">
        <f t="shared" si="4"/>
        <v>0</v>
      </c>
      <c r="S15">
        <v>11</v>
      </c>
    </row>
    <row r="16" spans="2:19" x14ac:dyDescent="0.25">
      <c r="B16" s="110">
        <f>DATE(Title!$F$12,$S$5,S16)</f>
        <v>41286</v>
      </c>
      <c r="C16" s="111">
        <f>IF(WEEKDAY(B16)=1,0,IF(WEEKDAY(B16)=4,'Hours Scheduled'!$D$44-1,IF(WEEKDAY(B16)=7,0,'Hours Scheduled'!$D$44)))</f>
        <v>0</v>
      </c>
      <c r="D16" s="17">
        <f t="shared" si="1"/>
        <v>0</v>
      </c>
      <c r="E16" s="127">
        <f t="shared" si="2"/>
        <v>0</v>
      </c>
      <c r="F16" s="111"/>
      <c r="G16" s="129">
        <f>INDEX(January!$C$3:$AH$181,3,MATCH(B16,January!$D$3:$AH$3)+1)+INDEX(January!$C$3:$AH$181,8,MATCH(B16,January!$D$3:$AH$3)+1)+INDEX(January!$C$3:$AH$181,13,MATCH(B16,January!$D$3:$AH$3)+1)+INDEX(January!$C$3:$AH$181,18,MATCH(B16,January!$D$3:$AH$3)+1)+INDEX(January!$C$3:$AH$181,23,MATCH(B16,January!$D$3:$AH$3)+1)+INDEX(January!$C$3:$AH$181,28,MATCH(B16,January!$D$3:$AH$3)+1)+INDEX(January!$C$3:$AH$181,33,MATCH(B16,January!$D$3:$AH$3)+1)+INDEX(January!$C$3:$AH$181,38,MATCH(B16,January!$D$3:$AH$3)+1)+INDEX(January!$C$3:$AH$181,43,MATCH(B16,January!$D$3:$AH$3)+1)+INDEX(January!$C$3:$AH$181,48,MATCH(B16,January!$D$3:$AH$3)+1)+INDEX(January!$C$3:$AH$181,53,MATCH(B16,January!$D$3:$AH$3)+1)+INDEX(January!$C$3:$AH$181,58,MATCH(B16,January!$D$3:$AH$3)+1)+INDEX(January!$C$3:$AH$181,63,MATCH(B16,January!$D$3:$AH$3)+1)+INDEX(January!$C$3:$AH$181,68,MATCH(B16,January!$D$3:$AH$3)+1)+INDEX(January!$C$3:$AH$181,73,MATCH(B16,January!$D$3:$AH$3)+1)+INDEX(January!$C$3:$AH$181,78,MATCH(B16,January!$D$3:$AH$3)+1)+INDEX(January!$C$3:$AH$181,83,MATCH(B16,January!$D$3:$AH$3)+1)+INDEX(January!$C$3:$AH$181,88,MATCH(B16,January!$D$3:$AH$3)+1)+INDEX(January!$C$3:$AH$181,93,MATCH(B16,January!$D$3:$AH$3)+1)+INDEX(January!$C$3:$AH$181,98,MATCH(B16,January!$D$3:$AH$3)+1)+INDEX(January!$C$3:$AH$181,103,MATCH(B16,January!$D$3:$AH$3)+1)+INDEX(January!$C$3:$AH$181,108,MATCH(B16,January!$D$3:$AH$3)+1)+INDEX(January!$C$3:$AH$181,113,MATCH(B16,January!$D$3:$AH$3)+1)+INDEX(January!$C$3:$AH$181,118,MATCH(B16,January!$D$3:$AH$3)+1)+INDEX(January!$C$3:$AH$181,123,MATCH(B16,January!$D$3:$AH$3)+1)+INDEX(January!$C$3:$AH$181,128,MATCH(B16,January!$D$3:$AH$3)+1)+INDEX(January!$C$3:$AH$181,133,MATCH(B16,January!$D$3:$AH$3)+1)+INDEX(January!$C$3:$AH$181,138,MATCH(B16,January!$D$3:$AH$3)+1)+INDEX(January!$C$3:$AH$181,143,MATCH(B16,January!$D$3:$AH$3)+1)+INDEX(January!$C$3:$AH$181,148,MATCH(B16,January!$D$3:$AH$3)+1)-INDEX(January!$B$5:$AH$181,MATCH("Patrick Janssen",January!$B$5:$B$181),MATCH(B16,January!$D$3:$AH$3)+2)-INDEX(January!$B$5:$AH$181,MATCH("Patrick Ziesen",January!$B$5:$B$181),MATCH(B16,January!$D$3:$AH$3)+2)-INDEX(January!$B$5:$AH$181,MATCH("Frido Meijer",January!$B$5:$B$181),MATCH(B16,January!$D$3:$AH$3)+2)</f>
        <v>0</v>
      </c>
      <c r="H16" s="130">
        <f>INDEX(January!$C$3:$AH$181,4,MATCH(B16,January!$D$3:$AH$3)+1)+INDEX(January!$C$3:$AH$181,9,MATCH(B16,January!$D$3:$AH$3)+1)+INDEX(January!$C$3:$AH$181,14,MATCH(B16,January!$D$3:$AH$3)+1)+INDEX(January!$C$3:$AH$181,19,MATCH(B16,January!$D$3:$AH$3)+1)+INDEX(January!$C$3:$AH$181,24,MATCH(B16,January!$D$3:$AH$3)+1)+INDEX(January!$C$3:$AH$181,29,MATCH(B16,January!$D$3:$AH$3)+1)+INDEX(January!$C$3:$AH$181,34,MATCH(B16,January!$D$3:$AH$3)+1)+INDEX(January!$C$3:$AH$181,39,MATCH(B16,January!$D$3:$AH$3)+1)+INDEX(January!$C$3:$AH$181,44,MATCH(B16,January!$D$3:$AH$3)+1)+INDEX(January!$C$3:$AH$181,49,MATCH(B16,January!$D$3:$AH$3)+1)+INDEX(January!$C$3:$AH$181,54,MATCH(B16,January!$D$3:$AH$3)+1)+INDEX(January!$C$3:$AH$181,59,MATCH(B16,January!$D$3:$AH$3)+1)+INDEX(January!$C$3:$AH$181,64,MATCH(B16,January!$D$3:$AH$3)+1)+INDEX(January!$C$3:$AH$181,69,MATCH(B16,January!$D$3:$AH$3)+1)+INDEX(January!$C$3:$AH$181,74,MATCH(B16,January!$D$3:$AH$3)+1)+INDEX(January!$C$3:$AH$181,79,MATCH(B16,January!$D$3:$AH$3)+1)+INDEX(January!$C$3:$AH$181,84,MATCH(B16,January!$D$3:$AH$3)+1)+INDEX(January!$C$3:$AH$181,89,MATCH(B16,January!$D$3:$AH$3)+1)+INDEX(January!$C$3:$AH$181,94,MATCH(B16,January!$D$3:$AH$3)+1)+INDEX(January!$C$3:$AH$181,99,MATCH(B16,January!$D$3:$AH$3)+1)+INDEX(January!$C$3:$AH$181,104,MATCH(B16,January!$D$3:$AH$3)+1)+INDEX(January!$C$3:$AH$181,109,MATCH(B16,January!$D$3:$AH$3)+1)+INDEX(January!$C$3:$AH$181,114,MATCH(B16,January!$D$3:$AH$3)+1)+INDEX(January!$C$3:$AH$181,119,MATCH(B16,January!$D$3:$AH$3)+1)+INDEX(January!$C$3:$AH$181,124,MATCH(B16,January!$D$3:$AH$3)+1)+INDEX(January!$C$3:$AH$181,129,MATCH(B16,January!$D$3:$AH$3)+1)+INDEX(January!$C$3:$AH$181,134,MATCH(B16,January!$D$3:$AH$3)+1)+INDEX(January!$C$3:$AH$181,139,MATCH(B16,January!$D$3:$AH$3)+1)+INDEX(January!$C$3:$AH$181,144,MATCH(B16,January!$D$3:$AH$3)+1)+INDEX(January!$C$3:$AH$181,149,MATCH(B16,January!$D$3:$AH$3)+1)-INDEX(January!$B$5:$AH$181,MATCH("Patrick Janssen",January!$B$5:$B$181)+1,MATCH(B16,January!$D$3:$AH$3)+2)-INDEX(January!$B$5:$AH$181,MATCH("Patrick Ziesen",January!$B$5:$B$181)+1,MATCH(B16,January!$D$3:$AH$3)+2)-INDEX(January!$B$5:$AH$181,MATCH("Frido Meijer",January!$B$5:$B$181)+1,MATCH(B16,January!$D$3:$AH$3)+2)</f>
        <v>0</v>
      </c>
      <c r="I16" s="130">
        <v>0</v>
      </c>
      <c r="J16" s="130">
        <v>0</v>
      </c>
      <c r="L16" s="212"/>
      <c r="M16" s="111"/>
      <c r="N16" s="130">
        <f t="shared" si="3"/>
        <v>0</v>
      </c>
      <c r="P16" s="112" t="str">
        <f t="shared" si="5"/>
        <v/>
      </c>
      <c r="Q16" s="112" t="str">
        <f t="shared" si="4"/>
        <v/>
      </c>
      <c r="S16">
        <v>12</v>
      </c>
    </row>
    <row r="17" spans="2:19" x14ac:dyDescent="0.25">
      <c r="B17" s="110">
        <f>DATE(Title!$F$12,$S$5,S17)</f>
        <v>41287</v>
      </c>
      <c r="C17" s="111">
        <f>IF(WEEKDAY(B17)=1,0,IF(WEEKDAY(B17)=4,'Hours Scheduled'!$D$44-1,IF(WEEKDAY(B17)=7,0,'Hours Scheduled'!$D$44)))</f>
        <v>0</v>
      </c>
      <c r="D17" s="17">
        <f t="shared" si="1"/>
        <v>0</v>
      </c>
      <c r="E17" s="127">
        <f t="shared" si="2"/>
        <v>0</v>
      </c>
      <c r="F17" s="111"/>
      <c r="G17" s="129">
        <f>INDEX(January!$C$3:$AH$181,3,MATCH(B17,January!$D$3:$AH$3)+1)+INDEX(January!$C$3:$AH$181,8,MATCH(B17,January!$D$3:$AH$3)+1)+INDEX(January!$C$3:$AH$181,13,MATCH(B17,January!$D$3:$AH$3)+1)+INDEX(January!$C$3:$AH$181,18,MATCH(B17,January!$D$3:$AH$3)+1)+INDEX(January!$C$3:$AH$181,23,MATCH(B17,January!$D$3:$AH$3)+1)+INDEX(January!$C$3:$AH$181,28,MATCH(B17,January!$D$3:$AH$3)+1)+INDEX(January!$C$3:$AH$181,33,MATCH(B17,January!$D$3:$AH$3)+1)+INDEX(January!$C$3:$AH$181,38,MATCH(B17,January!$D$3:$AH$3)+1)+INDEX(January!$C$3:$AH$181,43,MATCH(B17,January!$D$3:$AH$3)+1)+INDEX(January!$C$3:$AH$181,48,MATCH(B17,January!$D$3:$AH$3)+1)+INDEX(January!$C$3:$AH$181,53,MATCH(B17,January!$D$3:$AH$3)+1)+INDEX(January!$C$3:$AH$181,58,MATCH(B17,January!$D$3:$AH$3)+1)+INDEX(January!$C$3:$AH$181,63,MATCH(B17,January!$D$3:$AH$3)+1)+INDEX(January!$C$3:$AH$181,68,MATCH(B17,January!$D$3:$AH$3)+1)+INDEX(January!$C$3:$AH$181,73,MATCH(B17,January!$D$3:$AH$3)+1)+INDEX(January!$C$3:$AH$181,78,MATCH(B17,January!$D$3:$AH$3)+1)+INDEX(January!$C$3:$AH$181,83,MATCH(B17,January!$D$3:$AH$3)+1)+INDEX(January!$C$3:$AH$181,88,MATCH(B17,January!$D$3:$AH$3)+1)+INDEX(January!$C$3:$AH$181,93,MATCH(B17,January!$D$3:$AH$3)+1)+INDEX(January!$C$3:$AH$181,98,MATCH(B17,January!$D$3:$AH$3)+1)+INDEX(January!$C$3:$AH$181,103,MATCH(B17,January!$D$3:$AH$3)+1)+INDEX(January!$C$3:$AH$181,108,MATCH(B17,January!$D$3:$AH$3)+1)+INDEX(January!$C$3:$AH$181,113,MATCH(B17,January!$D$3:$AH$3)+1)+INDEX(January!$C$3:$AH$181,118,MATCH(B17,January!$D$3:$AH$3)+1)+INDEX(January!$C$3:$AH$181,123,MATCH(B17,January!$D$3:$AH$3)+1)+INDEX(January!$C$3:$AH$181,128,MATCH(B17,January!$D$3:$AH$3)+1)+INDEX(January!$C$3:$AH$181,133,MATCH(B17,January!$D$3:$AH$3)+1)+INDEX(January!$C$3:$AH$181,138,MATCH(B17,January!$D$3:$AH$3)+1)+INDEX(January!$C$3:$AH$181,143,MATCH(B17,January!$D$3:$AH$3)+1)+INDEX(January!$C$3:$AH$181,148,MATCH(B17,January!$D$3:$AH$3)+1)-INDEX(January!$B$5:$AH$181,MATCH("Patrick Janssen",January!$B$5:$B$181),MATCH(B17,January!$D$3:$AH$3)+2)-INDEX(January!$B$5:$AH$181,MATCH("Patrick Ziesen",January!$B$5:$B$181),MATCH(B17,January!$D$3:$AH$3)+2)-INDEX(January!$B$5:$AH$181,MATCH("Frido Meijer",January!$B$5:$B$181),MATCH(B17,January!$D$3:$AH$3)+2)</f>
        <v>0</v>
      </c>
      <c r="H17" s="130">
        <f>INDEX(January!$C$3:$AH$181,4,MATCH(B17,January!$D$3:$AH$3)+1)+INDEX(January!$C$3:$AH$181,9,MATCH(B17,January!$D$3:$AH$3)+1)+INDEX(January!$C$3:$AH$181,14,MATCH(B17,January!$D$3:$AH$3)+1)+INDEX(January!$C$3:$AH$181,19,MATCH(B17,January!$D$3:$AH$3)+1)+INDEX(January!$C$3:$AH$181,24,MATCH(B17,January!$D$3:$AH$3)+1)+INDEX(January!$C$3:$AH$181,29,MATCH(B17,January!$D$3:$AH$3)+1)+INDEX(January!$C$3:$AH$181,34,MATCH(B17,January!$D$3:$AH$3)+1)+INDEX(January!$C$3:$AH$181,39,MATCH(B17,January!$D$3:$AH$3)+1)+INDEX(January!$C$3:$AH$181,44,MATCH(B17,January!$D$3:$AH$3)+1)+INDEX(January!$C$3:$AH$181,49,MATCH(B17,January!$D$3:$AH$3)+1)+INDEX(January!$C$3:$AH$181,54,MATCH(B17,January!$D$3:$AH$3)+1)+INDEX(January!$C$3:$AH$181,59,MATCH(B17,January!$D$3:$AH$3)+1)+INDEX(January!$C$3:$AH$181,64,MATCH(B17,January!$D$3:$AH$3)+1)+INDEX(January!$C$3:$AH$181,69,MATCH(B17,January!$D$3:$AH$3)+1)+INDEX(January!$C$3:$AH$181,74,MATCH(B17,January!$D$3:$AH$3)+1)+INDEX(January!$C$3:$AH$181,79,MATCH(B17,January!$D$3:$AH$3)+1)+INDEX(January!$C$3:$AH$181,84,MATCH(B17,January!$D$3:$AH$3)+1)+INDEX(January!$C$3:$AH$181,89,MATCH(B17,January!$D$3:$AH$3)+1)+INDEX(January!$C$3:$AH$181,94,MATCH(B17,January!$D$3:$AH$3)+1)+INDEX(January!$C$3:$AH$181,99,MATCH(B17,January!$D$3:$AH$3)+1)+INDEX(January!$C$3:$AH$181,104,MATCH(B17,January!$D$3:$AH$3)+1)+INDEX(January!$C$3:$AH$181,109,MATCH(B17,January!$D$3:$AH$3)+1)+INDEX(January!$C$3:$AH$181,114,MATCH(B17,January!$D$3:$AH$3)+1)+INDEX(January!$C$3:$AH$181,119,MATCH(B17,January!$D$3:$AH$3)+1)+INDEX(January!$C$3:$AH$181,124,MATCH(B17,January!$D$3:$AH$3)+1)+INDEX(January!$C$3:$AH$181,129,MATCH(B17,January!$D$3:$AH$3)+1)+INDEX(January!$C$3:$AH$181,134,MATCH(B17,January!$D$3:$AH$3)+1)+INDEX(January!$C$3:$AH$181,139,MATCH(B17,January!$D$3:$AH$3)+1)+INDEX(January!$C$3:$AH$181,144,MATCH(B17,January!$D$3:$AH$3)+1)+INDEX(January!$C$3:$AH$181,149,MATCH(B17,January!$D$3:$AH$3)+1)-INDEX(January!$B$5:$AH$181,MATCH("Patrick Janssen",January!$B$5:$B$181)+1,MATCH(B17,January!$D$3:$AH$3)+2)-INDEX(January!$B$5:$AH$181,MATCH("Patrick Ziesen",January!$B$5:$B$181)+1,MATCH(B17,January!$D$3:$AH$3)+2)-INDEX(January!$B$5:$AH$181,MATCH("Frido Meijer",January!$B$5:$B$181)+1,MATCH(B17,January!$D$3:$AH$3)+2)</f>
        <v>0</v>
      </c>
      <c r="I17" s="130">
        <v>0</v>
      </c>
      <c r="J17" s="130">
        <v>0</v>
      </c>
      <c r="L17" s="212"/>
      <c r="M17" s="111"/>
      <c r="N17" s="130">
        <f t="shared" si="3"/>
        <v>0</v>
      </c>
      <c r="P17" s="112" t="str">
        <f t="shared" si="5"/>
        <v/>
      </c>
      <c r="Q17" s="112" t="str">
        <f t="shared" si="4"/>
        <v/>
      </c>
      <c r="S17">
        <v>13</v>
      </c>
    </row>
    <row r="18" spans="2:19" x14ac:dyDescent="0.25">
      <c r="B18" s="110">
        <f>DATE(Title!$F$12,$S$5,S18)</f>
        <v>41288</v>
      </c>
      <c r="C18" s="111">
        <f>IF(WEEKDAY(B18)=1,0,IF(WEEKDAY(B18)=4,'Hours Scheduled'!$D$44-1,IF(WEEKDAY(B18)=7,0,'Hours Scheduled'!$D$44)))</f>
        <v>25</v>
      </c>
      <c r="D18" s="17">
        <f t="shared" si="1"/>
        <v>187.5</v>
      </c>
      <c r="E18" s="127">
        <f t="shared" si="2"/>
        <v>160</v>
      </c>
      <c r="F18" s="111"/>
      <c r="G18" s="129">
        <f>INDEX(January!$C$3:$AH$181,3,MATCH(B18,January!$D$3:$AH$3)+1)+INDEX(January!$C$3:$AH$181,8,MATCH(B18,January!$D$3:$AH$3)+1)+INDEX(January!$C$3:$AH$181,13,MATCH(B18,January!$D$3:$AH$3)+1)+INDEX(January!$C$3:$AH$181,18,MATCH(B18,January!$D$3:$AH$3)+1)+INDEX(January!$C$3:$AH$181,23,MATCH(B18,January!$D$3:$AH$3)+1)+INDEX(January!$C$3:$AH$181,28,MATCH(B18,January!$D$3:$AH$3)+1)+INDEX(January!$C$3:$AH$181,33,MATCH(B18,January!$D$3:$AH$3)+1)+INDEX(January!$C$3:$AH$181,38,MATCH(B18,January!$D$3:$AH$3)+1)+INDEX(January!$C$3:$AH$181,43,MATCH(B18,January!$D$3:$AH$3)+1)+INDEX(January!$C$3:$AH$181,48,MATCH(B18,January!$D$3:$AH$3)+1)+INDEX(January!$C$3:$AH$181,53,MATCH(B18,January!$D$3:$AH$3)+1)+INDEX(January!$C$3:$AH$181,58,MATCH(B18,January!$D$3:$AH$3)+1)+INDEX(January!$C$3:$AH$181,63,MATCH(B18,January!$D$3:$AH$3)+1)+INDEX(January!$C$3:$AH$181,68,MATCH(B18,January!$D$3:$AH$3)+1)+INDEX(January!$C$3:$AH$181,73,MATCH(B18,January!$D$3:$AH$3)+1)+INDEX(January!$C$3:$AH$181,78,MATCH(B18,January!$D$3:$AH$3)+1)+INDEX(January!$C$3:$AH$181,83,MATCH(B18,January!$D$3:$AH$3)+1)+INDEX(January!$C$3:$AH$181,88,MATCH(B18,January!$D$3:$AH$3)+1)+INDEX(January!$C$3:$AH$181,93,MATCH(B18,January!$D$3:$AH$3)+1)+INDEX(January!$C$3:$AH$181,98,MATCH(B18,January!$D$3:$AH$3)+1)+INDEX(January!$C$3:$AH$181,103,MATCH(B18,January!$D$3:$AH$3)+1)+INDEX(January!$C$3:$AH$181,108,MATCH(B18,January!$D$3:$AH$3)+1)+INDEX(January!$C$3:$AH$181,113,MATCH(B18,January!$D$3:$AH$3)+1)+INDEX(January!$C$3:$AH$181,118,MATCH(B18,January!$D$3:$AH$3)+1)+INDEX(January!$C$3:$AH$181,123,MATCH(B18,January!$D$3:$AH$3)+1)+INDEX(January!$C$3:$AH$181,128,MATCH(B18,January!$D$3:$AH$3)+1)+INDEX(January!$C$3:$AH$181,133,MATCH(B18,January!$D$3:$AH$3)+1)+INDEX(January!$C$3:$AH$181,138,MATCH(B18,January!$D$3:$AH$3)+1)+INDEX(January!$C$3:$AH$181,143,MATCH(B18,January!$D$3:$AH$3)+1)+INDEX(January!$C$3:$AH$181,148,MATCH(B18,January!$D$3:$AH$3)+1)-INDEX(January!$B$5:$AH$181,MATCH("Patrick Janssen",January!$B$5:$B$181),MATCH(B18,January!$D$3:$AH$3)+2)-INDEX(January!$B$5:$AH$181,MATCH("Patrick Ziesen",January!$B$5:$B$181),MATCH(B18,January!$D$3:$AH$3)+2)-INDEX(January!$B$5:$AH$181,MATCH("Frido Meijer",January!$B$5:$B$181),MATCH(B18,January!$D$3:$AH$3)+2)</f>
        <v>16</v>
      </c>
      <c r="H18" s="130">
        <f>INDEX(January!$C$3:$AH$181,4,MATCH(B18,January!$D$3:$AH$3)+1)+INDEX(January!$C$3:$AH$181,9,MATCH(B18,January!$D$3:$AH$3)+1)+INDEX(January!$C$3:$AH$181,14,MATCH(B18,January!$D$3:$AH$3)+1)+INDEX(January!$C$3:$AH$181,19,MATCH(B18,January!$D$3:$AH$3)+1)+INDEX(January!$C$3:$AH$181,24,MATCH(B18,January!$D$3:$AH$3)+1)+INDEX(January!$C$3:$AH$181,29,MATCH(B18,January!$D$3:$AH$3)+1)+INDEX(January!$C$3:$AH$181,34,MATCH(B18,January!$D$3:$AH$3)+1)+INDEX(January!$C$3:$AH$181,39,MATCH(B18,January!$D$3:$AH$3)+1)+INDEX(January!$C$3:$AH$181,44,MATCH(B18,January!$D$3:$AH$3)+1)+INDEX(January!$C$3:$AH$181,49,MATCH(B18,January!$D$3:$AH$3)+1)+INDEX(January!$C$3:$AH$181,54,MATCH(B18,January!$D$3:$AH$3)+1)+INDEX(January!$C$3:$AH$181,59,MATCH(B18,January!$D$3:$AH$3)+1)+INDEX(January!$C$3:$AH$181,64,MATCH(B18,January!$D$3:$AH$3)+1)+INDEX(January!$C$3:$AH$181,69,MATCH(B18,January!$D$3:$AH$3)+1)+INDEX(January!$C$3:$AH$181,74,MATCH(B18,January!$D$3:$AH$3)+1)+INDEX(January!$C$3:$AH$181,79,MATCH(B18,January!$D$3:$AH$3)+1)+INDEX(January!$C$3:$AH$181,84,MATCH(B18,January!$D$3:$AH$3)+1)+INDEX(January!$C$3:$AH$181,89,MATCH(B18,January!$D$3:$AH$3)+1)+INDEX(January!$C$3:$AH$181,94,MATCH(B18,January!$D$3:$AH$3)+1)+INDEX(January!$C$3:$AH$181,99,MATCH(B18,January!$D$3:$AH$3)+1)+INDEX(January!$C$3:$AH$181,104,MATCH(B18,January!$D$3:$AH$3)+1)+INDEX(January!$C$3:$AH$181,109,MATCH(B18,January!$D$3:$AH$3)+1)+INDEX(January!$C$3:$AH$181,114,MATCH(B18,January!$D$3:$AH$3)+1)+INDEX(January!$C$3:$AH$181,119,MATCH(B18,January!$D$3:$AH$3)+1)+INDEX(January!$C$3:$AH$181,124,MATCH(B18,January!$D$3:$AH$3)+1)+INDEX(January!$C$3:$AH$181,129,MATCH(B18,January!$D$3:$AH$3)+1)+INDEX(January!$C$3:$AH$181,134,MATCH(B18,January!$D$3:$AH$3)+1)+INDEX(January!$C$3:$AH$181,139,MATCH(B18,January!$D$3:$AH$3)+1)+INDEX(January!$C$3:$AH$181,144,MATCH(B18,January!$D$3:$AH$3)+1)+INDEX(January!$C$3:$AH$181,149,MATCH(B18,January!$D$3:$AH$3)+1)-INDEX(January!$B$5:$AH$181,MATCH("Patrick Janssen",January!$B$5:$B$181)+1,MATCH(B18,January!$D$3:$AH$3)+2)-INDEX(January!$B$5:$AH$181,MATCH("Patrick Ziesen",January!$B$5:$B$181)+1,MATCH(B18,January!$D$3:$AH$3)+2)-INDEX(January!$B$5:$AH$181,MATCH("Frido Meijer",January!$B$5:$B$181)+1,MATCH(B18,January!$D$3:$AH$3)+2)</f>
        <v>24</v>
      </c>
      <c r="I18" s="130">
        <v>0</v>
      </c>
      <c r="J18" s="130">
        <v>0</v>
      </c>
      <c r="L18" s="111"/>
      <c r="M18" s="111"/>
      <c r="N18" s="130">
        <f t="shared" si="3"/>
        <v>0</v>
      </c>
      <c r="P18" s="112">
        <f t="shared" si="5"/>
        <v>0</v>
      </c>
      <c r="Q18" s="112">
        <f t="shared" si="4"/>
        <v>0</v>
      </c>
      <c r="S18">
        <v>14</v>
      </c>
    </row>
    <row r="19" spans="2:19" x14ac:dyDescent="0.25">
      <c r="B19" s="110">
        <f>DATE(Title!$F$12,$S$5,S19)</f>
        <v>41289</v>
      </c>
      <c r="C19" s="111">
        <f>IF(WEEKDAY(B19)=1,0,IF(WEEKDAY(B19)=4,'Hours Scheduled'!$D$44-1,IF(WEEKDAY(B19)=7,0,'Hours Scheduled'!$D$44)))</f>
        <v>25</v>
      </c>
      <c r="D19" s="17">
        <f t="shared" si="1"/>
        <v>187.5</v>
      </c>
      <c r="E19" s="127">
        <f t="shared" si="2"/>
        <v>164</v>
      </c>
      <c r="F19" s="111"/>
      <c r="G19" s="129">
        <f>INDEX(January!$C$3:$AH$181,3,MATCH(B19,January!$D$3:$AH$3)+1)+INDEX(January!$C$3:$AH$181,8,MATCH(B19,January!$D$3:$AH$3)+1)+INDEX(January!$C$3:$AH$181,13,MATCH(B19,January!$D$3:$AH$3)+1)+INDEX(January!$C$3:$AH$181,18,MATCH(B19,January!$D$3:$AH$3)+1)+INDEX(January!$C$3:$AH$181,23,MATCH(B19,January!$D$3:$AH$3)+1)+INDEX(January!$C$3:$AH$181,28,MATCH(B19,January!$D$3:$AH$3)+1)+INDEX(January!$C$3:$AH$181,33,MATCH(B19,January!$D$3:$AH$3)+1)+INDEX(January!$C$3:$AH$181,38,MATCH(B19,January!$D$3:$AH$3)+1)+INDEX(January!$C$3:$AH$181,43,MATCH(B19,January!$D$3:$AH$3)+1)+INDEX(January!$C$3:$AH$181,48,MATCH(B19,January!$D$3:$AH$3)+1)+INDEX(January!$C$3:$AH$181,53,MATCH(B19,January!$D$3:$AH$3)+1)+INDEX(January!$C$3:$AH$181,58,MATCH(B19,January!$D$3:$AH$3)+1)+INDEX(January!$C$3:$AH$181,63,MATCH(B19,January!$D$3:$AH$3)+1)+INDEX(January!$C$3:$AH$181,68,MATCH(B19,January!$D$3:$AH$3)+1)+INDEX(January!$C$3:$AH$181,73,MATCH(B19,January!$D$3:$AH$3)+1)+INDEX(January!$C$3:$AH$181,78,MATCH(B19,January!$D$3:$AH$3)+1)+INDEX(January!$C$3:$AH$181,83,MATCH(B19,January!$D$3:$AH$3)+1)+INDEX(January!$C$3:$AH$181,88,MATCH(B19,January!$D$3:$AH$3)+1)+INDEX(January!$C$3:$AH$181,93,MATCH(B19,January!$D$3:$AH$3)+1)+INDEX(January!$C$3:$AH$181,98,MATCH(B19,January!$D$3:$AH$3)+1)+INDEX(January!$C$3:$AH$181,103,MATCH(B19,January!$D$3:$AH$3)+1)+INDEX(January!$C$3:$AH$181,108,MATCH(B19,January!$D$3:$AH$3)+1)+INDEX(January!$C$3:$AH$181,113,MATCH(B19,January!$D$3:$AH$3)+1)+INDEX(January!$C$3:$AH$181,118,MATCH(B19,January!$D$3:$AH$3)+1)+INDEX(January!$C$3:$AH$181,123,MATCH(B19,January!$D$3:$AH$3)+1)+INDEX(January!$C$3:$AH$181,128,MATCH(B19,January!$D$3:$AH$3)+1)+INDEX(January!$C$3:$AH$181,133,MATCH(B19,January!$D$3:$AH$3)+1)+INDEX(January!$C$3:$AH$181,138,MATCH(B19,January!$D$3:$AH$3)+1)+INDEX(January!$C$3:$AH$181,143,MATCH(B19,January!$D$3:$AH$3)+1)+INDEX(January!$C$3:$AH$181,148,MATCH(B19,January!$D$3:$AH$3)+1)-INDEX(January!$B$5:$AH$181,MATCH("Patrick Janssen",January!$B$5:$B$181),MATCH(B19,January!$D$3:$AH$3)+2)-INDEX(January!$B$5:$AH$181,MATCH("Patrick Ziesen",January!$B$5:$B$181),MATCH(B19,January!$D$3:$AH$3)+2)-INDEX(January!$B$5:$AH$181,MATCH("Frido Meijer",January!$B$5:$B$181),MATCH(B19,January!$D$3:$AH$3)+2)</f>
        <v>12</v>
      </c>
      <c r="H19" s="130">
        <f>INDEX(January!$C$3:$AH$181,4,MATCH(B19,January!$D$3:$AH$3)+1)+INDEX(January!$C$3:$AH$181,9,MATCH(B19,January!$D$3:$AH$3)+1)+INDEX(January!$C$3:$AH$181,14,MATCH(B19,January!$D$3:$AH$3)+1)+INDEX(January!$C$3:$AH$181,19,MATCH(B19,January!$D$3:$AH$3)+1)+INDEX(January!$C$3:$AH$181,24,MATCH(B19,January!$D$3:$AH$3)+1)+INDEX(January!$C$3:$AH$181,29,MATCH(B19,January!$D$3:$AH$3)+1)+INDEX(January!$C$3:$AH$181,34,MATCH(B19,January!$D$3:$AH$3)+1)+INDEX(January!$C$3:$AH$181,39,MATCH(B19,January!$D$3:$AH$3)+1)+INDEX(January!$C$3:$AH$181,44,MATCH(B19,January!$D$3:$AH$3)+1)+INDEX(January!$C$3:$AH$181,49,MATCH(B19,January!$D$3:$AH$3)+1)+INDEX(January!$C$3:$AH$181,54,MATCH(B19,January!$D$3:$AH$3)+1)+INDEX(January!$C$3:$AH$181,59,MATCH(B19,January!$D$3:$AH$3)+1)+INDEX(January!$C$3:$AH$181,64,MATCH(B19,January!$D$3:$AH$3)+1)+INDEX(January!$C$3:$AH$181,69,MATCH(B19,January!$D$3:$AH$3)+1)+INDEX(January!$C$3:$AH$181,74,MATCH(B19,January!$D$3:$AH$3)+1)+INDEX(January!$C$3:$AH$181,79,MATCH(B19,January!$D$3:$AH$3)+1)+INDEX(January!$C$3:$AH$181,84,MATCH(B19,January!$D$3:$AH$3)+1)+INDEX(January!$C$3:$AH$181,89,MATCH(B19,January!$D$3:$AH$3)+1)+INDEX(January!$C$3:$AH$181,94,MATCH(B19,January!$D$3:$AH$3)+1)+INDEX(January!$C$3:$AH$181,99,MATCH(B19,January!$D$3:$AH$3)+1)+INDEX(January!$C$3:$AH$181,104,MATCH(B19,January!$D$3:$AH$3)+1)+INDEX(January!$C$3:$AH$181,109,MATCH(B19,January!$D$3:$AH$3)+1)+INDEX(January!$C$3:$AH$181,114,MATCH(B19,January!$D$3:$AH$3)+1)+INDEX(January!$C$3:$AH$181,119,MATCH(B19,January!$D$3:$AH$3)+1)+INDEX(January!$C$3:$AH$181,124,MATCH(B19,January!$D$3:$AH$3)+1)+INDEX(January!$C$3:$AH$181,129,MATCH(B19,January!$D$3:$AH$3)+1)+INDEX(January!$C$3:$AH$181,134,MATCH(B19,January!$D$3:$AH$3)+1)+INDEX(January!$C$3:$AH$181,139,MATCH(B19,January!$D$3:$AH$3)+1)+INDEX(January!$C$3:$AH$181,144,MATCH(B19,January!$D$3:$AH$3)+1)+INDEX(January!$C$3:$AH$181,149,MATCH(B19,January!$D$3:$AH$3)+1)-INDEX(January!$B$5:$AH$181,MATCH("Patrick Janssen",January!$B$5:$B$181)+1,MATCH(B19,January!$D$3:$AH$3)+2)-INDEX(January!$B$5:$AH$181,MATCH("Patrick Ziesen",January!$B$5:$B$181)+1,MATCH(B19,January!$D$3:$AH$3)+2)-INDEX(January!$B$5:$AH$181,MATCH("Frido Meijer",January!$B$5:$B$181)+1,MATCH(B19,January!$D$3:$AH$3)+2)</f>
        <v>24</v>
      </c>
      <c r="I19" s="130">
        <v>0</v>
      </c>
      <c r="J19" s="130">
        <v>0</v>
      </c>
      <c r="L19" s="111"/>
      <c r="M19" s="111"/>
      <c r="N19" s="130">
        <f t="shared" si="3"/>
        <v>0</v>
      </c>
      <c r="P19" s="112">
        <f t="shared" si="5"/>
        <v>0</v>
      </c>
      <c r="Q19" s="112">
        <f t="shared" si="4"/>
        <v>0</v>
      </c>
      <c r="S19">
        <v>15</v>
      </c>
    </row>
    <row r="20" spans="2:19" x14ac:dyDescent="0.25">
      <c r="B20" s="110">
        <f>DATE(Title!$F$12,$S$5,S20)</f>
        <v>41290</v>
      </c>
      <c r="C20" s="111">
        <f>IF(WEEKDAY(B20)=1,0,IF(WEEKDAY(B20)=4,'Hours Scheduled'!$D$44-1,IF(WEEKDAY(B20)=7,0,'Hours Scheduled'!$D$44)))</f>
        <v>24</v>
      </c>
      <c r="D20" s="17">
        <f t="shared" si="1"/>
        <v>180</v>
      </c>
      <c r="E20" s="127">
        <f t="shared" si="2"/>
        <v>160</v>
      </c>
      <c r="F20" s="111"/>
      <c r="G20" s="129">
        <f>INDEX(January!$C$3:$AH$181,3,MATCH(B20,January!$D$3:$AH$3)+1)+INDEX(January!$C$3:$AH$181,8,MATCH(B20,January!$D$3:$AH$3)+1)+INDEX(January!$C$3:$AH$181,13,MATCH(B20,January!$D$3:$AH$3)+1)+INDEX(January!$C$3:$AH$181,18,MATCH(B20,January!$D$3:$AH$3)+1)+INDEX(January!$C$3:$AH$181,23,MATCH(B20,January!$D$3:$AH$3)+1)+INDEX(January!$C$3:$AH$181,28,MATCH(B20,January!$D$3:$AH$3)+1)+INDEX(January!$C$3:$AH$181,33,MATCH(B20,January!$D$3:$AH$3)+1)+INDEX(January!$C$3:$AH$181,38,MATCH(B20,January!$D$3:$AH$3)+1)+INDEX(January!$C$3:$AH$181,43,MATCH(B20,January!$D$3:$AH$3)+1)+INDEX(January!$C$3:$AH$181,48,MATCH(B20,January!$D$3:$AH$3)+1)+INDEX(January!$C$3:$AH$181,53,MATCH(B20,January!$D$3:$AH$3)+1)+INDEX(January!$C$3:$AH$181,58,MATCH(B20,January!$D$3:$AH$3)+1)+INDEX(January!$C$3:$AH$181,63,MATCH(B20,January!$D$3:$AH$3)+1)+INDEX(January!$C$3:$AH$181,68,MATCH(B20,January!$D$3:$AH$3)+1)+INDEX(January!$C$3:$AH$181,73,MATCH(B20,January!$D$3:$AH$3)+1)+INDEX(January!$C$3:$AH$181,78,MATCH(B20,January!$D$3:$AH$3)+1)+INDEX(January!$C$3:$AH$181,83,MATCH(B20,January!$D$3:$AH$3)+1)+INDEX(January!$C$3:$AH$181,88,MATCH(B20,January!$D$3:$AH$3)+1)+INDEX(January!$C$3:$AH$181,93,MATCH(B20,January!$D$3:$AH$3)+1)+INDEX(January!$C$3:$AH$181,98,MATCH(B20,January!$D$3:$AH$3)+1)+INDEX(January!$C$3:$AH$181,103,MATCH(B20,January!$D$3:$AH$3)+1)+INDEX(January!$C$3:$AH$181,108,MATCH(B20,January!$D$3:$AH$3)+1)+INDEX(January!$C$3:$AH$181,113,MATCH(B20,January!$D$3:$AH$3)+1)+INDEX(January!$C$3:$AH$181,118,MATCH(B20,January!$D$3:$AH$3)+1)+INDEX(January!$C$3:$AH$181,123,MATCH(B20,January!$D$3:$AH$3)+1)+INDEX(January!$C$3:$AH$181,128,MATCH(B20,January!$D$3:$AH$3)+1)+INDEX(January!$C$3:$AH$181,133,MATCH(B20,January!$D$3:$AH$3)+1)+INDEX(January!$C$3:$AH$181,138,MATCH(B20,January!$D$3:$AH$3)+1)+INDEX(January!$C$3:$AH$181,143,MATCH(B20,January!$D$3:$AH$3)+1)+INDEX(January!$C$3:$AH$181,148,MATCH(B20,January!$D$3:$AH$3)+1)-INDEX(January!$B$5:$AH$181,MATCH("Patrick Janssen",January!$B$5:$B$181),MATCH(B20,January!$D$3:$AH$3)+2)-INDEX(January!$B$5:$AH$181,MATCH("Patrick Ziesen",January!$B$5:$B$181),MATCH(B20,January!$D$3:$AH$3)+2)-INDEX(January!$B$5:$AH$181,MATCH("Frido Meijer",January!$B$5:$B$181),MATCH(B20,January!$D$3:$AH$3)+2)</f>
        <v>16</v>
      </c>
      <c r="H20" s="130">
        <f>INDEX(January!$C$3:$AH$181,4,MATCH(B20,January!$D$3:$AH$3)+1)+INDEX(January!$C$3:$AH$181,9,MATCH(B20,January!$D$3:$AH$3)+1)+INDEX(January!$C$3:$AH$181,14,MATCH(B20,January!$D$3:$AH$3)+1)+INDEX(January!$C$3:$AH$181,19,MATCH(B20,January!$D$3:$AH$3)+1)+INDEX(January!$C$3:$AH$181,24,MATCH(B20,January!$D$3:$AH$3)+1)+INDEX(January!$C$3:$AH$181,29,MATCH(B20,January!$D$3:$AH$3)+1)+INDEX(January!$C$3:$AH$181,34,MATCH(B20,January!$D$3:$AH$3)+1)+INDEX(January!$C$3:$AH$181,39,MATCH(B20,January!$D$3:$AH$3)+1)+INDEX(January!$C$3:$AH$181,44,MATCH(B20,January!$D$3:$AH$3)+1)+INDEX(January!$C$3:$AH$181,49,MATCH(B20,January!$D$3:$AH$3)+1)+INDEX(January!$C$3:$AH$181,54,MATCH(B20,January!$D$3:$AH$3)+1)+INDEX(January!$C$3:$AH$181,59,MATCH(B20,January!$D$3:$AH$3)+1)+INDEX(January!$C$3:$AH$181,64,MATCH(B20,January!$D$3:$AH$3)+1)+INDEX(January!$C$3:$AH$181,69,MATCH(B20,January!$D$3:$AH$3)+1)+INDEX(January!$C$3:$AH$181,74,MATCH(B20,January!$D$3:$AH$3)+1)+INDEX(January!$C$3:$AH$181,79,MATCH(B20,January!$D$3:$AH$3)+1)+INDEX(January!$C$3:$AH$181,84,MATCH(B20,January!$D$3:$AH$3)+1)+INDEX(January!$C$3:$AH$181,89,MATCH(B20,January!$D$3:$AH$3)+1)+INDEX(January!$C$3:$AH$181,94,MATCH(B20,January!$D$3:$AH$3)+1)+INDEX(January!$C$3:$AH$181,99,MATCH(B20,January!$D$3:$AH$3)+1)+INDEX(January!$C$3:$AH$181,104,MATCH(B20,January!$D$3:$AH$3)+1)+INDEX(January!$C$3:$AH$181,109,MATCH(B20,January!$D$3:$AH$3)+1)+INDEX(January!$C$3:$AH$181,114,MATCH(B20,January!$D$3:$AH$3)+1)+INDEX(January!$C$3:$AH$181,119,MATCH(B20,January!$D$3:$AH$3)+1)+INDEX(January!$C$3:$AH$181,124,MATCH(B20,January!$D$3:$AH$3)+1)+INDEX(January!$C$3:$AH$181,129,MATCH(B20,January!$D$3:$AH$3)+1)+INDEX(January!$C$3:$AH$181,134,MATCH(B20,January!$D$3:$AH$3)+1)+INDEX(January!$C$3:$AH$181,139,MATCH(B20,January!$D$3:$AH$3)+1)+INDEX(January!$C$3:$AH$181,144,MATCH(B20,January!$D$3:$AH$3)+1)+INDEX(January!$C$3:$AH$181,149,MATCH(B20,January!$D$3:$AH$3)+1)-INDEX(January!$B$5:$AH$181,MATCH("Patrick Janssen",January!$B$5:$B$181)+1,MATCH(B20,January!$D$3:$AH$3)+2)-INDEX(January!$B$5:$AH$181,MATCH("Patrick Ziesen",January!$B$5:$B$181)+1,MATCH(B20,January!$D$3:$AH$3)+2)-INDEX(January!$B$5:$AH$181,MATCH("Frido Meijer",January!$B$5:$B$181)+1,MATCH(B20,January!$D$3:$AH$3)+2)</f>
        <v>16</v>
      </c>
      <c r="I20" s="130">
        <v>0</v>
      </c>
      <c r="J20" s="130">
        <v>0</v>
      </c>
      <c r="L20" s="212"/>
      <c r="M20" s="111"/>
      <c r="N20" s="130">
        <f t="shared" si="3"/>
        <v>0</v>
      </c>
      <c r="P20" s="112">
        <f t="shared" si="5"/>
        <v>0</v>
      </c>
      <c r="Q20" s="112">
        <f t="shared" si="4"/>
        <v>0</v>
      </c>
      <c r="S20">
        <v>16</v>
      </c>
    </row>
    <row r="21" spans="2:19" x14ac:dyDescent="0.25">
      <c r="B21" s="110">
        <f>DATE(Title!$F$12,$S$5,S21)</f>
        <v>41291</v>
      </c>
      <c r="C21" s="111">
        <f>IF(WEEKDAY(B21)=1,0,IF(WEEKDAY(B21)=4,'Hours Scheduled'!$D$44-1,IF(WEEKDAY(B21)=7,0,'Hours Scheduled'!$D$44)))</f>
        <v>25</v>
      </c>
      <c r="D21" s="17">
        <f t="shared" si="1"/>
        <v>187.5</v>
      </c>
      <c r="E21" s="127">
        <f t="shared" si="2"/>
        <v>176</v>
      </c>
      <c r="F21" s="111"/>
      <c r="G21" s="129">
        <f>INDEX(January!$C$3:$AH$181,3,MATCH(B21,January!$D$3:$AH$3)+1)+INDEX(January!$C$3:$AH$181,8,MATCH(B21,January!$D$3:$AH$3)+1)+INDEX(January!$C$3:$AH$181,13,MATCH(B21,January!$D$3:$AH$3)+1)+INDEX(January!$C$3:$AH$181,18,MATCH(B21,January!$D$3:$AH$3)+1)+INDEX(January!$C$3:$AH$181,23,MATCH(B21,January!$D$3:$AH$3)+1)+INDEX(January!$C$3:$AH$181,28,MATCH(B21,January!$D$3:$AH$3)+1)+INDEX(January!$C$3:$AH$181,33,MATCH(B21,January!$D$3:$AH$3)+1)+INDEX(January!$C$3:$AH$181,38,MATCH(B21,January!$D$3:$AH$3)+1)+INDEX(January!$C$3:$AH$181,43,MATCH(B21,January!$D$3:$AH$3)+1)+INDEX(January!$C$3:$AH$181,48,MATCH(B21,January!$D$3:$AH$3)+1)+INDEX(January!$C$3:$AH$181,53,MATCH(B21,January!$D$3:$AH$3)+1)+INDEX(January!$C$3:$AH$181,58,MATCH(B21,January!$D$3:$AH$3)+1)+INDEX(January!$C$3:$AH$181,63,MATCH(B21,January!$D$3:$AH$3)+1)+INDEX(January!$C$3:$AH$181,68,MATCH(B21,January!$D$3:$AH$3)+1)+INDEX(January!$C$3:$AH$181,73,MATCH(B21,January!$D$3:$AH$3)+1)+INDEX(January!$C$3:$AH$181,78,MATCH(B21,January!$D$3:$AH$3)+1)+INDEX(January!$C$3:$AH$181,83,MATCH(B21,January!$D$3:$AH$3)+1)+INDEX(January!$C$3:$AH$181,88,MATCH(B21,January!$D$3:$AH$3)+1)+INDEX(January!$C$3:$AH$181,93,MATCH(B21,January!$D$3:$AH$3)+1)+INDEX(January!$C$3:$AH$181,98,MATCH(B21,January!$D$3:$AH$3)+1)+INDEX(January!$C$3:$AH$181,103,MATCH(B21,January!$D$3:$AH$3)+1)+INDEX(January!$C$3:$AH$181,108,MATCH(B21,January!$D$3:$AH$3)+1)+INDEX(January!$C$3:$AH$181,113,MATCH(B21,January!$D$3:$AH$3)+1)+INDEX(January!$C$3:$AH$181,118,MATCH(B21,January!$D$3:$AH$3)+1)+INDEX(January!$C$3:$AH$181,123,MATCH(B21,January!$D$3:$AH$3)+1)+INDEX(January!$C$3:$AH$181,128,MATCH(B21,January!$D$3:$AH$3)+1)+INDEX(January!$C$3:$AH$181,133,MATCH(B21,January!$D$3:$AH$3)+1)+INDEX(January!$C$3:$AH$181,138,MATCH(B21,January!$D$3:$AH$3)+1)+INDEX(January!$C$3:$AH$181,143,MATCH(B21,January!$D$3:$AH$3)+1)+INDEX(January!$C$3:$AH$181,148,MATCH(B21,January!$D$3:$AH$3)+1)-INDEX(January!$B$5:$AH$181,MATCH("Patrick Janssen",January!$B$5:$B$181),MATCH(B21,January!$D$3:$AH$3)+2)-INDEX(January!$B$5:$AH$181,MATCH("Patrick Ziesen",January!$B$5:$B$181),MATCH(B21,January!$D$3:$AH$3)+2)-INDEX(January!$B$5:$AH$181,MATCH("Frido Meijer",January!$B$5:$B$181),MATCH(B21,January!$D$3:$AH$3)+2)</f>
        <v>16</v>
      </c>
      <c r="H21" s="130">
        <f>INDEX(January!$C$3:$AH$181,4,MATCH(B21,January!$D$3:$AH$3)+1)+INDEX(January!$C$3:$AH$181,9,MATCH(B21,January!$D$3:$AH$3)+1)+INDEX(January!$C$3:$AH$181,14,MATCH(B21,January!$D$3:$AH$3)+1)+INDEX(January!$C$3:$AH$181,19,MATCH(B21,January!$D$3:$AH$3)+1)+INDEX(January!$C$3:$AH$181,24,MATCH(B21,January!$D$3:$AH$3)+1)+INDEX(January!$C$3:$AH$181,29,MATCH(B21,January!$D$3:$AH$3)+1)+INDEX(January!$C$3:$AH$181,34,MATCH(B21,January!$D$3:$AH$3)+1)+INDEX(January!$C$3:$AH$181,39,MATCH(B21,January!$D$3:$AH$3)+1)+INDEX(January!$C$3:$AH$181,44,MATCH(B21,January!$D$3:$AH$3)+1)+INDEX(January!$C$3:$AH$181,49,MATCH(B21,January!$D$3:$AH$3)+1)+INDEX(January!$C$3:$AH$181,54,MATCH(B21,January!$D$3:$AH$3)+1)+INDEX(January!$C$3:$AH$181,59,MATCH(B21,January!$D$3:$AH$3)+1)+INDEX(January!$C$3:$AH$181,64,MATCH(B21,January!$D$3:$AH$3)+1)+INDEX(January!$C$3:$AH$181,69,MATCH(B21,January!$D$3:$AH$3)+1)+INDEX(January!$C$3:$AH$181,74,MATCH(B21,January!$D$3:$AH$3)+1)+INDEX(January!$C$3:$AH$181,79,MATCH(B21,January!$D$3:$AH$3)+1)+INDEX(January!$C$3:$AH$181,84,MATCH(B21,January!$D$3:$AH$3)+1)+INDEX(January!$C$3:$AH$181,89,MATCH(B21,January!$D$3:$AH$3)+1)+INDEX(January!$C$3:$AH$181,94,MATCH(B21,January!$D$3:$AH$3)+1)+INDEX(January!$C$3:$AH$181,99,MATCH(B21,January!$D$3:$AH$3)+1)+INDEX(January!$C$3:$AH$181,104,MATCH(B21,January!$D$3:$AH$3)+1)+INDEX(January!$C$3:$AH$181,109,MATCH(B21,January!$D$3:$AH$3)+1)+INDEX(January!$C$3:$AH$181,114,MATCH(B21,January!$D$3:$AH$3)+1)+INDEX(January!$C$3:$AH$181,119,MATCH(B21,January!$D$3:$AH$3)+1)+INDEX(January!$C$3:$AH$181,124,MATCH(B21,January!$D$3:$AH$3)+1)+INDEX(January!$C$3:$AH$181,129,MATCH(B21,January!$D$3:$AH$3)+1)+INDEX(January!$C$3:$AH$181,134,MATCH(B21,January!$D$3:$AH$3)+1)+INDEX(January!$C$3:$AH$181,139,MATCH(B21,January!$D$3:$AH$3)+1)+INDEX(January!$C$3:$AH$181,144,MATCH(B21,January!$D$3:$AH$3)+1)+INDEX(January!$C$3:$AH$181,149,MATCH(B21,January!$D$3:$AH$3)+1)-INDEX(January!$B$5:$AH$181,MATCH("Patrick Janssen",January!$B$5:$B$181)+1,MATCH(B21,January!$D$3:$AH$3)+2)-INDEX(January!$B$5:$AH$181,MATCH("Patrick Ziesen",January!$B$5:$B$181)+1,MATCH(B21,January!$D$3:$AH$3)+2)-INDEX(January!$B$5:$AH$181,MATCH("Frido Meijer",January!$B$5:$B$181)+1,MATCH(B21,January!$D$3:$AH$3)+2)</f>
        <v>8</v>
      </c>
      <c r="I21" s="130">
        <v>0</v>
      </c>
      <c r="J21" s="130">
        <v>0</v>
      </c>
      <c r="L21" s="212"/>
      <c r="M21" s="111"/>
      <c r="N21" s="130">
        <f t="shared" si="3"/>
        <v>0</v>
      </c>
      <c r="P21" s="112">
        <f t="shared" si="5"/>
        <v>0</v>
      </c>
      <c r="Q21" s="112">
        <f t="shared" si="4"/>
        <v>0</v>
      </c>
      <c r="S21">
        <v>17</v>
      </c>
    </row>
    <row r="22" spans="2:19" x14ac:dyDescent="0.25">
      <c r="B22" s="110">
        <f>DATE(Title!$F$12,$S$5,S22)</f>
        <v>41292</v>
      </c>
      <c r="C22" s="111">
        <f>IF(WEEKDAY(B22)=1,0,IF(WEEKDAY(B22)=4,'Hours Scheduled'!$D$44-1,IF(WEEKDAY(B22)=7,0,'Hours Scheduled'!$D$44)))</f>
        <v>25</v>
      </c>
      <c r="D22" s="17">
        <f t="shared" si="1"/>
        <v>187.5</v>
      </c>
      <c r="E22" s="127">
        <f t="shared" si="2"/>
        <v>176</v>
      </c>
      <c r="F22" s="111"/>
      <c r="G22" s="129">
        <f>INDEX(January!$C$3:$AH$181,3,MATCH(B22,January!$D$3:$AH$3)+1)+INDEX(January!$C$3:$AH$181,8,MATCH(B22,January!$D$3:$AH$3)+1)+INDEX(January!$C$3:$AH$181,13,MATCH(B22,January!$D$3:$AH$3)+1)+INDEX(January!$C$3:$AH$181,18,MATCH(B22,January!$D$3:$AH$3)+1)+INDEX(January!$C$3:$AH$181,23,MATCH(B22,January!$D$3:$AH$3)+1)+INDEX(January!$C$3:$AH$181,28,MATCH(B22,January!$D$3:$AH$3)+1)+INDEX(January!$C$3:$AH$181,33,MATCH(B22,January!$D$3:$AH$3)+1)+INDEX(January!$C$3:$AH$181,38,MATCH(B22,January!$D$3:$AH$3)+1)+INDEX(January!$C$3:$AH$181,43,MATCH(B22,January!$D$3:$AH$3)+1)+INDEX(January!$C$3:$AH$181,48,MATCH(B22,January!$D$3:$AH$3)+1)+INDEX(January!$C$3:$AH$181,53,MATCH(B22,January!$D$3:$AH$3)+1)+INDEX(January!$C$3:$AH$181,58,MATCH(B22,January!$D$3:$AH$3)+1)+INDEX(January!$C$3:$AH$181,63,MATCH(B22,January!$D$3:$AH$3)+1)+INDEX(January!$C$3:$AH$181,68,MATCH(B22,January!$D$3:$AH$3)+1)+INDEX(January!$C$3:$AH$181,73,MATCH(B22,January!$D$3:$AH$3)+1)+INDEX(January!$C$3:$AH$181,78,MATCH(B22,January!$D$3:$AH$3)+1)+INDEX(January!$C$3:$AH$181,83,MATCH(B22,January!$D$3:$AH$3)+1)+INDEX(January!$C$3:$AH$181,88,MATCH(B22,January!$D$3:$AH$3)+1)+INDEX(January!$C$3:$AH$181,93,MATCH(B22,January!$D$3:$AH$3)+1)+INDEX(January!$C$3:$AH$181,98,MATCH(B22,January!$D$3:$AH$3)+1)+INDEX(January!$C$3:$AH$181,103,MATCH(B22,January!$D$3:$AH$3)+1)+INDEX(January!$C$3:$AH$181,108,MATCH(B22,January!$D$3:$AH$3)+1)+INDEX(January!$C$3:$AH$181,113,MATCH(B22,January!$D$3:$AH$3)+1)+INDEX(January!$C$3:$AH$181,118,MATCH(B22,January!$D$3:$AH$3)+1)+INDEX(January!$C$3:$AH$181,123,MATCH(B22,January!$D$3:$AH$3)+1)+INDEX(January!$C$3:$AH$181,128,MATCH(B22,January!$D$3:$AH$3)+1)+INDEX(January!$C$3:$AH$181,133,MATCH(B22,January!$D$3:$AH$3)+1)+INDEX(January!$C$3:$AH$181,138,MATCH(B22,January!$D$3:$AH$3)+1)+INDEX(January!$C$3:$AH$181,143,MATCH(B22,January!$D$3:$AH$3)+1)+INDEX(January!$C$3:$AH$181,148,MATCH(B22,January!$D$3:$AH$3)+1)-INDEX(January!$B$5:$AH$181,MATCH("Patrick Janssen",January!$B$5:$B$181),MATCH(B22,January!$D$3:$AH$3)+2)-INDEX(January!$B$5:$AH$181,MATCH("Patrick Ziesen",January!$B$5:$B$181),MATCH(B22,January!$D$3:$AH$3)+2)-INDEX(January!$B$5:$AH$181,MATCH("Frido Meijer",January!$B$5:$B$181),MATCH(B22,January!$D$3:$AH$3)+2)</f>
        <v>16</v>
      </c>
      <c r="H22" s="130">
        <f>INDEX(January!$C$3:$AH$181,4,MATCH(B22,January!$D$3:$AH$3)+1)+INDEX(January!$C$3:$AH$181,9,MATCH(B22,January!$D$3:$AH$3)+1)+INDEX(January!$C$3:$AH$181,14,MATCH(B22,January!$D$3:$AH$3)+1)+INDEX(January!$C$3:$AH$181,19,MATCH(B22,January!$D$3:$AH$3)+1)+INDEX(January!$C$3:$AH$181,24,MATCH(B22,January!$D$3:$AH$3)+1)+INDEX(January!$C$3:$AH$181,29,MATCH(B22,January!$D$3:$AH$3)+1)+INDEX(January!$C$3:$AH$181,34,MATCH(B22,January!$D$3:$AH$3)+1)+INDEX(January!$C$3:$AH$181,39,MATCH(B22,January!$D$3:$AH$3)+1)+INDEX(January!$C$3:$AH$181,44,MATCH(B22,January!$D$3:$AH$3)+1)+INDEX(January!$C$3:$AH$181,49,MATCH(B22,January!$D$3:$AH$3)+1)+INDEX(January!$C$3:$AH$181,54,MATCH(B22,January!$D$3:$AH$3)+1)+INDEX(January!$C$3:$AH$181,59,MATCH(B22,January!$D$3:$AH$3)+1)+INDEX(January!$C$3:$AH$181,64,MATCH(B22,January!$D$3:$AH$3)+1)+INDEX(January!$C$3:$AH$181,69,MATCH(B22,January!$D$3:$AH$3)+1)+INDEX(January!$C$3:$AH$181,74,MATCH(B22,January!$D$3:$AH$3)+1)+INDEX(January!$C$3:$AH$181,79,MATCH(B22,January!$D$3:$AH$3)+1)+INDEX(January!$C$3:$AH$181,84,MATCH(B22,January!$D$3:$AH$3)+1)+INDEX(January!$C$3:$AH$181,89,MATCH(B22,January!$D$3:$AH$3)+1)+INDEX(January!$C$3:$AH$181,94,MATCH(B22,January!$D$3:$AH$3)+1)+INDEX(January!$C$3:$AH$181,99,MATCH(B22,January!$D$3:$AH$3)+1)+INDEX(January!$C$3:$AH$181,104,MATCH(B22,January!$D$3:$AH$3)+1)+INDEX(January!$C$3:$AH$181,109,MATCH(B22,January!$D$3:$AH$3)+1)+INDEX(January!$C$3:$AH$181,114,MATCH(B22,January!$D$3:$AH$3)+1)+INDEX(January!$C$3:$AH$181,119,MATCH(B22,January!$D$3:$AH$3)+1)+INDEX(January!$C$3:$AH$181,124,MATCH(B22,January!$D$3:$AH$3)+1)+INDEX(January!$C$3:$AH$181,129,MATCH(B22,January!$D$3:$AH$3)+1)+INDEX(January!$C$3:$AH$181,134,MATCH(B22,January!$D$3:$AH$3)+1)+INDEX(January!$C$3:$AH$181,139,MATCH(B22,January!$D$3:$AH$3)+1)+INDEX(January!$C$3:$AH$181,144,MATCH(B22,January!$D$3:$AH$3)+1)+INDEX(January!$C$3:$AH$181,149,MATCH(B22,January!$D$3:$AH$3)+1)-INDEX(January!$B$5:$AH$181,MATCH("Patrick Janssen",January!$B$5:$B$181)+1,MATCH(B22,January!$D$3:$AH$3)+2)-INDEX(January!$B$5:$AH$181,MATCH("Patrick Ziesen",January!$B$5:$B$181)+1,MATCH(B22,January!$D$3:$AH$3)+2)-INDEX(January!$B$5:$AH$181,MATCH("Frido Meijer",January!$B$5:$B$181)+1,MATCH(B22,January!$D$3:$AH$3)+2)</f>
        <v>8</v>
      </c>
      <c r="I22" s="130">
        <v>0</v>
      </c>
      <c r="J22" s="130">
        <v>0</v>
      </c>
      <c r="L22" s="212"/>
      <c r="M22" s="111"/>
      <c r="N22" s="130">
        <f t="shared" si="3"/>
        <v>0</v>
      </c>
      <c r="P22" s="112">
        <f t="shared" si="5"/>
        <v>0</v>
      </c>
      <c r="Q22" s="112">
        <f t="shared" si="4"/>
        <v>0</v>
      </c>
      <c r="S22">
        <v>18</v>
      </c>
    </row>
    <row r="23" spans="2:19" x14ac:dyDescent="0.25">
      <c r="B23" s="110">
        <f>DATE(Title!$F$12,$S$5,S23)</f>
        <v>41293</v>
      </c>
      <c r="C23" s="111">
        <f>IF(WEEKDAY(B23)=1,0,IF(WEEKDAY(B23)=4,'Hours Scheduled'!$D$44-1,IF(WEEKDAY(B23)=7,0,'Hours Scheduled'!$D$44)))</f>
        <v>0</v>
      </c>
      <c r="D23" s="17">
        <f t="shared" si="1"/>
        <v>0</v>
      </c>
      <c r="E23" s="127">
        <f t="shared" si="2"/>
        <v>0</v>
      </c>
      <c r="F23" s="111"/>
      <c r="G23" s="129">
        <f>INDEX(January!$C$3:$AH$181,3,MATCH(B23,January!$D$3:$AH$3)+1)+INDEX(January!$C$3:$AH$181,8,MATCH(B23,January!$D$3:$AH$3)+1)+INDEX(January!$C$3:$AH$181,13,MATCH(B23,January!$D$3:$AH$3)+1)+INDEX(January!$C$3:$AH$181,18,MATCH(B23,January!$D$3:$AH$3)+1)+INDEX(January!$C$3:$AH$181,23,MATCH(B23,January!$D$3:$AH$3)+1)+INDEX(January!$C$3:$AH$181,28,MATCH(B23,January!$D$3:$AH$3)+1)+INDEX(January!$C$3:$AH$181,33,MATCH(B23,January!$D$3:$AH$3)+1)+INDEX(January!$C$3:$AH$181,38,MATCH(B23,January!$D$3:$AH$3)+1)+INDEX(January!$C$3:$AH$181,43,MATCH(B23,January!$D$3:$AH$3)+1)+INDEX(January!$C$3:$AH$181,48,MATCH(B23,January!$D$3:$AH$3)+1)+INDEX(January!$C$3:$AH$181,53,MATCH(B23,January!$D$3:$AH$3)+1)+INDEX(January!$C$3:$AH$181,58,MATCH(B23,January!$D$3:$AH$3)+1)+INDEX(January!$C$3:$AH$181,63,MATCH(B23,January!$D$3:$AH$3)+1)+INDEX(January!$C$3:$AH$181,68,MATCH(B23,January!$D$3:$AH$3)+1)+INDEX(January!$C$3:$AH$181,73,MATCH(B23,January!$D$3:$AH$3)+1)+INDEX(January!$C$3:$AH$181,78,MATCH(B23,January!$D$3:$AH$3)+1)+INDEX(January!$C$3:$AH$181,83,MATCH(B23,January!$D$3:$AH$3)+1)+INDEX(January!$C$3:$AH$181,88,MATCH(B23,January!$D$3:$AH$3)+1)+INDEX(January!$C$3:$AH$181,93,MATCH(B23,January!$D$3:$AH$3)+1)+INDEX(January!$C$3:$AH$181,98,MATCH(B23,January!$D$3:$AH$3)+1)+INDEX(January!$C$3:$AH$181,103,MATCH(B23,January!$D$3:$AH$3)+1)+INDEX(January!$C$3:$AH$181,108,MATCH(B23,January!$D$3:$AH$3)+1)+INDEX(January!$C$3:$AH$181,113,MATCH(B23,January!$D$3:$AH$3)+1)+INDEX(January!$C$3:$AH$181,118,MATCH(B23,January!$D$3:$AH$3)+1)+INDEX(January!$C$3:$AH$181,123,MATCH(B23,January!$D$3:$AH$3)+1)+INDEX(January!$C$3:$AH$181,128,MATCH(B23,January!$D$3:$AH$3)+1)+INDEX(January!$C$3:$AH$181,133,MATCH(B23,January!$D$3:$AH$3)+1)+INDEX(January!$C$3:$AH$181,138,MATCH(B23,January!$D$3:$AH$3)+1)+INDEX(January!$C$3:$AH$181,143,MATCH(B23,January!$D$3:$AH$3)+1)+INDEX(January!$C$3:$AH$181,148,MATCH(B23,January!$D$3:$AH$3)+1)-INDEX(January!$B$5:$AH$181,MATCH("Patrick Janssen",January!$B$5:$B$181),MATCH(B23,January!$D$3:$AH$3)+2)-INDEX(January!$B$5:$AH$181,MATCH("Patrick Ziesen",January!$B$5:$B$181),MATCH(B23,January!$D$3:$AH$3)+2)-INDEX(January!$B$5:$AH$181,MATCH("Frido Meijer",January!$B$5:$B$181),MATCH(B23,January!$D$3:$AH$3)+2)</f>
        <v>0</v>
      </c>
      <c r="H23" s="130">
        <f>INDEX(January!$C$3:$AH$181,4,MATCH(B23,January!$D$3:$AH$3)+1)+INDEX(January!$C$3:$AH$181,9,MATCH(B23,January!$D$3:$AH$3)+1)+INDEX(January!$C$3:$AH$181,14,MATCH(B23,January!$D$3:$AH$3)+1)+INDEX(January!$C$3:$AH$181,19,MATCH(B23,January!$D$3:$AH$3)+1)+INDEX(January!$C$3:$AH$181,24,MATCH(B23,January!$D$3:$AH$3)+1)+INDEX(January!$C$3:$AH$181,29,MATCH(B23,January!$D$3:$AH$3)+1)+INDEX(January!$C$3:$AH$181,34,MATCH(B23,January!$D$3:$AH$3)+1)+INDEX(January!$C$3:$AH$181,39,MATCH(B23,January!$D$3:$AH$3)+1)+INDEX(January!$C$3:$AH$181,44,MATCH(B23,January!$D$3:$AH$3)+1)+INDEX(January!$C$3:$AH$181,49,MATCH(B23,January!$D$3:$AH$3)+1)+INDEX(January!$C$3:$AH$181,54,MATCH(B23,January!$D$3:$AH$3)+1)+INDEX(January!$C$3:$AH$181,59,MATCH(B23,January!$D$3:$AH$3)+1)+INDEX(January!$C$3:$AH$181,64,MATCH(B23,January!$D$3:$AH$3)+1)+INDEX(January!$C$3:$AH$181,69,MATCH(B23,January!$D$3:$AH$3)+1)+INDEX(January!$C$3:$AH$181,74,MATCH(B23,January!$D$3:$AH$3)+1)+INDEX(January!$C$3:$AH$181,79,MATCH(B23,January!$D$3:$AH$3)+1)+INDEX(January!$C$3:$AH$181,84,MATCH(B23,January!$D$3:$AH$3)+1)+INDEX(January!$C$3:$AH$181,89,MATCH(B23,January!$D$3:$AH$3)+1)+INDEX(January!$C$3:$AH$181,94,MATCH(B23,January!$D$3:$AH$3)+1)+INDEX(January!$C$3:$AH$181,99,MATCH(B23,January!$D$3:$AH$3)+1)+INDEX(January!$C$3:$AH$181,104,MATCH(B23,January!$D$3:$AH$3)+1)+INDEX(January!$C$3:$AH$181,109,MATCH(B23,January!$D$3:$AH$3)+1)+INDEX(January!$C$3:$AH$181,114,MATCH(B23,January!$D$3:$AH$3)+1)+INDEX(January!$C$3:$AH$181,119,MATCH(B23,January!$D$3:$AH$3)+1)+INDEX(January!$C$3:$AH$181,124,MATCH(B23,January!$D$3:$AH$3)+1)+INDEX(January!$C$3:$AH$181,129,MATCH(B23,January!$D$3:$AH$3)+1)+INDEX(January!$C$3:$AH$181,134,MATCH(B23,January!$D$3:$AH$3)+1)+INDEX(January!$C$3:$AH$181,139,MATCH(B23,January!$D$3:$AH$3)+1)+INDEX(January!$C$3:$AH$181,144,MATCH(B23,January!$D$3:$AH$3)+1)+INDEX(January!$C$3:$AH$181,149,MATCH(B23,January!$D$3:$AH$3)+1)-INDEX(January!$B$5:$AH$181,MATCH("Patrick Janssen",January!$B$5:$B$181)+1,MATCH(B23,January!$D$3:$AH$3)+2)-INDEX(January!$B$5:$AH$181,MATCH("Patrick Ziesen",January!$B$5:$B$181)+1,MATCH(B23,January!$D$3:$AH$3)+2)-INDEX(January!$B$5:$AH$181,MATCH("Frido Meijer",January!$B$5:$B$181)+1,MATCH(B23,January!$D$3:$AH$3)+2)</f>
        <v>0</v>
      </c>
      <c r="I23" s="130">
        <v>0</v>
      </c>
      <c r="J23" s="130">
        <v>0</v>
      </c>
      <c r="L23" s="212"/>
      <c r="M23" s="111"/>
      <c r="N23" s="130">
        <f t="shared" si="3"/>
        <v>0</v>
      </c>
      <c r="P23" s="112" t="str">
        <f t="shared" si="5"/>
        <v/>
      </c>
      <c r="Q23" s="112" t="str">
        <f t="shared" si="4"/>
        <v/>
      </c>
      <c r="S23">
        <v>19</v>
      </c>
    </row>
    <row r="24" spans="2:19" x14ac:dyDescent="0.25">
      <c r="B24" s="110">
        <f>DATE(Title!$F$12,$S$5,S24)</f>
        <v>41294</v>
      </c>
      <c r="C24" s="111">
        <f>IF(WEEKDAY(B24)=1,0,IF(WEEKDAY(B24)=4,'Hours Scheduled'!$D$44-1,IF(WEEKDAY(B24)=7,0,'Hours Scheduled'!$D$44)))</f>
        <v>0</v>
      </c>
      <c r="D24" s="17">
        <f t="shared" si="1"/>
        <v>0</v>
      </c>
      <c r="E24" s="127">
        <f t="shared" si="2"/>
        <v>0</v>
      </c>
      <c r="F24" s="111"/>
      <c r="G24" s="129">
        <f>INDEX(January!$C$3:$AH$181,3,MATCH(B24,January!$D$3:$AH$3)+1)+INDEX(January!$C$3:$AH$181,8,MATCH(B24,January!$D$3:$AH$3)+1)+INDEX(January!$C$3:$AH$181,13,MATCH(B24,January!$D$3:$AH$3)+1)+INDEX(January!$C$3:$AH$181,18,MATCH(B24,January!$D$3:$AH$3)+1)+INDEX(January!$C$3:$AH$181,23,MATCH(B24,January!$D$3:$AH$3)+1)+INDEX(January!$C$3:$AH$181,28,MATCH(B24,January!$D$3:$AH$3)+1)+INDEX(January!$C$3:$AH$181,33,MATCH(B24,January!$D$3:$AH$3)+1)+INDEX(January!$C$3:$AH$181,38,MATCH(B24,January!$D$3:$AH$3)+1)+INDEX(January!$C$3:$AH$181,43,MATCH(B24,January!$D$3:$AH$3)+1)+INDEX(January!$C$3:$AH$181,48,MATCH(B24,January!$D$3:$AH$3)+1)+INDEX(January!$C$3:$AH$181,53,MATCH(B24,January!$D$3:$AH$3)+1)+INDEX(January!$C$3:$AH$181,58,MATCH(B24,January!$D$3:$AH$3)+1)+INDEX(January!$C$3:$AH$181,63,MATCH(B24,January!$D$3:$AH$3)+1)+INDEX(January!$C$3:$AH$181,68,MATCH(B24,January!$D$3:$AH$3)+1)+INDEX(January!$C$3:$AH$181,73,MATCH(B24,January!$D$3:$AH$3)+1)+INDEX(January!$C$3:$AH$181,78,MATCH(B24,January!$D$3:$AH$3)+1)+INDEX(January!$C$3:$AH$181,83,MATCH(B24,January!$D$3:$AH$3)+1)+INDEX(January!$C$3:$AH$181,88,MATCH(B24,January!$D$3:$AH$3)+1)+INDEX(January!$C$3:$AH$181,93,MATCH(B24,January!$D$3:$AH$3)+1)+INDEX(January!$C$3:$AH$181,98,MATCH(B24,January!$D$3:$AH$3)+1)+INDEX(January!$C$3:$AH$181,103,MATCH(B24,January!$D$3:$AH$3)+1)+INDEX(January!$C$3:$AH$181,108,MATCH(B24,January!$D$3:$AH$3)+1)+INDEX(January!$C$3:$AH$181,113,MATCH(B24,January!$D$3:$AH$3)+1)+INDEX(January!$C$3:$AH$181,118,MATCH(B24,January!$D$3:$AH$3)+1)+INDEX(January!$C$3:$AH$181,123,MATCH(B24,January!$D$3:$AH$3)+1)+INDEX(January!$C$3:$AH$181,128,MATCH(B24,January!$D$3:$AH$3)+1)+INDEX(January!$C$3:$AH$181,133,MATCH(B24,January!$D$3:$AH$3)+1)+INDEX(January!$C$3:$AH$181,138,MATCH(B24,January!$D$3:$AH$3)+1)+INDEX(January!$C$3:$AH$181,143,MATCH(B24,January!$D$3:$AH$3)+1)+INDEX(January!$C$3:$AH$181,148,MATCH(B24,January!$D$3:$AH$3)+1)-INDEX(January!$B$5:$AH$181,MATCH("Patrick Janssen",January!$B$5:$B$181),MATCH(B24,January!$D$3:$AH$3)+2)-INDEX(January!$B$5:$AH$181,MATCH("Patrick Ziesen",January!$B$5:$B$181),MATCH(B24,January!$D$3:$AH$3)+2)-INDEX(January!$B$5:$AH$181,MATCH("Frido Meijer",January!$B$5:$B$181),MATCH(B24,January!$D$3:$AH$3)+2)</f>
        <v>0</v>
      </c>
      <c r="H24" s="130">
        <f>INDEX(January!$C$3:$AH$181,4,MATCH(B24,January!$D$3:$AH$3)+1)+INDEX(January!$C$3:$AH$181,9,MATCH(B24,January!$D$3:$AH$3)+1)+INDEX(January!$C$3:$AH$181,14,MATCH(B24,January!$D$3:$AH$3)+1)+INDEX(January!$C$3:$AH$181,19,MATCH(B24,January!$D$3:$AH$3)+1)+INDEX(January!$C$3:$AH$181,24,MATCH(B24,January!$D$3:$AH$3)+1)+INDEX(January!$C$3:$AH$181,29,MATCH(B24,January!$D$3:$AH$3)+1)+INDEX(January!$C$3:$AH$181,34,MATCH(B24,January!$D$3:$AH$3)+1)+INDEX(January!$C$3:$AH$181,39,MATCH(B24,January!$D$3:$AH$3)+1)+INDEX(January!$C$3:$AH$181,44,MATCH(B24,January!$D$3:$AH$3)+1)+INDEX(January!$C$3:$AH$181,49,MATCH(B24,January!$D$3:$AH$3)+1)+INDEX(January!$C$3:$AH$181,54,MATCH(B24,January!$D$3:$AH$3)+1)+INDEX(January!$C$3:$AH$181,59,MATCH(B24,January!$D$3:$AH$3)+1)+INDEX(January!$C$3:$AH$181,64,MATCH(B24,January!$D$3:$AH$3)+1)+INDEX(January!$C$3:$AH$181,69,MATCH(B24,January!$D$3:$AH$3)+1)+INDEX(January!$C$3:$AH$181,74,MATCH(B24,January!$D$3:$AH$3)+1)+INDEX(January!$C$3:$AH$181,79,MATCH(B24,January!$D$3:$AH$3)+1)+INDEX(January!$C$3:$AH$181,84,MATCH(B24,January!$D$3:$AH$3)+1)+INDEX(January!$C$3:$AH$181,89,MATCH(B24,January!$D$3:$AH$3)+1)+INDEX(January!$C$3:$AH$181,94,MATCH(B24,January!$D$3:$AH$3)+1)+INDEX(January!$C$3:$AH$181,99,MATCH(B24,January!$D$3:$AH$3)+1)+INDEX(January!$C$3:$AH$181,104,MATCH(B24,January!$D$3:$AH$3)+1)+INDEX(January!$C$3:$AH$181,109,MATCH(B24,January!$D$3:$AH$3)+1)+INDEX(January!$C$3:$AH$181,114,MATCH(B24,January!$D$3:$AH$3)+1)+INDEX(January!$C$3:$AH$181,119,MATCH(B24,January!$D$3:$AH$3)+1)+INDEX(January!$C$3:$AH$181,124,MATCH(B24,January!$D$3:$AH$3)+1)+INDEX(January!$C$3:$AH$181,129,MATCH(B24,January!$D$3:$AH$3)+1)+INDEX(January!$C$3:$AH$181,134,MATCH(B24,January!$D$3:$AH$3)+1)+INDEX(January!$C$3:$AH$181,139,MATCH(B24,January!$D$3:$AH$3)+1)+INDEX(January!$C$3:$AH$181,144,MATCH(B24,January!$D$3:$AH$3)+1)+INDEX(January!$C$3:$AH$181,149,MATCH(B24,January!$D$3:$AH$3)+1)-INDEX(January!$B$5:$AH$181,MATCH("Patrick Janssen",January!$B$5:$B$181)+1,MATCH(B24,January!$D$3:$AH$3)+2)-INDEX(January!$B$5:$AH$181,MATCH("Patrick Ziesen",January!$B$5:$B$181)+1,MATCH(B24,January!$D$3:$AH$3)+2)-INDEX(January!$B$5:$AH$181,MATCH("Frido Meijer",January!$B$5:$B$181)+1,MATCH(B24,January!$D$3:$AH$3)+2)</f>
        <v>0</v>
      </c>
      <c r="I24" s="130">
        <v>0</v>
      </c>
      <c r="J24" s="130">
        <v>0</v>
      </c>
      <c r="L24" s="212"/>
      <c r="M24" s="111"/>
      <c r="N24" s="130">
        <f t="shared" si="3"/>
        <v>0</v>
      </c>
      <c r="P24" s="112" t="str">
        <f t="shared" si="5"/>
        <v/>
      </c>
      <c r="Q24" s="112" t="str">
        <f t="shared" si="4"/>
        <v/>
      </c>
      <c r="S24">
        <v>20</v>
      </c>
    </row>
    <row r="25" spans="2:19" x14ac:dyDescent="0.25">
      <c r="B25" s="110">
        <f>DATE(Title!$F$12,$S$5,S25)</f>
        <v>41295</v>
      </c>
      <c r="C25" s="111">
        <f>IF(WEEKDAY(B25)=1,0,IF(WEEKDAY(B25)=4,'Hours Scheduled'!$D$44-1,IF(WEEKDAY(B25)=7,0,'Hours Scheduled'!$D$44)))</f>
        <v>25</v>
      </c>
      <c r="D25" s="17">
        <f t="shared" si="1"/>
        <v>187.5</v>
      </c>
      <c r="E25" s="127">
        <f t="shared" si="2"/>
        <v>168</v>
      </c>
      <c r="F25" s="111"/>
      <c r="G25" s="129">
        <f>INDEX(January!$C$3:$AH$181,3,MATCH(B25,January!$D$3:$AH$3)+1)+INDEX(January!$C$3:$AH$181,8,MATCH(B25,January!$D$3:$AH$3)+1)+INDEX(January!$C$3:$AH$181,13,MATCH(B25,January!$D$3:$AH$3)+1)+INDEX(January!$C$3:$AH$181,18,MATCH(B25,January!$D$3:$AH$3)+1)+INDEX(January!$C$3:$AH$181,23,MATCH(B25,January!$D$3:$AH$3)+1)+INDEX(January!$C$3:$AH$181,28,MATCH(B25,January!$D$3:$AH$3)+1)+INDEX(January!$C$3:$AH$181,33,MATCH(B25,January!$D$3:$AH$3)+1)+INDEX(January!$C$3:$AH$181,38,MATCH(B25,January!$D$3:$AH$3)+1)+INDEX(January!$C$3:$AH$181,43,MATCH(B25,January!$D$3:$AH$3)+1)+INDEX(January!$C$3:$AH$181,48,MATCH(B25,January!$D$3:$AH$3)+1)+INDEX(January!$C$3:$AH$181,53,MATCH(B25,January!$D$3:$AH$3)+1)+INDEX(January!$C$3:$AH$181,58,MATCH(B25,January!$D$3:$AH$3)+1)+INDEX(January!$C$3:$AH$181,63,MATCH(B25,January!$D$3:$AH$3)+1)+INDEX(January!$C$3:$AH$181,68,MATCH(B25,January!$D$3:$AH$3)+1)+INDEX(January!$C$3:$AH$181,73,MATCH(B25,January!$D$3:$AH$3)+1)+INDEX(January!$C$3:$AH$181,78,MATCH(B25,January!$D$3:$AH$3)+1)+INDEX(January!$C$3:$AH$181,83,MATCH(B25,January!$D$3:$AH$3)+1)+INDEX(January!$C$3:$AH$181,88,MATCH(B25,January!$D$3:$AH$3)+1)+INDEX(January!$C$3:$AH$181,93,MATCH(B25,January!$D$3:$AH$3)+1)+INDEX(January!$C$3:$AH$181,98,MATCH(B25,January!$D$3:$AH$3)+1)+INDEX(January!$C$3:$AH$181,103,MATCH(B25,January!$D$3:$AH$3)+1)+INDEX(January!$C$3:$AH$181,108,MATCH(B25,January!$D$3:$AH$3)+1)+INDEX(January!$C$3:$AH$181,113,MATCH(B25,January!$D$3:$AH$3)+1)+INDEX(January!$C$3:$AH$181,118,MATCH(B25,January!$D$3:$AH$3)+1)+INDEX(January!$C$3:$AH$181,123,MATCH(B25,January!$D$3:$AH$3)+1)+INDEX(January!$C$3:$AH$181,128,MATCH(B25,January!$D$3:$AH$3)+1)+INDEX(January!$C$3:$AH$181,133,MATCH(B25,January!$D$3:$AH$3)+1)+INDEX(January!$C$3:$AH$181,138,MATCH(B25,January!$D$3:$AH$3)+1)+INDEX(January!$C$3:$AH$181,143,MATCH(B25,January!$D$3:$AH$3)+1)+INDEX(January!$C$3:$AH$181,148,MATCH(B25,January!$D$3:$AH$3)+1)-INDEX(January!$B$5:$AH$181,MATCH("Patrick Janssen",January!$B$5:$B$181),MATCH(B25,January!$D$3:$AH$3)+2)-INDEX(January!$B$5:$AH$181,MATCH("Patrick Ziesen",January!$B$5:$B$181),MATCH(B25,January!$D$3:$AH$3)+2)-INDEX(January!$B$5:$AH$181,MATCH("Frido Meijer",January!$B$5:$B$181),MATCH(B25,January!$D$3:$AH$3)+2)</f>
        <v>16</v>
      </c>
      <c r="H25" s="130">
        <f>INDEX(January!$C$3:$AH$181,4,MATCH(B25,January!$D$3:$AH$3)+1)+INDEX(January!$C$3:$AH$181,9,MATCH(B25,January!$D$3:$AH$3)+1)+INDEX(January!$C$3:$AH$181,14,MATCH(B25,January!$D$3:$AH$3)+1)+INDEX(January!$C$3:$AH$181,19,MATCH(B25,January!$D$3:$AH$3)+1)+INDEX(January!$C$3:$AH$181,24,MATCH(B25,January!$D$3:$AH$3)+1)+INDEX(January!$C$3:$AH$181,29,MATCH(B25,January!$D$3:$AH$3)+1)+INDEX(January!$C$3:$AH$181,34,MATCH(B25,January!$D$3:$AH$3)+1)+INDEX(January!$C$3:$AH$181,39,MATCH(B25,January!$D$3:$AH$3)+1)+INDEX(January!$C$3:$AH$181,44,MATCH(B25,January!$D$3:$AH$3)+1)+INDEX(January!$C$3:$AH$181,49,MATCH(B25,January!$D$3:$AH$3)+1)+INDEX(January!$C$3:$AH$181,54,MATCH(B25,January!$D$3:$AH$3)+1)+INDEX(January!$C$3:$AH$181,59,MATCH(B25,January!$D$3:$AH$3)+1)+INDEX(January!$C$3:$AH$181,64,MATCH(B25,January!$D$3:$AH$3)+1)+INDEX(January!$C$3:$AH$181,69,MATCH(B25,January!$D$3:$AH$3)+1)+INDEX(January!$C$3:$AH$181,74,MATCH(B25,January!$D$3:$AH$3)+1)+INDEX(January!$C$3:$AH$181,79,MATCH(B25,January!$D$3:$AH$3)+1)+INDEX(January!$C$3:$AH$181,84,MATCH(B25,January!$D$3:$AH$3)+1)+INDEX(January!$C$3:$AH$181,89,MATCH(B25,January!$D$3:$AH$3)+1)+INDEX(January!$C$3:$AH$181,94,MATCH(B25,January!$D$3:$AH$3)+1)+INDEX(January!$C$3:$AH$181,99,MATCH(B25,January!$D$3:$AH$3)+1)+INDEX(January!$C$3:$AH$181,104,MATCH(B25,January!$D$3:$AH$3)+1)+INDEX(January!$C$3:$AH$181,109,MATCH(B25,January!$D$3:$AH$3)+1)+INDEX(January!$C$3:$AH$181,114,MATCH(B25,January!$D$3:$AH$3)+1)+INDEX(January!$C$3:$AH$181,119,MATCH(B25,January!$D$3:$AH$3)+1)+INDEX(January!$C$3:$AH$181,124,MATCH(B25,January!$D$3:$AH$3)+1)+INDEX(January!$C$3:$AH$181,129,MATCH(B25,January!$D$3:$AH$3)+1)+INDEX(January!$C$3:$AH$181,134,MATCH(B25,January!$D$3:$AH$3)+1)+INDEX(January!$C$3:$AH$181,139,MATCH(B25,January!$D$3:$AH$3)+1)+INDEX(January!$C$3:$AH$181,144,MATCH(B25,January!$D$3:$AH$3)+1)+INDEX(January!$C$3:$AH$181,149,MATCH(B25,January!$D$3:$AH$3)+1)-INDEX(January!$B$5:$AH$181,MATCH("Patrick Janssen",January!$B$5:$B$181)+1,MATCH(B25,January!$D$3:$AH$3)+2)-INDEX(January!$B$5:$AH$181,MATCH("Patrick Ziesen",January!$B$5:$B$181)+1,MATCH(B25,January!$D$3:$AH$3)+2)-INDEX(January!$B$5:$AH$181,MATCH("Frido Meijer",January!$B$5:$B$181)+1,MATCH(B25,January!$D$3:$AH$3)+2)</f>
        <v>16</v>
      </c>
      <c r="I25" s="130">
        <v>0</v>
      </c>
      <c r="J25" s="130">
        <v>0</v>
      </c>
      <c r="L25" s="111"/>
      <c r="M25" s="111"/>
      <c r="N25" s="130">
        <f t="shared" si="3"/>
        <v>0</v>
      </c>
      <c r="P25" s="112">
        <f t="shared" si="5"/>
        <v>0</v>
      </c>
      <c r="Q25" s="112">
        <f t="shared" si="4"/>
        <v>0</v>
      </c>
      <c r="S25">
        <v>21</v>
      </c>
    </row>
    <row r="26" spans="2:19" x14ac:dyDescent="0.25">
      <c r="B26" s="110">
        <f>DATE(Title!$F$12,$S$5,S26)</f>
        <v>41296</v>
      </c>
      <c r="C26" s="111">
        <f>IF(WEEKDAY(B26)=1,0,IF(WEEKDAY(B26)=4,'Hours Scheduled'!$D$44-1,IF(WEEKDAY(B26)=7,0,'Hours Scheduled'!$D$44)))</f>
        <v>25</v>
      </c>
      <c r="D26" s="17">
        <f t="shared" si="1"/>
        <v>187.5</v>
      </c>
      <c r="E26" s="127">
        <f t="shared" si="2"/>
        <v>188</v>
      </c>
      <c r="F26" s="111"/>
      <c r="G26" s="129">
        <f>INDEX(January!$C$3:$AH$181,3,MATCH(B26,January!$D$3:$AH$3)+1)+INDEX(January!$C$3:$AH$181,8,MATCH(B26,January!$D$3:$AH$3)+1)+INDEX(January!$C$3:$AH$181,13,MATCH(B26,January!$D$3:$AH$3)+1)+INDEX(January!$C$3:$AH$181,18,MATCH(B26,January!$D$3:$AH$3)+1)+INDEX(January!$C$3:$AH$181,23,MATCH(B26,January!$D$3:$AH$3)+1)+INDEX(January!$C$3:$AH$181,28,MATCH(B26,January!$D$3:$AH$3)+1)+INDEX(January!$C$3:$AH$181,33,MATCH(B26,January!$D$3:$AH$3)+1)+INDEX(January!$C$3:$AH$181,38,MATCH(B26,January!$D$3:$AH$3)+1)+INDEX(January!$C$3:$AH$181,43,MATCH(B26,January!$D$3:$AH$3)+1)+INDEX(January!$C$3:$AH$181,48,MATCH(B26,January!$D$3:$AH$3)+1)+INDEX(January!$C$3:$AH$181,53,MATCH(B26,January!$D$3:$AH$3)+1)+INDEX(January!$C$3:$AH$181,58,MATCH(B26,January!$D$3:$AH$3)+1)+INDEX(January!$C$3:$AH$181,63,MATCH(B26,January!$D$3:$AH$3)+1)+INDEX(January!$C$3:$AH$181,68,MATCH(B26,January!$D$3:$AH$3)+1)+INDEX(January!$C$3:$AH$181,73,MATCH(B26,January!$D$3:$AH$3)+1)+INDEX(January!$C$3:$AH$181,78,MATCH(B26,January!$D$3:$AH$3)+1)+INDEX(January!$C$3:$AH$181,83,MATCH(B26,January!$D$3:$AH$3)+1)+INDEX(January!$C$3:$AH$181,88,MATCH(B26,January!$D$3:$AH$3)+1)+INDEX(January!$C$3:$AH$181,93,MATCH(B26,January!$D$3:$AH$3)+1)+INDEX(January!$C$3:$AH$181,98,MATCH(B26,January!$D$3:$AH$3)+1)+INDEX(January!$C$3:$AH$181,103,MATCH(B26,January!$D$3:$AH$3)+1)+INDEX(January!$C$3:$AH$181,108,MATCH(B26,January!$D$3:$AH$3)+1)+INDEX(January!$C$3:$AH$181,113,MATCH(B26,January!$D$3:$AH$3)+1)+INDEX(January!$C$3:$AH$181,118,MATCH(B26,January!$D$3:$AH$3)+1)+INDEX(January!$C$3:$AH$181,123,MATCH(B26,January!$D$3:$AH$3)+1)+INDEX(January!$C$3:$AH$181,128,MATCH(B26,January!$D$3:$AH$3)+1)+INDEX(January!$C$3:$AH$181,133,MATCH(B26,January!$D$3:$AH$3)+1)+INDEX(January!$C$3:$AH$181,138,MATCH(B26,January!$D$3:$AH$3)+1)+INDEX(January!$C$3:$AH$181,143,MATCH(B26,January!$D$3:$AH$3)+1)+INDEX(January!$C$3:$AH$181,148,MATCH(B26,January!$D$3:$AH$3)+1)-INDEX(January!$B$5:$AH$181,MATCH("Patrick Janssen",January!$B$5:$B$181),MATCH(B26,January!$D$3:$AH$3)+2)-INDEX(January!$B$5:$AH$181,MATCH("Patrick Ziesen",January!$B$5:$B$181),MATCH(B26,January!$D$3:$AH$3)+2)-INDEX(January!$B$5:$AH$181,MATCH("Frido Meijer",January!$B$5:$B$181),MATCH(B26,January!$D$3:$AH$3)+2)</f>
        <v>4</v>
      </c>
      <c r="H26" s="130">
        <f>INDEX(January!$C$3:$AH$181,4,MATCH(B26,January!$D$3:$AH$3)+1)+INDEX(January!$C$3:$AH$181,9,MATCH(B26,January!$D$3:$AH$3)+1)+INDEX(January!$C$3:$AH$181,14,MATCH(B26,January!$D$3:$AH$3)+1)+INDEX(January!$C$3:$AH$181,19,MATCH(B26,January!$D$3:$AH$3)+1)+INDEX(January!$C$3:$AH$181,24,MATCH(B26,January!$D$3:$AH$3)+1)+INDEX(January!$C$3:$AH$181,29,MATCH(B26,January!$D$3:$AH$3)+1)+INDEX(January!$C$3:$AH$181,34,MATCH(B26,January!$D$3:$AH$3)+1)+INDEX(January!$C$3:$AH$181,39,MATCH(B26,January!$D$3:$AH$3)+1)+INDEX(January!$C$3:$AH$181,44,MATCH(B26,January!$D$3:$AH$3)+1)+INDEX(January!$C$3:$AH$181,49,MATCH(B26,January!$D$3:$AH$3)+1)+INDEX(January!$C$3:$AH$181,54,MATCH(B26,January!$D$3:$AH$3)+1)+INDEX(January!$C$3:$AH$181,59,MATCH(B26,January!$D$3:$AH$3)+1)+INDEX(January!$C$3:$AH$181,64,MATCH(B26,January!$D$3:$AH$3)+1)+INDEX(January!$C$3:$AH$181,69,MATCH(B26,January!$D$3:$AH$3)+1)+INDEX(January!$C$3:$AH$181,74,MATCH(B26,January!$D$3:$AH$3)+1)+INDEX(January!$C$3:$AH$181,79,MATCH(B26,January!$D$3:$AH$3)+1)+INDEX(January!$C$3:$AH$181,84,MATCH(B26,January!$D$3:$AH$3)+1)+INDEX(January!$C$3:$AH$181,89,MATCH(B26,January!$D$3:$AH$3)+1)+INDEX(January!$C$3:$AH$181,94,MATCH(B26,January!$D$3:$AH$3)+1)+INDEX(January!$C$3:$AH$181,99,MATCH(B26,January!$D$3:$AH$3)+1)+INDEX(January!$C$3:$AH$181,104,MATCH(B26,January!$D$3:$AH$3)+1)+INDEX(January!$C$3:$AH$181,109,MATCH(B26,January!$D$3:$AH$3)+1)+INDEX(January!$C$3:$AH$181,114,MATCH(B26,January!$D$3:$AH$3)+1)+INDEX(January!$C$3:$AH$181,119,MATCH(B26,January!$D$3:$AH$3)+1)+INDEX(January!$C$3:$AH$181,124,MATCH(B26,January!$D$3:$AH$3)+1)+INDEX(January!$C$3:$AH$181,129,MATCH(B26,January!$D$3:$AH$3)+1)+INDEX(January!$C$3:$AH$181,134,MATCH(B26,January!$D$3:$AH$3)+1)+INDEX(January!$C$3:$AH$181,139,MATCH(B26,January!$D$3:$AH$3)+1)+INDEX(January!$C$3:$AH$181,144,MATCH(B26,January!$D$3:$AH$3)+1)+INDEX(January!$C$3:$AH$181,149,MATCH(B26,January!$D$3:$AH$3)+1)-INDEX(January!$B$5:$AH$181,MATCH("Patrick Janssen",January!$B$5:$B$181)+1,MATCH(B26,January!$D$3:$AH$3)+2)-INDEX(January!$B$5:$AH$181,MATCH("Patrick Ziesen",January!$B$5:$B$181)+1,MATCH(B26,January!$D$3:$AH$3)+2)-INDEX(January!$B$5:$AH$181,MATCH("Frido Meijer",January!$B$5:$B$181)+1,MATCH(B26,January!$D$3:$AH$3)+2)</f>
        <v>8</v>
      </c>
      <c r="I26" s="130">
        <v>0</v>
      </c>
      <c r="J26" s="130">
        <v>0</v>
      </c>
      <c r="L26" s="111"/>
      <c r="M26" s="111"/>
      <c r="N26" s="130">
        <f t="shared" si="3"/>
        <v>0</v>
      </c>
      <c r="P26" s="112">
        <f t="shared" si="5"/>
        <v>0</v>
      </c>
      <c r="Q26" s="112">
        <f t="shared" si="4"/>
        <v>0</v>
      </c>
      <c r="S26">
        <v>22</v>
      </c>
    </row>
    <row r="27" spans="2:19" x14ac:dyDescent="0.25">
      <c r="B27" s="110">
        <f>DATE(Title!$F$12,$S$5,S27)</f>
        <v>41297</v>
      </c>
      <c r="C27" s="111">
        <f>IF(WEEKDAY(B27)=1,0,IF(WEEKDAY(B27)=4,'Hours Scheduled'!$D$44-1,IF(WEEKDAY(B27)=7,0,'Hours Scheduled'!$D$44)))</f>
        <v>24</v>
      </c>
      <c r="D27" s="17">
        <f t="shared" si="1"/>
        <v>180</v>
      </c>
      <c r="E27" s="127">
        <f t="shared" si="2"/>
        <v>181</v>
      </c>
      <c r="F27" s="111"/>
      <c r="G27" s="129">
        <f>INDEX(January!$C$3:$AH$181,3,MATCH(B27,January!$D$3:$AH$3)+1)+INDEX(January!$C$3:$AH$181,8,MATCH(B27,January!$D$3:$AH$3)+1)+INDEX(January!$C$3:$AH$181,13,MATCH(B27,January!$D$3:$AH$3)+1)+INDEX(January!$C$3:$AH$181,18,MATCH(B27,January!$D$3:$AH$3)+1)+INDEX(January!$C$3:$AH$181,23,MATCH(B27,January!$D$3:$AH$3)+1)+INDEX(January!$C$3:$AH$181,28,MATCH(B27,January!$D$3:$AH$3)+1)+INDEX(January!$C$3:$AH$181,33,MATCH(B27,January!$D$3:$AH$3)+1)+INDEX(January!$C$3:$AH$181,38,MATCH(B27,January!$D$3:$AH$3)+1)+INDEX(January!$C$3:$AH$181,43,MATCH(B27,January!$D$3:$AH$3)+1)+INDEX(January!$C$3:$AH$181,48,MATCH(B27,January!$D$3:$AH$3)+1)+INDEX(January!$C$3:$AH$181,53,MATCH(B27,January!$D$3:$AH$3)+1)+INDEX(January!$C$3:$AH$181,58,MATCH(B27,January!$D$3:$AH$3)+1)+INDEX(January!$C$3:$AH$181,63,MATCH(B27,January!$D$3:$AH$3)+1)+INDEX(January!$C$3:$AH$181,68,MATCH(B27,January!$D$3:$AH$3)+1)+INDEX(January!$C$3:$AH$181,73,MATCH(B27,January!$D$3:$AH$3)+1)+INDEX(January!$C$3:$AH$181,78,MATCH(B27,January!$D$3:$AH$3)+1)+INDEX(January!$C$3:$AH$181,83,MATCH(B27,January!$D$3:$AH$3)+1)+INDEX(January!$C$3:$AH$181,88,MATCH(B27,January!$D$3:$AH$3)+1)+INDEX(January!$C$3:$AH$181,93,MATCH(B27,January!$D$3:$AH$3)+1)+INDEX(January!$C$3:$AH$181,98,MATCH(B27,January!$D$3:$AH$3)+1)+INDEX(January!$C$3:$AH$181,103,MATCH(B27,January!$D$3:$AH$3)+1)+INDEX(January!$C$3:$AH$181,108,MATCH(B27,January!$D$3:$AH$3)+1)+INDEX(January!$C$3:$AH$181,113,MATCH(B27,January!$D$3:$AH$3)+1)+INDEX(January!$C$3:$AH$181,118,MATCH(B27,January!$D$3:$AH$3)+1)+INDEX(January!$C$3:$AH$181,123,MATCH(B27,January!$D$3:$AH$3)+1)+INDEX(January!$C$3:$AH$181,128,MATCH(B27,January!$D$3:$AH$3)+1)+INDEX(January!$C$3:$AH$181,133,MATCH(B27,January!$D$3:$AH$3)+1)+INDEX(January!$C$3:$AH$181,138,MATCH(B27,January!$D$3:$AH$3)+1)+INDEX(January!$C$3:$AH$181,143,MATCH(B27,January!$D$3:$AH$3)+1)+INDEX(January!$C$3:$AH$181,148,MATCH(B27,January!$D$3:$AH$3)+1)-INDEX(January!$B$5:$AH$181,MATCH("Patrick Janssen",January!$B$5:$B$181),MATCH(B27,January!$D$3:$AH$3)+2)-INDEX(January!$B$5:$AH$181,MATCH("Patrick Ziesen",January!$B$5:$B$181),MATCH(B27,January!$D$3:$AH$3)+2)-INDEX(January!$B$5:$AH$181,MATCH("Frido Meijer",January!$B$5:$B$181),MATCH(B27,January!$D$3:$AH$3)+2)</f>
        <v>3</v>
      </c>
      <c r="H27" s="130">
        <f>INDEX(January!$C$3:$AH$181,4,MATCH(B27,January!$D$3:$AH$3)+1)+INDEX(January!$C$3:$AH$181,9,MATCH(B27,January!$D$3:$AH$3)+1)+INDEX(January!$C$3:$AH$181,14,MATCH(B27,January!$D$3:$AH$3)+1)+INDEX(January!$C$3:$AH$181,19,MATCH(B27,January!$D$3:$AH$3)+1)+INDEX(January!$C$3:$AH$181,24,MATCH(B27,January!$D$3:$AH$3)+1)+INDEX(January!$C$3:$AH$181,29,MATCH(B27,January!$D$3:$AH$3)+1)+INDEX(January!$C$3:$AH$181,34,MATCH(B27,January!$D$3:$AH$3)+1)+INDEX(January!$C$3:$AH$181,39,MATCH(B27,January!$D$3:$AH$3)+1)+INDEX(January!$C$3:$AH$181,44,MATCH(B27,January!$D$3:$AH$3)+1)+INDEX(January!$C$3:$AH$181,49,MATCH(B27,January!$D$3:$AH$3)+1)+INDEX(January!$C$3:$AH$181,54,MATCH(B27,January!$D$3:$AH$3)+1)+INDEX(January!$C$3:$AH$181,59,MATCH(B27,January!$D$3:$AH$3)+1)+INDEX(January!$C$3:$AH$181,64,MATCH(B27,January!$D$3:$AH$3)+1)+INDEX(January!$C$3:$AH$181,69,MATCH(B27,January!$D$3:$AH$3)+1)+INDEX(January!$C$3:$AH$181,74,MATCH(B27,January!$D$3:$AH$3)+1)+INDEX(January!$C$3:$AH$181,79,MATCH(B27,January!$D$3:$AH$3)+1)+INDEX(January!$C$3:$AH$181,84,MATCH(B27,January!$D$3:$AH$3)+1)+INDEX(January!$C$3:$AH$181,89,MATCH(B27,January!$D$3:$AH$3)+1)+INDEX(January!$C$3:$AH$181,94,MATCH(B27,January!$D$3:$AH$3)+1)+INDEX(January!$C$3:$AH$181,99,MATCH(B27,January!$D$3:$AH$3)+1)+INDEX(January!$C$3:$AH$181,104,MATCH(B27,January!$D$3:$AH$3)+1)+INDEX(January!$C$3:$AH$181,109,MATCH(B27,January!$D$3:$AH$3)+1)+INDEX(January!$C$3:$AH$181,114,MATCH(B27,January!$D$3:$AH$3)+1)+INDEX(January!$C$3:$AH$181,119,MATCH(B27,January!$D$3:$AH$3)+1)+INDEX(January!$C$3:$AH$181,124,MATCH(B27,January!$D$3:$AH$3)+1)+INDEX(January!$C$3:$AH$181,129,MATCH(B27,January!$D$3:$AH$3)+1)+INDEX(January!$C$3:$AH$181,134,MATCH(B27,January!$D$3:$AH$3)+1)+INDEX(January!$C$3:$AH$181,139,MATCH(B27,January!$D$3:$AH$3)+1)+INDEX(January!$C$3:$AH$181,144,MATCH(B27,January!$D$3:$AH$3)+1)+INDEX(January!$C$3:$AH$181,149,MATCH(B27,January!$D$3:$AH$3)+1)-INDEX(January!$B$5:$AH$181,MATCH("Patrick Janssen",January!$B$5:$B$181)+1,MATCH(B27,January!$D$3:$AH$3)+2)-INDEX(January!$B$5:$AH$181,MATCH("Patrick Ziesen",January!$B$5:$B$181)+1,MATCH(B27,January!$D$3:$AH$3)+2)-INDEX(January!$B$5:$AH$181,MATCH("Frido Meijer",January!$B$5:$B$181)+1,MATCH(B27,January!$D$3:$AH$3)+2)</f>
        <v>8</v>
      </c>
      <c r="I27" s="130">
        <v>0</v>
      </c>
      <c r="J27" s="130">
        <v>0</v>
      </c>
      <c r="L27" s="212"/>
      <c r="M27" s="111"/>
      <c r="N27" s="130">
        <f t="shared" si="3"/>
        <v>0</v>
      </c>
      <c r="P27" s="112">
        <f t="shared" si="5"/>
        <v>0</v>
      </c>
      <c r="Q27" s="112">
        <f t="shared" si="4"/>
        <v>0</v>
      </c>
      <c r="S27">
        <v>23</v>
      </c>
    </row>
    <row r="28" spans="2:19" x14ac:dyDescent="0.25">
      <c r="B28" s="110">
        <f>DATE(Title!$F$12,$S$5,S28)</f>
        <v>41298</v>
      </c>
      <c r="C28" s="111">
        <f>IF(WEEKDAY(B28)=1,0,IF(WEEKDAY(B28)=4,'Hours Scheduled'!$D$44-1,IF(WEEKDAY(B28)=7,0,'Hours Scheduled'!$D$44)))</f>
        <v>25</v>
      </c>
      <c r="D28" s="17">
        <f t="shared" si="1"/>
        <v>187.5</v>
      </c>
      <c r="E28" s="127">
        <f t="shared" si="2"/>
        <v>182</v>
      </c>
      <c r="F28" s="111"/>
      <c r="G28" s="129">
        <f>INDEX(January!$C$3:$AH$181,3,MATCH(B28,January!$D$3:$AH$3)+1)+INDEX(January!$C$3:$AH$181,8,MATCH(B28,January!$D$3:$AH$3)+1)+INDEX(January!$C$3:$AH$181,13,MATCH(B28,January!$D$3:$AH$3)+1)+INDEX(January!$C$3:$AH$181,18,MATCH(B28,January!$D$3:$AH$3)+1)+INDEX(January!$C$3:$AH$181,23,MATCH(B28,January!$D$3:$AH$3)+1)+INDEX(January!$C$3:$AH$181,28,MATCH(B28,January!$D$3:$AH$3)+1)+INDEX(January!$C$3:$AH$181,33,MATCH(B28,January!$D$3:$AH$3)+1)+INDEX(January!$C$3:$AH$181,38,MATCH(B28,January!$D$3:$AH$3)+1)+INDEX(January!$C$3:$AH$181,43,MATCH(B28,January!$D$3:$AH$3)+1)+INDEX(January!$C$3:$AH$181,48,MATCH(B28,January!$D$3:$AH$3)+1)+INDEX(January!$C$3:$AH$181,53,MATCH(B28,January!$D$3:$AH$3)+1)+INDEX(January!$C$3:$AH$181,58,MATCH(B28,January!$D$3:$AH$3)+1)+INDEX(January!$C$3:$AH$181,63,MATCH(B28,January!$D$3:$AH$3)+1)+INDEX(January!$C$3:$AH$181,68,MATCH(B28,January!$D$3:$AH$3)+1)+INDEX(January!$C$3:$AH$181,73,MATCH(B28,January!$D$3:$AH$3)+1)+INDEX(January!$C$3:$AH$181,78,MATCH(B28,January!$D$3:$AH$3)+1)+INDEX(January!$C$3:$AH$181,83,MATCH(B28,January!$D$3:$AH$3)+1)+INDEX(January!$C$3:$AH$181,88,MATCH(B28,January!$D$3:$AH$3)+1)+INDEX(January!$C$3:$AH$181,93,MATCH(B28,January!$D$3:$AH$3)+1)+INDEX(January!$C$3:$AH$181,98,MATCH(B28,January!$D$3:$AH$3)+1)+INDEX(January!$C$3:$AH$181,103,MATCH(B28,January!$D$3:$AH$3)+1)+INDEX(January!$C$3:$AH$181,108,MATCH(B28,January!$D$3:$AH$3)+1)+INDEX(January!$C$3:$AH$181,113,MATCH(B28,January!$D$3:$AH$3)+1)+INDEX(January!$C$3:$AH$181,118,MATCH(B28,January!$D$3:$AH$3)+1)+INDEX(January!$C$3:$AH$181,123,MATCH(B28,January!$D$3:$AH$3)+1)+INDEX(January!$C$3:$AH$181,128,MATCH(B28,January!$D$3:$AH$3)+1)+INDEX(January!$C$3:$AH$181,133,MATCH(B28,January!$D$3:$AH$3)+1)+INDEX(January!$C$3:$AH$181,138,MATCH(B28,January!$D$3:$AH$3)+1)+INDEX(January!$C$3:$AH$181,143,MATCH(B28,January!$D$3:$AH$3)+1)+INDEX(January!$C$3:$AH$181,148,MATCH(B28,January!$D$3:$AH$3)+1)-INDEX(January!$B$5:$AH$181,MATCH("Patrick Janssen",January!$B$5:$B$181),MATCH(B28,January!$D$3:$AH$3)+2)-INDEX(January!$B$5:$AH$181,MATCH("Patrick Ziesen",January!$B$5:$B$181),MATCH(B28,January!$D$3:$AH$3)+2)-INDEX(January!$B$5:$AH$181,MATCH("Frido Meijer",January!$B$5:$B$181),MATCH(B28,January!$D$3:$AH$3)+2)</f>
        <v>2</v>
      </c>
      <c r="H28" s="130">
        <f>INDEX(January!$C$3:$AH$181,4,MATCH(B28,January!$D$3:$AH$3)+1)+INDEX(January!$C$3:$AH$181,9,MATCH(B28,January!$D$3:$AH$3)+1)+INDEX(January!$C$3:$AH$181,14,MATCH(B28,January!$D$3:$AH$3)+1)+INDEX(January!$C$3:$AH$181,19,MATCH(B28,January!$D$3:$AH$3)+1)+INDEX(January!$C$3:$AH$181,24,MATCH(B28,January!$D$3:$AH$3)+1)+INDEX(January!$C$3:$AH$181,29,MATCH(B28,January!$D$3:$AH$3)+1)+INDEX(January!$C$3:$AH$181,34,MATCH(B28,January!$D$3:$AH$3)+1)+INDEX(January!$C$3:$AH$181,39,MATCH(B28,January!$D$3:$AH$3)+1)+INDEX(January!$C$3:$AH$181,44,MATCH(B28,January!$D$3:$AH$3)+1)+INDEX(January!$C$3:$AH$181,49,MATCH(B28,January!$D$3:$AH$3)+1)+INDEX(January!$C$3:$AH$181,54,MATCH(B28,January!$D$3:$AH$3)+1)+INDEX(January!$C$3:$AH$181,59,MATCH(B28,January!$D$3:$AH$3)+1)+INDEX(January!$C$3:$AH$181,64,MATCH(B28,January!$D$3:$AH$3)+1)+INDEX(January!$C$3:$AH$181,69,MATCH(B28,January!$D$3:$AH$3)+1)+INDEX(January!$C$3:$AH$181,74,MATCH(B28,January!$D$3:$AH$3)+1)+INDEX(January!$C$3:$AH$181,79,MATCH(B28,January!$D$3:$AH$3)+1)+INDEX(January!$C$3:$AH$181,84,MATCH(B28,January!$D$3:$AH$3)+1)+INDEX(January!$C$3:$AH$181,89,MATCH(B28,January!$D$3:$AH$3)+1)+INDEX(January!$C$3:$AH$181,94,MATCH(B28,January!$D$3:$AH$3)+1)+INDEX(January!$C$3:$AH$181,99,MATCH(B28,January!$D$3:$AH$3)+1)+INDEX(January!$C$3:$AH$181,104,MATCH(B28,January!$D$3:$AH$3)+1)+INDEX(January!$C$3:$AH$181,109,MATCH(B28,January!$D$3:$AH$3)+1)+INDEX(January!$C$3:$AH$181,114,MATCH(B28,January!$D$3:$AH$3)+1)+INDEX(January!$C$3:$AH$181,119,MATCH(B28,January!$D$3:$AH$3)+1)+INDEX(January!$C$3:$AH$181,124,MATCH(B28,January!$D$3:$AH$3)+1)+INDEX(January!$C$3:$AH$181,129,MATCH(B28,January!$D$3:$AH$3)+1)+INDEX(January!$C$3:$AH$181,134,MATCH(B28,January!$D$3:$AH$3)+1)+INDEX(January!$C$3:$AH$181,139,MATCH(B28,January!$D$3:$AH$3)+1)+INDEX(January!$C$3:$AH$181,144,MATCH(B28,January!$D$3:$AH$3)+1)+INDEX(January!$C$3:$AH$181,149,MATCH(B28,January!$D$3:$AH$3)+1)-INDEX(January!$B$5:$AH$181,MATCH("Patrick Janssen",January!$B$5:$B$181)+1,MATCH(B28,January!$D$3:$AH$3)+2)-INDEX(January!$B$5:$AH$181,MATCH("Patrick Ziesen",January!$B$5:$B$181)+1,MATCH(B28,January!$D$3:$AH$3)+2)-INDEX(January!$B$5:$AH$181,MATCH("Frido Meijer",January!$B$5:$B$181)+1,MATCH(B28,January!$D$3:$AH$3)+2)</f>
        <v>16</v>
      </c>
      <c r="I28" s="130">
        <v>0</v>
      </c>
      <c r="J28" s="130">
        <v>0</v>
      </c>
      <c r="L28" s="212"/>
      <c r="M28" s="111"/>
      <c r="N28" s="130">
        <f t="shared" si="3"/>
        <v>0</v>
      </c>
      <c r="P28" s="112">
        <f t="shared" si="5"/>
        <v>0</v>
      </c>
      <c r="Q28" s="112">
        <f t="shared" si="4"/>
        <v>0</v>
      </c>
      <c r="S28">
        <v>24</v>
      </c>
    </row>
    <row r="29" spans="2:19" x14ac:dyDescent="0.25">
      <c r="B29" s="110">
        <f>DATE(Title!$F$12,$S$5,S29)</f>
        <v>41299</v>
      </c>
      <c r="C29" s="111">
        <f>IF(WEEKDAY(B29)=1,0,IF(WEEKDAY(B29)=4,'Hours Scheduled'!$D$44-1,IF(WEEKDAY(B29)=7,0,'Hours Scheduled'!$D$44)))</f>
        <v>25</v>
      </c>
      <c r="D29" s="17">
        <f t="shared" si="1"/>
        <v>187.5</v>
      </c>
      <c r="E29" s="127">
        <f t="shared" si="2"/>
        <v>161</v>
      </c>
      <c r="F29" s="111"/>
      <c r="G29" s="129">
        <f>INDEX(January!$C$3:$AH$181,3,MATCH(B29,January!$D$3:$AH$3)+1)+INDEX(January!$C$3:$AH$181,8,MATCH(B29,January!$D$3:$AH$3)+1)+INDEX(January!$C$3:$AH$181,13,MATCH(B29,January!$D$3:$AH$3)+1)+INDEX(January!$C$3:$AH$181,18,MATCH(B29,January!$D$3:$AH$3)+1)+INDEX(January!$C$3:$AH$181,23,MATCH(B29,January!$D$3:$AH$3)+1)+INDEX(January!$C$3:$AH$181,28,MATCH(B29,January!$D$3:$AH$3)+1)+INDEX(January!$C$3:$AH$181,33,MATCH(B29,January!$D$3:$AH$3)+1)+INDEX(January!$C$3:$AH$181,38,MATCH(B29,January!$D$3:$AH$3)+1)+INDEX(January!$C$3:$AH$181,43,MATCH(B29,January!$D$3:$AH$3)+1)+INDEX(January!$C$3:$AH$181,48,MATCH(B29,January!$D$3:$AH$3)+1)+INDEX(January!$C$3:$AH$181,53,MATCH(B29,January!$D$3:$AH$3)+1)+INDEX(January!$C$3:$AH$181,58,MATCH(B29,January!$D$3:$AH$3)+1)+INDEX(January!$C$3:$AH$181,63,MATCH(B29,January!$D$3:$AH$3)+1)+INDEX(January!$C$3:$AH$181,68,MATCH(B29,January!$D$3:$AH$3)+1)+INDEX(January!$C$3:$AH$181,73,MATCH(B29,January!$D$3:$AH$3)+1)+INDEX(January!$C$3:$AH$181,78,MATCH(B29,January!$D$3:$AH$3)+1)+INDEX(January!$C$3:$AH$181,83,MATCH(B29,January!$D$3:$AH$3)+1)+INDEX(January!$C$3:$AH$181,88,MATCH(B29,January!$D$3:$AH$3)+1)+INDEX(January!$C$3:$AH$181,93,MATCH(B29,January!$D$3:$AH$3)+1)+INDEX(January!$C$3:$AH$181,98,MATCH(B29,January!$D$3:$AH$3)+1)+INDEX(January!$C$3:$AH$181,103,MATCH(B29,January!$D$3:$AH$3)+1)+INDEX(January!$C$3:$AH$181,108,MATCH(B29,January!$D$3:$AH$3)+1)+INDEX(January!$C$3:$AH$181,113,MATCH(B29,January!$D$3:$AH$3)+1)+INDEX(January!$C$3:$AH$181,118,MATCH(B29,January!$D$3:$AH$3)+1)+INDEX(January!$C$3:$AH$181,123,MATCH(B29,January!$D$3:$AH$3)+1)+INDEX(January!$C$3:$AH$181,128,MATCH(B29,January!$D$3:$AH$3)+1)+INDEX(January!$C$3:$AH$181,133,MATCH(B29,January!$D$3:$AH$3)+1)+INDEX(January!$C$3:$AH$181,138,MATCH(B29,January!$D$3:$AH$3)+1)+INDEX(January!$C$3:$AH$181,143,MATCH(B29,January!$D$3:$AH$3)+1)+INDEX(January!$C$3:$AH$181,148,MATCH(B29,January!$D$3:$AH$3)+1)-INDEX(January!$B$5:$AH$181,MATCH("Patrick Janssen",January!$B$5:$B$181),MATCH(B29,January!$D$3:$AH$3)+2)-INDEX(January!$B$5:$AH$181,MATCH("Patrick Ziesen",January!$B$5:$B$181),MATCH(B29,January!$D$3:$AH$3)+2)-INDEX(January!$B$5:$AH$181,MATCH("Frido Meijer",January!$B$5:$B$181),MATCH(B29,January!$D$3:$AH$3)+2)</f>
        <v>19</v>
      </c>
      <c r="H29" s="130">
        <f>INDEX(January!$C$3:$AH$181,4,MATCH(B29,January!$D$3:$AH$3)+1)+INDEX(January!$C$3:$AH$181,9,MATCH(B29,January!$D$3:$AH$3)+1)+INDEX(January!$C$3:$AH$181,14,MATCH(B29,January!$D$3:$AH$3)+1)+INDEX(January!$C$3:$AH$181,19,MATCH(B29,January!$D$3:$AH$3)+1)+INDEX(January!$C$3:$AH$181,24,MATCH(B29,January!$D$3:$AH$3)+1)+INDEX(January!$C$3:$AH$181,29,MATCH(B29,January!$D$3:$AH$3)+1)+INDEX(January!$C$3:$AH$181,34,MATCH(B29,January!$D$3:$AH$3)+1)+INDEX(January!$C$3:$AH$181,39,MATCH(B29,January!$D$3:$AH$3)+1)+INDEX(January!$C$3:$AH$181,44,MATCH(B29,January!$D$3:$AH$3)+1)+INDEX(January!$C$3:$AH$181,49,MATCH(B29,January!$D$3:$AH$3)+1)+INDEX(January!$C$3:$AH$181,54,MATCH(B29,January!$D$3:$AH$3)+1)+INDEX(January!$C$3:$AH$181,59,MATCH(B29,January!$D$3:$AH$3)+1)+INDEX(January!$C$3:$AH$181,64,MATCH(B29,January!$D$3:$AH$3)+1)+INDEX(January!$C$3:$AH$181,69,MATCH(B29,January!$D$3:$AH$3)+1)+INDEX(January!$C$3:$AH$181,74,MATCH(B29,January!$D$3:$AH$3)+1)+INDEX(January!$C$3:$AH$181,79,MATCH(B29,January!$D$3:$AH$3)+1)+INDEX(January!$C$3:$AH$181,84,MATCH(B29,January!$D$3:$AH$3)+1)+INDEX(January!$C$3:$AH$181,89,MATCH(B29,January!$D$3:$AH$3)+1)+INDEX(January!$C$3:$AH$181,94,MATCH(B29,January!$D$3:$AH$3)+1)+INDEX(January!$C$3:$AH$181,99,MATCH(B29,January!$D$3:$AH$3)+1)+INDEX(January!$C$3:$AH$181,104,MATCH(B29,January!$D$3:$AH$3)+1)+INDEX(January!$C$3:$AH$181,109,MATCH(B29,January!$D$3:$AH$3)+1)+INDEX(January!$C$3:$AH$181,114,MATCH(B29,January!$D$3:$AH$3)+1)+INDEX(January!$C$3:$AH$181,119,MATCH(B29,January!$D$3:$AH$3)+1)+INDEX(January!$C$3:$AH$181,124,MATCH(B29,January!$D$3:$AH$3)+1)+INDEX(January!$C$3:$AH$181,129,MATCH(B29,January!$D$3:$AH$3)+1)+INDEX(January!$C$3:$AH$181,134,MATCH(B29,January!$D$3:$AH$3)+1)+INDEX(January!$C$3:$AH$181,139,MATCH(B29,January!$D$3:$AH$3)+1)+INDEX(January!$C$3:$AH$181,144,MATCH(B29,January!$D$3:$AH$3)+1)+INDEX(January!$C$3:$AH$181,149,MATCH(B29,January!$D$3:$AH$3)+1)-INDEX(January!$B$5:$AH$181,MATCH("Patrick Janssen",January!$B$5:$B$181)+1,MATCH(B29,January!$D$3:$AH$3)+2)-INDEX(January!$B$5:$AH$181,MATCH("Patrick Ziesen",January!$B$5:$B$181)+1,MATCH(B29,January!$D$3:$AH$3)+2)-INDEX(January!$B$5:$AH$181,MATCH("Frido Meijer",January!$B$5:$B$181)+1,MATCH(B29,January!$D$3:$AH$3)+2)</f>
        <v>20</v>
      </c>
      <c r="I29" s="130">
        <v>0</v>
      </c>
      <c r="J29" s="130">
        <v>0</v>
      </c>
      <c r="L29" s="212"/>
      <c r="M29" s="111"/>
      <c r="N29" s="130">
        <f t="shared" si="3"/>
        <v>0</v>
      </c>
      <c r="P29" s="112">
        <f t="shared" si="5"/>
        <v>0</v>
      </c>
      <c r="Q29" s="112">
        <f t="shared" si="4"/>
        <v>0</v>
      </c>
      <c r="S29">
        <v>25</v>
      </c>
    </row>
    <row r="30" spans="2:19" x14ac:dyDescent="0.25">
      <c r="B30" s="110">
        <f>DATE(Title!$F$12,$S$5,S30)</f>
        <v>41300</v>
      </c>
      <c r="C30" s="111">
        <f>IF(WEEKDAY(B30)=1,0,IF(WEEKDAY(B30)=4,'Hours Scheduled'!$D$44-1,IF(WEEKDAY(B30)=7,0,'Hours Scheduled'!$D$44)))</f>
        <v>0</v>
      </c>
      <c r="D30" s="17">
        <f t="shared" si="1"/>
        <v>0</v>
      </c>
      <c r="E30" s="127">
        <f t="shared" si="2"/>
        <v>0</v>
      </c>
      <c r="F30" s="111"/>
      <c r="G30" s="129">
        <f>INDEX(January!$C$3:$AH$181,3,MATCH(B30,January!$D$3:$AH$3)+1)+INDEX(January!$C$3:$AH$181,8,MATCH(B30,January!$D$3:$AH$3)+1)+INDEX(January!$C$3:$AH$181,13,MATCH(B30,January!$D$3:$AH$3)+1)+INDEX(January!$C$3:$AH$181,18,MATCH(B30,January!$D$3:$AH$3)+1)+INDEX(January!$C$3:$AH$181,23,MATCH(B30,January!$D$3:$AH$3)+1)+INDEX(January!$C$3:$AH$181,28,MATCH(B30,January!$D$3:$AH$3)+1)+INDEX(January!$C$3:$AH$181,33,MATCH(B30,January!$D$3:$AH$3)+1)+INDEX(January!$C$3:$AH$181,38,MATCH(B30,January!$D$3:$AH$3)+1)+INDEX(January!$C$3:$AH$181,43,MATCH(B30,January!$D$3:$AH$3)+1)+INDEX(January!$C$3:$AH$181,48,MATCH(B30,January!$D$3:$AH$3)+1)+INDEX(January!$C$3:$AH$181,53,MATCH(B30,January!$D$3:$AH$3)+1)+INDEX(January!$C$3:$AH$181,58,MATCH(B30,January!$D$3:$AH$3)+1)+INDEX(January!$C$3:$AH$181,63,MATCH(B30,January!$D$3:$AH$3)+1)+INDEX(January!$C$3:$AH$181,68,MATCH(B30,January!$D$3:$AH$3)+1)+INDEX(January!$C$3:$AH$181,73,MATCH(B30,January!$D$3:$AH$3)+1)+INDEX(January!$C$3:$AH$181,78,MATCH(B30,January!$D$3:$AH$3)+1)+INDEX(January!$C$3:$AH$181,83,MATCH(B30,January!$D$3:$AH$3)+1)+INDEX(January!$C$3:$AH$181,88,MATCH(B30,January!$D$3:$AH$3)+1)+INDEX(January!$C$3:$AH$181,93,MATCH(B30,January!$D$3:$AH$3)+1)+INDEX(January!$C$3:$AH$181,98,MATCH(B30,January!$D$3:$AH$3)+1)+INDEX(January!$C$3:$AH$181,103,MATCH(B30,January!$D$3:$AH$3)+1)+INDEX(January!$C$3:$AH$181,108,MATCH(B30,January!$D$3:$AH$3)+1)+INDEX(January!$C$3:$AH$181,113,MATCH(B30,January!$D$3:$AH$3)+1)+INDEX(January!$C$3:$AH$181,118,MATCH(B30,January!$D$3:$AH$3)+1)+INDEX(January!$C$3:$AH$181,123,MATCH(B30,January!$D$3:$AH$3)+1)+INDEX(January!$C$3:$AH$181,128,MATCH(B30,January!$D$3:$AH$3)+1)+INDEX(January!$C$3:$AH$181,133,MATCH(B30,January!$D$3:$AH$3)+1)+INDEX(January!$C$3:$AH$181,138,MATCH(B30,January!$D$3:$AH$3)+1)+INDEX(January!$C$3:$AH$181,143,MATCH(B30,January!$D$3:$AH$3)+1)+INDEX(January!$C$3:$AH$181,148,MATCH(B30,January!$D$3:$AH$3)+1)-INDEX(January!$B$5:$AH$181,MATCH("Patrick Janssen",January!$B$5:$B$181),MATCH(B30,January!$D$3:$AH$3)+2)-INDEX(January!$B$5:$AH$181,MATCH("Patrick Ziesen",January!$B$5:$B$181),MATCH(B30,January!$D$3:$AH$3)+2)-INDEX(January!$B$5:$AH$181,MATCH("Frido Meijer",January!$B$5:$B$181),MATCH(B30,January!$D$3:$AH$3)+2)</f>
        <v>0</v>
      </c>
      <c r="H30" s="130">
        <f>INDEX(January!$C$3:$AH$181,4,MATCH(B30,January!$D$3:$AH$3)+1)+INDEX(January!$C$3:$AH$181,9,MATCH(B30,January!$D$3:$AH$3)+1)+INDEX(January!$C$3:$AH$181,14,MATCH(B30,January!$D$3:$AH$3)+1)+INDEX(January!$C$3:$AH$181,19,MATCH(B30,January!$D$3:$AH$3)+1)+INDEX(January!$C$3:$AH$181,24,MATCH(B30,January!$D$3:$AH$3)+1)+INDEX(January!$C$3:$AH$181,29,MATCH(B30,January!$D$3:$AH$3)+1)+INDEX(January!$C$3:$AH$181,34,MATCH(B30,January!$D$3:$AH$3)+1)+INDEX(January!$C$3:$AH$181,39,MATCH(B30,January!$D$3:$AH$3)+1)+INDEX(January!$C$3:$AH$181,44,MATCH(B30,January!$D$3:$AH$3)+1)+INDEX(January!$C$3:$AH$181,49,MATCH(B30,January!$D$3:$AH$3)+1)+INDEX(January!$C$3:$AH$181,54,MATCH(B30,January!$D$3:$AH$3)+1)+INDEX(January!$C$3:$AH$181,59,MATCH(B30,January!$D$3:$AH$3)+1)+INDEX(January!$C$3:$AH$181,64,MATCH(B30,January!$D$3:$AH$3)+1)+INDEX(January!$C$3:$AH$181,69,MATCH(B30,January!$D$3:$AH$3)+1)+INDEX(January!$C$3:$AH$181,74,MATCH(B30,January!$D$3:$AH$3)+1)+INDEX(January!$C$3:$AH$181,79,MATCH(B30,January!$D$3:$AH$3)+1)+INDEX(January!$C$3:$AH$181,84,MATCH(B30,January!$D$3:$AH$3)+1)+INDEX(January!$C$3:$AH$181,89,MATCH(B30,January!$D$3:$AH$3)+1)+INDEX(January!$C$3:$AH$181,94,MATCH(B30,January!$D$3:$AH$3)+1)+INDEX(January!$C$3:$AH$181,99,MATCH(B30,January!$D$3:$AH$3)+1)+INDEX(January!$C$3:$AH$181,104,MATCH(B30,January!$D$3:$AH$3)+1)+INDEX(January!$C$3:$AH$181,109,MATCH(B30,January!$D$3:$AH$3)+1)+INDEX(January!$C$3:$AH$181,114,MATCH(B30,January!$D$3:$AH$3)+1)+INDEX(January!$C$3:$AH$181,119,MATCH(B30,January!$D$3:$AH$3)+1)+INDEX(January!$C$3:$AH$181,124,MATCH(B30,January!$D$3:$AH$3)+1)+INDEX(January!$C$3:$AH$181,129,MATCH(B30,January!$D$3:$AH$3)+1)+INDEX(January!$C$3:$AH$181,134,MATCH(B30,January!$D$3:$AH$3)+1)+INDEX(January!$C$3:$AH$181,139,MATCH(B30,January!$D$3:$AH$3)+1)+INDEX(January!$C$3:$AH$181,144,MATCH(B30,January!$D$3:$AH$3)+1)+INDEX(January!$C$3:$AH$181,149,MATCH(B30,January!$D$3:$AH$3)+1)-INDEX(January!$B$5:$AH$181,MATCH("Patrick Janssen",January!$B$5:$B$181)+1,MATCH(B30,January!$D$3:$AH$3)+2)-INDEX(January!$B$5:$AH$181,MATCH("Patrick Ziesen",January!$B$5:$B$181)+1,MATCH(B30,January!$D$3:$AH$3)+2)-INDEX(January!$B$5:$AH$181,MATCH("Frido Meijer",January!$B$5:$B$181)+1,MATCH(B30,January!$D$3:$AH$3)+2)</f>
        <v>0</v>
      </c>
      <c r="I30" s="130">
        <v>0</v>
      </c>
      <c r="J30" s="130">
        <v>0</v>
      </c>
      <c r="L30" s="212"/>
      <c r="M30" s="111"/>
      <c r="N30" s="130">
        <f t="shared" si="3"/>
        <v>0</v>
      </c>
      <c r="P30" s="112" t="str">
        <f t="shared" si="5"/>
        <v/>
      </c>
      <c r="Q30" s="112" t="str">
        <f t="shared" si="4"/>
        <v/>
      </c>
      <c r="S30">
        <v>26</v>
      </c>
    </row>
    <row r="31" spans="2:19" x14ac:dyDescent="0.25">
      <c r="B31" s="110">
        <f>DATE(Title!$F$12,$S$5,S31)</f>
        <v>41301</v>
      </c>
      <c r="C31" s="111">
        <f>IF(WEEKDAY(B31)=1,0,IF(WEEKDAY(B31)=4,'Hours Scheduled'!$D$44-1,IF(WEEKDAY(B31)=7,0,'Hours Scheduled'!$D$44)))</f>
        <v>0</v>
      </c>
      <c r="D31" s="17">
        <f t="shared" si="1"/>
        <v>0</v>
      </c>
      <c r="E31" s="127">
        <f t="shared" si="2"/>
        <v>0</v>
      </c>
      <c r="F31" s="111"/>
      <c r="G31" s="129">
        <f>INDEX(January!$C$3:$AH$181,3,MATCH(B31,January!$D$3:$AH$3)+1)+INDEX(January!$C$3:$AH$181,8,MATCH(B31,January!$D$3:$AH$3)+1)+INDEX(January!$C$3:$AH$181,13,MATCH(B31,January!$D$3:$AH$3)+1)+INDEX(January!$C$3:$AH$181,18,MATCH(B31,January!$D$3:$AH$3)+1)+INDEX(January!$C$3:$AH$181,23,MATCH(B31,January!$D$3:$AH$3)+1)+INDEX(January!$C$3:$AH$181,28,MATCH(B31,January!$D$3:$AH$3)+1)+INDEX(January!$C$3:$AH$181,33,MATCH(B31,January!$D$3:$AH$3)+1)+INDEX(January!$C$3:$AH$181,38,MATCH(B31,January!$D$3:$AH$3)+1)+INDEX(January!$C$3:$AH$181,43,MATCH(B31,January!$D$3:$AH$3)+1)+INDEX(January!$C$3:$AH$181,48,MATCH(B31,January!$D$3:$AH$3)+1)+INDEX(January!$C$3:$AH$181,53,MATCH(B31,January!$D$3:$AH$3)+1)+INDEX(January!$C$3:$AH$181,58,MATCH(B31,January!$D$3:$AH$3)+1)+INDEX(January!$C$3:$AH$181,63,MATCH(B31,January!$D$3:$AH$3)+1)+INDEX(January!$C$3:$AH$181,68,MATCH(B31,January!$D$3:$AH$3)+1)+INDEX(January!$C$3:$AH$181,73,MATCH(B31,January!$D$3:$AH$3)+1)+INDEX(January!$C$3:$AH$181,78,MATCH(B31,January!$D$3:$AH$3)+1)+INDEX(January!$C$3:$AH$181,83,MATCH(B31,January!$D$3:$AH$3)+1)+INDEX(January!$C$3:$AH$181,88,MATCH(B31,January!$D$3:$AH$3)+1)+INDEX(January!$C$3:$AH$181,93,MATCH(B31,January!$D$3:$AH$3)+1)+INDEX(January!$C$3:$AH$181,98,MATCH(B31,January!$D$3:$AH$3)+1)+INDEX(January!$C$3:$AH$181,103,MATCH(B31,January!$D$3:$AH$3)+1)+INDEX(January!$C$3:$AH$181,108,MATCH(B31,January!$D$3:$AH$3)+1)+INDEX(January!$C$3:$AH$181,113,MATCH(B31,January!$D$3:$AH$3)+1)+INDEX(January!$C$3:$AH$181,118,MATCH(B31,January!$D$3:$AH$3)+1)+INDEX(January!$C$3:$AH$181,123,MATCH(B31,January!$D$3:$AH$3)+1)+INDEX(January!$C$3:$AH$181,128,MATCH(B31,January!$D$3:$AH$3)+1)+INDEX(January!$C$3:$AH$181,133,MATCH(B31,January!$D$3:$AH$3)+1)+INDEX(January!$C$3:$AH$181,138,MATCH(B31,January!$D$3:$AH$3)+1)+INDEX(January!$C$3:$AH$181,143,MATCH(B31,January!$D$3:$AH$3)+1)+INDEX(January!$C$3:$AH$181,148,MATCH(B31,January!$D$3:$AH$3)+1)-INDEX(January!$B$5:$AH$181,MATCH("Patrick Janssen",January!$B$5:$B$181),MATCH(B31,January!$D$3:$AH$3)+2)-INDEX(January!$B$5:$AH$181,MATCH("Patrick Ziesen",January!$B$5:$B$181),MATCH(B31,January!$D$3:$AH$3)+2)-INDEX(January!$B$5:$AH$181,MATCH("Frido Meijer",January!$B$5:$B$181),MATCH(B31,January!$D$3:$AH$3)+2)</f>
        <v>0</v>
      </c>
      <c r="H31" s="130">
        <f>INDEX(January!$C$3:$AH$181,4,MATCH(B31,January!$D$3:$AH$3)+1)+INDEX(January!$C$3:$AH$181,9,MATCH(B31,January!$D$3:$AH$3)+1)+INDEX(January!$C$3:$AH$181,14,MATCH(B31,January!$D$3:$AH$3)+1)+INDEX(January!$C$3:$AH$181,19,MATCH(B31,January!$D$3:$AH$3)+1)+INDEX(January!$C$3:$AH$181,24,MATCH(B31,January!$D$3:$AH$3)+1)+INDEX(January!$C$3:$AH$181,29,MATCH(B31,January!$D$3:$AH$3)+1)+INDEX(January!$C$3:$AH$181,34,MATCH(B31,January!$D$3:$AH$3)+1)+INDEX(January!$C$3:$AH$181,39,MATCH(B31,January!$D$3:$AH$3)+1)+INDEX(January!$C$3:$AH$181,44,MATCH(B31,January!$D$3:$AH$3)+1)+INDEX(January!$C$3:$AH$181,49,MATCH(B31,January!$D$3:$AH$3)+1)+INDEX(January!$C$3:$AH$181,54,MATCH(B31,January!$D$3:$AH$3)+1)+INDEX(January!$C$3:$AH$181,59,MATCH(B31,January!$D$3:$AH$3)+1)+INDEX(January!$C$3:$AH$181,64,MATCH(B31,January!$D$3:$AH$3)+1)+INDEX(January!$C$3:$AH$181,69,MATCH(B31,January!$D$3:$AH$3)+1)+INDEX(January!$C$3:$AH$181,74,MATCH(B31,January!$D$3:$AH$3)+1)+INDEX(January!$C$3:$AH$181,79,MATCH(B31,January!$D$3:$AH$3)+1)+INDEX(January!$C$3:$AH$181,84,MATCH(B31,January!$D$3:$AH$3)+1)+INDEX(January!$C$3:$AH$181,89,MATCH(B31,January!$D$3:$AH$3)+1)+INDEX(January!$C$3:$AH$181,94,MATCH(B31,January!$D$3:$AH$3)+1)+INDEX(January!$C$3:$AH$181,99,MATCH(B31,January!$D$3:$AH$3)+1)+INDEX(January!$C$3:$AH$181,104,MATCH(B31,January!$D$3:$AH$3)+1)+INDEX(January!$C$3:$AH$181,109,MATCH(B31,January!$D$3:$AH$3)+1)+INDEX(January!$C$3:$AH$181,114,MATCH(B31,January!$D$3:$AH$3)+1)+INDEX(January!$C$3:$AH$181,119,MATCH(B31,January!$D$3:$AH$3)+1)+INDEX(January!$C$3:$AH$181,124,MATCH(B31,January!$D$3:$AH$3)+1)+INDEX(January!$C$3:$AH$181,129,MATCH(B31,January!$D$3:$AH$3)+1)+INDEX(January!$C$3:$AH$181,134,MATCH(B31,January!$D$3:$AH$3)+1)+INDEX(January!$C$3:$AH$181,139,MATCH(B31,January!$D$3:$AH$3)+1)+INDEX(January!$C$3:$AH$181,144,MATCH(B31,January!$D$3:$AH$3)+1)+INDEX(January!$C$3:$AH$181,149,MATCH(B31,January!$D$3:$AH$3)+1)-INDEX(January!$B$5:$AH$181,MATCH("Patrick Janssen",January!$B$5:$B$181)+1,MATCH(B31,January!$D$3:$AH$3)+2)-INDEX(January!$B$5:$AH$181,MATCH("Patrick Ziesen",January!$B$5:$B$181)+1,MATCH(B31,January!$D$3:$AH$3)+2)-INDEX(January!$B$5:$AH$181,MATCH("Frido Meijer",January!$B$5:$B$181)+1,MATCH(B31,January!$D$3:$AH$3)+2)</f>
        <v>0</v>
      </c>
      <c r="I31" s="130">
        <v>0</v>
      </c>
      <c r="J31" s="130">
        <v>0</v>
      </c>
      <c r="L31" s="212"/>
      <c r="M31" s="111"/>
      <c r="N31" s="130">
        <f t="shared" si="3"/>
        <v>0</v>
      </c>
      <c r="P31" s="112" t="str">
        <f t="shared" si="5"/>
        <v/>
      </c>
      <c r="Q31" s="112" t="str">
        <f t="shared" si="4"/>
        <v/>
      </c>
      <c r="S31">
        <v>27</v>
      </c>
    </row>
    <row r="32" spans="2:19" x14ac:dyDescent="0.25">
      <c r="B32" s="110">
        <f>DATE(Title!$F$12,$S$5,S32)</f>
        <v>41302</v>
      </c>
      <c r="C32" s="111">
        <f>IF(WEEKDAY(B32)=1,0,IF(WEEKDAY(B32)=4,'Hours Scheduled'!$D$44-1,IF(WEEKDAY(B32)=7,0,'Hours Scheduled'!$D$44)))</f>
        <v>25</v>
      </c>
      <c r="D32" s="17">
        <f t="shared" si="1"/>
        <v>187.5</v>
      </c>
      <c r="E32" s="127">
        <f t="shared" si="2"/>
        <v>168</v>
      </c>
      <c r="F32" s="111"/>
      <c r="G32" s="129">
        <f>INDEX(January!$C$3:$AH$181,3,MATCH(B32,January!$D$3:$AH$3)+1)+INDEX(January!$C$3:$AH$181,8,MATCH(B32,January!$D$3:$AH$3)+1)+INDEX(January!$C$3:$AH$181,13,MATCH(B32,January!$D$3:$AH$3)+1)+INDEX(January!$C$3:$AH$181,18,MATCH(B32,January!$D$3:$AH$3)+1)+INDEX(January!$C$3:$AH$181,23,MATCH(B32,January!$D$3:$AH$3)+1)+INDEX(January!$C$3:$AH$181,28,MATCH(B32,January!$D$3:$AH$3)+1)+INDEX(January!$C$3:$AH$181,33,MATCH(B32,January!$D$3:$AH$3)+1)+INDEX(January!$C$3:$AH$181,38,MATCH(B32,January!$D$3:$AH$3)+1)+INDEX(January!$C$3:$AH$181,43,MATCH(B32,January!$D$3:$AH$3)+1)+INDEX(January!$C$3:$AH$181,48,MATCH(B32,January!$D$3:$AH$3)+1)+INDEX(January!$C$3:$AH$181,53,MATCH(B32,January!$D$3:$AH$3)+1)+INDEX(January!$C$3:$AH$181,58,MATCH(B32,January!$D$3:$AH$3)+1)+INDEX(January!$C$3:$AH$181,63,MATCH(B32,January!$D$3:$AH$3)+1)+INDEX(January!$C$3:$AH$181,68,MATCH(B32,January!$D$3:$AH$3)+1)+INDEX(January!$C$3:$AH$181,73,MATCH(B32,January!$D$3:$AH$3)+1)+INDEX(January!$C$3:$AH$181,78,MATCH(B32,January!$D$3:$AH$3)+1)+INDEX(January!$C$3:$AH$181,83,MATCH(B32,January!$D$3:$AH$3)+1)+INDEX(January!$C$3:$AH$181,88,MATCH(B32,January!$D$3:$AH$3)+1)+INDEX(January!$C$3:$AH$181,93,MATCH(B32,January!$D$3:$AH$3)+1)+INDEX(January!$C$3:$AH$181,98,MATCH(B32,January!$D$3:$AH$3)+1)+INDEX(January!$C$3:$AH$181,103,MATCH(B32,January!$D$3:$AH$3)+1)+INDEX(January!$C$3:$AH$181,108,MATCH(B32,January!$D$3:$AH$3)+1)+INDEX(January!$C$3:$AH$181,113,MATCH(B32,January!$D$3:$AH$3)+1)+INDEX(January!$C$3:$AH$181,118,MATCH(B32,January!$D$3:$AH$3)+1)+INDEX(January!$C$3:$AH$181,123,MATCH(B32,January!$D$3:$AH$3)+1)+INDEX(January!$C$3:$AH$181,128,MATCH(B32,January!$D$3:$AH$3)+1)+INDEX(January!$C$3:$AH$181,133,MATCH(B32,January!$D$3:$AH$3)+1)+INDEX(January!$C$3:$AH$181,138,MATCH(B32,January!$D$3:$AH$3)+1)+INDEX(January!$C$3:$AH$181,143,MATCH(B32,January!$D$3:$AH$3)+1)+INDEX(January!$C$3:$AH$181,148,MATCH(B32,January!$D$3:$AH$3)+1)-INDEX(January!$B$5:$AH$181,MATCH("Patrick Janssen",January!$B$5:$B$181),MATCH(B32,January!$D$3:$AH$3)+2)-INDEX(January!$B$5:$AH$181,MATCH("Patrick Ziesen",January!$B$5:$B$181),MATCH(B32,January!$D$3:$AH$3)+2)-INDEX(January!$B$5:$AH$181,MATCH("Frido Meijer",January!$B$5:$B$181),MATCH(B32,January!$D$3:$AH$3)+2)</f>
        <v>8</v>
      </c>
      <c r="H32" s="130">
        <f>INDEX(January!$C$3:$AH$181,4,MATCH(B32,January!$D$3:$AH$3)+1)+INDEX(January!$C$3:$AH$181,9,MATCH(B32,January!$D$3:$AH$3)+1)+INDEX(January!$C$3:$AH$181,14,MATCH(B32,January!$D$3:$AH$3)+1)+INDEX(January!$C$3:$AH$181,19,MATCH(B32,January!$D$3:$AH$3)+1)+INDEX(January!$C$3:$AH$181,24,MATCH(B32,January!$D$3:$AH$3)+1)+INDEX(January!$C$3:$AH$181,29,MATCH(B32,January!$D$3:$AH$3)+1)+INDEX(January!$C$3:$AH$181,34,MATCH(B32,January!$D$3:$AH$3)+1)+INDEX(January!$C$3:$AH$181,39,MATCH(B32,January!$D$3:$AH$3)+1)+INDEX(January!$C$3:$AH$181,44,MATCH(B32,January!$D$3:$AH$3)+1)+INDEX(January!$C$3:$AH$181,49,MATCH(B32,January!$D$3:$AH$3)+1)+INDEX(January!$C$3:$AH$181,54,MATCH(B32,January!$D$3:$AH$3)+1)+INDEX(January!$C$3:$AH$181,59,MATCH(B32,January!$D$3:$AH$3)+1)+INDEX(January!$C$3:$AH$181,64,MATCH(B32,January!$D$3:$AH$3)+1)+INDEX(January!$C$3:$AH$181,69,MATCH(B32,January!$D$3:$AH$3)+1)+INDEX(January!$C$3:$AH$181,74,MATCH(B32,January!$D$3:$AH$3)+1)+INDEX(January!$C$3:$AH$181,79,MATCH(B32,January!$D$3:$AH$3)+1)+INDEX(January!$C$3:$AH$181,84,MATCH(B32,January!$D$3:$AH$3)+1)+INDEX(January!$C$3:$AH$181,89,MATCH(B32,January!$D$3:$AH$3)+1)+INDEX(January!$C$3:$AH$181,94,MATCH(B32,January!$D$3:$AH$3)+1)+INDEX(January!$C$3:$AH$181,99,MATCH(B32,January!$D$3:$AH$3)+1)+INDEX(January!$C$3:$AH$181,104,MATCH(B32,January!$D$3:$AH$3)+1)+INDEX(January!$C$3:$AH$181,109,MATCH(B32,January!$D$3:$AH$3)+1)+INDEX(January!$C$3:$AH$181,114,MATCH(B32,January!$D$3:$AH$3)+1)+INDEX(January!$C$3:$AH$181,119,MATCH(B32,January!$D$3:$AH$3)+1)+INDEX(January!$C$3:$AH$181,124,MATCH(B32,January!$D$3:$AH$3)+1)+INDEX(January!$C$3:$AH$181,129,MATCH(B32,January!$D$3:$AH$3)+1)+INDEX(January!$C$3:$AH$181,134,MATCH(B32,January!$D$3:$AH$3)+1)+INDEX(January!$C$3:$AH$181,139,MATCH(B32,January!$D$3:$AH$3)+1)+INDEX(January!$C$3:$AH$181,144,MATCH(B32,January!$D$3:$AH$3)+1)+INDEX(January!$C$3:$AH$181,149,MATCH(B32,January!$D$3:$AH$3)+1)-INDEX(January!$B$5:$AH$181,MATCH("Patrick Janssen",January!$B$5:$B$181)+1,MATCH(B32,January!$D$3:$AH$3)+2)-INDEX(January!$B$5:$AH$181,MATCH("Patrick Ziesen",January!$B$5:$B$181)+1,MATCH(B32,January!$D$3:$AH$3)+2)-INDEX(January!$B$5:$AH$181,MATCH("Frido Meijer",January!$B$5:$B$181)+1,MATCH(B32,January!$D$3:$AH$3)+2)</f>
        <v>24</v>
      </c>
      <c r="I32" s="130">
        <v>0</v>
      </c>
      <c r="J32" s="130">
        <v>0</v>
      </c>
      <c r="L32" s="111"/>
      <c r="M32" s="111"/>
      <c r="N32" s="130">
        <f t="shared" si="3"/>
        <v>0</v>
      </c>
      <c r="P32" s="112">
        <f t="shared" si="5"/>
        <v>0</v>
      </c>
      <c r="Q32" s="112">
        <f t="shared" si="4"/>
        <v>0</v>
      </c>
      <c r="S32">
        <v>28</v>
      </c>
    </row>
    <row r="33" spans="2:19" x14ac:dyDescent="0.25">
      <c r="B33" s="110">
        <f>DATE(Title!$F$12,$S$5,S33)</f>
        <v>41303</v>
      </c>
      <c r="C33" s="111">
        <f>IF(WEEKDAY(B33)=1,0,IF(WEEKDAY(B33)=4,'Hours Scheduled'!$D$44-1,IF(WEEKDAY(B33)=7,0,'Hours Scheduled'!$D$44)))</f>
        <v>25</v>
      </c>
      <c r="D33" s="17">
        <f t="shared" si="1"/>
        <v>187.5</v>
      </c>
      <c r="E33" s="127">
        <f t="shared" si="2"/>
        <v>158</v>
      </c>
      <c r="F33" s="111"/>
      <c r="G33" s="129">
        <f>INDEX(January!$C$3:$AH$181,3,MATCH(B33,January!$D$3:$AH$3)+1)+INDEX(January!$C$3:$AH$181,8,MATCH(B33,January!$D$3:$AH$3)+1)+INDEX(January!$C$3:$AH$181,13,MATCH(B33,January!$D$3:$AH$3)+1)+INDEX(January!$C$3:$AH$181,18,MATCH(B33,January!$D$3:$AH$3)+1)+INDEX(January!$C$3:$AH$181,23,MATCH(B33,January!$D$3:$AH$3)+1)+INDEX(January!$C$3:$AH$181,28,MATCH(B33,January!$D$3:$AH$3)+1)+INDEX(January!$C$3:$AH$181,33,MATCH(B33,January!$D$3:$AH$3)+1)+INDEX(January!$C$3:$AH$181,38,MATCH(B33,January!$D$3:$AH$3)+1)+INDEX(January!$C$3:$AH$181,43,MATCH(B33,January!$D$3:$AH$3)+1)+INDEX(January!$C$3:$AH$181,48,MATCH(B33,January!$D$3:$AH$3)+1)+INDEX(January!$C$3:$AH$181,53,MATCH(B33,January!$D$3:$AH$3)+1)+INDEX(January!$C$3:$AH$181,58,MATCH(B33,January!$D$3:$AH$3)+1)+INDEX(January!$C$3:$AH$181,63,MATCH(B33,January!$D$3:$AH$3)+1)+INDEX(January!$C$3:$AH$181,68,MATCH(B33,January!$D$3:$AH$3)+1)+INDEX(January!$C$3:$AH$181,73,MATCH(B33,January!$D$3:$AH$3)+1)+INDEX(January!$C$3:$AH$181,78,MATCH(B33,January!$D$3:$AH$3)+1)+INDEX(January!$C$3:$AH$181,83,MATCH(B33,January!$D$3:$AH$3)+1)+INDEX(January!$C$3:$AH$181,88,MATCH(B33,January!$D$3:$AH$3)+1)+INDEX(January!$C$3:$AH$181,93,MATCH(B33,January!$D$3:$AH$3)+1)+INDEX(January!$C$3:$AH$181,98,MATCH(B33,January!$D$3:$AH$3)+1)+INDEX(January!$C$3:$AH$181,103,MATCH(B33,January!$D$3:$AH$3)+1)+INDEX(January!$C$3:$AH$181,108,MATCH(B33,January!$D$3:$AH$3)+1)+INDEX(January!$C$3:$AH$181,113,MATCH(B33,January!$D$3:$AH$3)+1)+INDEX(January!$C$3:$AH$181,118,MATCH(B33,January!$D$3:$AH$3)+1)+INDEX(January!$C$3:$AH$181,123,MATCH(B33,January!$D$3:$AH$3)+1)+INDEX(January!$C$3:$AH$181,128,MATCH(B33,January!$D$3:$AH$3)+1)+INDEX(January!$C$3:$AH$181,133,MATCH(B33,January!$D$3:$AH$3)+1)+INDEX(January!$C$3:$AH$181,138,MATCH(B33,January!$D$3:$AH$3)+1)+INDEX(January!$C$3:$AH$181,143,MATCH(B33,January!$D$3:$AH$3)+1)+INDEX(January!$C$3:$AH$181,148,MATCH(B33,January!$D$3:$AH$3)+1)-INDEX(January!$B$5:$AH$181,MATCH("Patrick Janssen",January!$B$5:$B$181),MATCH(B33,January!$D$3:$AH$3)+2)-INDEX(January!$B$5:$AH$181,MATCH("Patrick Ziesen",January!$B$5:$B$181),MATCH(B33,January!$D$3:$AH$3)+2)-INDEX(January!$B$5:$AH$181,MATCH("Frido Meijer",January!$B$5:$B$181),MATCH(B33,January!$D$3:$AH$3)+2)</f>
        <v>18</v>
      </c>
      <c r="H33" s="130">
        <f>INDEX(January!$C$3:$AH$181,4,MATCH(B33,January!$D$3:$AH$3)+1)+INDEX(January!$C$3:$AH$181,9,MATCH(B33,January!$D$3:$AH$3)+1)+INDEX(January!$C$3:$AH$181,14,MATCH(B33,January!$D$3:$AH$3)+1)+INDEX(January!$C$3:$AH$181,19,MATCH(B33,January!$D$3:$AH$3)+1)+INDEX(January!$C$3:$AH$181,24,MATCH(B33,January!$D$3:$AH$3)+1)+INDEX(January!$C$3:$AH$181,29,MATCH(B33,January!$D$3:$AH$3)+1)+INDEX(January!$C$3:$AH$181,34,MATCH(B33,January!$D$3:$AH$3)+1)+INDEX(January!$C$3:$AH$181,39,MATCH(B33,January!$D$3:$AH$3)+1)+INDEX(January!$C$3:$AH$181,44,MATCH(B33,January!$D$3:$AH$3)+1)+INDEX(January!$C$3:$AH$181,49,MATCH(B33,January!$D$3:$AH$3)+1)+INDEX(January!$C$3:$AH$181,54,MATCH(B33,January!$D$3:$AH$3)+1)+INDEX(January!$C$3:$AH$181,59,MATCH(B33,January!$D$3:$AH$3)+1)+INDEX(January!$C$3:$AH$181,64,MATCH(B33,January!$D$3:$AH$3)+1)+INDEX(January!$C$3:$AH$181,69,MATCH(B33,January!$D$3:$AH$3)+1)+INDEX(January!$C$3:$AH$181,74,MATCH(B33,January!$D$3:$AH$3)+1)+INDEX(January!$C$3:$AH$181,79,MATCH(B33,January!$D$3:$AH$3)+1)+INDEX(January!$C$3:$AH$181,84,MATCH(B33,January!$D$3:$AH$3)+1)+INDEX(January!$C$3:$AH$181,89,MATCH(B33,January!$D$3:$AH$3)+1)+INDEX(January!$C$3:$AH$181,94,MATCH(B33,January!$D$3:$AH$3)+1)+INDEX(January!$C$3:$AH$181,99,MATCH(B33,January!$D$3:$AH$3)+1)+INDEX(January!$C$3:$AH$181,104,MATCH(B33,January!$D$3:$AH$3)+1)+INDEX(January!$C$3:$AH$181,109,MATCH(B33,January!$D$3:$AH$3)+1)+INDEX(January!$C$3:$AH$181,114,MATCH(B33,January!$D$3:$AH$3)+1)+INDEX(January!$C$3:$AH$181,119,MATCH(B33,January!$D$3:$AH$3)+1)+INDEX(January!$C$3:$AH$181,124,MATCH(B33,January!$D$3:$AH$3)+1)+INDEX(January!$C$3:$AH$181,129,MATCH(B33,January!$D$3:$AH$3)+1)+INDEX(January!$C$3:$AH$181,134,MATCH(B33,January!$D$3:$AH$3)+1)+INDEX(January!$C$3:$AH$181,139,MATCH(B33,January!$D$3:$AH$3)+1)+INDEX(January!$C$3:$AH$181,144,MATCH(B33,January!$D$3:$AH$3)+1)+INDEX(January!$C$3:$AH$181,149,MATCH(B33,January!$D$3:$AH$3)+1)-INDEX(January!$B$5:$AH$181,MATCH("Patrick Janssen",January!$B$5:$B$181)+1,MATCH(B33,January!$D$3:$AH$3)+2)-INDEX(January!$B$5:$AH$181,MATCH("Patrick Ziesen",January!$B$5:$B$181)+1,MATCH(B33,January!$D$3:$AH$3)+2)-INDEX(January!$B$5:$AH$181,MATCH("Frido Meijer",January!$B$5:$B$181)+1,MATCH(B33,January!$D$3:$AH$3)+2)</f>
        <v>24</v>
      </c>
      <c r="I33" s="130">
        <v>0</v>
      </c>
      <c r="J33" s="130">
        <v>0</v>
      </c>
      <c r="L33" s="111"/>
      <c r="M33" s="111"/>
      <c r="N33" s="130">
        <f t="shared" si="3"/>
        <v>0</v>
      </c>
      <c r="P33" s="112">
        <f t="shared" si="5"/>
        <v>0</v>
      </c>
      <c r="Q33" s="112">
        <f t="shared" si="4"/>
        <v>0</v>
      </c>
      <c r="S33">
        <v>29</v>
      </c>
    </row>
    <row r="34" spans="2:19" x14ac:dyDescent="0.25">
      <c r="B34" s="110">
        <f>DATE(Title!$F$12,$S$5,S34)</f>
        <v>41304</v>
      </c>
      <c r="C34" s="111">
        <f>IF(WEEKDAY(B34)=1,0,IF(WEEKDAY(B34)=4,'Hours Scheduled'!$D$44-1,IF(WEEKDAY(B34)=7,0,'Hours Scheduled'!$D$44)))</f>
        <v>24</v>
      </c>
      <c r="D34" s="17">
        <f t="shared" si="1"/>
        <v>180</v>
      </c>
      <c r="E34" s="127">
        <f t="shared" si="2"/>
        <v>160</v>
      </c>
      <c r="F34" s="111"/>
      <c r="G34" s="129">
        <f>INDEX(January!$C$3:$AH$181,3,MATCH(B34,January!$D$3:$AH$3)+1)+INDEX(January!$C$3:$AH$181,8,MATCH(B34,January!$D$3:$AH$3)+1)+INDEX(January!$C$3:$AH$181,13,MATCH(B34,January!$D$3:$AH$3)+1)+INDEX(January!$C$3:$AH$181,18,MATCH(B34,January!$D$3:$AH$3)+1)+INDEX(January!$C$3:$AH$181,23,MATCH(B34,January!$D$3:$AH$3)+1)+INDEX(January!$C$3:$AH$181,28,MATCH(B34,January!$D$3:$AH$3)+1)+INDEX(January!$C$3:$AH$181,33,MATCH(B34,January!$D$3:$AH$3)+1)+INDEX(January!$C$3:$AH$181,38,MATCH(B34,January!$D$3:$AH$3)+1)+INDEX(January!$C$3:$AH$181,43,MATCH(B34,January!$D$3:$AH$3)+1)+INDEX(January!$C$3:$AH$181,48,MATCH(B34,January!$D$3:$AH$3)+1)+INDEX(January!$C$3:$AH$181,53,MATCH(B34,January!$D$3:$AH$3)+1)+INDEX(January!$C$3:$AH$181,58,MATCH(B34,January!$D$3:$AH$3)+1)+INDEX(January!$C$3:$AH$181,63,MATCH(B34,January!$D$3:$AH$3)+1)+INDEX(January!$C$3:$AH$181,68,MATCH(B34,January!$D$3:$AH$3)+1)+INDEX(January!$C$3:$AH$181,73,MATCH(B34,January!$D$3:$AH$3)+1)+INDEX(January!$C$3:$AH$181,78,MATCH(B34,January!$D$3:$AH$3)+1)+INDEX(January!$C$3:$AH$181,83,MATCH(B34,January!$D$3:$AH$3)+1)+INDEX(January!$C$3:$AH$181,88,MATCH(B34,January!$D$3:$AH$3)+1)+INDEX(January!$C$3:$AH$181,93,MATCH(B34,January!$D$3:$AH$3)+1)+INDEX(January!$C$3:$AH$181,98,MATCH(B34,January!$D$3:$AH$3)+1)+INDEX(January!$C$3:$AH$181,103,MATCH(B34,January!$D$3:$AH$3)+1)+INDEX(January!$C$3:$AH$181,108,MATCH(B34,January!$D$3:$AH$3)+1)+INDEX(January!$C$3:$AH$181,113,MATCH(B34,January!$D$3:$AH$3)+1)+INDEX(January!$C$3:$AH$181,118,MATCH(B34,January!$D$3:$AH$3)+1)+INDEX(January!$C$3:$AH$181,123,MATCH(B34,January!$D$3:$AH$3)+1)+INDEX(January!$C$3:$AH$181,128,MATCH(B34,January!$D$3:$AH$3)+1)+INDEX(January!$C$3:$AH$181,133,MATCH(B34,January!$D$3:$AH$3)+1)+INDEX(January!$C$3:$AH$181,138,MATCH(B34,January!$D$3:$AH$3)+1)+INDEX(January!$C$3:$AH$181,143,MATCH(B34,January!$D$3:$AH$3)+1)+INDEX(January!$C$3:$AH$181,148,MATCH(B34,January!$D$3:$AH$3)+1)-INDEX(January!$B$5:$AH$181,MATCH("Patrick Janssen",January!$B$5:$B$181),MATCH(B34,January!$D$3:$AH$3)+2)-INDEX(January!$B$5:$AH$181,MATCH("Patrick Ziesen",January!$B$5:$B$181),MATCH(B34,January!$D$3:$AH$3)+2)-INDEX(January!$B$5:$AH$181,MATCH("Frido Meijer",January!$B$5:$B$181),MATCH(B34,January!$D$3:$AH$3)+2)</f>
        <v>16</v>
      </c>
      <c r="H34" s="130">
        <f>INDEX(January!$C$3:$AH$181,4,MATCH(B34,January!$D$3:$AH$3)+1)+INDEX(January!$C$3:$AH$181,9,MATCH(B34,January!$D$3:$AH$3)+1)+INDEX(January!$C$3:$AH$181,14,MATCH(B34,January!$D$3:$AH$3)+1)+INDEX(January!$C$3:$AH$181,19,MATCH(B34,January!$D$3:$AH$3)+1)+INDEX(January!$C$3:$AH$181,24,MATCH(B34,January!$D$3:$AH$3)+1)+INDEX(January!$C$3:$AH$181,29,MATCH(B34,January!$D$3:$AH$3)+1)+INDEX(January!$C$3:$AH$181,34,MATCH(B34,January!$D$3:$AH$3)+1)+INDEX(January!$C$3:$AH$181,39,MATCH(B34,January!$D$3:$AH$3)+1)+INDEX(January!$C$3:$AH$181,44,MATCH(B34,January!$D$3:$AH$3)+1)+INDEX(January!$C$3:$AH$181,49,MATCH(B34,January!$D$3:$AH$3)+1)+INDEX(January!$C$3:$AH$181,54,MATCH(B34,January!$D$3:$AH$3)+1)+INDEX(January!$C$3:$AH$181,59,MATCH(B34,January!$D$3:$AH$3)+1)+INDEX(January!$C$3:$AH$181,64,MATCH(B34,January!$D$3:$AH$3)+1)+INDEX(January!$C$3:$AH$181,69,MATCH(B34,January!$D$3:$AH$3)+1)+INDEX(January!$C$3:$AH$181,74,MATCH(B34,January!$D$3:$AH$3)+1)+INDEX(January!$C$3:$AH$181,79,MATCH(B34,January!$D$3:$AH$3)+1)+INDEX(January!$C$3:$AH$181,84,MATCH(B34,January!$D$3:$AH$3)+1)+INDEX(January!$C$3:$AH$181,89,MATCH(B34,January!$D$3:$AH$3)+1)+INDEX(January!$C$3:$AH$181,94,MATCH(B34,January!$D$3:$AH$3)+1)+INDEX(January!$C$3:$AH$181,99,MATCH(B34,January!$D$3:$AH$3)+1)+INDEX(January!$C$3:$AH$181,104,MATCH(B34,January!$D$3:$AH$3)+1)+INDEX(January!$C$3:$AH$181,109,MATCH(B34,January!$D$3:$AH$3)+1)+INDEX(January!$C$3:$AH$181,114,MATCH(B34,January!$D$3:$AH$3)+1)+INDEX(January!$C$3:$AH$181,119,MATCH(B34,January!$D$3:$AH$3)+1)+INDEX(January!$C$3:$AH$181,124,MATCH(B34,January!$D$3:$AH$3)+1)+INDEX(January!$C$3:$AH$181,129,MATCH(B34,January!$D$3:$AH$3)+1)+INDEX(January!$C$3:$AH$181,134,MATCH(B34,January!$D$3:$AH$3)+1)+INDEX(January!$C$3:$AH$181,139,MATCH(B34,January!$D$3:$AH$3)+1)+INDEX(January!$C$3:$AH$181,144,MATCH(B34,January!$D$3:$AH$3)+1)+INDEX(January!$C$3:$AH$181,149,MATCH(B34,January!$D$3:$AH$3)+1)-INDEX(January!$B$5:$AH$181,MATCH("Patrick Janssen",January!$B$5:$B$181)+1,MATCH(B34,January!$D$3:$AH$3)+2)-INDEX(January!$B$5:$AH$181,MATCH("Patrick Ziesen",January!$B$5:$B$181)+1,MATCH(B34,January!$D$3:$AH$3)+2)-INDEX(January!$B$5:$AH$181,MATCH("Frido Meijer",January!$B$5:$B$181)+1,MATCH(B34,January!$D$3:$AH$3)+2)</f>
        <v>16</v>
      </c>
      <c r="I34" s="130">
        <v>0</v>
      </c>
      <c r="J34" s="130">
        <v>0</v>
      </c>
      <c r="L34" s="212"/>
      <c r="M34" s="111"/>
      <c r="N34" s="130">
        <f t="shared" si="3"/>
        <v>0</v>
      </c>
      <c r="P34" s="112">
        <f t="shared" si="5"/>
        <v>0</v>
      </c>
      <c r="Q34" s="112">
        <f t="shared" si="4"/>
        <v>0</v>
      </c>
      <c r="S34">
        <v>30</v>
      </c>
    </row>
    <row r="35" spans="2:19" ht="15.75" thickBot="1" x14ac:dyDescent="0.3">
      <c r="B35" s="110">
        <f>DATE(Title!$F$12,$S$5,S35)</f>
        <v>41305</v>
      </c>
      <c r="C35" s="111">
        <f>IF(WEEKDAY(B35)=1,0,IF(WEEKDAY(B35)=4,'Hours Scheduled'!$D$44-1,IF(WEEKDAY(B35)=7,0,'Hours Scheduled'!$D$44)))</f>
        <v>25</v>
      </c>
      <c r="D35" s="17">
        <f t="shared" si="1"/>
        <v>187.5</v>
      </c>
      <c r="E35" s="127">
        <f t="shared" si="2"/>
        <v>184</v>
      </c>
      <c r="F35" s="113"/>
      <c r="G35" s="131">
        <f>INDEX(January!$C$3:$AH$181,3,MATCH(B35,January!$D$3:$AH$3)+1)+INDEX(January!$C$3:$AH$181,8,MATCH(B35,January!$D$3:$AH$3)+1)+INDEX(January!$C$3:$AH$181,13,MATCH(B35,January!$D$3:$AH$3)+1)+INDEX(January!$C$3:$AH$181,18,MATCH(B35,January!$D$3:$AH$3)+1)+INDEX(January!$C$3:$AH$181,23,MATCH(B35,January!$D$3:$AH$3)+1)+INDEX(January!$C$3:$AH$181,28,MATCH(B35,January!$D$3:$AH$3)+1)+INDEX(January!$C$3:$AH$181,33,MATCH(B35,January!$D$3:$AH$3)+1)+INDEX(January!$C$3:$AH$181,38,MATCH(B35,January!$D$3:$AH$3)+1)+INDEX(January!$C$3:$AH$181,43,MATCH(B35,January!$D$3:$AH$3)+1)+INDEX(January!$C$3:$AH$181,48,MATCH(B35,January!$D$3:$AH$3)+1)+INDEX(January!$C$3:$AH$181,53,MATCH(B35,January!$D$3:$AH$3)+1)+INDEX(January!$C$3:$AH$181,58,MATCH(B35,January!$D$3:$AH$3)+1)+INDEX(January!$C$3:$AH$181,63,MATCH(B35,January!$D$3:$AH$3)+1)+INDEX(January!$C$3:$AH$181,68,MATCH(B35,January!$D$3:$AH$3)+1)+INDEX(January!$C$3:$AH$181,73,MATCH(B35,January!$D$3:$AH$3)+1)+INDEX(January!$C$3:$AH$181,78,MATCH(B35,January!$D$3:$AH$3)+1)+INDEX(January!$C$3:$AH$181,83,MATCH(B35,January!$D$3:$AH$3)+1)+INDEX(January!$C$3:$AH$181,88,MATCH(B35,January!$D$3:$AH$3)+1)+INDEX(January!$C$3:$AH$181,93,MATCH(B35,January!$D$3:$AH$3)+1)+INDEX(January!$C$3:$AH$181,98,MATCH(B35,January!$D$3:$AH$3)+1)+INDEX(January!$C$3:$AH$181,103,MATCH(B35,January!$D$3:$AH$3)+1)+INDEX(January!$C$3:$AH$181,108,MATCH(B35,January!$D$3:$AH$3)+1)+INDEX(January!$C$3:$AH$181,113,MATCH(B35,January!$D$3:$AH$3)+1)+INDEX(January!$C$3:$AH$181,118,MATCH(B35,January!$D$3:$AH$3)+1)+INDEX(January!$C$3:$AH$181,123,MATCH(B35,January!$D$3:$AH$3)+1)+INDEX(January!$C$3:$AH$181,128,MATCH(B35,January!$D$3:$AH$3)+1)+INDEX(January!$C$3:$AH$181,133,MATCH(B35,January!$D$3:$AH$3)+1)+INDEX(January!$C$3:$AH$181,138,MATCH(B35,January!$D$3:$AH$3)+1)+INDEX(January!$C$3:$AH$181,143,MATCH(B35,January!$D$3:$AH$3)+1)+INDEX(January!$C$3:$AH$181,148,MATCH(B35,January!$D$3:$AH$3)+1)-INDEX(January!$B$5:$AH$181,MATCH("Patrick Janssen",January!$B$5:$B$181),MATCH(B35,January!$D$3:$AH$3)+2)-INDEX(January!$B$5:$AH$181,MATCH("Patrick Ziesen",January!$B$5:$B$181),MATCH(B35,January!$D$3:$AH$3)+2)-INDEX(January!$B$5:$AH$181,MATCH("Frido Meijer",January!$B$5:$B$181),MATCH(B35,January!$D$3:$AH$3)+2)</f>
        <v>0</v>
      </c>
      <c r="H35" s="132">
        <f>INDEX(January!$C$3:$AH$181,4,MATCH(B35,January!$D$3:$AH$3)+1)+INDEX(January!$C$3:$AH$181,9,MATCH(B35,January!$D$3:$AH$3)+1)+INDEX(January!$C$3:$AH$181,14,MATCH(B35,January!$D$3:$AH$3)+1)+INDEX(January!$C$3:$AH$181,19,MATCH(B35,January!$D$3:$AH$3)+1)+INDEX(January!$C$3:$AH$181,24,MATCH(B35,January!$D$3:$AH$3)+1)+INDEX(January!$C$3:$AH$181,29,MATCH(B35,January!$D$3:$AH$3)+1)+INDEX(January!$C$3:$AH$181,34,MATCH(B35,January!$D$3:$AH$3)+1)+INDEX(January!$C$3:$AH$181,39,MATCH(B35,January!$D$3:$AH$3)+1)+INDEX(January!$C$3:$AH$181,44,MATCH(B35,January!$D$3:$AH$3)+1)+INDEX(January!$C$3:$AH$181,49,MATCH(B35,January!$D$3:$AH$3)+1)+INDEX(January!$C$3:$AH$181,54,MATCH(B35,January!$D$3:$AH$3)+1)+INDEX(January!$C$3:$AH$181,59,MATCH(B35,January!$D$3:$AH$3)+1)+INDEX(January!$C$3:$AH$181,64,MATCH(B35,January!$D$3:$AH$3)+1)+INDEX(January!$C$3:$AH$181,69,MATCH(B35,January!$D$3:$AH$3)+1)+INDEX(January!$C$3:$AH$181,74,MATCH(B35,January!$D$3:$AH$3)+1)+INDEX(January!$C$3:$AH$181,79,MATCH(B35,January!$D$3:$AH$3)+1)+INDEX(January!$C$3:$AH$181,84,MATCH(B35,January!$D$3:$AH$3)+1)+INDEX(January!$C$3:$AH$181,89,MATCH(B35,January!$D$3:$AH$3)+1)+INDEX(January!$C$3:$AH$181,94,MATCH(B35,January!$D$3:$AH$3)+1)+INDEX(January!$C$3:$AH$181,99,MATCH(B35,January!$D$3:$AH$3)+1)+INDEX(January!$C$3:$AH$181,104,MATCH(B35,January!$D$3:$AH$3)+1)+INDEX(January!$C$3:$AH$181,109,MATCH(B35,January!$D$3:$AH$3)+1)+INDEX(January!$C$3:$AH$181,114,MATCH(B35,January!$D$3:$AH$3)+1)+INDEX(January!$C$3:$AH$181,119,MATCH(B35,January!$D$3:$AH$3)+1)+INDEX(January!$C$3:$AH$181,124,MATCH(B35,January!$D$3:$AH$3)+1)+INDEX(January!$C$3:$AH$181,129,MATCH(B35,January!$D$3:$AH$3)+1)+INDEX(January!$C$3:$AH$181,134,MATCH(B35,January!$D$3:$AH$3)+1)+INDEX(January!$C$3:$AH$181,139,MATCH(B35,January!$D$3:$AH$3)+1)+INDEX(January!$C$3:$AH$181,144,MATCH(B35,January!$D$3:$AH$3)+1)+INDEX(January!$C$3:$AH$181,149,MATCH(B35,January!$D$3:$AH$3)+1)-INDEX(January!$B$5:$AH$181,MATCH("Patrick Janssen",January!$B$5:$B$181)+1,MATCH(B35,January!$D$3:$AH$3)+2)-INDEX(January!$B$5:$AH$181,MATCH("Patrick Ziesen",January!$B$5:$B$181)+1,MATCH(B35,January!$D$3:$AH$3)+2)-INDEX(January!$B$5:$AH$181,MATCH("Frido Meijer",January!$B$5:$B$181)+1,MATCH(B35,January!$D$3:$AH$3)+2)</f>
        <v>16</v>
      </c>
      <c r="I35" s="130">
        <v>0</v>
      </c>
      <c r="J35" s="130">
        <v>0</v>
      </c>
      <c r="L35" s="212"/>
      <c r="M35" s="113"/>
      <c r="N35" s="130">
        <f t="shared" si="3"/>
        <v>0</v>
      </c>
      <c r="P35" s="112">
        <f t="shared" si="5"/>
        <v>0</v>
      </c>
      <c r="Q35" s="112">
        <f t="shared" si="4"/>
        <v>0</v>
      </c>
      <c r="S35">
        <v>31</v>
      </c>
    </row>
    <row r="36" spans="2:19" s="115" customFormat="1" ht="15.75" x14ac:dyDescent="0.25">
      <c r="B36" s="146" t="s">
        <v>7</v>
      </c>
      <c r="C36" s="114">
        <f>SUM(C5:C35)</f>
        <v>560</v>
      </c>
      <c r="D36" s="107">
        <f t="shared" si="1"/>
        <v>4200</v>
      </c>
      <c r="E36" s="128">
        <f>C36*8-G36-H36</f>
        <v>3819.5</v>
      </c>
      <c r="F36" s="114">
        <f>SUM(F5:F35)</f>
        <v>0</v>
      </c>
      <c r="G36" s="133">
        <f t="shared" ref="G36:J36" si="6">SUM(G5:G35)</f>
        <v>344.5</v>
      </c>
      <c r="H36" s="133">
        <f t="shared" si="6"/>
        <v>316</v>
      </c>
      <c r="I36" s="133">
        <f t="shared" si="6"/>
        <v>0</v>
      </c>
      <c r="J36" s="133">
        <f t="shared" si="6"/>
        <v>0</v>
      </c>
      <c r="L36" s="114">
        <f>SUM(L5:L35)</f>
        <v>0</v>
      </c>
      <c r="M36" s="114">
        <f t="shared" ref="M36:N36" si="7">SUM(M5:M35)</f>
        <v>0</v>
      </c>
      <c r="N36" s="133">
        <f t="shared" si="7"/>
        <v>0</v>
      </c>
      <c r="P36" s="116">
        <f t="shared" ref="P36" si="8">(L36+(M36/60)+N36)/(D36-F36-G36-H36-I36-J36)</f>
        <v>0</v>
      </c>
      <c r="Q36" s="116">
        <f t="shared" ref="Q36" si="9">(L36+(M36/60)+N36)/(D36-(G36+H36))</f>
        <v>0</v>
      </c>
    </row>
    <row r="37" spans="2:19" x14ac:dyDescent="0.25">
      <c r="B37"/>
      <c r="E37" s="127"/>
    </row>
    <row r="38" spans="2:19" x14ac:dyDescent="0.25">
      <c r="B38" s="110">
        <f>DATE(Title!$F$12,$S$6,S5)</f>
        <v>41306</v>
      </c>
      <c r="C38" s="111">
        <f>IF(WEEKDAY(B38)=1,0,IF(WEEKDAY(B38)=4,'Hours Scheduled'!$E$44-1,IF(WEEKDAY(B38)=7,0,'Hours Scheduled'!$E$44)))</f>
        <v>24</v>
      </c>
      <c r="D38" s="17">
        <f>C38*7.5</f>
        <v>180</v>
      </c>
      <c r="E38" s="127">
        <f>C38*8-G38-H38</f>
        <v>168</v>
      </c>
      <c r="F38" s="111"/>
      <c r="G38" s="130">
        <f>INDEX(February!$C$3:$AH$169,3,MATCH(B38,February!$D$3:$AH$3)+1)+INDEX(February!$C$3:$AH$169,8,MATCH(B38,February!$D$3:$AH$3)+1)+INDEX(February!$C$3:$AH$169,13,MATCH(B38,February!$D$3:$AH$3)+1)+INDEX(February!$C$3:$AH$169,18,MATCH(B38,February!$D$3:$AH$3)+1)+INDEX(February!$C$3:$AH$169,23,MATCH(B38,February!$D$3:$AH$3)+1)+INDEX(February!$C$3:$AH$169,28,MATCH(B38,February!$D$3:$AH$3)+1)+INDEX(February!$C$3:$AH$169,33,MATCH(B38,February!$D$3:$AH$3)+1)+INDEX(February!$C$3:$AH$169,38,MATCH(B38,February!$D$3:$AH$3)+1)+INDEX(February!$C$3:$AH$169,43,MATCH(B38,February!$D$3:$AH$3)+1)+INDEX(February!$C$3:$AH$169,48,MATCH(B38,February!$D$3:$AH$3)+1)+INDEX(February!$C$3:$AH$169,53,MATCH(B38,February!$D$3:$AH$3)+1)+INDEX(February!$C$3:$AH$169,58,MATCH(B38,February!$D$3:$AH$3)+1)+INDEX(February!$C$3:$AH$169,63,MATCH(B38,February!$D$3:$AH$3)+1)+INDEX(February!$C$3:$AH$169,68,MATCH(B38,February!$D$3:$AH$3)+1)+INDEX(February!$C$3:$AH$169,73,MATCH(B38,February!$D$3:$AH$3)+1)+INDEX(February!$C$3:$AH$169,78,MATCH(B38,February!$D$3:$AH$3)+1)+INDEX(February!$C$3:$AH$169,83,MATCH(B38,February!$D$3:$AH$3)+1)+INDEX(February!$C$3:$AH$169,88,MATCH(B38,February!$D$3:$AH$3)+1)+INDEX(February!$C$3:$AH$169,93,MATCH(B38,February!$D$3:$AH$3)+1)+INDEX(February!$C$3:$AH$169,98,MATCH(B38,February!$D$3:$AH$3)+1)+INDEX(February!$C$3:$AH$169,103,MATCH(B38,February!$D$3:$AH$3)+1)+INDEX(February!$C$3:$AH$169,108,MATCH(B38,February!$D$3:$AH$3)+1)+INDEX(February!$C$3:$AH$169,113,MATCH(B38,February!$D$3:$AH$3)+1)+INDEX(February!$C$3:$AH$169,118,MATCH(B38,February!$D$3:$AH$3)+1)+INDEX(February!$C$3:$AH$169,123,MATCH(B38,February!$D$3:$AH$3)+1)+INDEX(February!$C$3:$AH$169,128,MATCH(B38,February!$D$3:$AH$3)+1)+INDEX(February!$C$3:$AH$169,133,MATCH(B38,February!$D$3:$AH$3)+1)+INDEX(February!$C$3:$AH$169,138,MATCH(B38,February!$D$3:$AH$3)+1)+INDEX(February!$C$3:$AH$169,143,MATCH(B38,February!$D$3:$AH$3)+1)+INDEX(February!$C$3:$AH$169,148,MATCH(B38,February!$D$3:$AH$3)+1)-INDEX(February!$B$5:$AH$169,MATCH("Patrick Janssen",February!$B$5:$B$169),MATCH(B38,February!$D$3:$AH$3)+2)-INDEX(February!$B$5:$AH$169,MATCH("Patrick Ziesen",February!$B$5:$B$169),MATCH(B38,February!$D$3:$AH$3)+2)-INDEX(February!$B$5:$AH$169,MATCH("Frido Meijer",February!$B$5:$B$169),MATCH(B38,February!$D$3:$AH$3)+2)</f>
        <v>8</v>
      </c>
      <c r="H38" s="130">
        <f>INDEX(February!$C$3:$AH$169,4,MATCH(B38,February!$D$3:$AH$3)+1)+INDEX(February!$C$3:$AH$169,9,MATCH(B38,February!$D$3:$AH$3)+1)+INDEX(February!$C$3:$AH$169,14,MATCH(B38,February!$D$3:$AH$3)+1)+INDEX(February!$C$3:$AH$169,19,MATCH(B38,February!$D$3:$AH$3)+1)+INDEX(February!$C$3:$AH$169,24,MATCH(B38,February!$D$3:$AH$3)+1)+INDEX(February!$C$3:$AH$169,29,MATCH(B38,February!$D$3:$AH$3)+1)+INDEX(February!$C$3:$AH$169,34,MATCH(B38,February!$D$3:$AH$3)+1)+INDEX(February!$C$3:$AH$169,39,MATCH(B38,February!$D$3:$AH$3)+1)+INDEX(February!$C$3:$AH$169,44,MATCH(B38,February!$D$3:$AH$3)+1)+INDEX(February!$C$3:$AH$169,49,MATCH(B38,February!$D$3:$AH$3)+1)+INDEX(February!$C$3:$AH$169,54,MATCH(B38,February!$D$3:$AH$3)+1)+INDEX(February!$C$3:$AH$169,59,MATCH(B38,February!$D$3:$AH$3)+1)+INDEX(February!$C$3:$AH$169,64,MATCH(B38,February!$D$3:$AH$3)+1)+INDEX(February!$C$3:$AH$169,69,MATCH(B38,February!$D$3:$AH$3)+1)+INDEX(February!$C$3:$AH$169,74,MATCH(B38,February!$D$3:$AH$3)+1)+INDEX(February!$C$3:$AH$169,79,MATCH(B38,February!$D$3:$AH$3)+1)+INDEX(February!$C$3:$AH$169,84,MATCH(B38,February!$D$3:$AH$3)+1)+INDEX(February!$C$3:$AH$169,89,MATCH(B38,February!$D$3:$AH$3)+1)+INDEX(February!$C$3:$AH$169,94,MATCH(B38,February!$D$3:$AH$3)+1)+INDEX(February!$C$3:$AH$169,99,MATCH(B38,February!$D$3:$AH$3)+1)+INDEX(February!$C$3:$AH$169,104,MATCH(B38,February!$D$3:$AH$3)+1)+INDEX(February!$C$3:$AH$169,109,MATCH(B38,February!$D$3:$AH$3)+1)+INDEX(February!$C$3:$AH$169,114,MATCH(B38,February!$D$3:$AH$3)+1)+INDEX(February!$C$3:$AH$169,119,MATCH(B38,February!$D$3:$AH$3)+1)+INDEX(February!$C$3:$AH$169,124,MATCH(B38,February!$D$3:$AH$3)+1)+INDEX(February!$C$3:$AH$169,129,MATCH(B38,February!$D$3:$AH$3)+1)+INDEX(February!$C$3:$AH$169,134,MATCH(B38,February!$D$3:$AH$3)+1)+INDEX(February!$C$3:$AH$169,139,MATCH(B38,February!$D$3:$AH$3)+1)+INDEX(February!$C$3:$AH$169,144,MATCH(B38,February!$D$3:$AH$3)+1)+INDEX(February!$C$3:$AH$169,149,MATCH(B38,February!$D$3:$AH$3)+1)-INDEX(February!$B$5:$AH$169,MATCH("Patrick Janssen",February!$B$5:$B$169)+1,MATCH(B38,February!$D$3:$AH$3)+2)-INDEX(February!$B$5:$AH$169,MATCH("Patrick Ziesen",February!$B$5:$B$169)+1,MATCH(B38,February!$D$3:$AH$3)+2)-INDEX(February!$B$5:$AH$169,MATCH("Frido Meijer",February!$B$5:$B$169)+1,MATCH(B38,February!$D$3:$AH$3)+2)</f>
        <v>16</v>
      </c>
      <c r="I38" s="130">
        <v>0</v>
      </c>
      <c r="J38" s="130">
        <v>0</v>
      </c>
      <c r="L38" s="212"/>
      <c r="M38" s="111"/>
      <c r="N38" s="111">
        <f t="shared" ref="N38:N65" si="10">IF(L38="",0,6*7.5)</f>
        <v>0</v>
      </c>
      <c r="P38" s="112">
        <f t="shared" ref="P38:P65" si="11">IFERROR((L38+(M38/60)+N38)/(D38-F38-G38-H38-I38-J38),"")</f>
        <v>0</v>
      </c>
      <c r="Q38" s="112">
        <f t="shared" ref="Q38:Q65" si="12">IFERROR((L38+(M38/60)+N38)/(D38-(G38+H38)),"")</f>
        <v>0</v>
      </c>
    </row>
    <row r="39" spans="2:19" x14ac:dyDescent="0.25">
      <c r="B39" s="110">
        <f>DATE(Title!$F$12,$S$6,S6)</f>
        <v>41307</v>
      </c>
      <c r="C39" s="111">
        <f>IF(WEEKDAY(B39)=1,0,IF(WEEKDAY(B39)=4,'Hours Scheduled'!$E$44-1,IF(WEEKDAY(B39)=7,0,'Hours Scheduled'!$E$44)))</f>
        <v>0</v>
      </c>
      <c r="D39" s="17">
        <f t="shared" ref="D39:D67" si="13">C39*7.5</f>
        <v>0</v>
      </c>
      <c r="E39" s="127">
        <f t="shared" ref="E39:E67" si="14">C39*8-G39-H39</f>
        <v>0</v>
      </c>
      <c r="F39" s="111"/>
      <c r="G39" s="130">
        <f>INDEX(February!$C$3:$AH$169,3,MATCH(B39,February!$D$3:$AH$3)+1)+INDEX(February!$C$3:$AH$169,8,MATCH(B39,February!$D$3:$AH$3)+1)+INDEX(February!$C$3:$AH$169,13,MATCH(B39,February!$D$3:$AH$3)+1)+INDEX(February!$C$3:$AH$169,18,MATCH(B39,February!$D$3:$AH$3)+1)+INDEX(February!$C$3:$AH$169,23,MATCH(B39,February!$D$3:$AH$3)+1)+INDEX(February!$C$3:$AH$169,28,MATCH(B39,February!$D$3:$AH$3)+1)+INDEX(February!$C$3:$AH$169,33,MATCH(B39,February!$D$3:$AH$3)+1)+INDEX(February!$C$3:$AH$169,38,MATCH(B39,February!$D$3:$AH$3)+1)+INDEX(February!$C$3:$AH$169,43,MATCH(B39,February!$D$3:$AH$3)+1)+INDEX(February!$C$3:$AH$169,48,MATCH(B39,February!$D$3:$AH$3)+1)+INDEX(February!$C$3:$AH$169,53,MATCH(B39,February!$D$3:$AH$3)+1)+INDEX(February!$C$3:$AH$169,58,MATCH(B39,February!$D$3:$AH$3)+1)+INDEX(February!$C$3:$AH$169,63,MATCH(B39,February!$D$3:$AH$3)+1)+INDEX(February!$C$3:$AH$169,68,MATCH(B39,February!$D$3:$AH$3)+1)+INDEX(February!$C$3:$AH$169,73,MATCH(B39,February!$D$3:$AH$3)+1)+INDEX(February!$C$3:$AH$169,78,MATCH(B39,February!$D$3:$AH$3)+1)+INDEX(February!$C$3:$AH$169,83,MATCH(B39,February!$D$3:$AH$3)+1)+INDEX(February!$C$3:$AH$169,88,MATCH(B39,February!$D$3:$AH$3)+1)+INDEX(February!$C$3:$AH$169,93,MATCH(B39,February!$D$3:$AH$3)+1)+INDEX(February!$C$3:$AH$169,98,MATCH(B39,February!$D$3:$AH$3)+1)+INDEX(February!$C$3:$AH$169,103,MATCH(B39,February!$D$3:$AH$3)+1)+INDEX(February!$C$3:$AH$169,108,MATCH(B39,February!$D$3:$AH$3)+1)+INDEX(February!$C$3:$AH$169,113,MATCH(B39,February!$D$3:$AH$3)+1)+INDEX(February!$C$3:$AH$169,118,MATCH(B39,February!$D$3:$AH$3)+1)+INDEX(February!$C$3:$AH$169,123,MATCH(B39,February!$D$3:$AH$3)+1)+INDEX(February!$C$3:$AH$169,128,MATCH(B39,February!$D$3:$AH$3)+1)+INDEX(February!$C$3:$AH$169,133,MATCH(B39,February!$D$3:$AH$3)+1)+INDEX(February!$C$3:$AH$169,138,MATCH(B39,February!$D$3:$AH$3)+1)+INDEX(February!$C$3:$AH$169,143,MATCH(B39,February!$D$3:$AH$3)+1)+INDEX(February!$C$3:$AH$169,148,MATCH(B39,February!$D$3:$AH$3)+1)-INDEX(February!$B$5:$AH$169,MATCH("Patrick Janssen",February!$B$5:$B$169),MATCH(B39,February!$D$3:$AH$3)+2)-INDEX(February!$B$5:$AH$169,MATCH("Patrick Ziesen",February!$B$5:$B$169),MATCH(B39,February!$D$3:$AH$3)+2)-INDEX(February!$B$5:$AH$169,MATCH("Frido Meijer",February!$B$5:$B$169),MATCH(B39,February!$D$3:$AH$3)+2)</f>
        <v>0</v>
      </c>
      <c r="H39" s="130">
        <f>INDEX(February!$C$3:$AH$169,4,MATCH(B39,February!$D$3:$AH$3)+1)+INDEX(February!$C$3:$AH$169,9,MATCH(B39,February!$D$3:$AH$3)+1)+INDEX(February!$C$3:$AH$169,14,MATCH(B39,February!$D$3:$AH$3)+1)+INDEX(February!$C$3:$AH$169,19,MATCH(B39,February!$D$3:$AH$3)+1)+INDEX(February!$C$3:$AH$169,24,MATCH(B39,February!$D$3:$AH$3)+1)+INDEX(February!$C$3:$AH$169,29,MATCH(B39,February!$D$3:$AH$3)+1)+INDEX(February!$C$3:$AH$169,34,MATCH(B39,February!$D$3:$AH$3)+1)+INDEX(February!$C$3:$AH$169,39,MATCH(B39,February!$D$3:$AH$3)+1)+INDEX(February!$C$3:$AH$169,44,MATCH(B39,February!$D$3:$AH$3)+1)+INDEX(February!$C$3:$AH$169,49,MATCH(B39,February!$D$3:$AH$3)+1)+INDEX(February!$C$3:$AH$169,54,MATCH(B39,February!$D$3:$AH$3)+1)+INDEX(February!$C$3:$AH$169,59,MATCH(B39,February!$D$3:$AH$3)+1)+INDEX(February!$C$3:$AH$169,64,MATCH(B39,February!$D$3:$AH$3)+1)+INDEX(February!$C$3:$AH$169,69,MATCH(B39,February!$D$3:$AH$3)+1)+INDEX(February!$C$3:$AH$169,74,MATCH(B39,February!$D$3:$AH$3)+1)+INDEX(February!$C$3:$AH$169,79,MATCH(B39,February!$D$3:$AH$3)+1)+INDEX(February!$C$3:$AH$169,84,MATCH(B39,February!$D$3:$AH$3)+1)+INDEX(February!$C$3:$AH$169,89,MATCH(B39,February!$D$3:$AH$3)+1)+INDEX(February!$C$3:$AH$169,94,MATCH(B39,February!$D$3:$AH$3)+1)+INDEX(February!$C$3:$AH$169,99,MATCH(B39,February!$D$3:$AH$3)+1)+INDEX(February!$C$3:$AH$169,104,MATCH(B39,February!$D$3:$AH$3)+1)+INDEX(February!$C$3:$AH$169,109,MATCH(B39,February!$D$3:$AH$3)+1)+INDEX(February!$C$3:$AH$169,114,MATCH(B39,February!$D$3:$AH$3)+1)+INDEX(February!$C$3:$AH$169,119,MATCH(B39,February!$D$3:$AH$3)+1)+INDEX(February!$C$3:$AH$169,124,MATCH(B39,February!$D$3:$AH$3)+1)+INDEX(February!$C$3:$AH$169,129,MATCH(B39,February!$D$3:$AH$3)+1)+INDEX(February!$C$3:$AH$169,134,MATCH(B39,February!$D$3:$AH$3)+1)+INDEX(February!$C$3:$AH$169,139,MATCH(B39,February!$D$3:$AH$3)+1)+INDEX(February!$C$3:$AH$169,144,MATCH(B39,February!$D$3:$AH$3)+1)+INDEX(February!$C$3:$AH$169,149,MATCH(B39,February!$D$3:$AH$3)+1)-INDEX(February!$B$5:$AH$169,MATCH("Patrick Janssen",February!$B$5:$B$169)+1,MATCH(B39,February!$D$3:$AH$3)+2)-INDEX(February!$B$5:$AH$169,MATCH("Patrick Ziesen",February!$B$5:$B$169)+1,MATCH(B39,February!$D$3:$AH$3)+2)-INDEX(February!$B$5:$AH$169,MATCH("Frido Meijer",February!$B$5:$B$169)+1,MATCH(B39,February!$D$3:$AH$3)+2)</f>
        <v>0</v>
      </c>
      <c r="I39" s="130">
        <v>0</v>
      </c>
      <c r="J39" s="130">
        <v>0</v>
      </c>
      <c r="L39" s="212"/>
      <c r="M39" s="111"/>
      <c r="N39" s="111">
        <f t="shared" si="10"/>
        <v>0</v>
      </c>
      <c r="P39" s="112" t="str">
        <f t="shared" si="11"/>
        <v/>
      </c>
      <c r="Q39" s="112" t="str">
        <f t="shared" si="12"/>
        <v/>
      </c>
    </row>
    <row r="40" spans="2:19" x14ac:dyDescent="0.25">
      <c r="B40" s="110">
        <f>DATE(Title!$F$12,$S$6,S7)</f>
        <v>41308</v>
      </c>
      <c r="C40" s="111">
        <f>IF(WEEKDAY(B40)=1,0,IF(WEEKDAY(B40)=4,'Hours Scheduled'!$E$44-1,IF(WEEKDAY(B40)=7,0,'Hours Scheduled'!$E$44)))</f>
        <v>0</v>
      </c>
      <c r="D40" s="17">
        <f t="shared" si="13"/>
        <v>0</v>
      </c>
      <c r="E40" s="127">
        <f t="shared" si="14"/>
        <v>0</v>
      </c>
      <c r="F40" s="111"/>
      <c r="G40" s="130">
        <f>INDEX(February!$C$3:$AH$169,3,MATCH(B40,February!$D$3:$AH$3)+1)+INDEX(February!$C$3:$AH$169,8,MATCH(B40,February!$D$3:$AH$3)+1)+INDEX(February!$C$3:$AH$169,13,MATCH(B40,February!$D$3:$AH$3)+1)+INDEX(February!$C$3:$AH$169,18,MATCH(B40,February!$D$3:$AH$3)+1)+INDEX(February!$C$3:$AH$169,23,MATCH(B40,February!$D$3:$AH$3)+1)+INDEX(February!$C$3:$AH$169,28,MATCH(B40,February!$D$3:$AH$3)+1)+INDEX(February!$C$3:$AH$169,33,MATCH(B40,February!$D$3:$AH$3)+1)+INDEX(February!$C$3:$AH$169,38,MATCH(B40,February!$D$3:$AH$3)+1)+INDEX(February!$C$3:$AH$169,43,MATCH(B40,February!$D$3:$AH$3)+1)+INDEX(February!$C$3:$AH$169,48,MATCH(B40,February!$D$3:$AH$3)+1)+INDEX(February!$C$3:$AH$169,53,MATCH(B40,February!$D$3:$AH$3)+1)+INDEX(February!$C$3:$AH$169,58,MATCH(B40,February!$D$3:$AH$3)+1)+INDEX(February!$C$3:$AH$169,63,MATCH(B40,February!$D$3:$AH$3)+1)+INDEX(February!$C$3:$AH$169,68,MATCH(B40,February!$D$3:$AH$3)+1)+INDEX(February!$C$3:$AH$169,73,MATCH(B40,February!$D$3:$AH$3)+1)+INDEX(February!$C$3:$AH$169,78,MATCH(B40,February!$D$3:$AH$3)+1)+INDEX(February!$C$3:$AH$169,83,MATCH(B40,February!$D$3:$AH$3)+1)+INDEX(February!$C$3:$AH$169,88,MATCH(B40,February!$D$3:$AH$3)+1)+INDEX(February!$C$3:$AH$169,93,MATCH(B40,February!$D$3:$AH$3)+1)+INDEX(February!$C$3:$AH$169,98,MATCH(B40,February!$D$3:$AH$3)+1)+INDEX(February!$C$3:$AH$169,103,MATCH(B40,February!$D$3:$AH$3)+1)+INDEX(February!$C$3:$AH$169,108,MATCH(B40,February!$D$3:$AH$3)+1)+INDEX(February!$C$3:$AH$169,113,MATCH(B40,February!$D$3:$AH$3)+1)+INDEX(February!$C$3:$AH$169,118,MATCH(B40,February!$D$3:$AH$3)+1)+INDEX(February!$C$3:$AH$169,123,MATCH(B40,February!$D$3:$AH$3)+1)+INDEX(February!$C$3:$AH$169,128,MATCH(B40,February!$D$3:$AH$3)+1)+INDEX(February!$C$3:$AH$169,133,MATCH(B40,February!$D$3:$AH$3)+1)+INDEX(February!$C$3:$AH$169,138,MATCH(B40,February!$D$3:$AH$3)+1)+INDEX(February!$C$3:$AH$169,143,MATCH(B40,February!$D$3:$AH$3)+1)+INDEX(February!$C$3:$AH$169,148,MATCH(B40,February!$D$3:$AH$3)+1)-INDEX(February!$B$5:$AH$169,MATCH("Patrick Janssen",February!$B$5:$B$169),MATCH(B40,February!$D$3:$AH$3)+2)-INDEX(February!$B$5:$AH$169,MATCH("Patrick Ziesen",February!$B$5:$B$169),MATCH(B40,February!$D$3:$AH$3)+2)-INDEX(February!$B$5:$AH$169,MATCH("Frido Meijer",February!$B$5:$B$169),MATCH(B40,February!$D$3:$AH$3)+2)</f>
        <v>0</v>
      </c>
      <c r="H40" s="130">
        <f>INDEX(February!$C$3:$AH$169,4,MATCH(B40,February!$D$3:$AH$3)+1)+INDEX(February!$C$3:$AH$169,9,MATCH(B40,February!$D$3:$AH$3)+1)+INDEX(February!$C$3:$AH$169,14,MATCH(B40,February!$D$3:$AH$3)+1)+INDEX(February!$C$3:$AH$169,19,MATCH(B40,February!$D$3:$AH$3)+1)+INDEX(February!$C$3:$AH$169,24,MATCH(B40,February!$D$3:$AH$3)+1)+INDEX(February!$C$3:$AH$169,29,MATCH(B40,February!$D$3:$AH$3)+1)+INDEX(February!$C$3:$AH$169,34,MATCH(B40,February!$D$3:$AH$3)+1)+INDEX(February!$C$3:$AH$169,39,MATCH(B40,February!$D$3:$AH$3)+1)+INDEX(February!$C$3:$AH$169,44,MATCH(B40,February!$D$3:$AH$3)+1)+INDEX(February!$C$3:$AH$169,49,MATCH(B40,February!$D$3:$AH$3)+1)+INDEX(February!$C$3:$AH$169,54,MATCH(B40,February!$D$3:$AH$3)+1)+INDEX(February!$C$3:$AH$169,59,MATCH(B40,February!$D$3:$AH$3)+1)+INDEX(February!$C$3:$AH$169,64,MATCH(B40,February!$D$3:$AH$3)+1)+INDEX(February!$C$3:$AH$169,69,MATCH(B40,February!$D$3:$AH$3)+1)+INDEX(February!$C$3:$AH$169,74,MATCH(B40,February!$D$3:$AH$3)+1)+INDEX(February!$C$3:$AH$169,79,MATCH(B40,February!$D$3:$AH$3)+1)+INDEX(February!$C$3:$AH$169,84,MATCH(B40,February!$D$3:$AH$3)+1)+INDEX(February!$C$3:$AH$169,89,MATCH(B40,February!$D$3:$AH$3)+1)+INDEX(February!$C$3:$AH$169,94,MATCH(B40,February!$D$3:$AH$3)+1)+INDEX(February!$C$3:$AH$169,99,MATCH(B40,February!$D$3:$AH$3)+1)+INDEX(February!$C$3:$AH$169,104,MATCH(B40,February!$D$3:$AH$3)+1)+INDEX(February!$C$3:$AH$169,109,MATCH(B40,February!$D$3:$AH$3)+1)+INDEX(February!$C$3:$AH$169,114,MATCH(B40,February!$D$3:$AH$3)+1)+INDEX(February!$C$3:$AH$169,119,MATCH(B40,February!$D$3:$AH$3)+1)+INDEX(February!$C$3:$AH$169,124,MATCH(B40,February!$D$3:$AH$3)+1)+INDEX(February!$C$3:$AH$169,129,MATCH(B40,February!$D$3:$AH$3)+1)+INDEX(February!$C$3:$AH$169,134,MATCH(B40,February!$D$3:$AH$3)+1)+INDEX(February!$C$3:$AH$169,139,MATCH(B40,February!$D$3:$AH$3)+1)+INDEX(February!$C$3:$AH$169,144,MATCH(B40,February!$D$3:$AH$3)+1)+INDEX(February!$C$3:$AH$169,149,MATCH(B40,February!$D$3:$AH$3)+1)-INDEX(February!$B$5:$AH$169,MATCH("Patrick Janssen",February!$B$5:$B$169)+1,MATCH(B40,February!$D$3:$AH$3)+2)-INDEX(February!$B$5:$AH$169,MATCH("Patrick Ziesen",February!$B$5:$B$169)+1,MATCH(B40,February!$D$3:$AH$3)+2)-INDEX(February!$B$5:$AH$169,MATCH("Frido Meijer",February!$B$5:$B$169)+1,MATCH(B40,February!$D$3:$AH$3)+2)</f>
        <v>0</v>
      </c>
      <c r="I40" s="130">
        <v>0</v>
      </c>
      <c r="J40" s="130">
        <v>0</v>
      </c>
      <c r="L40" s="212"/>
      <c r="M40" s="111"/>
      <c r="N40" s="111">
        <f t="shared" si="10"/>
        <v>0</v>
      </c>
      <c r="P40" s="112" t="str">
        <f t="shared" si="11"/>
        <v/>
      </c>
      <c r="Q40" s="112" t="str">
        <f t="shared" si="12"/>
        <v/>
      </c>
    </row>
    <row r="41" spans="2:19" x14ac:dyDescent="0.25">
      <c r="B41" s="110">
        <f>DATE(Title!$F$12,$S$6,S8)</f>
        <v>41309</v>
      </c>
      <c r="C41" s="111">
        <f>IF(WEEKDAY(B41)=1,0,IF(WEEKDAY(B41)=4,'Hours Scheduled'!$E$44-1,IF(WEEKDAY(B41)=7,0,'Hours Scheduled'!$E$44)))</f>
        <v>24</v>
      </c>
      <c r="D41" s="17">
        <f t="shared" si="13"/>
        <v>180</v>
      </c>
      <c r="E41" s="127">
        <f t="shared" si="14"/>
        <v>176</v>
      </c>
      <c r="F41" s="111"/>
      <c r="G41" s="130">
        <f>INDEX(February!$C$3:$AH$169,3,MATCH(B41,February!$D$3:$AH$3)+1)+INDEX(February!$C$3:$AH$169,8,MATCH(B41,February!$D$3:$AH$3)+1)+INDEX(February!$C$3:$AH$169,13,MATCH(B41,February!$D$3:$AH$3)+1)+INDEX(February!$C$3:$AH$169,18,MATCH(B41,February!$D$3:$AH$3)+1)+INDEX(February!$C$3:$AH$169,23,MATCH(B41,February!$D$3:$AH$3)+1)+INDEX(February!$C$3:$AH$169,28,MATCH(B41,February!$D$3:$AH$3)+1)+INDEX(February!$C$3:$AH$169,33,MATCH(B41,February!$D$3:$AH$3)+1)+INDEX(February!$C$3:$AH$169,38,MATCH(B41,February!$D$3:$AH$3)+1)+INDEX(February!$C$3:$AH$169,43,MATCH(B41,February!$D$3:$AH$3)+1)+INDEX(February!$C$3:$AH$169,48,MATCH(B41,February!$D$3:$AH$3)+1)+INDEX(February!$C$3:$AH$169,53,MATCH(B41,February!$D$3:$AH$3)+1)+INDEX(February!$C$3:$AH$169,58,MATCH(B41,February!$D$3:$AH$3)+1)+INDEX(February!$C$3:$AH$169,63,MATCH(B41,February!$D$3:$AH$3)+1)+INDEX(February!$C$3:$AH$169,68,MATCH(B41,February!$D$3:$AH$3)+1)+INDEX(February!$C$3:$AH$169,73,MATCH(B41,February!$D$3:$AH$3)+1)+INDEX(February!$C$3:$AH$169,78,MATCH(B41,February!$D$3:$AH$3)+1)+INDEX(February!$C$3:$AH$169,83,MATCH(B41,February!$D$3:$AH$3)+1)+INDEX(February!$C$3:$AH$169,88,MATCH(B41,February!$D$3:$AH$3)+1)+INDEX(February!$C$3:$AH$169,93,MATCH(B41,February!$D$3:$AH$3)+1)+INDEX(February!$C$3:$AH$169,98,MATCH(B41,February!$D$3:$AH$3)+1)+INDEX(February!$C$3:$AH$169,103,MATCH(B41,February!$D$3:$AH$3)+1)+INDEX(February!$C$3:$AH$169,108,MATCH(B41,February!$D$3:$AH$3)+1)+INDEX(February!$C$3:$AH$169,113,MATCH(B41,February!$D$3:$AH$3)+1)+INDEX(February!$C$3:$AH$169,118,MATCH(B41,February!$D$3:$AH$3)+1)+INDEX(February!$C$3:$AH$169,123,MATCH(B41,February!$D$3:$AH$3)+1)+INDEX(February!$C$3:$AH$169,128,MATCH(B41,February!$D$3:$AH$3)+1)+INDEX(February!$C$3:$AH$169,133,MATCH(B41,February!$D$3:$AH$3)+1)+INDEX(February!$C$3:$AH$169,138,MATCH(B41,February!$D$3:$AH$3)+1)+INDEX(February!$C$3:$AH$169,143,MATCH(B41,February!$D$3:$AH$3)+1)+INDEX(February!$C$3:$AH$169,148,MATCH(B41,February!$D$3:$AH$3)+1)-INDEX(February!$B$5:$AH$169,MATCH("Patrick Janssen",February!$B$5:$B$169),MATCH(B41,February!$D$3:$AH$3)+2)-INDEX(February!$B$5:$AH$169,MATCH("Patrick Ziesen",February!$B$5:$B$169),MATCH(B41,February!$D$3:$AH$3)+2)-INDEX(February!$B$5:$AH$169,MATCH("Frido Meijer",February!$B$5:$B$169),MATCH(B41,February!$D$3:$AH$3)+2)</f>
        <v>8</v>
      </c>
      <c r="H41" s="130">
        <f>INDEX(February!$C$3:$AH$169,4,MATCH(B41,February!$D$3:$AH$3)+1)+INDEX(February!$C$3:$AH$169,9,MATCH(B41,February!$D$3:$AH$3)+1)+INDEX(February!$C$3:$AH$169,14,MATCH(B41,February!$D$3:$AH$3)+1)+INDEX(February!$C$3:$AH$169,19,MATCH(B41,February!$D$3:$AH$3)+1)+INDEX(February!$C$3:$AH$169,24,MATCH(B41,February!$D$3:$AH$3)+1)+INDEX(February!$C$3:$AH$169,29,MATCH(B41,February!$D$3:$AH$3)+1)+INDEX(February!$C$3:$AH$169,34,MATCH(B41,February!$D$3:$AH$3)+1)+INDEX(February!$C$3:$AH$169,39,MATCH(B41,February!$D$3:$AH$3)+1)+INDEX(February!$C$3:$AH$169,44,MATCH(B41,February!$D$3:$AH$3)+1)+INDEX(February!$C$3:$AH$169,49,MATCH(B41,February!$D$3:$AH$3)+1)+INDEX(February!$C$3:$AH$169,54,MATCH(B41,February!$D$3:$AH$3)+1)+INDEX(February!$C$3:$AH$169,59,MATCH(B41,February!$D$3:$AH$3)+1)+INDEX(February!$C$3:$AH$169,64,MATCH(B41,February!$D$3:$AH$3)+1)+INDEX(February!$C$3:$AH$169,69,MATCH(B41,February!$D$3:$AH$3)+1)+INDEX(February!$C$3:$AH$169,74,MATCH(B41,February!$D$3:$AH$3)+1)+INDEX(February!$C$3:$AH$169,79,MATCH(B41,February!$D$3:$AH$3)+1)+INDEX(February!$C$3:$AH$169,84,MATCH(B41,February!$D$3:$AH$3)+1)+INDEX(February!$C$3:$AH$169,89,MATCH(B41,February!$D$3:$AH$3)+1)+INDEX(February!$C$3:$AH$169,94,MATCH(B41,February!$D$3:$AH$3)+1)+INDEX(February!$C$3:$AH$169,99,MATCH(B41,February!$D$3:$AH$3)+1)+INDEX(February!$C$3:$AH$169,104,MATCH(B41,February!$D$3:$AH$3)+1)+INDEX(February!$C$3:$AH$169,109,MATCH(B41,February!$D$3:$AH$3)+1)+INDEX(February!$C$3:$AH$169,114,MATCH(B41,February!$D$3:$AH$3)+1)+INDEX(February!$C$3:$AH$169,119,MATCH(B41,February!$D$3:$AH$3)+1)+INDEX(February!$C$3:$AH$169,124,MATCH(B41,February!$D$3:$AH$3)+1)+INDEX(February!$C$3:$AH$169,129,MATCH(B41,February!$D$3:$AH$3)+1)+INDEX(February!$C$3:$AH$169,134,MATCH(B41,February!$D$3:$AH$3)+1)+INDEX(February!$C$3:$AH$169,139,MATCH(B41,February!$D$3:$AH$3)+1)+INDEX(February!$C$3:$AH$169,144,MATCH(B41,February!$D$3:$AH$3)+1)+INDEX(February!$C$3:$AH$169,149,MATCH(B41,February!$D$3:$AH$3)+1)-INDEX(February!$B$5:$AH$169,MATCH("Patrick Janssen",February!$B$5:$B$169)+1,MATCH(B41,February!$D$3:$AH$3)+2)-INDEX(February!$B$5:$AH$169,MATCH("Patrick Ziesen",February!$B$5:$B$169)+1,MATCH(B41,February!$D$3:$AH$3)+2)-INDEX(February!$B$5:$AH$169,MATCH("Frido Meijer",February!$B$5:$B$169)+1,MATCH(B41,February!$D$3:$AH$3)+2)</f>
        <v>8</v>
      </c>
      <c r="I41" s="130">
        <v>0</v>
      </c>
      <c r="J41" s="130">
        <v>0</v>
      </c>
      <c r="L41" s="212"/>
      <c r="M41" s="111"/>
      <c r="N41" s="111">
        <f t="shared" si="10"/>
        <v>0</v>
      </c>
      <c r="P41" s="112">
        <f t="shared" si="11"/>
        <v>0</v>
      </c>
      <c r="Q41" s="112">
        <f t="shared" si="12"/>
        <v>0</v>
      </c>
    </row>
    <row r="42" spans="2:19" x14ac:dyDescent="0.25">
      <c r="B42" s="110">
        <f>DATE(Title!$F$12,$S$6,S9)</f>
        <v>41310</v>
      </c>
      <c r="C42" s="111">
        <f>IF(WEEKDAY(B42)=1,0,IF(WEEKDAY(B42)=4,'Hours Scheduled'!$E$44-1,IF(WEEKDAY(B42)=7,0,'Hours Scheduled'!$E$44)))</f>
        <v>24</v>
      </c>
      <c r="D42" s="17">
        <f t="shared" si="13"/>
        <v>180</v>
      </c>
      <c r="E42" s="127">
        <f t="shared" si="14"/>
        <v>168</v>
      </c>
      <c r="F42" s="111"/>
      <c r="G42" s="130">
        <f>INDEX(February!$C$3:$AH$169,3,MATCH(B42,February!$D$3:$AH$3)+1)+INDEX(February!$C$3:$AH$169,8,MATCH(B42,February!$D$3:$AH$3)+1)+INDEX(February!$C$3:$AH$169,13,MATCH(B42,February!$D$3:$AH$3)+1)+INDEX(February!$C$3:$AH$169,18,MATCH(B42,February!$D$3:$AH$3)+1)+INDEX(February!$C$3:$AH$169,23,MATCH(B42,February!$D$3:$AH$3)+1)+INDEX(February!$C$3:$AH$169,28,MATCH(B42,February!$D$3:$AH$3)+1)+INDEX(February!$C$3:$AH$169,33,MATCH(B42,February!$D$3:$AH$3)+1)+INDEX(February!$C$3:$AH$169,38,MATCH(B42,February!$D$3:$AH$3)+1)+INDEX(February!$C$3:$AH$169,43,MATCH(B42,February!$D$3:$AH$3)+1)+INDEX(February!$C$3:$AH$169,48,MATCH(B42,February!$D$3:$AH$3)+1)+INDEX(February!$C$3:$AH$169,53,MATCH(B42,February!$D$3:$AH$3)+1)+INDEX(February!$C$3:$AH$169,58,MATCH(B42,February!$D$3:$AH$3)+1)+INDEX(February!$C$3:$AH$169,63,MATCH(B42,February!$D$3:$AH$3)+1)+INDEX(February!$C$3:$AH$169,68,MATCH(B42,February!$D$3:$AH$3)+1)+INDEX(February!$C$3:$AH$169,73,MATCH(B42,February!$D$3:$AH$3)+1)+INDEX(February!$C$3:$AH$169,78,MATCH(B42,February!$D$3:$AH$3)+1)+INDEX(February!$C$3:$AH$169,83,MATCH(B42,February!$D$3:$AH$3)+1)+INDEX(February!$C$3:$AH$169,88,MATCH(B42,February!$D$3:$AH$3)+1)+INDEX(February!$C$3:$AH$169,93,MATCH(B42,February!$D$3:$AH$3)+1)+INDEX(February!$C$3:$AH$169,98,MATCH(B42,February!$D$3:$AH$3)+1)+INDEX(February!$C$3:$AH$169,103,MATCH(B42,February!$D$3:$AH$3)+1)+INDEX(February!$C$3:$AH$169,108,MATCH(B42,February!$D$3:$AH$3)+1)+INDEX(February!$C$3:$AH$169,113,MATCH(B42,February!$D$3:$AH$3)+1)+INDEX(February!$C$3:$AH$169,118,MATCH(B42,February!$D$3:$AH$3)+1)+INDEX(February!$C$3:$AH$169,123,MATCH(B42,February!$D$3:$AH$3)+1)+INDEX(February!$C$3:$AH$169,128,MATCH(B42,February!$D$3:$AH$3)+1)+INDEX(February!$C$3:$AH$169,133,MATCH(B42,February!$D$3:$AH$3)+1)+INDEX(February!$C$3:$AH$169,138,MATCH(B42,February!$D$3:$AH$3)+1)+INDEX(February!$C$3:$AH$169,143,MATCH(B42,February!$D$3:$AH$3)+1)+INDEX(February!$C$3:$AH$169,148,MATCH(B42,February!$D$3:$AH$3)+1)-INDEX(February!$B$5:$AH$169,MATCH("Patrick Janssen",February!$B$5:$B$169),MATCH(B42,February!$D$3:$AH$3)+2)-INDEX(February!$B$5:$AH$169,MATCH("Patrick Ziesen",February!$B$5:$B$169),MATCH(B42,February!$D$3:$AH$3)+2)-INDEX(February!$B$5:$AH$169,MATCH("Frido Meijer",February!$B$5:$B$169),MATCH(B42,February!$D$3:$AH$3)+2)</f>
        <v>12</v>
      </c>
      <c r="H42" s="130">
        <f>INDEX(February!$C$3:$AH$169,4,MATCH(B42,February!$D$3:$AH$3)+1)+INDEX(February!$C$3:$AH$169,9,MATCH(B42,February!$D$3:$AH$3)+1)+INDEX(February!$C$3:$AH$169,14,MATCH(B42,February!$D$3:$AH$3)+1)+INDEX(February!$C$3:$AH$169,19,MATCH(B42,February!$D$3:$AH$3)+1)+INDEX(February!$C$3:$AH$169,24,MATCH(B42,February!$D$3:$AH$3)+1)+INDEX(February!$C$3:$AH$169,29,MATCH(B42,February!$D$3:$AH$3)+1)+INDEX(February!$C$3:$AH$169,34,MATCH(B42,February!$D$3:$AH$3)+1)+INDEX(February!$C$3:$AH$169,39,MATCH(B42,February!$D$3:$AH$3)+1)+INDEX(February!$C$3:$AH$169,44,MATCH(B42,February!$D$3:$AH$3)+1)+INDEX(February!$C$3:$AH$169,49,MATCH(B42,February!$D$3:$AH$3)+1)+INDEX(February!$C$3:$AH$169,54,MATCH(B42,February!$D$3:$AH$3)+1)+INDEX(February!$C$3:$AH$169,59,MATCH(B42,February!$D$3:$AH$3)+1)+INDEX(February!$C$3:$AH$169,64,MATCH(B42,February!$D$3:$AH$3)+1)+INDEX(February!$C$3:$AH$169,69,MATCH(B42,February!$D$3:$AH$3)+1)+INDEX(February!$C$3:$AH$169,74,MATCH(B42,February!$D$3:$AH$3)+1)+INDEX(February!$C$3:$AH$169,79,MATCH(B42,February!$D$3:$AH$3)+1)+INDEX(February!$C$3:$AH$169,84,MATCH(B42,February!$D$3:$AH$3)+1)+INDEX(February!$C$3:$AH$169,89,MATCH(B42,February!$D$3:$AH$3)+1)+INDEX(February!$C$3:$AH$169,94,MATCH(B42,February!$D$3:$AH$3)+1)+INDEX(February!$C$3:$AH$169,99,MATCH(B42,February!$D$3:$AH$3)+1)+INDEX(February!$C$3:$AH$169,104,MATCH(B42,February!$D$3:$AH$3)+1)+INDEX(February!$C$3:$AH$169,109,MATCH(B42,February!$D$3:$AH$3)+1)+INDEX(February!$C$3:$AH$169,114,MATCH(B42,February!$D$3:$AH$3)+1)+INDEX(February!$C$3:$AH$169,119,MATCH(B42,February!$D$3:$AH$3)+1)+INDEX(February!$C$3:$AH$169,124,MATCH(B42,February!$D$3:$AH$3)+1)+INDEX(February!$C$3:$AH$169,129,MATCH(B42,February!$D$3:$AH$3)+1)+INDEX(February!$C$3:$AH$169,134,MATCH(B42,February!$D$3:$AH$3)+1)+INDEX(February!$C$3:$AH$169,139,MATCH(B42,February!$D$3:$AH$3)+1)+INDEX(February!$C$3:$AH$169,144,MATCH(B42,February!$D$3:$AH$3)+1)+INDEX(February!$C$3:$AH$169,149,MATCH(B42,February!$D$3:$AH$3)+1)-INDEX(February!$B$5:$AH$169,MATCH("Patrick Janssen",February!$B$5:$B$169)+1,MATCH(B42,February!$D$3:$AH$3)+2)-INDEX(February!$B$5:$AH$169,MATCH("Patrick Ziesen",February!$B$5:$B$169)+1,MATCH(B42,February!$D$3:$AH$3)+2)-INDEX(February!$B$5:$AH$169,MATCH("Frido Meijer",February!$B$5:$B$169)+1,MATCH(B42,February!$D$3:$AH$3)+2)</f>
        <v>12</v>
      </c>
      <c r="I42" s="130">
        <v>0</v>
      </c>
      <c r="J42" s="130">
        <v>0</v>
      </c>
      <c r="L42" s="212"/>
      <c r="M42" s="111"/>
      <c r="N42" s="111">
        <f t="shared" si="10"/>
        <v>0</v>
      </c>
      <c r="P42" s="112">
        <f t="shared" si="11"/>
        <v>0</v>
      </c>
      <c r="Q42" s="112">
        <f t="shared" si="12"/>
        <v>0</v>
      </c>
    </row>
    <row r="43" spans="2:19" x14ac:dyDescent="0.25">
      <c r="B43" s="110">
        <f>DATE(Title!$F$12,$S$6,S10)</f>
        <v>41311</v>
      </c>
      <c r="C43" s="111">
        <f>IF(WEEKDAY(B43)=1,0,IF(WEEKDAY(B43)=4,'Hours Scheduled'!$E$44-1,IF(WEEKDAY(B43)=7,0,'Hours Scheduled'!$E$44)))</f>
        <v>23</v>
      </c>
      <c r="D43" s="17">
        <f t="shared" si="13"/>
        <v>172.5</v>
      </c>
      <c r="E43" s="127">
        <f t="shared" si="14"/>
        <v>164</v>
      </c>
      <c r="F43" s="111"/>
      <c r="G43" s="130">
        <f>INDEX(February!$C$3:$AH$169,3,MATCH(B43,February!$D$3:$AH$3)+1)+INDEX(February!$C$3:$AH$169,8,MATCH(B43,February!$D$3:$AH$3)+1)+INDEX(February!$C$3:$AH$169,13,MATCH(B43,February!$D$3:$AH$3)+1)+INDEX(February!$C$3:$AH$169,18,MATCH(B43,February!$D$3:$AH$3)+1)+INDEX(February!$C$3:$AH$169,23,MATCH(B43,February!$D$3:$AH$3)+1)+INDEX(February!$C$3:$AH$169,28,MATCH(B43,February!$D$3:$AH$3)+1)+INDEX(February!$C$3:$AH$169,33,MATCH(B43,February!$D$3:$AH$3)+1)+INDEX(February!$C$3:$AH$169,38,MATCH(B43,February!$D$3:$AH$3)+1)+INDEX(February!$C$3:$AH$169,43,MATCH(B43,February!$D$3:$AH$3)+1)+INDEX(February!$C$3:$AH$169,48,MATCH(B43,February!$D$3:$AH$3)+1)+INDEX(February!$C$3:$AH$169,53,MATCH(B43,February!$D$3:$AH$3)+1)+INDEX(February!$C$3:$AH$169,58,MATCH(B43,February!$D$3:$AH$3)+1)+INDEX(February!$C$3:$AH$169,63,MATCH(B43,February!$D$3:$AH$3)+1)+INDEX(February!$C$3:$AH$169,68,MATCH(B43,February!$D$3:$AH$3)+1)+INDEX(February!$C$3:$AH$169,73,MATCH(B43,February!$D$3:$AH$3)+1)+INDEX(February!$C$3:$AH$169,78,MATCH(B43,February!$D$3:$AH$3)+1)+INDEX(February!$C$3:$AH$169,83,MATCH(B43,February!$D$3:$AH$3)+1)+INDEX(February!$C$3:$AH$169,88,MATCH(B43,February!$D$3:$AH$3)+1)+INDEX(February!$C$3:$AH$169,93,MATCH(B43,February!$D$3:$AH$3)+1)+INDEX(February!$C$3:$AH$169,98,MATCH(B43,February!$D$3:$AH$3)+1)+INDEX(February!$C$3:$AH$169,103,MATCH(B43,February!$D$3:$AH$3)+1)+INDEX(February!$C$3:$AH$169,108,MATCH(B43,February!$D$3:$AH$3)+1)+INDEX(February!$C$3:$AH$169,113,MATCH(B43,February!$D$3:$AH$3)+1)+INDEX(February!$C$3:$AH$169,118,MATCH(B43,February!$D$3:$AH$3)+1)+INDEX(February!$C$3:$AH$169,123,MATCH(B43,February!$D$3:$AH$3)+1)+INDEX(February!$C$3:$AH$169,128,MATCH(B43,February!$D$3:$AH$3)+1)+INDEX(February!$C$3:$AH$169,133,MATCH(B43,February!$D$3:$AH$3)+1)+INDEX(February!$C$3:$AH$169,138,MATCH(B43,February!$D$3:$AH$3)+1)+INDEX(February!$C$3:$AH$169,143,MATCH(B43,February!$D$3:$AH$3)+1)+INDEX(February!$C$3:$AH$169,148,MATCH(B43,February!$D$3:$AH$3)+1)-INDEX(February!$B$5:$AH$169,MATCH("Patrick Janssen",February!$B$5:$B$169),MATCH(B43,February!$D$3:$AH$3)+2)-INDEX(February!$B$5:$AH$169,MATCH("Patrick Ziesen",February!$B$5:$B$169),MATCH(B43,February!$D$3:$AH$3)+2)-INDEX(February!$B$5:$AH$169,MATCH("Frido Meijer",February!$B$5:$B$169),MATCH(B43,February!$D$3:$AH$3)+2)</f>
        <v>4</v>
      </c>
      <c r="H43" s="130">
        <f>INDEX(February!$C$3:$AH$169,4,MATCH(B43,February!$D$3:$AH$3)+1)+INDEX(February!$C$3:$AH$169,9,MATCH(B43,February!$D$3:$AH$3)+1)+INDEX(February!$C$3:$AH$169,14,MATCH(B43,February!$D$3:$AH$3)+1)+INDEX(February!$C$3:$AH$169,19,MATCH(B43,February!$D$3:$AH$3)+1)+INDEX(February!$C$3:$AH$169,24,MATCH(B43,February!$D$3:$AH$3)+1)+INDEX(February!$C$3:$AH$169,29,MATCH(B43,February!$D$3:$AH$3)+1)+INDEX(February!$C$3:$AH$169,34,MATCH(B43,February!$D$3:$AH$3)+1)+INDEX(February!$C$3:$AH$169,39,MATCH(B43,February!$D$3:$AH$3)+1)+INDEX(February!$C$3:$AH$169,44,MATCH(B43,February!$D$3:$AH$3)+1)+INDEX(February!$C$3:$AH$169,49,MATCH(B43,February!$D$3:$AH$3)+1)+INDEX(February!$C$3:$AH$169,54,MATCH(B43,February!$D$3:$AH$3)+1)+INDEX(February!$C$3:$AH$169,59,MATCH(B43,February!$D$3:$AH$3)+1)+INDEX(February!$C$3:$AH$169,64,MATCH(B43,February!$D$3:$AH$3)+1)+INDEX(February!$C$3:$AH$169,69,MATCH(B43,February!$D$3:$AH$3)+1)+INDEX(February!$C$3:$AH$169,74,MATCH(B43,February!$D$3:$AH$3)+1)+INDEX(February!$C$3:$AH$169,79,MATCH(B43,February!$D$3:$AH$3)+1)+INDEX(February!$C$3:$AH$169,84,MATCH(B43,February!$D$3:$AH$3)+1)+INDEX(February!$C$3:$AH$169,89,MATCH(B43,February!$D$3:$AH$3)+1)+INDEX(February!$C$3:$AH$169,94,MATCH(B43,February!$D$3:$AH$3)+1)+INDEX(February!$C$3:$AH$169,99,MATCH(B43,February!$D$3:$AH$3)+1)+INDEX(February!$C$3:$AH$169,104,MATCH(B43,February!$D$3:$AH$3)+1)+INDEX(February!$C$3:$AH$169,109,MATCH(B43,February!$D$3:$AH$3)+1)+INDEX(February!$C$3:$AH$169,114,MATCH(B43,February!$D$3:$AH$3)+1)+INDEX(February!$C$3:$AH$169,119,MATCH(B43,February!$D$3:$AH$3)+1)+INDEX(February!$C$3:$AH$169,124,MATCH(B43,February!$D$3:$AH$3)+1)+INDEX(February!$C$3:$AH$169,129,MATCH(B43,February!$D$3:$AH$3)+1)+INDEX(February!$C$3:$AH$169,134,MATCH(B43,February!$D$3:$AH$3)+1)+INDEX(February!$C$3:$AH$169,139,MATCH(B43,February!$D$3:$AH$3)+1)+INDEX(February!$C$3:$AH$169,144,MATCH(B43,February!$D$3:$AH$3)+1)+INDEX(February!$C$3:$AH$169,149,MATCH(B43,February!$D$3:$AH$3)+1)-INDEX(February!$B$5:$AH$169,MATCH("Patrick Janssen",February!$B$5:$B$169)+1,MATCH(B43,February!$D$3:$AH$3)+2)-INDEX(February!$B$5:$AH$169,MATCH("Patrick Ziesen",February!$B$5:$B$169)+1,MATCH(B43,February!$D$3:$AH$3)+2)-INDEX(February!$B$5:$AH$169,MATCH("Frido Meijer",February!$B$5:$B$169)+1,MATCH(B43,February!$D$3:$AH$3)+2)</f>
        <v>16</v>
      </c>
      <c r="I43" s="130">
        <v>0</v>
      </c>
      <c r="J43" s="130">
        <v>0</v>
      </c>
      <c r="L43" s="212"/>
      <c r="M43" s="111"/>
      <c r="N43" s="111">
        <f t="shared" si="10"/>
        <v>0</v>
      </c>
      <c r="P43" s="112">
        <f t="shared" si="11"/>
        <v>0</v>
      </c>
      <c r="Q43" s="112">
        <f t="shared" si="12"/>
        <v>0</v>
      </c>
    </row>
    <row r="44" spans="2:19" x14ac:dyDescent="0.25">
      <c r="B44" s="110">
        <f>DATE(Title!$F$12,$S$6,S11)</f>
        <v>41312</v>
      </c>
      <c r="C44" s="111">
        <f>IF(WEEKDAY(B44)=1,0,IF(WEEKDAY(B44)=4,'Hours Scheduled'!$E$44-1,IF(WEEKDAY(B44)=7,0,'Hours Scheduled'!$E$44)))</f>
        <v>24</v>
      </c>
      <c r="D44" s="17">
        <f t="shared" si="13"/>
        <v>180</v>
      </c>
      <c r="E44" s="127">
        <f t="shared" si="14"/>
        <v>176</v>
      </c>
      <c r="F44" s="111"/>
      <c r="G44" s="130">
        <f>INDEX(February!$C$3:$AH$169,3,MATCH(B44,February!$D$3:$AH$3)+1)+INDEX(February!$C$3:$AH$169,8,MATCH(B44,February!$D$3:$AH$3)+1)+INDEX(February!$C$3:$AH$169,13,MATCH(B44,February!$D$3:$AH$3)+1)+INDEX(February!$C$3:$AH$169,18,MATCH(B44,February!$D$3:$AH$3)+1)+INDEX(February!$C$3:$AH$169,23,MATCH(B44,February!$D$3:$AH$3)+1)+INDEX(February!$C$3:$AH$169,28,MATCH(B44,February!$D$3:$AH$3)+1)+INDEX(February!$C$3:$AH$169,33,MATCH(B44,February!$D$3:$AH$3)+1)+INDEX(February!$C$3:$AH$169,38,MATCH(B44,February!$D$3:$AH$3)+1)+INDEX(February!$C$3:$AH$169,43,MATCH(B44,February!$D$3:$AH$3)+1)+INDEX(February!$C$3:$AH$169,48,MATCH(B44,February!$D$3:$AH$3)+1)+INDEX(February!$C$3:$AH$169,53,MATCH(B44,February!$D$3:$AH$3)+1)+INDEX(February!$C$3:$AH$169,58,MATCH(B44,February!$D$3:$AH$3)+1)+INDEX(February!$C$3:$AH$169,63,MATCH(B44,February!$D$3:$AH$3)+1)+INDEX(February!$C$3:$AH$169,68,MATCH(B44,February!$D$3:$AH$3)+1)+INDEX(February!$C$3:$AH$169,73,MATCH(B44,February!$D$3:$AH$3)+1)+INDEX(February!$C$3:$AH$169,78,MATCH(B44,February!$D$3:$AH$3)+1)+INDEX(February!$C$3:$AH$169,83,MATCH(B44,February!$D$3:$AH$3)+1)+INDEX(February!$C$3:$AH$169,88,MATCH(B44,February!$D$3:$AH$3)+1)+INDEX(February!$C$3:$AH$169,93,MATCH(B44,February!$D$3:$AH$3)+1)+INDEX(February!$C$3:$AH$169,98,MATCH(B44,February!$D$3:$AH$3)+1)+INDEX(February!$C$3:$AH$169,103,MATCH(B44,February!$D$3:$AH$3)+1)+INDEX(February!$C$3:$AH$169,108,MATCH(B44,February!$D$3:$AH$3)+1)+INDEX(February!$C$3:$AH$169,113,MATCH(B44,February!$D$3:$AH$3)+1)+INDEX(February!$C$3:$AH$169,118,MATCH(B44,February!$D$3:$AH$3)+1)+INDEX(February!$C$3:$AH$169,123,MATCH(B44,February!$D$3:$AH$3)+1)+INDEX(February!$C$3:$AH$169,128,MATCH(B44,February!$D$3:$AH$3)+1)+INDEX(February!$C$3:$AH$169,133,MATCH(B44,February!$D$3:$AH$3)+1)+INDEX(February!$C$3:$AH$169,138,MATCH(B44,February!$D$3:$AH$3)+1)+INDEX(February!$C$3:$AH$169,143,MATCH(B44,February!$D$3:$AH$3)+1)+INDEX(February!$C$3:$AH$169,148,MATCH(B44,February!$D$3:$AH$3)+1)-INDEX(February!$B$5:$AH$169,MATCH("Patrick Janssen",February!$B$5:$B$169),MATCH(B44,February!$D$3:$AH$3)+2)-INDEX(February!$B$5:$AH$169,MATCH("Patrick Ziesen",February!$B$5:$B$169),MATCH(B44,February!$D$3:$AH$3)+2)-INDEX(February!$B$5:$AH$169,MATCH("Frido Meijer",February!$B$5:$B$169),MATCH(B44,February!$D$3:$AH$3)+2)</f>
        <v>0</v>
      </c>
      <c r="H44" s="130">
        <f>INDEX(February!$C$3:$AH$169,4,MATCH(B44,February!$D$3:$AH$3)+1)+INDEX(February!$C$3:$AH$169,9,MATCH(B44,February!$D$3:$AH$3)+1)+INDEX(February!$C$3:$AH$169,14,MATCH(B44,February!$D$3:$AH$3)+1)+INDEX(February!$C$3:$AH$169,19,MATCH(B44,February!$D$3:$AH$3)+1)+INDEX(February!$C$3:$AH$169,24,MATCH(B44,February!$D$3:$AH$3)+1)+INDEX(February!$C$3:$AH$169,29,MATCH(B44,February!$D$3:$AH$3)+1)+INDEX(February!$C$3:$AH$169,34,MATCH(B44,February!$D$3:$AH$3)+1)+INDEX(February!$C$3:$AH$169,39,MATCH(B44,February!$D$3:$AH$3)+1)+INDEX(February!$C$3:$AH$169,44,MATCH(B44,February!$D$3:$AH$3)+1)+INDEX(February!$C$3:$AH$169,49,MATCH(B44,February!$D$3:$AH$3)+1)+INDEX(February!$C$3:$AH$169,54,MATCH(B44,February!$D$3:$AH$3)+1)+INDEX(February!$C$3:$AH$169,59,MATCH(B44,February!$D$3:$AH$3)+1)+INDEX(February!$C$3:$AH$169,64,MATCH(B44,February!$D$3:$AH$3)+1)+INDEX(February!$C$3:$AH$169,69,MATCH(B44,February!$D$3:$AH$3)+1)+INDEX(February!$C$3:$AH$169,74,MATCH(B44,February!$D$3:$AH$3)+1)+INDEX(February!$C$3:$AH$169,79,MATCH(B44,February!$D$3:$AH$3)+1)+INDEX(February!$C$3:$AH$169,84,MATCH(B44,February!$D$3:$AH$3)+1)+INDEX(February!$C$3:$AH$169,89,MATCH(B44,February!$D$3:$AH$3)+1)+INDEX(February!$C$3:$AH$169,94,MATCH(B44,February!$D$3:$AH$3)+1)+INDEX(February!$C$3:$AH$169,99,MATCH(B44,February!$D$3:$AH$3)+1)+INDEX(February!$C$3:$AH$169,104,MATCH(B44,February!$D$3:$AH$3)+1)+INDEX(February!$C$3:$AH$169,109,MATCH(B44,February!$D$3:$AH$3)+1)+INDEX(February!$C$3:$AH$169,114,MATCH(B44,February!$D$3:$AH$3)+1)+INDEX(February!$C$3:$AH$169,119,MATCH(B44,February!$D$3:$AH$3)+1)+INDEX(February!$C$3:$AH$169,124,MATCH(B44,February!$D$3:$AH$3)+1)+INDEX(February!$C$3:$AH$169,129,MATCH(B44,February!$D$3:$AH$3)+1)+INDEX(February!$C$3:$AH$169,134,MATCH(B44,February!$D$3:$AH$3)+1)+INDEX(February!$C$3:$AH$169,139,MATCH(B44,February!$D$3:$AH$3)+1)+INDEX(February!$C$3:$AH$169,144,MATCH(B44,February!$D$3:$AH$3)+1)+INDEX(February!$C$3:$AH$169,149,MATCH(B44,February!$D$3:$AH$3)+1)-INDEX(February!$B$5:$AH$169,MATCH("Patrick Janssen",February!$B$5:$B$169)+1,MATCH(B44,February!$D$3:$AH$3)+2)-INDEX(February!$B$5:$AH$169,MATCH("Patrick Ziesen",February!$B$5:$B$169)+1,MATCH(B44,February!$D$3:$AH$3)+2)-INDEX(February!$B$5:$AH$169,MATCH("Frido Meijer",February!$B$5:$B$169)+1,MATCH(B44,February!$D$3:$AH$3)+2)</f>
        <v>16</v>
      </c>
      <c r="I44" s="130">
        <v>0</v>
      </c>
      <c r="J44" s="130">
        <v>0</v>
      </c>
      <c r="L44" s="212"/>
      <c r="M44" s="111"/>
      <c r="N44" s="111">
        <f t="shared" si="10"/>
        <v>0</v>
      </c>
      <c r="P44" s="112">
        <f t="shared" si="11"/>
        <v>0</v>
      </c>
      <c r="Q44" s="112">
        <f t="shared" si="12"/>
        <v>0</v>
      </c>
    </row>
    <row r="45" spans="2:19" x14ac:dyDescent="0.25">
      <c r="B45" s="110">
        <f>DATE(Title!$F$12,$S$6,S12)</f>
        <v>41313</v>
      </c>
      <c r="C45" s="111">
        <f>IF(WEEKDAY(B45)=1,0,IF(WEEKDAY(B45)=4,'Hours Scheduled'!$E$44-1,IF(WEEKDAY(B45)=7,0,'Hours Scheduled'!$E$44)))</f>
        <v>24</v>
      </c>
      <c r="D45" s="17">
        <f t="shared" si="13"/>
        <v>180</v>
      </c>
      <c r="E45" s="127">
        <f t="shared" si="14"/>
        <v>161.75</v>
      </c>
      <c r="F45" s="111"/>
      <c r="G45" s="130">
        <f>INDEX(February!$C$3:$AH$169,3,MATCH(B45,February!$D$3:$AH$3)+1)+INDEX(February!$C$3:$AH$169,8,MATCH(B45,February!$D$3:$AH$3)+1)+INDEX(February!$C$3:$AH$169,13,MATCH(B45,February!$D$3:$AH$3)+1)+INDEX(February!$C$3:$AH$169,18,MATCH(B45,February!$D$3:$AH$3)+1)+INDEX(February!$C$3:$AH$169,23,MATCH(B45,February!$D$3:$AH$3)+1)+INDEX(February!$C$3:$AH$169,28,MATCH(B45,February!$D$3:$AH$3)+1)+INDEX(February!$C$3:$AH$169,33,MATCH(B45,February!$D$3:$AH$3)+1)+INDEX(February!$C$3:$AH$169,38,MATCH(B45,February!$D$3:$AH$3)+1)+INDEX(February!$C$3:$AH$169,43,MATCH(B45,February!$D$3:$AH$3)+1)+INDEX(February!$C$3:$AH$169,48,MATCH(B45,February!$D$3:$AH$3)+1)+INDEX(February!$C$3:$AH$169,53,MATCH(B45,February!$D$3:$AH$3)+1)+INDEX(February!$C$3:$AH$169,58,MATCH(B45,February!$D$3:$AH$3)+1)+INDEX(February!$C$3:$AH$169,63,MATCH(B45,February!$D$3:$AH$3)+1)+INDEX(February!$C$3:$AH$169,68,MATCH(B45,February!$D$3:$AH$3)+1)+INDEX(February!$C$3:$AH$169,73,MATCH(B45,February!$D$3:$AH$3)+1)+INDEX(February!$C$3:$AH$169,78,MATCH(B45,February!$D$3:$AH$3)+1)+INDEX(February!$C$3:$AH$169,83,MATCH(B45,February!$D$3:$AH$3)+1)+INDEX(February!$C$3:$AH$169,88,MATCH(B45,February!$D$3:$AH$3)+1)+INDEX(February!$C$3:$AH$169,93,MATCH(B45,February!$D$3:$AH$3)+1)+INDEX(February!$C$3:$AH$169,98,MATCH(B45,February!$D$3:$AH$3)+1)+INDEX(February!$C$3:$AH$169,103,MATCH(B45,February!$D$3:$AH$3)+1)+INDEX(February!$C$3:$AH$169,108,MATCH(B45,February!$D$3:$AH$3)+1)+INDEX(February!$C$3:$AH$169,113,MATCH(B45,February!$D$3:$AH$3)+1)+INDEX(February!$C$3:$AH$169,118,MATCH(B45,February!$D$3:$AH$3)+1)+INDEX(February!$C$3:$AH$169,123,MATCH(B45,February!$D$3:$AH$3)+1)+INDEX(February!$C$3:$AH$169,128,MATCH(B45,February!$D$3:$AH$3)+1)+INDEX(February!$C$3:$AH$169,133,MATCH(B45,February!$D$3:$AH$3)+1)+INDEX(February!$C$3:$AH$169,138,MATCH(B45,February!$D$3:$AH$3)+1)+INDEX(February!$C$3:$AH$169,143,MATCH(B45,February!$D$3:$AH$3)+1)+INDEX(February!$C$3:$AH$169,148,MATCH(B45,February!$D$3:$AH$3)+1)-INDEX(February!$B$5:$AH$169,MATCH("Patrick Janssen",February!$B$5:$B$169),MATCH(B45,February!$D$3:$AH$3)+2)-INDEX(February!$B$5:$AH$169,MATCH("Patrick Ziesen",February!$B$5:$B$169),MATCH(B45,February!$D$3:$AH$3)+2)-INDEX(February!$B$5:$AH$169,MATCH("Frido Meijer",February!$B$5:$B$169),MATCH(B45,February!$D$3:$AH$3)+2)</f>
        <v>6.25</v>
      </c>
      <c r="H45" s="130">
        <f>INDEX(February!$C$3:$AH$169,4,MATCH(B45,February!$D$3:$AH$3)+1)+INDEX(February!$C$3:$AH$169,9,MATCH(B45,February!$D$3:$AH$3)+1)+INDEX(February!$C$3:$AH$169,14,MATCH(B45,February!$D$3:$AH$3)+1)+INDEX(February!$C$3:$AH$169,19,MATCH(B45,February!$D$3:$AH$3)+1)+INDEX(February!$C$3:$AH$169,24,MATCH(B45,February!$D$3:$AH$3)+1)+INDEX(February!$C$3:$AH$169,29,MATCH(B45,February!$D$3:$AH$3)+1)+INDEX(February!$C$3:$AH$169,34,MATCH(B45,February!$D$3:$AH$3)+1)+INDEX(February!$C$3:$AH$169,39,MATCH(B45,February!$D$3:$AH$3)+1)+INDEX(February!$C$3:$AH$169,44,MATCH(B45,February!$D$3:$AH$3)+1)+INDEX(February!$C$3:$AH$169,49,MATCH(B45,February!$D$3:$AH$3)+1)+INDEX(February!$C$3:$AH$169,54,MATCH(B45,February!$D$3:$AH$3)+1)+INDEX(February!$C$3:$AH$169,59,MATCH(B45,February!$D$3:$AH$3)+1)+INDEX(February!$C$3:$AH$169,64,MATCH(B45,February!$D$3:$AH$3)+1)+INDEX(February!$C$3:$AH$169,69,MATCH(B45,February!$D$3:$AH$3)+1)+INDEX(February!$C$3:$AH$169,74,MATCH(B45,February!$D$3:$AH$3)+1)+INDEX(February!$C$3:$AH$169,79,MATCH(B45,February!$D$3:$AH$3)+1)+INDEX(February!$C$3:$AH$169,84,MATCH(B45,February!$D$3:$AH$3)+1)+INDEX(February!$C$3:$AH$169,89,MATCH(B45,February!$D$3:$AH$3)+1)+INDEX(February!$C$3:$AH$169,94,MATCH(B45,February!$D$3:$AH$3)+1)+INDEX(February!$C$3:$AH$169,99,MATCH(B45,February!$D$3:$AH$3)+1)+INDEX(February!$C$3:$AH$169,104,MATCH(B45,February!$D$3:$AH$3)+1)+INDEX(February!$C$3:$AH$169,109,MATCH(B45,February!$D$3:$AH$3)+1)+INDEX(February!$C$3:$AH$169,114,MATCH(B45,February!$D$3:$AH$3)+1)+INDEX(February!$C$3:$AH$169,119,MATCH(B45,February!$D$3:$AH$3)+1)+INDEX(February!$C$3:$AH$169,124,MATCH(B45,February!$D$3:$AH$3)+1)+INDEX(February!$C$3:$AH$169,129,MATCH(B45,February!$D$3:$AH$3)+1)+INDEX(February!$C$3:$AH$169,134,MATCH(B45,February!$D$3:$AH$3)+1)+INDEX(February!$C$3:$AH$169,139,MATCH(B45,February!$D$3:$AH$3)+1)+INDEX(February!$C$3:$AH$169,144,MATCH(B45,February!$D$3:$AH$3)+1)+INDEX(February!$C$3:$AH$169,149,MATCH(B45,February!$D$3:$AH$3)+1)-INDEX(February!$B$5:$AH$169,MATCH("Patrick Janssen",February!$B$5:$B$169)+1,MATCH(B45,February!$D$3:$AH$3)+2)-INDEX(February!$B$5:$AH$169,MATCH("Patrick Ziesen",February!$B$5:$B$169)+1,MATCH(B45,February!$D$3:$AH$3)+2)-INDEX(February!$B$5:$AH$169,MATCH("Frido Meijer",February!$B$5:$B$169)+1,MATCH(B45,February!$D$3:$AH$3)+2)</f>
        <v>24</v>
      </c>
      <c r="I45" s="130">
        <v>0</v>
      </c>
      <c r="J45" s="130">
        <v>0</v>
      </c>
      <c r="L45" s="212"/>
      <c r="M45" s="111"/>
      <c r="N45" s="111">
        <f t="shared" si="10"/>
        <v>0</v>
      </c>
      <c r="P45" s="112">
        <f t="shared" si="11"/>
        <v>0</v>
      </c>
      <c r="Q45" s="112">
        <f t="shared" si="12"/>
        <v>0</v>
      </c>
    </row>
    <row r="46" spans="2:19" x14ac:dyDescent="0.25">
      <c r="B46" s="110">
        <f>DATE(Title!$F$12,$S$6,S13)</f>
        <v>41314</v>
      </c>
      <c r="C46" s="111">
        <f>IF(WEEKDAY(B46)=1,0,IF(WEEKDAY(B46)=4,'Hours Scheduled'!$E$44-1,IF(WEEKDAY(B46)=7,0,'Hours Scheduled'!$E$44)))</f>
        <v>0</v>
      </c>
      <c r="D46" s="17">
        <f t="shared" si="13"/>
        <v>0</v>
      </c>
      <c r="E46" s="127">
        <f t="shared" si="14"/>
        <v>0</v>
      </c>
      <c r="F46" s="111"/>
      <c r="G46" s="130">
        <f>INDEX(February!$C$3:$AH$169,3,MATCH(B46,February!$D$3:$AH$3)+1)+INDEX(February!$C$3:$AH$169,8,MATCH(B46,February!$D$3:$AH$3)+1)+INDEX(February!$C$3:$AH$169,13,MATCH(B46,February!$D$3:$AH$3)+1)+INDEX(February!$C$3:$AH$169,18,MATCH(B46,February!$D$3:$AH$3)+1)+INDEX(February!$C$3:$AH$169,23,MATCH(B46,February!$D$3:$AH$3)+1)+INDEX(February!$C$3:$AH$169,28,MATCH(B46,February!$D$3:$AH$3)+1)+INDEX(February!$C$3:$AH$169,33,MATCH(B46,February!$D$3:$AH$3)+1)+INDEX(February!$C$3:$AH$169,38,MATCH(B46,February!$D$3:$AH$3)+1)+INDEX(February!$C$3:$AH$169,43,MATCH(B46,February!$D$3:$AH$3)+1)+INDEX(February!$C$3:$AH$169,48,MATCH(B46,February!$D$3:$AH$3)+1)+INDEX(February!$C$3:$AH$169,53,MATCH(B46,February!$D$3:$AH$3)+1)+INDEX(February!$C$3:$AH$169,58,MATCH(B46,February!$D$3:$AH$3)+1)+INDEX(February!$C$3:$AH$169,63,MATCH(B46,February!$D$3:$AH$3)+1)+INDEX(February!$C$3:$AH$169,68,MATCH(B46,February!$D$3:$AH$3)+1)+INDEX(February!$C$3:$AH$169,73,MATCH(B46,February!$D$3:$AH$3)+1)+INDEX(February!$C$3:$AH$169,78,MATCH(B46,February!$D$3:$AH$3)+1)+INDEX(February!$C$3:$AH$169,83,MATCH(B46,February!$D$3:$AH$3)+1)+INDEX(February!$C$3:$AH$169,88,MATCH(B46,February!$D$3:$AH$3)+1)+INDEX(February!$C$3:$AH$169,93,MATCH(B46,February!$D$3:$AH$3)+1)+INDEX(February!$C$3:$AH$169,98,MATCH(B46,February!$D$3:$AH$3)+1)+INDEX(February!$C$3:$AH$169,103,MATCH(B46,February!$D$3:$AH$3)+1)+INDEX(February!$C$3:$AH$169,108,MATCH(B46,February!$D$3:$AH$3)+1)+INDEX(February!$C$3:$AH$169,113,MATCH(B46,February!$D$3:$AH$3)+1)+INDEX(February!$C$3:$AH$169,118,MATCH(B46,February!$D$3:$AH$3)+1)+INDEX(February!$C$3:$AH$169,123,MATCH(B46,February!$D$3:$AH$3)+1)+INDEX(February!$C$3:$AH$169,128,MATCH(B46,February!$D$3:$AH$3)+1)+INDEX(February!$C$3:$AH$169,133,MATCH(B46,February!$D$3:$AH$3)+1)+INDEX(February!$C$3:$AH$169,138,MATCH(B46,February!$D$3:$AH$3)+1)+INDEX(February!$C$3:$AH$169,143,MATCH(B46,February!$D$3:$AH$3)+1)+INDEX(February!$C$3:$AH$169,148,MATCH(B46,February!$D$3:$AH$3)+1)-INDEX(February!$B$5:$AH$169,MATCH("Patrick Janssen",February!$B$5:$B$169),MATCH(B46,February!$D$3:$AH$3)+2)-INDEX(February!$B$5:$AH$169,MATCH("Patrick Ziesen",February!$B$5:$B$169),MATCH(B46,February!$D$3:$AH$3)+2)-INDEX(February!$B$5:$AH$169,MATCH("Frido Meijer",February!$B$5:$B$169),MATCH(B46,February!$D$3:$AH$3)+2)</f>
        <v>0</v>
      </c>
      <c r="H46" s="130">
        <f>INDEX(February!$C$3:$AH$169,4,MATCH(B46,February!$D$3:$AH$3)+1)+INDEX(February!$C$3:$AH$169,9,MATCH(B46,February!$D$3:$AH$3)+1)+INDEX(February!$C$3:$AH$169,14,MATCH(B46,February!$D$3:$AH$3)+1)+INDEX(February!$C$3:$AH$169,19,MATCH(B46,February!$D$3:$AH$3)+1)+INDEX(February!$C$3:$AH$169,24,MATCH(B46,February!$D$3:$AH$3)+1)+INDEX(February!$C$3:$AH$169,29,MATCH(B46,February!$D$3:$AH$3)+1)+INDEX(February!$C$3:$AH$169,34,MATCH(B46,February!$D$3:$AH$3)+1)+INDEX(February!$C$3:$AH$169,39,MATCH(B46,February!$D$3:$AH$3)+1)+INDEX(February!$C$3:$AH$169,44,MATCH(B46,February!$D$3:$AH$3)+1)+INDEX(February!$C$3:$AH$169,49,MATCH(B46,February!$D$3:$AH$3)+1)+INDEX(February!$C$3:$AH$169,54,MATCH(B46,February!$D$3:$AH$3)+1)+INDEX(February!$C$3:$AH$169,59,MATCH(B46,February!$D$3:$AH$3)+1)+INDEX(February!$C$3:$AH$169,64,MATCH(B46,February!$D$3:$AH$3)+1)+INDEX(February!$C$3:$AH$169,69,MATCH(B46,February!$D$3:$AH$3)+1)+INDEX(February!$C$3:$AH$169,74,MATCH(B46,February!$D$3:$AH$3)+1)+INDEX(February!$C$3:$AH$169,79,MATCH(B46,February!$D$3:$AH$3)+1)+INDEX(February!$C$3:$AH$169,84,MATCH(B46,February!$D$3:$AH$3)+1)+INDEX(February!$C$3:$AH$169,89,MATCH(B46,February!$D$3:$AH$3)+1)+INDEX(February!$C$3:$AH$169,94,MATCH(B46,February!$D$3:$AH$3)+1)+INDEX(February!$C$3:$AH$169,99,MATCH(B46,February!$D$3:$AH$3)+1)+INDEX(February!$C$3:$AH$169,104,MATCH(B46,February!$D$3:$AH$3)+1)+INDEX(February!$C$3:$AH$169,109,MATCH(B46,February!$D$3:$AH$3)+1)+INDEX(February!$C$3:$AH$169,114,MATCH(B46,February!$D$3:$AH$3)+1)+INDEX(February!$C$3:$AH$169,119,MATCH(B46,February!$D$3:$AH$3)+1)+INDEX(February!$C$3:$AH$169,124,MATCH(B46,February!$D$3:$AH$3)+1)+INDEX(February!$C$3:$AH$169,129,MATCH(B46,February!$D$3:$AH$3)+1)+INDEX(February!$C$3:$AH$169,134,MATCH(B46,February!$D$3:$AH$3)+1)+INDEX(February!$C$3:$AH$169,139,MATCH(B46,February!$D$3:$AH$3)+1)+INDEX(February!$C$3:$AH$169,144,MATCH(B46,February!$D$3:$AH$3)+1)+INDEX(February!$C$3:$AH$169,149,MATCH(B46,February!$D$3:$AH$3)+1)-INDEX(February!$B$5:$AH$169,MATCH("Patrick Janssen",February!$B$5:$B$169)+1,MATCH(B46,February!$D$3:$AH$3)+2)-INDEX(February!$B$5:$AH$169,MATCH("Patrick Ziesen",February!$B$5:$B$169)+1,MATCH(B46,February!$D$3:$AH$3)+2)-INDEX(February!$B$5:$AH$169,MATCH("Frido Meijer",February!$B$5:$B$169)+1,MATCH(B46,February!$D$3:$AH$3)+2)</f>
        <v>0</v>
      </c>
      <c r="I46" s="130">
        <v>0</v>
      </c>
      <c r="J46" s="130">
        <v>0</v>
      </c>
      <c r="L46" s="212"/>
      <c r="M46" s="111"/>
      <c r="N46" s="111">
        <f t="shared" si="10"/>
        <v>0</v>
      </c>
      <c r="P46" s="112" t="str">
        <f t="shared" si="11"/>
        <v/>
      </c>
      <c r="Q46" s="112" t="str">
        <f t="shared" si="12"/>
        <v/>
      </c>
    </row>
    <row r="47" spans="2:19" x14ac:dyDescent="0.25">
      <c r="B47" s="110">
        <f>DATE(Title!$F$12,$S$6,S14)</f>
        <v>41315</v>
      </c>
      <c r="C47" s="111">
        <f>IF(WEEKDAY(B47)=1,0,IF(WEEKDAY(B47)=4,'Hours Scheduled'!$E$44-1,IF(WEEKDAY(B47)=7,0,'Hours Scheduled'!$E$44)))</f>
        <v>0</v>
      </c>
      <c r="D47" s="17">
        <f t="shared" si="13"/>
        <v>0</v>
      </c>
      <c r="E47" s="127">
        <f t="shared" si="14"/>
        <v>0</v>
      </c>
      <c r="F47" s="111"/>
      <c r="G47" s="130">
        <f>INDEX(February!$C$3:$AH$169,3,MATCH(B47,February!$D$3:$AH$3)+1)+INDEX(February!$C$3:$AH$169,8,MATCH(B47,February!$D$3:$AH$3)+1)+INDEX(February!$C$3:$AH$169,13,MATCH(B47,February!$D$3:$AH$3)+1)+INDEX(February!$C$3:$AH$169,18,MATCH(B47,February!$D$3:$AH$3)+1)+INDEX(February!$C$3:$AH$169,23,MATCH(B47,February!$D$3:$AH$3)+1)+INDEX(February!$C$3:$AH$169,28,MATCH(B47,February!$D$3:$AH$3)+1)+INDEX(February!$C$3:$AH$169,33,MATCH(B47,February!$D$3:$AH$3)+1)+INDEX(February!$C$3:$AH$169,38,MATCH(B47,February!$D$3:$AH$3)+1)+INDEX(February!$C$3:$AH$169,43,MATCH(B47,February!$D$3:$AH$3)+1)+INDEX(February!$C$3:$AH$169,48,MATCH(B47,February!$D$3:$AH$3)+1)+INDEX(February!$C$3:$AH$169,53,MATCH(B47,February!$D$3:$AH$3)+1)+INDEX(February!$C$3:$AH$169,58,MATCH(B47,February!$D$3:$AH$3)+1)+INDEX(February!$C$3:$AH$169,63,MATCH(B47,February!$D$3:$AH$3)+1)+INDEX(February!$C$3:$AH$169,68,MATCH(B47,February!$D$3:$AH$3)+1)+INDEX(February!$C$3:$AH$169,73,MATCH(B47,February!$D$3:$AH$3)+1)+INDEX(February!$C$3:$AH$169,78,MATCH(B47,February!$D$3:$AH$3)+1)+INDEX(February!$C$3:$AH$169,83,MATCH(B47,February!$D$3:$AH$3)+1)+INDEX(February!$C$3:$AH$169,88,MATCH(B47,February!$D$3:$AH$3)+1)+INDEX(February!$C$3:$AH$169,93,MATCH(B47,February!$D$3:$AH$3)+1)+INDEX(February!$C$3:$AH$169,98,MATCH(B47,February!$D$3:$AH$3)+1)+INDEX(February!$C$3:$AH$169,103,MATCH(B47,February!$D$3:$AH$3)+1)+INDEX(February!$C$3:$AH$169,108,MATCH(B47,February!$D$3:$AH$3)+1)+INDEX(February!$C$3:$AH$169,113,MATCH(B47,February!$D$3:$AH$3)+1)+INDEX(February!$C$3:$AH$169,118,MATCH(B47,February!$D$3:$AH$3)+1)+INDEX(February!$C$3:$AH$169,123,MATCH(B47,February!$D$3:$AH$3)+1)+INDEX(February!$C$3:$AH$169,128,MATCH(B47,February!$D$3:$AH$3)+1)+INDEX(February!$C$3:$AH$169,133,MATCH(B47,February!$D$3:$AH$3)+1)+INDEX(February!$C$3:$AH$169,138,MATCH(B47,February!$D$3:$AH$3)+1)+INDEX(February!$C$3:$AH$169,143,MATCH(B47,February!$D$3:$AH$3)+1)+INDEX(February!$C$3:$AH$169,148,MATCH(B47,February!$D$3:$AH$3)+1)-INDEX(February!$B$5:$AH$169,MATCH("Patrick Janssen",February!$B$5:$B$169),MATCH(B47,February!$D$3:$AH$3)+2)-INDEX(February!$B$5:$AH$169,MATCH("Patrick Ziesen",February!$B$5:$B$169),MATCH(B47,February!$D$3:$AH$3)+2)-INDEX(February!$B$5:$AH$169,MATCH("Frido Meijer",February!$B$5:$B$169),MATCH(B47,February!$D$3:$AH$3)+2)</f>
        <v>0</v>
      </c>
      <c r="H47" s="130">
        <f>INDEX(February!$C$3:$AH$169,4,MATCH(B47,February!$D$3:$AH$3)+1)+INDEX(February!$C$3:$AH$169,9,MATCH(B47,February!$D$3:$AH$3)+1)+INDEX(February!$C$3:$AH$169,14,MATCH(B47,February!$D$3:$AH$3)+1)+INDEX(February!$C$3:$AH$169,19,MATCH(B47,February!$D$3:$AH$3)+1)+INDEX(February!$C$3:$AH$169,24,MATCH(B47,February!$D$3:$AH$3)+1)+INDEX(February!$C$3:$AH$169,29,MATCH(B47,February!$D$3:$AH$3)+1)+INDEX(February!$C$3:$AH$169,34,MATCH(B47,February!$D$3:$AH$3)+1)+INDEX(February!$C$3:$AH$169,39,MATCH(B47,February!$D$3:$AH$3)+1)+INDEX(February!$C$3:$AH$169,44,MATCH(B47,February!$D$3:$AH$3)+1)+INDEX(February!$C$3:$AH$169,49,MATCH(B47,February!$D$3:$AH$3)+1)+INDEX(February!$C$3:$AH$169,54,MATCH(B47,February!$D$3:$AH$3)+1)+INDEX(February!$C$3:$AH$169,59,MATCH(B47,February!$D$3:$AH$3)+1)+INDEX(February!$C$3:$AH$169,64,MATCH(B47,February!$D$3:$AH$3)+1)+INDEX(February!$C$3:$AH$169,69,MATCH(B47,February!$D$3:$AH$3)+1)+INDEX(February!$C$3:$AH$169,74,MATCH(B47,February!$D$3:$AH$3)+1)+INDEX(February!$C$3:$AH$169,79,MATCH(B47,February!$D$3:$AH$3)+1)+INDEX(February!$C$3:$AH$169,84,MATCH(B47,February!$D$3:$AH$3)+1)+INDEX(February!$C$3:$AH$169,89,MATCH(B47,February!$D$3:$AH$3)+1)+INDEX(February!$C$3:$AH$169,94,MATCH(B47,February!$D$3:$AH$3)+1)+INDEX(February!$C$3:$AH$169,99,MATCH(B47,February!$D$3:$AH$3)+1)+INDEX(February!$C$3:$AH$169,104,MATCH(B47,February!$D$3:$AH$3)+1)+INDEX(February!$C$3:$AH$169,109,MATCH(B47,February!$D$3:$AH$3)+1)+INDEX(February!$C$3:$AH$169,114,MATCH(B47,February!$D$3:$AH$3)+1)+INDEX(February!$C$3:$AH$169,119,MATCH(B47,February!$D$3:$AH$3)+1)+INDEX(February!$C$3:$AH$169,124,MATCH(B47,February!$D$3:$AH$3)+1)+INDEX(February!$C$3:$AH$169,129,MATCH(B47,February!$D$3:$AH$3)+1)+INDEX(February!$C$3:$AH$169,134,MATCH(B47,February!$D$3:$AH$3)+1)+INDEX(February!$C$3:$AH$169,139,MATCH(B47,February!$D$3:$AH$3)+1)+INDEX(February!$C$3:$AH$169,144,MATCH(B47,February!$D$3:$AH$3)+1)+INDEX(February!$C$3:$AH$169,149,MATCH(B47,February!$D$3:$AH$3)+1)-INDEX(February!$B$5:$AH$169,MATCH("Patrick Janssen",February!$B$5:$B$169)+1,MATCH(B47,February!$D$3:$AH$3)+2)-INDEX(February!$B$5:$AH$169,MATCH("Patrick Ziesen",February!$B$5:$B$169)+1,MATCH(B47,February!$D$3:$AH$3)+2)-INDEX(February!$B$5:$AH$169,MATCH("Frido Meijer",February!$B$5:$B$169)+1,MATCH(B47,February!$D$3:$AH$3)+2)</f>
        <v>0</v>
      </c>
      <c r="I47" s="130">
        <v>0</v>
      </c>
      <c r="J47" s="130">
        <v>0</v>
      </c>
      <c r="L47" s="212"/>
      <c r="M47" s="111"/>
      <c r="N47" s="111">
        <f t="shared" si="10"/>
        <v>0</v>
      </c>
      <c r="P47" s="112" t="str">
        <f t="shared" si="11"/>
        <v/>
      </c>
      <c r="Q47" s="112" t="str">
        <f t="shared" si="12"/>
        <v/>
      </c>
    </row>
    <row r="48" spans="2:19" x14ac:dyDescent="0.25">
      <c r="B48" s="110">
        <f>DATE(Title!$F$12,$S$6,S15)</f>
        <v>41316</v>
      </c>
      <c r="C48" s="111">
        <f>IF(WEEKDAY(B48)=1,0,IF(WEEKDAY(B48)=4,'Hours Scheduled'!$E$44-1,IF(WEEKDAY(B48)=7,0,'Hours Scheduled'!$E$44)))</f>
        <v>24</v>
      </c>
      <c r="D48" s="17">
        <f t="shared" si="13"/>
        <v>180</v>
      </c>
      <c r="E48" s="127">
        <f t="shared" si="14"/>
        <v>136</v>
      </c>
      <c r="F48" s="111"/>
      <c r="G48" s="130">
        <f>INDEX(February!$C$3:$AH$169,3,MATCH(B48,February!$D$3:$AH$3)+1)+INDEX(February!$C$3:$AH$169,8,MATCH(B48,February!$D$3:$AH$3)+1)+INDEX(February!$C$3:$AH$169,13,MATCH(B48,February!$D$3:$AH$3)+1)+INDEX(February!$C$3:$AH$169,18,MATCH(B48,February!$D$3:$AH$3)+1)+INDEX(February!$C$3:$AH$169,23,MATCH(B48,February!$D$3:$AH$3)+1)+INDEX(February!$C$3:$AH$169,28,MATCH(B48,February!$D$3:$AH$3)+1)+INDEX(February!$C$3:$AH$169,33,MATCH(B48,February!$D$3:$AH$3)+1)+INDEX(February!$C$3:$AH$169,38,MATCH(B48,February!$D$3:$AH$3)+1)+INDEX(February!$C$3:$AH$169,43,MATCH(B48,February!$D$3:$AH$3)+1)+INDEX(February!$C$3:$AH$169,48,MATCH(B48,February!$D$3:$AH$3)+1)+INDEX(February!$C$3:$AH$169,53,MATCH(B48,February!$D$3:$AH$3)+1)+INDEX(February!$C$3:$AH$169,58,MATCH(B48,February!$D$3:$AH$3)+1)+INDEX(February!$C$3:$AH$169,63,MATCH(B48,February!$D$3:$AH$3)+1)+INDEX(February!$C$3:$AH$169,68,MATCH(B48,February!$D$3:$AH$3)+1)+INDEX(February!$C$3:$AH$169,73,MATCH(B48,February!$D$3:$AH$3)+1)+INDEX(February!$C$3:$AH$169,78,MATCH(B48,February!$D$3:$AH$3)+1)+INDEX(February!$C$3:$AH$169,83,MATCH(B48,February!$D$3:$AH$3)+1)+INDEX(February!$C$3:$AH$169,88,MATCH(B48,February!$D$3:$AH$3)+1)+INDEX(February!$C$3:$AH$169,93,MATCH(B48,February!$D$3:$AH$3)+1)+INDEX(February!$C$3:$AH$169,98,MATCH(B48,February!$D$3:$AH$3)+1)+INDEX(February!$C$3:$AH$169,103,MATCH(B48,February!$D$3:$AH$3)+1)+INDEX(February!$C$3:$AH$169,108,MATCH(B48,February!$D$3:$AH$3)+1)+INDEX(February!$C$3:$AH$169,113,MATCH(B48,February!$D$3:$AH$3)+1)+INDEX(February!$C$3:$AH$169,118,MATCH(B48,February!$D$3:$AH$3)+1)+INDEX(February!$C$3:$AH$169,123,MATCH(B48,February!$D$3:$AH$3)+1)+INDEX(February!$C$3:$AH$169,128,MATCH(B48,February!$D$3:$AH$3)+1)+INDEX(February!$C$3:$AH$169,133,MATCH(B48,February!$D$3:$AH$3)+1)+INDEX(February!$C$3:$AH$169,138,MATCH(B48,February!$D$3:$AH$3)+1)+INDEX(February!$C$3:$AH$169,143,MATCH(B48,February!$D$3:$AH$3)+1)+INDEX(February!$C$3:$AH$169,148,MATCH(B48,February!$D$3:$AH$3)+1)-INDEX(February!$B$5:$AH$169,MATCH("Patrick Janssen",February!$B$5:$B$169),MATCH(B48,February!$D$3:$AH$3)+2)-INDEX(February!$B$5:$AH$169,MATCH("Patrick Ziesen",February!$B$5:$B$169),MATCH(B48,February!$D$3:$AH$3)+2)-INDEX(February!$B$5:$AH$169,MATCH("Frido Meijer",February!$B$5:$B$169),MATCH(B48,February!$D$3:$AH$3)+2)</f>
        <v>24</v>
      </c>
      <c r="H48" s="130">
        <f>INDEX(February!$C$3:$AH$169,4,MATCH(B48,February!$D$3:$AH$3)+1)+INDEX(February!$C$3:$AH$169,9,MATCH(B48,February!$D$3:$AH$3)+1)+INDEX(February!$C$3:$AH$169,14,MATCH(B48,February!$D$3:$AH$3)+1)+INDEX(February!$C$3:$AH$169,19,MATCH(B48,February!$D$3:$AH$3)+1)+INDEX(February!$C$3:$AH$169,24,MATCH(B48,February!$D$3:$AH$3)+1)+INDEX(February!$C$3:$AH$169,29,MATCH(B48,February!$D$3:$AH$3)+1)+INDEX(February!$C$3:$AH$169,34,MATCH(B48,February!$D$3:$AH$3)+1)+INDEX(February!$C$3:$AH$169,39,MATCH(B48,February!$D$3:$AH$3)+1)+INDEX(February!$C$3:$AH$169,44,MATCH(B48,February!$D$3:$AH$3)+1)+INDEX(February!$C$3:$AH$169,49,MATCH(B48,February!$D$3:$AH$3)+1)+INDEX(February!$C$3:$AH$169,54,MATCH(B48,February!$D$3:$AH$3)+1)+INDEX(February!$C$3:$AH$169,59,MATCH(B48,February!$D$3:$AH$3)+1)+INDEX(February!$C$3:$AH$169,64,MATCH(B48,February!$D$3:$AH$3)+1)+INDEX(February!$C$3:$AH$169,69,MATCH(B48,February!$D$3:$AH$3)+1)+INDEX(February!$C$3:$AH$169,74,MATCH(B48,February!$D$3:$AH$3)+1)+INDEX(February!$C$3:$AH$169,79,MATCH(B48,February!$D$3:$AH$3)+1)+INDEX(February!$C$3:$AH$169,84,MATCH(B48,February!$D$3:$AH$3)+1)+INDEX(February!$C$3:$AH$169,89,MATCH(B48,February!$D$3:$AH$3)+1)+INDEX(February!$C$3:$AH$169,94,MATCH(B48,February!$D$3:$AH$3)+1)+INDEX(February!$C$3:$AH$169,99,MATCH(B48,February!$D$3:$AH$3)+1)+INDEX(February!$C$3:$AH$169,104,MATCH(B48,February!$D$3:$AH$3)+1)+INDEX(February!$C$3:$AH$169,109,MATCH(B48,February!$D$3:$AH$3)+1)+INDEX(February!$C$3:$AH$169,114,MATCH(B48,February!$D$3:$AH$3)+1)+INDEX(February!$C$3:$AH$169,119,MATCH(B48,February!$D$3:$AH$3)+1)+INDEX(February!$C$3:$AH$169,124,MATCH(B48,February!$D$3:$AH$3)+1)+INDEX(February!$C$3:$AH$169,129,MATCH(B48,February!$D$3:$AH$3)+1)+INDEX(February!$C$3:$AH$169,134,MATCH(B48,February!$D$3:$AH$3)+1)+INDEX(February!$C$3:$AH$169,139,MATCH(B48,February!$D$3:$AH$3)+1)+INDEX(February!$C$3:$AH$169,144,MATCH(B48,February!$D$3:$AH$3)+1)+INDEX(February!$C$3:$AH$169,149,MATCH(B48,February!$D$3:$AH$3)+1)-INDEX(February!$B$5:$AH$169,MATCH("Patrick Janssen",February!$B$5:$B$169)+1,MATCH(B48,February!$D$3:$AH$3)+2)-INDEX(February!$B$5:$AH$169,MATCH("Patrick Ziesen",February!$B$5:$B$169)+1,MATCH(B48,February!$D$3:$AH$3)+2)-INDEX(February!$B$5:$AH$169,MATCH("Frido Meijer",February!$B$5:$B$169)+1,MATCH(B48,February!$D$3:$AH$3)+2)</f>
        <v>32</v>
      </c>
      <c r="I48" s="130">
        <v>0</v>
      </c>
      <c r="J48" s="130">
        <v>0</v>
      </c>
      <c r="L48" s="111"/>
      <c r="M48" s="111"/>
      <c r="N48" s="111">
        <f t="shared" si="10"/>
        <v>0</v>
      </c>
      <c r="P48" s="112">
        <f t="shared" si="11"/>
        <v>0</v>
      </c>
      <c r="Q48" s="112">
        <f t="shared" si="12"/>
        <v>0</v>
      </c>
    </row>
    <row r="49" spans="2:17" x14ac:dyDescent="0.25">
      <c r="B49" s="110">
        <f>DATE(Title!$F$12,$S$6,S16)</f>
        <v>41317</v>
      </c>
      <c r="C49" s="111">
        <f>IF(WEEKDAY(B49)=1,0,IF(WEEKDAY(B49)=4,'Hours Scheduled'!$E$44-1,IF(WEEKDAY(B49)=7,0,'Hours Scheduled'!$E$44)))</f>
        <v>24</v>
      </c>
      <c r="D49" s="17">
        <f t="shared" si="13"/>
        <v>180</v>
      </c>
      <c r="E49" s="127">
        <f t="shared" si="14"/>
        <v>144</v>
      </c>
      <c r="F49" s="111"/>
      <c r="G49" s="130">
        <f>INDEX(February!$C$3:$AH$169,3,MATCH(B49,February!$D$3:$AH$3)+1)+INDEX(February!$C$3:$AH$169,8,MATCH(B49,February!$D$3:$AH$3)+1)+INDEX(February!$C$3:$AH$169,13,MATCH(B49,February!$D$3:$AH$3)+1)+INDEX(February!$C$3:$AH$169,18,MATCH(B49,February!$D$3:$AH$3)+1)+INDEX(February!$C$3:$AH$169,23,MATCH(B49,February!$D$3:$AH$3)+1)+INDEX(February!$C$3:$AH$169,28,MATCH(B49,February!$D$3:$AH$3)+1)+INDEX(February!$C$3:$AH$169,33,MATCH(B49,February!$D$3:$AH$3)+1)+INDEX(February!$C$3:$AH$169,38,MATCH(B49,February!$D$3:$AH$3)+1)+INDEX(February!$C$3:$AH$169,43,MATCH(B49,February!$D$3:$AH$3)+1)+INDEX(February!$C$3:$AH$169,48,MATCH(B49,February!$D$3:$AH$3)+1)+INDEX(February!$C$3:$AH$169,53,MATCH(B49,February!$D$3:$AH$3)+1)+INDEX(February!$C$3:$AH$169,58,MATCH(B49,February!$D$3:$AH$3)+1)+INDEX(February!$C$3:$AH$169,63,MATCH(B49,February!$D$3:$AH$3)+1)+INDEX(February!$C$3:$AH$169,68,MATCH(B49,February!$D$3:$AH$3)+1)+INDEX(February!$C$3:$AH$169,73,MATCH(B49,February!$D$3:$AH$3)+1)+INDEX(February!$C$3:$AH$169,78,MATCH(B49,February!$D$3:$AH$3)+1)+INDEX(February!$C$3:$AH$169,83,MATCH(B49,February!$D$3:$AH$3)+1)+INDEX(February!$C$3:$AH$169,88,MATCH(B49,February!$D$3:$AH$3)+1)+INDEX(February!$C$3:$AH$169,93,MATCH(B49,February!$D$3:$AH$3)+1)+INDEX(February!$C$3:$AH$169,98,MATCH(B49,February!$D$3:$AH$3)+1)+INDEX(February!$C$3:$AH$169,103,MATCH(B49,February!$D$3:$AH$3)+1)+INDEX(February!$C$3:$AH$169,108,MATCH(B49,February!$D$3:$AH$3)+1)+INDEX(February!$C$3:$AH$169,113,MATCH(B49,February!$D$3:$AH$3)+1)+INDEX(February!$C$3:$AH$169,118,MATCH(B49,February!$D$3:$AH$3)+1)+INDEX(February!$C$3:$AH$169,123,MATCH(B49,February!$D$3:$AH$3)+1)+INDEX(February!$C$3:$AH$169,128,MATCH(B49,February!$D$3:$AH$3)+1)+INDEX(February!$C$3:$AH$169,133,MATCH(B49,February!$D$3:$AH$3)+1)+INDEX(February!$C$3:$AH$169,138,MATCH(B49,February!$D$3:$AH$3)+1)+INDEX(February!$C$3:$AH$169,143,MATCH(B49,February!$D$3:$AH$3)+1)+INDEX(February!$C$3:$AH$169,148,MATCH(B49,February!$D$3:$AH$3)+1)-INDEX(February!$B$5:$AH$169,MATCH("Patrick Janssen",February!$B$5:$B$169),MATCH(B49,February!$D$3:$AH$3)+2)-INDEX(February!$B$5:$AH$169,MATCH("Patrick Ziesen",February!$B$5:$B$169),MATCH(B49,February!$D$3:$AH$3)+2)-INDEX(February!$B$5:$AH$169,MATCH("Frido Meijer",February!$B$5:$B$169),MATCH(B49,February!$D$3:$AH$3)+2)</f>
        <v>16</v>
      </c>
      <c r="H49" s="130">
        <f>INDEX(February!$C$3:$AH$169,4,MATCH(B49,February!$D$3:$AH$3)+1)+INDEX(February!$C$3:$AH$169,9,MATCH(B49,February!$D$3:$AH$3)+1)+INDEX(February!$C$3:$AH$169,14,MATCH(B49,February!$D$3:$AH$3)+1)+INDEX(February!$C$3:$AH$169,19,MATCH(B49,February!$D$3:$AH$3)+1)+INDEX(February!$C$3:$AH$169,24,MATCH(B49,February!$D$3:$AH$3)+1)+INDEX(February!$C$3:$AH$169,29,MATCH(B49,February!$D$3:$AH$3)+1)+INDEX(February!$C$3:$AH$169,34,MATCH(B49,February!$D$3:$AH$3)+1)+INDEX(February!$C$3:$AH$169,39,MATCH(B49,February!$D$3:$AH$3)+1)+INDEX(February!$C$3:$AH$169,44,MATCH(B49,February!$D$3:$AH$3)+1)+INDEX(February!$C$3:$AH$169,49,MATCH(B49,February!$D$3:$AH$3)+1)+INDEX(February!$C$3:$AH$169,54,MATCH(B49,February!$D$3:$AH$3)+1)+INDEX(February!$C$3:$AH$169,59,MATCH(B49,February!$D$3:$AH$3)+1)+INDEX(February!$C$3:$AH$169,64,MATCH(B49,February!$D$3:$AH$3)+1)+INDEX(February!$C$3:$AH$169,69,MATCH(B49,February!$D$3:$AH$3)+1)+INDEX(February!$C$3:$AH$169,74,MATCH(B49,February!$D$3:$AH$3)+1)+INDEX(February!$C$3:$AH$169,79,MATCH(B49,February!$D$3:$AH$3)+1)+INDEX(February!$C$3:$AH$169,84,MATCH(B49,February!$D$3:$AH$3)+1)+INDEX(February!$C$3:$AH$169,89,MATCH(B49,February!$D$3:$AH$3)+1)+INDEX(February!$C$3:$AH$169,94,MATCH(B49,February!$D$3:$AH$3)+1)+INDEX(February!$C$3:$AH$169,99,MATCH(B49,February!$D$3:$AH$3)+1)+INDEX(February!$C$3:$AH$169,104,MATCH(B49,February!$D$3:$AH$3)+1)+INDEX(February!$C$3:$AH$169,109,MATCH(B49,February!$D$3:$AH$3)+1)+INDEX(February!$C$3:$AH$169,114,MATCH(B49,February!$D$3:$AH$3)+1)+INDEX(February!$C$3:$AH$169,119,MATCH(B49,February!$D$3:$AH$3)+1)+INDEX(February!$C$3:$AH$169,124,MATCH(B49,February!$D$3:$AH$3)+1)+INDEX(February!$C$3:$AH$169,129,MATCH(B49,February!$D$3:$AH$3)+1)+INDEX(February!$C$3:$AH$169,134,MATCH(B49,February!$D$3:$AH$3)+1)+INDEX(February!$C$3:$AH$169,139,MATCH(B49,February!$D$3:$AH$3)+1)+INDEX(February!$C$3:$AH$169,144,MATCH(B49,February!$D$3:$AH$3)+1)+INDEX(February!$C$3:$AH$169,149,MATCH(B49,February!$D$3:$AH$3)+1)-INDEX(February!$B$5:$AH$169,MATCH("Patrick Janssen",February!$B$5:$B$169)+1,MATCH(B49,February!$D$3:$AH$3)+2)-INDEX(February!$B$5:$AH$169,MATCH("Patrick Ziesen",February!$B$5:$B$169)+1,MATCH(B49,February!$D$3:$AH$3)+2)-INDEX(February!$B$5:$AH$169,MATCH("Frido Meijer",February!$B$5:$B$169)+1,MATCH(B49,February!$D$3:$AH$3)+2)</f>
        <v>32</v>
      </c>
      <c r="I49" s="130">
        <v>0</v>
      </c>
      <c r="J49" s="130">
        <v>0</v>
      </c>
      <c r="L49" s="111"/>
      <c r="M49" s="111"/>
      <c r="N49" s="111">
        <f t="shared" si="10"/>
        <v>0</v>
      </c>
      <c r="P49" s="112">
        <f t="shared" si="11"/>
        <v>0</v>
      </c>
      <c r="Q49" s="112">
        <f t="shared" si="12"/>
        <v>0</v>
      </c>
    </row>
    <row r="50" spans="2:17" x14ac:dyDescent="0.25">
      <c r="B50" s="110">
        <f>DATE(Title!$F$12,$S$6,S17)</f>
        <v>41318</v>
      </c>
      <c r="C50" s="111">
        <f>IF(WEEKDAY(B50)=1,0,IF(WEEKDAY(B50)=4,'Hours Scheduled'!$E$44-1,IF(WEEKDAY(B50)=7,0,'Hours Scheduled'!$E$44)))</f>
        <v>23</v>
      </c>
      <c r="D50" s="17">
        <f t="shared" si="13"/>
        <v>172.5</v>
      </c>
      <c r="E50" s="127">
        <f t="shared" si="14"/>
        <v>135</v>
      </c>
      <c r="F50" s="111"/>
      <c r="G50" s="130">
        <f>INDEX(February!$C$3:$AH$169,3,MATCH(B50,February!$D$3:$AH$3)+1)+INDEX(February!$C$3:$AH$169,8,MATCH(B50,February!$D$3:$AH$3)+1)+INDEX(February!$C$3:$AH$169,13,MATCH(B50,February!$D$3:$AH$3)+1)+INDEX(February!$C$3:$AH$169,18,MATCH(B50,February!$D$3:$AH$3)+1)+INDEX(February!$C$3:$AH$169,23,MATCH(B50,February!$D$3:$AH$3)+1)+INDEX(February!$C$3:$AH$169,28,MATCH(B50,February!$D$3:$AH$3)+1)+INDEX(February!$C$3:$AH$169,33,MATCH(B50,February!$D$3:$AH$3)+1)+INDEX(February!$C$3:$AH$169,38,MATCH(B50,February!$D$3:$AH$3)+1)+INDEX(February!$C$3:$AH$169,43,MATCH(B50,February!$D$3:$AH$3)+1)+INDEX(February!$C$3:$AH$169,48,MATCH(B50,February!$D$3:$AH$3)+1)+INDEX(February!$C$3:$AH$169,53,MATCH(B50,February!$D$3:$AH$3)+1)+INDEX(February!$C$3:$AH$169,58,MATCH(B50,February!$D$3:$AH$3)+1)+INDEX(February!$C$3:$AH$169,63,MATCH(B50,February!$D$3:$AH$3)+1)+INDEX(February!$C$3:$AH$169,68,MATCH(B50,February!$D$3:$AH$3)+1)+INDEX(February!$C$3:$AH$169,73,MATCH(B50,February!$D$3:$AH$3)+1)+INDEX(February!$C$3:$AH$169,78,MATCH(B50,February!$D$3:$AH$3)+1)+INDEX(February!$C$3:$AH$169,83,MATCH(B50,February!$D$3:$AH$3)+1)+INDEX(February!$C$3:$AH$169,88,MATCH(B50,February!$D$3:$AH$3)+1)+INDEX(February!$C$3:$AH$169,93,MATCH(B50,February!$D$3:$AH$3)+1)+INDEX(February!$C$3:$AH$169,98,MATCH(B50,February!$D$3:$AH$3)+1)+INDEX(February!$C$3:$AH$169,103,MATCH(B50,February!$D$3:$AH$3)+1)+INDEX(February!$C$3:$AH$169,108,MATCH(B50,February!$D$3:$AH$3)+1)+INDEX(February!$C$3:$AH$169,113,MATCH(B50,February!$D$3:$AH$3)+1)+INDEX(February!$C$3:$AH$169,118,MATCH(B50,February!$D$3:$AH$3)+1)+INDEX(February!$C$3:$AH$169,123,MATCH(B50,February!$D$3:$AH$3)+1)+INDEX(February!$C$3:$AH$169,128,MATCH(B50,February!$D$3:$AH$3)+1)+INDEX(February!$C$3:$AH$169,133,MATCH(B50,February!$D$3:$AH$3)+1)+INDEX(February!$C$3:$AH$169,138,MATCH(B50,February!$D$3:$AH$3)+1)+INDEX(February!$C$3:$AH$169,143,MATCH(B50,February!$D$3:$AH$3)+1)+INDEX(February!$C$3:$AH$169,148,MATCH(B50,February!$D$3:$AH$3)+1)-INDEX(February!$B$5:$AH$169,MATCH("Patrick Janssen",February!$B$5:$B$169),MATCH(B50,February!$D$3:$AH$3)+2)-INDEX(February!$B$5:$AH$169,MATCH("Patrick Ziesen",February!$B$5:$B$169),MATCH(B50,February!$D$3:$AH$3)+2)-INDEX(February!$B$5:$AH$169,MATCH("Frido Meijer",February!$B$5:$B$169),MATCH(B50,February!$D$3:$AH$3)+2)</f>
        <v>17</v>
      </c>
      <c r="H50" s="130">
        <f>INDEX(February!$C$3:$AH$169,4,MATCH(B50,February!$D$3:$AH$3)+1)+INDEX(February!$C$3:$AH$169,9,MATCH(B50,February!$D$3:$AH$3)+1)+INDEX(February!$C$3:$AH$169,14,MATCH(B50,February!$D$3:$AH$3)+1)+INDEX(February!$C$3:$AH$169,19,MATCH(B50,February!$D$3:$AH$3)+1)+INDEX(February!$C$3:$AH$169,24,MATCH(B50,February!$D$3:$AH$3)+1)+INDEX(February!$C$3:$AH$169,29,MATCH(B50,February!$D$3:$AH$3)+1)+INDEX(February!$C$3:$AH$169,34,MATCH(B50,February!$D$3:$AH$3)+1)+INDEX(February!$C$3:$AH$169,39,MATCH(B50,February!$D$3:$AH$3)+1)+INDEX(February!$C$3:$AH$169,44,MATCH(B50,February!$D$3:$AH$3)+1)+INDEX(February!$C$3:$AH$169,49,MATCH(B50,February!$D$3:$AH$3)+1)+INDEX(February!$C$3:$AH$169,54,MATCH(B50,February!$D$3:$AH$3)+1)+INDEX(February!$C$3:$AH$169,59,MATCH(B50,February!$D$3:$AH$3)+1)+INDEX(February!$C$3:$AH$169,64,MATCH(B50,February!$D$3:$AH$3)+1)+INDEX(February!$C$3:$AH$169,69,MATCH(B50,February!$D$3:$AH$3)+1)+INDEX(February!$C$3:$AH$169,74,MATCH(B50,February!$D$3:$AH$3)+1)+INDEX(February!$C$3:$AH$169,79,MATCH(B50,February!$D$3:$AH$3)+1)+INDEX(February!$C$3:$AH$169,84,MATCH(B50,February!$D$3:$AH$3)+1)+INDEX(February!$C$3:$AH$169,89,MATCH(B50,February!$D$3:$AH$3)+1)+INDEX(February!$C$3:$AH$169,94,MATCH(B50,February!$D$3:$AH$3)+1)+INDEX(February!$C$3:$AH$169,99,MATCH(B50,February!$D$3:$AH$3)+1)+INDEX(February!$C$3:$AH$169,104,MATCH(B50,February!$D$3:$AH$3)+1)+INDEX(February!$C$3:$AH$169,109,MATCH(B50,February!$D$3:$AH$3)+1)+INDEX(February!$C$3:$AH$169,114,MATCH(B50,February!$D$3:$AH$3)+1)+INDEX(February!$C$3:$AH$169,119,MATCH(B50,February!$D$3:$AH$3)+1)+INDEX(February!$C$3:$AH$169,124,MATCH(B50,February!$D$3:$AH$3)+1)+INDEX(February!$C$3:$AH$169,129,MATCH(B50,February!$D$3:$AH$3)+1)+INDEX(February!$C$3:$AH$169,134,MATCH(B50,February!$D$3:$AH$3)+1)+INDEX(February!$C$3:$AH$169,139,MATCH(B50,February!$D$3:$AH$3)+1)+INDEX(February!$C$3:$AH$169,144,MATCH(B50,February!$D$3:$AH$3)+1)+INDEX(February!$C$3:$AH$169,149,MATCH(B50,February!$D$3:$AH$3)+1)-INDEX(February!$B$5:$AH$169,MATCH("Patrick Janssen",February!$B$5:$B$169)+1,MATCH(B50,February!$D$3:$AH$3)+2)-INDEX(February!$B$5:$AH$169,MATCH("Patrick Ziesen",February!$B$5:$B$169)+1,MATCH(B50,February!$D$3:$AH$3)+2)-INDEX(February!$B$5:$AH$169,MATCH("Frido Meijer",February!$B$5:$B$169)+1,MATCH(B50,February!$D$3:$AH$3)+2)</f>
        <v>32</v>
      </c>
      <c r="I50" s="130">
        <v>0</v>
      </c>
      <c r="J50" s="130">
        <v>0</v>
      </c>
      <c r="L50" s="212"/>
      <c r="M50" s="111"/>
      <c r="N50" s="111">
        <f t="shared" si="10"/>
        <v>0</v>
      </c>
      <c r="P50" s="112">
        <f t="shared" si="11"/>
        <v>0</v>
      </c>
      <c r="Q50" s="112">
        <f t="shared" si="12"/>
        <v>0</v>
      </c>
    </row>
    <row r="51" spans="2:17" x14ac:dyDescent="0.25">
      <c r="B51" s="110">
        <f>DATE(Title!$F$12,$S$6,S18)</f>
        <v>41319</v>
      </c>
      <c r="C51" s="111">
        <f>IF(WEEKDAY(B51)=1,0,IF(WEEKDAY(B51)=4,'Hours Scheduled'!$E$44-1,IF(WEEKDAY(B51)=7,0,'Hours Scheduled'!$E$44)))</f>
        <v>24</v>
      </c>
      <c r="D51" s="17">
        <f t="shared" si="13"/>
        <v>180</v>
      </c>
      <c r="E51" s="127">
        <f t="shared" si="14"/>
        <v>158</v>
      </c>
      <c r="F51" s="111"/>
      <c r="G51" s="130">
        <f>INDEX(February!$C$3:$AH$169,3,MATCH(B51,February!$D$3:$AH$3)+1)+INDEX(February!$C$3:$AH$169,8,MATCH(B51,February!$D$3:$AH$3)+1)+INDEX(February!$C$3:$AH$169,13,MATCH(B51,February!$D$3:$AH$3)+1)+INDEX(February!$C$3:$AH$169,18,MATCH(B51,February!$D$3:$AH$3)+1)+INDEX(February!$C$3:$AH$169,23,MATCH(B51,February!$D$3:$AH$3)+1)+INDEX(February!$C$3:$AH$169,28,MATCH(B51,February!$D$3:$AH$3)+1)+INDEX(February!$C$3:$AH$169,33,MATCH(B51,February!$D$3:$AH$3)+1)+INDEX(February!$C$3:$AH$169,38,MATCH(B51,February!$D$3:$AH$3)+1)+INDEX(February!$C$3:$AH$169,43,MATCH(B51,February!$D$3:$AH$3)+1)+INDEX(February!$C$3:$AH$169,48,MATCH(B51,February!$D$3:$AH$3)+1)+INDEX(February!$C$3:$AH$169,53,MATCH(B51,February!$D$3:$AH$3)+1)+INDEX(February!$C$3:$AH$169,58,MATCH(B51,February!$D$3:$AH$3)+1)+INDEX(February!$C$3:$AH$169,63,MATCH(B51,February!$D$3:$AH$3)+1)+INDEX(February!$C$3:$AH$169,68,MATCH(B51,February!$D$3:$AH$3)+1)+INDEX(February!$C$3:$AH$169,73,MATCH(B51,February!$D$3:$AH$3)+1)+INDEX(February!$C$3:$AH$169,78,MATCH(B51,February!$D$3:$AH$3)+1)+INDEX(February!$C$3:$AH$169,83,MATCH(B51,February!$D$3:$AH$3)+1)+INDEX(February!$C$3:$AH$169,88,MATCH(B51,February!$D$3:$AH$3)+1)+INDEX(February!$C$3:$AH$169,93,MATCH(B51,February!$D$3:$AH$3)+1)+INDEX(February!$C$3:$AH$169,98,MATCH(B51,February!$D$3:$AH$3)+1)+INDEX(February!$C$3:$AH$169,103,MATCH(B51,February!$D$3:$AH$3)+1)+INDEX(February!$C$3:$AH$169,108,MATCH(B51,February!$D$3:$AH$3)+1)+INDEX(February!$C$3:$AH$169,113,MATCH(B51,February!$D$3:$AH$3)+1)+INDEX(February!$C$3:$AH$169,118,MATCH(B51,February!$D$3:$AH$3)+1)+INDEX(February!$C$3:$AH$169,123,MATCH(B51,February!$D$3:$AH$3)+1)+INDEX(February!$C$3:$AH$169,128,MATCH(B51,February!$D$3:$AH$3)+1)+INDEX(February!$C$3:$AH$169,133,MATCH(B51,February!$D$3:$AH$3)+1)+INDEX(February!$C$3:$AH$169,138,MATCH(B51,February!$D$3:$AH$3)+1)+INDEX(February!$C$3:$AH$169,143,MATCH(B51,February!$D$3:$AH$3)+1)+INDEX(February!$C$3:$AH$169,148,MATCH(B51,February!$D$3:$AH$3)+1)-INDEX(February!$B$5:$AH$169,MATCH("Patrick Janssen",February!$B$5:$B$169),MATCH(B51,February!$D$3:$AH$3)+2)-INDEX(February!$B$5:$AH$169,MATCH("Patrick Ziesen",February!$B$5:$B$169),MATCH(B51,February!$D$3:$AH$3)+2)-INDEX(February!$B$5:$AH$169,MATCH("Frido Meijer",February!$B$5:$B$169),MATCH(B51,February!$D$3:$AH$3)+2)</f>
        <v>18</v>
      </c>
      <c r="H51" s="130">
        <f>INDEX(February!$C$3:$AH$169,4,MATCH(B51,February!$D$3:$AH$3)+1)+INDEX(February!$C$3:$AH$169,9,MATCH(B51,February!$D$3:$AH$3)+1)+INDEX(February!$C$3:$AH$169,14,MATCH(B51,February!$D$3:$AH$3)+1)+INDEX(February!$C$3:$AH$169,19,MATCH(B51,February!$D$3:$AH$3)+1)+INDEX(February!$C$3:$AH$169,24,MATCH(B51,February!$D$3:$AH$3)+1)+INDEX(February!$C$3:$AH$169,29,MATCH(B51,February!$D$3:$AH$3)+1)+INDEX(February!$C$3:$AH$169,34,MATCH(B51,February!$D$3:$AH$3)+1)+INDEX(February!$C$3:$AH$169,39,MATCH(B51,February!$D$3:$AH$3)+1)+INDEX(February!$C$3:$AH$169,44,MATCH(B51,February!$D$3:$AH$3)+1)+INDEX(February!$C$3:$AH$169,49,MATCH(B51,February!$D$3:$AH$3)+1)+INDEX(February!$C$3:$AH$169,54,MATCH(B51,February!$D$3:$AH$3)+1)+INDEX(February!$C$3:$AH$169,59,MATCH(B51,February!$D$3:$AH$3)+1)+INDEX(February!$C$3:$AH$169,64,MATCH(B51,February!$D$3:$AH$3)+1)+INDEX(February!$C$3:$AH$169,69,MATCH(B51,February!$D$3:$AH$3)+1)+INDEX(February!$C$3:$AH$169,74,MATCH(B51,February!$D$3:$AH$3)+1)+INDEX(February!$C$3:$AH$169,79,MATCH(B51,February!$D$3:$AH$3)+1)+INDEX(February!$C$3:$AH$169,84,MATCH(B51,February!$D$3:$AH$3)+1)+INDEX(February!$C$3:$AH$169,89,MATCH(B51,February!$D$3:$AH$3)+1)+INDEX(February!$C$3:$AH$169,94,MATCH(B51,February!$D$3:$AH$3)+1)+INDEX(February!$C$3:$AH$169,99,MATCH(B51,February!$D$3:$AH$3)+1)+INDEX(February!$C$3:$AH$169,104,MATCH(B51,February!$D$3:$AH$3)+1)+INDEX(February!$C$3:$AH$169,109,MATCH(B51,February!$D$3:$AH$3)+1)+INDEX(February!$C$3:$AH$169,114,MATCH(B51,February!$D$3:$AH$3)+1)+INDEX(February!$C$3:$AH$169,119,MATCH(B51,February!$D$3:$AH$3)+1)+INDEX(February!$C$3:$AH$169,124,MATCH(B51,February!$D$3:$AH$3)+1)+INDEX(February!$C$3:$AH$169,129,MATCH(B51,February!$D$3:$AH$3)+1)+INDEX(February!$C$3:$AH$169,134,MATCH(B51,February!$D$3:$AH$3)+1)+INDEX(February!$C$3:$AH$169,139,MATCH(B51,February!$D$3:$AH$3)+1)+INDEX(February!$C$3:$AH$169,144,MATCH(B51,February!$D$3:$AH$3)+1)+INDEX(February!$C$3:$AH$169,149,MATCH(B51,February!$D$3:$AH$3)+1)-INDEX(February!$B$5:$AH$169,MATCH("Patrick Janssen",February!$B$5:$B$169)+1,MATCH(B51,February!$D$3:$AH$3)+2)-INDEX(February!$B$5:$AH$169,MATCH("Patrick Ziesen",February!$B$5:$B$169)+1,MATCH(B51,February!$D$3:$AH$3)+2)-INDEX(February!$B$5:$AH$169,MATCH("Frido Meijer",February!$B$5:$B$169)+1,MATCH(B51,February!$D$3:$AH$3)+2)</f>
        <v>16</v>
      </c>
      <c r="I51" s="130">
        <v>0</v>
      </c>
      <c r="J51" s="130">
        <v>0</v>
      </c>
      <c r="L51" s="212"/>
      <c r="M51" s="111"/>
      <c r="N51" s="111">
        <f t="shared" si="10"/>
        <v>0</v>
      </c>
      <c r="P51" s="112">
        <f t="shared" si="11"/>
        <v>0</v>
      </c>
      <c r="Q51" s="112">
        <f t="shared" si="12"/>
        <v>0</v>
      </c>
    </row>
    <row r="52" spans="2:17" x14ac:dyDescent="0.25">
      <c r="B52" s="110">
        <f>DATE(Title!$F$12,$S$6,S19)</f>
        <v>41320</v>
      </c>
      <c r="C52" s="111">
        <f>IF(WEEKDAY(B52)=1,0,IF(WEEKDAY(B52)=4,'Hours Scheduled'!$E$44-1,IF(WEEKDAY(B52)=7,0,'Hours Scheduled'!$E$44)))</f>
        <v>24</v>
      </c>
      <c r="D52" s="17">
        <f t="shared" si="13"/>
        <v>180</v>
      </c>
      <c r="E52" s="127">
        <f t="shared" si="14"/>
        <v>151.5</v>
      </c>
      <c r="F52" s="111"/>
      <c r="G52" s="130">
        <f>INDEX(February!$C$3:$AH$169,3,MATCH(B52,February!$D$3:$AH$3)+1)+INDEX(February!$C$3:$AH$169,8,MATCH(B52,February!$D$3:$AH$3)+1)+INDEX(February!$C$3:$AH$169,13,MATCH(B52,February!$D$3:$AH$3)+1)+INDEX(February!$C$3:$AH$169,18,MATCH(B52,February!$D$3:$AH$3)+1)+INDEX(February!$C$3:$AH$169,23,MATCH(B52,February!$D$3:$AH$3)+1)+INDEX(February!$C$3:$AH$169,28,MATCH(B52,February!$D$3:$AH$3)+1)+INDEX(February!$C$3:$AH$169,33,MATCH(B52,February!$D$3:$AH$3)+1)+INDEX(February!$C$3:$AH$169,38,MATCH(B52,February!$D$3:$AH$3)+1)+INDEX(February!$C$3:$AH$169,43,MATCH(B52,February!$D$3:$AH$3)+1)+INDEX(February!$C$3:$AH$169,48,MATCH(B52,February!$D$3:$AH$3)+1)+INDEX(February!$C$3:$AH$169,53,MATCH(B52,February!$D$3:$AH$3)+1)+INDEX(February!$C$3:$AH$169,58,MATCH(B52,February!$D$3:$AH$3)+1)+INDEX(February!$C$3:$AH$169,63,MATCH(B52,February!$D$3:$AH$3)+1)+INDEX(February!$C$3:$AH$169,68,MATCH(B52,February!$D$3:$AH$3)+1)+INDEX(February!$C$3:$AH$169,73,MATCH(B52,February!$D$3:$AH$3)+1)+INDEX(February!$C$3:$AH$169,78,MATCH(B52,February!$D$3:$AH$3)+1)+INDEX(February!$C$3:$AH$169,83,MATCH(B52,February!$D$3:$AH$3)+1)+INDEX(February!$C$3:$AH$169,88,MATCH(B52,February!$D$3:$AH$3)+1)+INDEX(February!$C$3:$AH$169,93,MATCH(B52,February!$D$3:$AH$3)+1)+INDEX(February!$C$3:$AH$169,98,MATCH(B52,February!$D$3:$AH$3)+1)+INDEX(February!$C$3:$AH$169,103,MATCH(B52,February!$D$3:$AH$3)+1)+INDEX(February!$C$3:$AH$169,108,MATCH(B52,February!$D$3:$AH$3)+1)+INDEX(February!$C$3:$AH$169,113,MATCH(B52,February!$D$3:$AH$3)+1)+INDEX(February!$C$3:$AH$169,118,MATCH(B52,February!$D$3:$AH$3)+1)+INDEX(February!$C$3:$AH$169,123,MATCH(B52,February!$D$3:$AH$3)+1)+INDEX(February!$C$3:$AH$169,128,MATCH(B52,February!$D$3:$AH$3)+1)+INDEX(February!$C$3:$AH$169,133,MATCH(B52,February!$D$3:$AH$3)+1)+INDEX(February!$C$3:$AH$169,138,MATCH(B52,February!$D$3:$AH$3)+1)+INDEX(February!$C$3:$AH$169,143,MATCH(B52,February!$D$3:$AH$3)+1)+INDEX(February!$C$3:$AH$169,148,MATCH(B52,February!$D$3:$AH$3)+1)-INDEX(February!$B$5:$AH$169,MATCH("Patrick Janssen",February!$B$5:$B$169),MATCH(B52,February!$D$3:$AH$3)+2)-INDEX(February!$B$5:$AH$169,MATCH("Patrick Ziesen",February!$B$5:$B$169),MATCH(B52,February!$D$3:$AH$3)+2)-INDEX(February!$B$5:$AH$169,MATCH("Frido Meijer",February!$B$5:$B$169),MATCH(B52,February!$D$3:$AH$3)+2)</f>
        <v>24.5</v>
      </c>
      <c r="H52" s="130">
        <f>INDEX(February!$C$3:$AH$169,4,MATCH(B52,February!$D$3:$AH$3)+1)+INDEX(February!$C$3:$AH$169,9,MATCH(B52,February!$D$3:$AH$3)+1)+INDEX(February!$C$3:$AH$169,14,MATCH(B52,February!$D$3:$AH$3)+1)+INDEX(February!$C$3:$AH$169,19,MATCH(B52,February!$D$3:$AH$3)+1)+INDEX(February!$C$3:$AH$169,24,MATCH(B52,February!$D$3:$AH$3)+1)+INDEX(February!$C$3:$AH$169,29,MATCH(B52,February!$D$3:$AH$3)+1)+INDEX(February!$C$3:$AH$169,34,MATCH(B52,February!$D$3:$AH$3)+1)+INDEX(February!$C$3:$AH$169,39,MATCH(B52,February!$D$3:$AH$3)+1)+INDEX(February!$C$3:$AH$169,44,MATCH(B52,February!$D$3:$AH$3)+1)+INDEX(February!$C$3:$AH$169,49,MATCH(B52,February!$D$3:$AH$3)+1)+INDEX(February!$C$3:$AH$169,54,MATCH(B52,February!$D$3:$AH$3)+1)+INDEX(February!$C$3:$AH$169,59,MATCH(B52,February!$D$3:$AH$3)+1)+INDEX(February!$C$3:$AH$169,64,MATCH(B52,February!$D$3:$AH$3)+1)+INDEX(February!$C$3:$AH$169,69,MATCH(B52,February!$D$3:$AH$3)+1)+INDEX(February!$C$3:$AH$169,74,MATCH(B52,February!$D$3:$AH$3)+1)+INDEX(February!$C$3:$AH$169,79,MATCH(B52,February!$D$3:$AH$3)+1)+INDEX(February!$C$3:$AH$169,84,MATCH(B52,February!$D$3:$AH$3)+1)+INDEX(February!$C$3:$AH$169,89,MATCH(B52,February!$D$3:$AH$3)+1)+INDEX(February!$C$3:$AH$169,94,MATCH(B52,February!$D$3:$AH$3)+1)+INDEX(February!$C$3:$AH$169,99,MATCH(B52,February!$D$3:$AH$3)+1)+INDEX(February!$C$3:$AH$169,104,MATCH(B52,February!$D$3:$AH$3)+1)+INDEX(February!$C$3:$AH$169,109,MATCH(B52,February!$D$3:$AH$3)+1)+INDEX(February!$C$3:$AH$169,114,MATCH(B52,February!$D$3:$AH$3)+1)+INDEX(February!$C$3:$AH$169,119,MATCH(B52,February!$D$3:$AH$3)+1)+INDEX(February!$C$3:$AH$169,124,MATCH(B52,February!$D$3:$AH$3)+1)+INDEX(February!$C$3:$AH$169,129,MATCH(B52,February!$D$3:$AH$3)+1)+INDEX(February!$C$3:$AH$169,134,MATCH(B52,February!$D$3:$AH$3)+1)+INDEX(February!$C$3:$AH$169,139,MATCH(B52,February!$D$3:$AH$3)+1)+INDEX(February!$C$3:$AH$169,144,MATCH(B52,February!$D$3:$AH$3)+1)+INDEX(February!$C$3:$AH$169,149,MATCH(B52,February!$D$3:$AH$3)+1)-INDEX(February!$B$5:$AH$169,MATCH("Patrick Janssen",February!$B$5:$B$169)+1,MATCH(B52,February!$D$3:$AH$3)+2)-INDEX(February!$B$5:$AH$169,MATCH("Patrick Ziesen",February!$B$5:$B$169)+1,MATCH(B52,February!$D$3:$AH$3)+2)-INDEX(February!$B$5:$AH$169,MATCH("Frido Meijer",February!$B$5:$B$169)+1,MATCH(B52,February!$D$3:$AH$3)+2)</f>
        <v>16</v>
      </c>
      <c r="I52" s="130">
        <v>0</v>
      </c>
      <c r="J52" s="130">
        <v>0</v>
      </c>
      <c r="L52" s="212"/>
      <c r="M52" s="111"/>
      <c r="N52" s="111">
        <f t="shared" si="10"/>
        <v>0</v>
      </c>
      <c r="P52" s="112">
        <f t="shared" si="11"/>
        <v>0</v>
      </c>
      <c r="Q52" s="112">
        <f t="shared" si="12"/>
        <v>0</v>
      </c>
    </row>
    <row r="53" spans="2:17" x14ac:dyDescent="0.25">
      <c r="B53" s="110">
        <f>DATE(Title!$F$12,$S$6,S20)</f>
        <v>41321</v>
      </c>
      <c r="C53" s="111">
        <f>IF(WEEKDAY(B53)=1,0,IF(WEEKDAY(B53)=4,'Hours Scheduled'!$E$44-1,IF(WEEKDAY(B53)=7,0,'Hours Scheduled'!$E$44)))</f>
        <v>0</v>
      </c>
      <c r="D53" s="17">
        <f t="shared" si="13"/>
        <v>0</v>
      </c>
      <c r="E53" s="127">
        <f t="shared" si="14"/>
        <v>0</v>
      </c>
      <c r="F53" s="111"/>
      <c r="G53" s="130">
        <f>INDEX(February!$C$3:$AH$169,3,MATCH(B53,February!$D$3:$AH$3)+1)+INDEX(February!$C$3:$AH$169,8,MATCH(B53,February!$D$3:$AH$3)+1)+INDEX(February!$C$3:$AH$169,13,MATCH(B53,February!$D$3:$AH$3)+1)+INDEX(February!$C$3:$AH$169,18,MATCH(B53,February!$D$3:$AH$3)+1)+INDEX(February!$C$3:$AH$169,23,MATCH(B53,February!$D$3:$AH$3)+1)+INDEX(February!$C$3:$AH$169,28,MATCH(B53,February!$D$3:$AH$3)+1)+INDEX(February!$C$3:$AH$169,33,MATCH(B53,February!$D$3:$AH$3)+1)+INDEX(February!$C$3:$AH$169,38,MATCH(B53,February!$D$3:$AH$3)+1)+INDEX(February!$C$3:$AH$169,43,MATCH(B53,February!$D$3:$AH$3)+1)+INDEX(February!$C$3:$AH$169,48,MATCH(B53,February!$D$3:$AH$3)+1)+INDEX(February!$C$3:$AH$169,53,MATCH(B53,February!$D$3:$AH$3)+1)+INDEX(February!$C$3:$AH$169,58,MATCH(B53,February!$D$3:$AH$3)+1)+INDEX(February!$C$3:$AH$169,63,MATCH(B53,February!$D$3:$AH$3)+1)+INDEX(February!$C$3:$AH$169,68,MATCH(B53,February!$D$3:$AH$3)+1)+INDEX(February!$C$3:$AH$169,73,MATCH(B53,February!$D$3:$AH$3)+1)+INDEX(February!$C$3:$AH$169,78,MATCH(B53,February!$D$3:$AH$3)+1)+INDEX(February!$C$3:$AH$169,83,MATCH(B53,February!$D$3:$AH$3)+1)+INDEX(February!$C$3:$AH$169,88,MATCH(B53,February!$D$3:$AH$3)+1)+INDEX(February!$C$3:$AH$169,93,MATCH(B53,February!$D$3:$AH$3)+1)+INDEX(February!$C$3:$AH$169,98,MATCH(B53,February!$D$3:$AH$3)+1)+INDEX(February!$C$3:$AH$169,103,MATCH(B53,February!$D$3:$AH$3)+1)+INDEX(February!$C$3:$AH$169,108,MATCH(B53,February!$D$3:$AH$3)+1)+INDEX(February!$C$3:$AH$169,113,MATCH(B53,February!$D$3:$AH$3)+1)+INDEX(February!$C$3:$AH$169,118,MATCH(B53,February!$D$3:$AH$3)+1)+INDEX(February!$C$3:$AH$169,123,MATCH(B53,February!$D$3:$AH$3)+1)+INDEX(February!$C$3:$AH$169,128,MATCH(B53,February!$D$3:$AH$3)+1)+INDEX(February!$C$3:$AH$169,133,MATCH(B53,February!$D$3:$AH$3)+1)+INDEX(February!$C$3:$AH$169,138,MATCH(B53,February!$D$3:$AH$3)+1)+INDEX(February!$C$3:$AH$169,143,MATCH(B53,February!$D$3:$AH$3)+1)+INDEX(February!$C$3:$AH$169,148,MATCH(B53,February!$D$3:$AH$3)+1)-INDEX(February!$B$5:$AH$169,MATCH("Patrick Janssen",February!$B$5:$B$169),MATCH(B53,February!$D$3:$AH$3)+2)-INDEX(February!$B$5:$AH$169,MATCH("Patrick Ziesen",February!$B$5:$B$169),MATCH(B53,February!$D$3:$AH$3)+2)-INDEX(February!$B$5:$AH$169,MATCH("Frido Meijer",February!$B$5:$B$169),MATCH(B53,February!$D$3:$AH$3)+2)</f>
        <v>0</v>
      </c>
      <c r="H53" s="130">
        <f>INDEX(February!$C$3:$AH$169,4,MATCH(B53,February!$D$3:$AH$3)+1)+INDEX(February!$C$3:$AH$169,9,MATCH(B53,February!$D$3:$AH$3)+1)+INDEX(February!$C$3:$AH$169,14,MATCH(B53,February!$D$3:$AH$3)+1)+INDEX(February!$C$3:$AH$169,19,MATCH(B53,February!$D$3:$AH$3)+1)+INDEX(February!$C$3:$AH$169,24,MATCH(B53,February!$D$3:$AH$3)+1)+INDEX(February!$C$3:$AH$169,29,MATCH(B53,February!$D$3:$AH$3)+1)+INDEX(February!$C$3:$AH$169,34,MATCH(B53,February!$D$3:$AH$3)+1)+INDEX(February!$C$3:$AH$169,39,MATCH(B53,February!$D$3:$AH$3)+1)+INDEX(February!$C$3:$AH$169,44,MATCH(B53,February!$D$3:$AH$3)+1)+INDEX(February!$C$3:$AH$169,49,MATCH(B53,February!$D$3:$AH$3)+1)+INDEX(February!$C$3:$AH$169,54,MATCH(B53,February!$D$3:$AH$3)+1)+INDEX(February!$C$3:$AH$169,59,MATCH(B53,February!$D$3:$AH$3)+1)+INDEX(February!$C$3:$AH$169,64,MATCH(B53,February!$D$3:$AH$3)+1)+INDEX(February!$C$3:$AH$169,69,MATCH(B53,February!$D$3:$AH$3)+1)+INDEX(February!$C$3:$AH$169,74,MATCH(B53,February!$D$3:$AH$3)+1)+INDEX(February!$C$3:$AH$169,79,MATCH(B53,February!$D$3:$AH$3)+1)+INDEX(February!$C$3:$AH$169,84,MATCH(B53,February!$D$3:$AH$3)+1)+INDEX(February!$C$3:$AH$169,89,MATCH(B53,February!$D$3:$AH$3)+1)+INDEX(February!$C$3:$AH$169,94,MATCH(B53,February!$D$3:$AH$3)+1)+INDEX(February!$C$3:$AH$169,99,MATCH(B53,February!$D$3:$AH$3)+1)+INDEX(February!$C$3:$AH$169,104,MATCH(B53,February!$D$3:$AH$3)+1)+INDEX(February!$C$3:$AH$169,109,MATCH(B53,February!$D$3:$AH$3)+1)+INDEX(February!$C$3:$AH$169,114,MATCH(B53,February!$D$3:$AH$3)+1)+INDEX(February!$C$3:$AH$169,119,MATCH(B53,February!$D$3:$AH$3)+1)+INDEX(February!$C$3:$AH$169,124,MATCH(B53,February!$D$3:$AH$3)+1)+INDEX(February!$C$3:$AH$169,129,MATCH(B53,February!$D$3:$AH$3)+1)+INDEX(February!$C$3:$AH$169,134,MATCH(B53,February!$D$3:$AH$3)+1)+INDEX(February!$C$3:$AH$169,139,MATCH(B53,February!$D$3:$AH$3)+1)+INDEX(February!$C$3:$AH$169,144,MATCH(B53,February!$D$3:$AH$3)+1)+INDEX(February!$C$3:$AH$169,149,MATCH(B53,February!$D$3:$AH$3)+1)-INDEX(February!$B$5:$AH$169,MATCH("Patrick Janssen",February!$B$5:$B$169)+1,MATCH(B53,February!$D$3:$AH$3)+2)-INDEX(February!$B$5:$AH$169,MATCH("Patrick Ziesen",February!$B$5:$B$169)+1,MATCH(B53,February!$D$3:$AH$3)+2)-INDEX(February!$B$5:$AH$169,MATCH("Frido Meijer",February!$B$5:$B$169)+1,MATCH(B53,February!$D$3:$AH$3)+2)</f>
        <v>0</v>
      </c>
      <c r="I53" s="130">
        <v>0</v>
      </c>
      <c r="J53" s="130">
        <v>0</v>
      </c>
      <c r="L53" s="212"/>
      <c r="M53" s="111"/>
      <c r="N53" s="111">
        <f t="shared" si="10"/>
        <v>0</v>
      </c>
      <c r="P53" s="112" t="str">
        <f t="shared" si="11"/>
        <v/>
      </c>
      <c r="Q53" s="112" t="str">
        <f t="shared" si="12"/>
        <v/>
      </c>
    </row>
    <row r="54" spans="2:17" x14ac:dyDescent="0.25">
      <c r="B54" s="110">
        <f>DATE(Title!$F$12,$S$6,S21)</f>
        <v>41322</v>
      </c>
      <c r="C54" s="111">
        <f>IF(WEEKDAY(B54)=1,0,IF(WEEKDAY(B54)=4,'Hours Scheduled'!$E$44-1,IF(WEEKDAY(B54)=7,0,'Hours Scheduled'!$E$44)))</f>
        <v>0</v>
      </c>
      <c r="D54" s="17">
        <f t="shared" si="13"/>
        <v>0</v>
      </c>
      <c r="E54" s="127">
        <f t="shared" si="14"/>
        <v>0</v>
      </c>
      <c r="F54" s="111"/>
      <c r="G54" s="130">
        <f>INDEX(February!$C$3:$AH$169,3,MATCH(B54,February!$D$3:$AH$3)+1)+INDEX(February!$C$3:$AH$169,8,MATCH(B54,February!$D$3:$AH$3)+1)+INDEX(February!$C$3:$AH$169,13,MATCH(B54,February!$D$3:$AH$3)+1)+INDEX(February!$C$3:$AH$169,18,MATCH(B54,February!$D$3:$AH$3)+1)+INDEX(February!$C$3:$AH$169,23,MATCH(B54,February!$D$3:$AH$3)+1)+INDEX(February!$C$3:$AH$169,28,MATCH(B54,February!$D$3:$AH$3)+1)+INDEX(February!$C$3:$AH$169,33,MATCH(B54,February!$D$3:$AH$3)+1)+INDEX(February!$C$3:$AH$169,38,MATCH(B54,February!$D$3:$AH$3)+1)+INDEX(February!$C$3:$AH$169,43,MATCH(B54,February!$D$3:$AH$3)+1)+INDEX(February!$C$3:$AH$169,48,MATCH(B54,February!$D$3:$AH$3)+1)+INDEX(February!$C$3:$AH$169,53,MATCH(B54,February!$D$3:$AH$3)+1)+INDEX(February!$C$3:$AH$169,58,MATCH(B54,February!$D$3:$AH$3)+1)+INDEX(February!$C$3:$AH$169,63,MATCH(B54,February!$D$3:$AH$3)+1)+INDEX(February!$C$3:$AH$169,68,MATCH(B54,February!$D$3:$AH$3)+1)+INDEX(February!$C$3:$AH$169,73,MATCH(B54,February!$D$3:$AH$3)+1)+INDEX(February!$C$3:$AH$169,78,MATCH(B54,February!$D$3:$AH$3)+1)+INDEX(February!$C$3:$AH$169,83,MATCH(B54,February!$D$3:$AH$3)+1)+INDEX(February!$C$3:$AH$169,88,MATCH(B54,February!$D$3:$AH$3)+1)+INDEX(February!$C$3:$AH$169,93,MATCH(B54,February!$D$3:$AH$3)+1)+INDEX(February!$C$3:$AH$169,98,MATCH(B54,February!$D$3:$AH$3)+1)+INDEX(February!$C$3:$AH$169,103,MATCH(B54,February!$D$3:$AH$3)+1)+INDEX(February!$C$3:$AH$169,108,MATCH(B54,February!$D$3:$AH$3)+1)+INDEX(February!$C$3:$AH$169,113,MATCH(B54,February!$D$3:$AH$3)+1)+INDEX(February!$C$3:$AH$169,118,MATCH(B54,February!$D$3:$AH$3)+1)+INDEX(February!$C$3:$AH$169,123,MATCH(B54,February!$D$3:$AH$3)+1)+INDEX(February!$C$3:$AH$169,128,MATCH(B54,February!$D$3:$AH$3)+1)+INDEX(February!$C$3:$AH$169,133,MATCH(B54,February!$D$3:$AH$3)+1)+INDEX(February!$C$3:$AH$169,138,MATCH(B54,February!$D$3:$AH$3)+1)+INDEX(February!$C$3:$AH$169,143,MATCH(B54,February!$D$3:$AH$3)+1)+INDEX(February!$C$3:$AH$169,148,MATCH(B54,February!$D$3:$AH$3)+1)-INDEX(February!$B$5:$AH$169,MATCH("Patrick Janssen",February!$B$5:$B$169),MATCH(B54,February!$D$3:$AH$3)+2)-INDEX(February!$B$5:$AH$169,MATCH("Patrick Ziesen",February!$B$5:$B$169),MATCH(B54,February!$D$3:$AH$3)+2)-INDEX(February!$B$5:$AH$169,MATCH("Frido Meijer",February!$B$5:$B$169),MATCH(B54,February!$D$3:$AH$3)+2)</f>
        <v>0</v>
      </c>
      <c r="H54" s="130">
        <f>INDEX(February!$C$3:$AH$169,4,MATCH(B54,February!$D$3:$AH$3)+1)+INDEX(February!$C$3:$AH$169,9,MATCH(B54,February!$D$3:$AH$3)+1)+INDEX(February!$C$3:$AH$169,14,MATCH(B54,February!$D$3:$AH$3)+1)+INDEX(February!$C$3:$AH$169,19,MATCH(B54,February!$D$3:$AH$3)+1)+INDEX(February!$C$3:$AH$169,24,MATCH(B54,February!$D$3:$AH$3)+1)+INDEX(February!$C$3:$AH$169,29,MATCH(B54,February!$D$3:$AH$3)+1)+INDEX(February!$C$3:$AH$169,34,MATCH(B54,February!$D$3:$AH$3)+1)+INDEX(February!$C$3:$AH$169,39,MATCH(B54,February!$D$3:$AH$3)+1)+INDEX(February!$C$3:$AH$169,44,MATCH(B54,February!$D$3:$AH$3)+1)+INDEX(February!$C$3:$AH$169,49,MATCH(B54,February!$D$3:$AH$3)+1)+INDEX(February!$C$3:$AH$169,54,MATCH(B54,February!$D$3:$AH$3)+1)+INDEX(February!$C$3:$AH$169,59,MATCH(B54,February!$D$3:$AH$3)+1)+INDEX(February!$C$3:$AH$169,64,MATCH(B54,February!$D$3:$AH$3)+1)+INDEX(February!$C$3:$AH$169,69,MATCH(B54,February!$D$3:$AH$3)+1)+INDEX(February!$C$3:$AH$169,74,MATCH(B54,February!$D$3:$AH$3)+1)+INDEX(February!$C$3:$AH$169,79,MATCH(B54,February!$D$3:$AH$3)+1)+INDEX(February!$C$3:$AH$169,84,MATCH(B54,February!$D$3:$AH$3)+1)+INDEX(February!$C$3:$AH$169,89,MATCH(B54,February!$D$3:$AH$3)+1)+INDEX(February!$C$3:$AH$169,94,MATCH(B54,February!$D$3:$AH$3)+1)+INDEX(February!$C$3:$AH$169,99,MATCH(B54,February!$D$3:$AH$3)+1)+INDEX(February!$C$3:$AH$169,104,MATCH(B54,February!$D$3:$AH$3)+1)+INDEX(February!$C$3:$AH$169,109,MATCH(B54,February!$D$3:$AH$3)+1)+INDEX(February!$C$3:$AH$169,114,MATCH(B54,February!$D$3:$AH$3)+1)+INDEX(February!$C$3:$AH$169,119,MATCH(B54,February!$D$3:$AH$3)+1)+INDEX(February!$C$3:$AH$169,124,MATCH(B54,February!$D$3:$AH$3)+1)+INDEX(February!$C$3:$AH$169,129,MATCH(B54,February!$D$3:$AH$3)+1)+INDEX(February!$C$3:$AH$169,134,MATCH(B54,February!$D$3:$AH$3)+1)+INDEX(February!$C$3:$AH$169,139,MATCH(B54,February!$D$3:$AH$3)+1)+INDEX(February!$C$3:$AH$169,144,MATCH(B54,February!$D$3:$AH$3)+1)+INDEX(February!$C$3:$AH$169,149,MATCH(B54,February!$D$3:$AH$3)+1)-INDEX(February!$B$5:$AH$169,MATCH("Patrick Janssen",February!$B$5:$B$169)+1,MATCH(B54,February!$D$3:$AH$3)+2)-INDEX(February!$B$5:$AH$169,MATCH("Patrick Ziesen",February!$B$5:$B$169)+1,MATCH(B54,February!$D$3:$AH$3)+2)-INDEX(February!$B$5:$AH$169,MATCH("Frido Meijer",February!$B$5:$B$169)+1,MATCH(B54,February!$D$3:$AH$3)+2)</f>
        <v>0</v>
      </c>
      <c r="I54" s="130">
        <v>0</v>
      </c>
      <c r="J54" s="130">
        <v>0</v>
      </c>
      <c r="L54" s="212"/>
      <c r="M54" s="111"/>
      <c r="N54" s="111">
        <f t="shared" si="10"/>
        <v>0</v>
      </c>
      <c r="P54" s="112" t="str">
        <f t="shared" si="11"/>
        <v/>
      </c>
      <c r="Q54" s="112" t="str">
        <f t="shared" si="12"/>
        <v/>
      </c>
    </row>
    <row r="55" spans="2:17" x14ac:dyDescent="0.25">
      <c r="B55" s="110">
        <f>DATE(Title!$F$12,$S$6,S22)</f>
        <v>41323</v>
      </c>
      <c r="C55" s="111">
        <f>IF(WEEKDAY(B55)=1,0,IF(WEEKDAY(B55)=4,'Hours Scheduled'!$E$44-1,IF(WEEKDAY(B55)=7,0,'Hours Scheduled'!$E$44)))</f>
        <v>24</v>
      </c>
      <c r="D55" s="17">
        <f t="shared" si="13"/>
        <v>180</v>
      </c>
      <c r="E55" s="127">
        <f t="shared" si="14"/>
        <v>168</v>
      </c>
      <c r="F55" s="111"/>
      <c r="G55" s="130">
        <f>INDEX(February!$C$3:$AH$169,3,MATCH(B55,February!$D$3:$AH$3)+1)+INDEX(February!$C$3:$AH$169,8,MATCH(B55,February!$D$3:$AH$3)+1)+INDEX(February!$C$3:$AH$169,13,MATCH(B55,February!$D$3:$AH$3)+1)+INDEX(February!$C$3:$AH$169,18,MATCH(B55,February!$D$3:$AH$3)+1)+INDEX(February!$C$3:$AH$169,23,MATCH(B55,February!$D$3:$AH$3)+1)+INDEX(February!$C$3:$AH$169,28,MATCH(B55,February!$D$3:$AH$3)+1)+INDEX(February!$C$3:$AH$169,33,MATCH(B55,February!$D$3:$AH$3)+1)+INDEX(February!$C$3:$AH$169,38,MATCH(B55,February!$D$3:$AH$3)+1)+INDEX(February!$C$3:$AH$169,43,MATCH(B55,February!$D$3:$AH$3)+1)+INDEX(February!$C$3:$AH$169,48,MATCH(B55,February!$D$3:$AH$3)+1)+INDEX(February!$C$3:$AH$169,53,MATCH(B55,February!$D$3:$AH$3)+1)+INDEX(February!$C$3:$AH$169,58,MATCH(B55,February!$D$3:$AH$3)+1)+INDEX(February!$C$3:$AH$169,63,MATCH(B55,February!$D$3:$AH$3)+1)+INDEX(February!$C$3:$AH$169,68,MATCH(B55,February!$D$3:$AH$3)+1)+INDEX(February!$C$3:$AH$169,73,MATCH(B55,February!$D$3:$AH$3)+1)+INDEX(February!$C$3:$AH$169,78,MATCH(B55,February!$D$3:$AH$3)+1)+INDEX(February!$C$3:$AH$169,83,MATCH(B55,February!$D$3:$AH$3)+1)+INDEX(February!$C$3:$AH$169,88,MATCH(B55,February!$D$3:$AH$3)+1)+INDEX(February!$C$3:$AH$169,93,MATCH(B55,February!$D$3:$AH$3)+1)+INDEX(February!$C$3:$AH$169,98,MATCH(B55,February!$D$3:$AH$3)+1)+INDEX(February!$C$3:$AH$169,103,MATCH(B55,February!$D$3:$AH$3)+1)+INDEX(February!$C$3:$AH$169,108,MATCH(B55,February!$D$3:$AH$3)+1)+INDEX(February!$C$3:$AH$169,113,MATCH(B55,February!$D$3:$AH$3)+1)+INDEX(February!$C$3:$AH$169,118,MATCH(B55,February!$D$3:$AH$3)+1)+INDEX(February!$C$3:$AH$169,123,MATCH(B55,February!$D$3:$AH$3)+1)+INDEX(February!$C$3:$AH$169,128,MATCH(B55,February!$D$3:$AH$3)+1)+INDEX(February!$C$3:$AH$169,133,MATCH(B55,February!$D$3:$AH$3)+1)+INDEX(February!$C$3:$AH$169,138,MATCH(B55,February!$D$3:$AH$3)+1)+INDEX(February!$C$3:$AH$169,143,MATCH(B55,February!$D$3:$AH$3)+1)+INDEX(February!$C$3:$AH$169,148,MATCH(B55,February!$D$3:$AH$3)+1)-INDEX(February!$B$5:$AH$169,MATCH("Patrick Janssen",February!$B$5:$B$169),MATCH(B55,February!$D$3:$AH$3)+2)-INDEX(February!$B$5:$AH$169,MATCH("Patrick Ziesen",February!$B$5:$B$169),MATCH(B55,February!$D$3:$AH$3)+2)-INDEX(February!$B$5:$AH$169,MATCH("Frido Meijer",February!$B$5:$B$169),MATCH(B55,February!$D$3:$AH$3)+2)</f>
        <v>8</v>
      </c>
      <c r="H55" s="130">
        <f>INDEX(February!$C$3:$AH$169,4,MATCH(B55,February!$D$3:$AH$3)+1)+INDEX(February!$C$3:$AH$169,9,MATCH(B55,February!$D$3:$AH$3)+1)+INDEX(February!$C$3:$AH$169,14,MATCH(B55,February!$D$3:$AH$3)+1)+INDEX(February!$C$3:$AH$169,19,MATCH(B55,February!$D$3:$AH$3)+1)+INDEX(February!$C$3:$AH$169,24,MATCH(B55,February!$D$3:$AH$3)+1)+INDEX(February!$C$3:$AH$169,29,MATCH(B55,February!$D$3:$AH$3)+1)+INDEX(February!$C$3:$AH$169,34,MATCH(B55,February!$D$3:$AH$3)+1)+INDEX(February!$C$3:$AH$169,39,MATCH(B55,February!$D$3:$AH$3)+1)+INDEX(February!$C$3:$AH$169,44,MATCH(B55,February!$D$3:$AH$3)+1)+INDEX(February!$C$3:$AH$169,49,MATCH(B55,February!$D$3:$AH$3)+1)+INDEX(February!$C$3:$AH$169,54,MATCH(B55,February!$D$3:$AH$3)+1)+INDEX(February!$C$3:$AH$169,59,MATCH(B55,February!$D$3:$AH$3)+1)+INDEX(February!$C$3:$AH$169,64,MATCH(B55,February!$D$3:$AH$3)+1)+INDEX(February!$C$3:$AH$169,69,MATCH(B55,February!$D$3:$AH$3)+1)+INDEX(February!$C$3:$AH$169,74,MATCH(B55,February!$D$3:$AH$3)+1)+INDEX(February!$C$3:$AH$169,79,MATCH(B55,February!$D$3:$AH$3)+1)+INDEX(February!$C$3:$AH$169,84,MATCH(B55,February!$D$3:$AH$3)+1)+INDEX(February!$C$3:$AH$169,89,MATCH(B55,February!$D$3:$AH$3)+1)+INDEX(February!$C$3:$AH$169,94,MATCH(B55,February!$D$3:$AH$3)+1)+INDEX(February!$C$3:$AH$169,99,MATCH(B55,February!$D$3:$AH$3)+1)+INDEX(February!$C$3:$AH$169,104,MATCH(B55,February!$D$3:$AH$3)+1)+INDEX(February!$C$3:$AH$169,109,MATCH(B55,February!$D$3:$AH$3)+1)+INDEX(February!$C$3:$AH$169,114,MATCH(B55,February!$D$3:$AH$3)+1)+INDEX(February!$C$3:$AH$169,119,MATCH(B55,February!$D$3:$AH$3)+1)+INDEX(February!$C$3:$AH$169,124,MATCH(B55,February!$D$3:$AH$3)+1)+INDEX(February!$C$3:$AH$169,129,MATCH(B55,February!$D$3:$AH$3)+1)+INDEX(February!$C$3:$AH$169,134,MATCH(B55,February!$D$3:$AH$3)+1)+INDEX(February!$C$3:$AH$169,139,MATCH(B55,February!$D$3:$AH$3)+1)+INDEX(February!$C$3:$AH$169,144,MATCH(B55,February!$D$3:$AH$3)+1)+INDEX(February!$C$3:$AH$169,149,MATCH(B55,February!$D$3:$AH$3)+1)-INDEX(February!$B$5:$AH$169,MATCH("Patrick Janssen",February!$B$5:$B$169)+1,MATCH(B55,February!$D$3:$AH$3)+2)-INDEX(February!$B$5:$AH$169,MATCH("Patrick Ziesen",February!$B$5:$B$169)+1,MATCH(B55,February!$D$3:$AH$3)+2)-INDEX(February!$B$5:$AH$169,MATCH("Frido Meijer",February!$B$5:$B$169)+1,MATCH(B55,February!$D$3:$AH$3)+2)</f>
        <v>16</v>
      </c>
      <c r="I55" s="130">
        <v>0</v>
      </c>
      <c r="J55" s="130">
        <v>0</v>
      </c>
      <c r="L55" s="111"/>
      <c r="M55" s="111"/>
      <c r="N55" s="111">
        <f t="shared" si="10"/>
        <v>0</v>
      </c>
      <c r="P55" s="112">
        <f t="shared" si="11"/>
        <v>0</v>
      </c>
      <c r="Q55" s="112">
        <f t="shared" si="12"/>
        <v>0</v>
      </c>
    </row>
    <row r="56" spans="2:17" x14ac:dyDescent="0.25">
      <c r="B56" s="110">
        <f>DATE(Title!$F$12,$S$6,S23)</f>
        <v>41324</v>
      </c>
      <c r="C56" s="111">
        <f>IF(WEEKDAY(B56)=1,0,IF(WEEKDAY(B56)=4,'Hours Scheduled'!$E$44-1,IF(WEEKDAY(B56)=7,0,'Hours Scheduled'!$E$44)))</f>
        <v>24</v>
      </c>
      <c r="D56" s="17">
        <f t="shared" si="13"/>
        <v>180</v>
      </c>
      <c r="E56" s="127">
        <f t="shared" si="14"/>
        <v>148</v>
      </c>
      <c r="F56" s="111"/>
      <c r="G56" s="130">
        <f>INDEX(February!$C$3:$AH$169,3,MATCH(B56,February!$D$3:$AH$3)+1)+INDEX(February!$C$3:$AH$169,8,MATCH(B56,February!$D$3:$AH$3)+1)+INDEX(February!$C$3:$AH$169,13,MATCH(B56,February!$D$3:$AH$3)+1)+INDEX(February!$C$3:$AH$169,18,MATCH(B56,February!$D$3:$AH$3)+1)+INDEX(February!$C$3:$AH$169,23,MATCH(B56,February!$D$3:$AH$3)+1)+INDEX(February!$C$3:$AH$169,28,MATCH(B56,February!$D$3:$AH$3)+1)+INDEX(February!$C$3:$AH$169,33,MATCH(B56,February!$D$3:$AH$3)+1)+INDEX(February!$C$3:$AH$169,38,MATCH(B56,February!$D$3:$AH$3)+1)+INDEX(February!$C$3:$AH$169,43,MATCH(B56,February!$D$3:$AH$3)+1)+INDEX(February!$C$3:$AH$169,48,MATCH(B56,February!$D$3:$AH$3)+1)+INDEX(February!$C$3:$AH$169,53,MATCH(B56,February!$D$3:$AH$3)+1)+INDEX(February!$C$3:$AH$169,58,MATCH(B56,February!$D$3:$AH$3)+1)+INDEX(February!$C$3:$AH$169,63,MATCH(B56,February!$D$3:$AH$3)+1)+INDEX(February!$C$3:$AH$169,68,MATCH(B56,February!$D$3:$AH$3)+1)+INDEX(February!$C$3:$AH$169,73,MATCH(B56,February!$D$3:$AH$3)+1)+INDEX(February!$C$3:$AH$169,78,MATCH(B56,February!$D$3:$AH$3)+1)+INDEX(February!$C$3:$AH$169,83,MATCH(B56,February!$D$3:$AH$3)+1)+INDEX(February!$C$3:$AH$169,88,MATCH(B56,February!$D$3:$AH$3)+1)+INDEX(February!$C$3:$AH$169,93,MATCH(B56,February!$D$3:$AH$3)+1)+INDEX(February!$C$3:$AH$169,98,MATCH(B56,February!$D$3:$AH$3)+1)+INDEX(February!$C$3:$AH$169,103,MATCH(B56,February!$D$3:$AH$3)+1)+INDEX(February!$C$3:$AH$169,108,MATCH(B56,February!$D$3:$AH$3)+1)+INDEX(February!$C$3:$AH$169,113,MATCH(B56,February!$D$3:$AH$3)+1)+INDEX(February!$C$3:$AH$169,118,MATCH(B56,February!$D$3:$AH$3)+1)+INDEX(February!$C$3:$AH$169,123,MATCH(B56,February!$D$3:$AH$3)+1)+INDEX(February!$C$3:$AH$169,128,MATCH(B56,February!$D$3:$AH$3)+1)+INDEX(February!$C$3:$AH$169,133,MATCH(B56,February!$D$3:$AH$3)+1)+INDEX(February!$C$3:$AH$169,138,MATCH(B56,February!$D$3:$AH$3)+1)+INDEX(February!$C$3:$AH$169,143,MATCH(B56,February!$D$3:$AH$3)+1)+INDEX(February!$C$3:$AH$169,148,MATCH(B56,February!$D$3:$AH$3)+1)-INDEX(February!$B$5:$AH$169,MATCH("Patrick Janssen",February!$B$5:$B$169),MATCH(B56,February!$D$3:$AH$3)+2)-INDEX(February!$B$5:$AH$169,MATCH("Patrick Ziesen",February!$B$5:$B$169),MATCH(B56,February!$D$3:$AH$3)+2)-INDEX(February!$B$5:$AH$169,MATCH("Frido Meijer",February!$B$5:$B$169),MATCH(B56,February!$D$3:$AH$3)+2)</f>
        <v>28</v>
      </c>
      <c r="H56" s="130">
        <f>INDEX(February!$C$3:$AH$169,4,MATCH(B56,February!$D$3:$AH$3)+1)+INDEX(February!$C$3:$AH$169,9,MATCH(B56,February!$D$3:$AH$3)+1)+INDEX(February!$C$3:$AH$169,14,MATCH(B56,February!$D$3:$AH$3)+1)+INDEX(February!$C$3:$AH$169,19,MATCH(B56,February!$D$3:$AH$3)+1)+INDEX(February!$C$3:$AH$169,24,MATCH(B56,February!$D$3:$AH$3)+1)+INDEX(February!$C$3:$AH$169,29,MATCH(B56,February!$D$3:$AH$3)+1)+INDEX(February!$C$3:$AH$169,34,MATCH(B56,February!$D$3:$AH$3)+1)+INDEX(February!$C$3:$AH$169,39,MATCH(B56,February!$D$3:$AH$3)+1)+INDEX(February!$C$3:$AH$169,44,MATCH(B56,February!$D$3:$AH$3)+1)+INDEX(February!$C$3:$AH$169,49,MATCH(B56,February!$D$3:$AH$3)+1)+INDEX(February!$C$3:$AH$169,54,MATCH(B56,February!$D$3:$AH$3)+1)+INDEX(February!$C$3:$AH$169,59,MATCH(B56,February!$D$3:$AH$3)+1)+INDEX(February!$C$3:$AH$169,64,MATCH(B56,February!$D$3:$AH$3)+1)+INDEX(February!$C$3:$AH$169,69,MATCH(B56,February!$D$3:$AH$3)+1)+INDEX(February!$C$3:$AH$169,74,MATCH(B56,February!$D$3:$AH$3)+1)+INDEX(February!$C$3:$AH$169,79,MATCH(B56,February!$D$3:$AH$3)+1)+INDEX(February!$C$3:$AH$169,84,MATCH(B56,February!$D$3:$AH$3)+1)+INDEX(February!$C$3:$AH$169,89,MATCH(B56,February!$D$3:$AH$3)+1)+INDEX(February!$C$3:$AH$169,94,MATCH(B56,February!$D$3:$AH$3)+1)+INDEX(February!$C$3:$AH$169,99,MATCH(B56,February!$D$3:$AH$3)+1)+INDEX(February!$C$3:$AH$169,104,MATCH(B56,February!$D$3:$AH$3)+1)+INDEX(February!$C$3:$AH$169,109,MATCH(B56,February!$D$3:$AH$3)+1)+INDEX(February!$C$3:$AH$169,114,MATCH(B56,February!$D$3:$AH$3)+1)+INDEX(February!$C$3:$AH$169,119,MATCH(B56,February!$D$3:$AH$3)+1)+INDEX(February!$C$3:$AH$169,124,MATCH(B56,February!$D$3:$AH$3)+1)+INDEX(February!$C$3:$AH$169,129,MATCH(B56,February!$D$3:$AH$3)+1)+INDEX(February!$C$3:$AH$169,134,MATCH(B56,February!$D$3:$AH$3)+1)+INDEX(February!$C$3:$AH$169,139,MATCH(B56,February!$D$3:$AH$3)+1)+INDEX(February!$C$3:$AH$169,144,MATCH(B56,February!$D$3:$AH$3)+1)+INDEX(February!$C$3:$AH$169,149,MATCH(B56,February!$D$3:$AH$3)+1)-INDEX(February!$B$5:$AH$169,MATCH("Patrick Janssen",February!$B$5:$B$169)+1,MATCH(B56,February!$D$3:$AH$3)+2)-INDEX(February!$B$5:$AH$169,MATCH("Patrick Ziesen",February!$B$5:$B$169)+1,MATCH(B56,February!$D$3:$AH$3)+2)-INDEX(February!$B$5:$AH$169,MATCH("Frido Meijer",February!$B$5:$B$169)+1,MATCH(B56,February!$D$3:$AH$3)+2)</f>
        <v>16</v>
      </c>
      <c r="I56" s="130">
        <v>0</v>
      </c>
      <c r="J56" s="130">
        <v>0</v>
      </c>
      <c r="L56" s="111"/>
      <c r="M56" s="111"/>
      <c r="N56" s="111">
        <f t="shared" si="10"/>
        <v>0</v>
      </c>
      <c r="P56" s="112">
        <f t="shared" si="11"/>
        <v>0</v>
      </c>
      <c r="Q56" s="112">
        <f t="shared" si="12"/>
        <v>0</v>
      </c>
    </row>
    <row r="57" spans="2:17" x14ac:dyDescent="0.25">
      <c r="B57" s="110">
        <f>DATE(Title!$F$12,$S$6,S24)</f>
        <v>41325</v>
      </c>
      <c r="C57" s="111">
        <f>IF(WEEKDAY(B57)=1,0,IF(WEEKDAY(B57)=4,'Hours Scheduled'!$E$44-1,IF(WEEKDAY(B57)=7,0,'Hours Scheduled'!$E$44)))</f>
        <v>23</v>
      </c>
      <c r="D57" s="17">
        <f t="shared" si="13"/>
        <v>172.5</v>
      </c>
      <c r="E57" s="127">
        <f t="shared" si="14"/>
        <v>159.5</v>
      </c>
      <c r="F57" s="111"/>
      <c r="G57" s="130">
        <f>INDEX(February!$C$3:$AH$169,3,MATCH(B57,February!$D$3:$AH$3)+1)+INDEX(February!$C$3:$AH$169,8,MATCH(B57,February!$D$3:$AH$3)+1)+INDEX(February!$C$3:$AH$169,13,MATCH(B57,February!$D$3:$AH$3)+1)+INDEX(February!$C$3:$AH$169,18,MATCH(B57,February!$D$3:$AH$3)+1)+INDEX(February!$C$3:$AH$169,23,MATCH(B57,February!$D$3:$AH$3)+1)+INDEX(February!$C$3:$AH$169,28,MATCH(B57,February!$D$3:$AH$3)+1)+INDEX(February!$C$3:$AH$169,33,MATCH(B57,February!$D$3:$AH$3)+1)+INDEX(February!$C$3:$AH$169,38,MATCH(B57,February!$D$3:$AH$3)+1)+INDEX(February!$C$3:$AH$169,43,MATCH(B57,February!$D$3:$AH$3)+1)+INDEX(February!$C$3:$AH$169,48,MATCH(B57,February!$D$3:$AH$3)+1)+INDEX(February!$C$3:$AH$169,53,MATCH(B57,February!$D$3:$AH$3)+1)+INDEX(February!$C$3:$AH$169,58,MATCH(B57,February!$D$3:$AH$3)+1)+INDEX(February!$C$3:$AH$169,63,MATCH(B57,February!$D$3:$AH$3)+1)+INDEX(February!$C$3:$AH$169,68,MATCH(B57,February!$D$3:$AH$3)+1)+INDEX(February!$C$3:$AH$169,73,MATCH(B57,February!$D$3:$AH$3)+1)+INDEX(February!$C$3:$AH$169,78,MATCH(B57,February!$D$3:$AH$3)+1)+INDEX(February!$C$3:$AH$169,83,MATCH(B57,February!$D$3:$AH$3)+1)+INDEX(February!$C$3:$AH$169,88,MATCH(B57,February!$D$3:$AH$3)+1)+INDEX(February!$C$3:$AH$169,93,MATCH(B57,February!$D$3:$AH$3)+1)+INDEX(February!$C$3:$AH$169,98,MATCH(B57,February!$D$3:$AH$3)+1)+INDEX(February!$C$3:$AH$169,103,MATCH(B57,February!$D$3:$AH$3)+1)+INDEX(February!$C$3:$AH$169,108,MATCH(B57,February!$D$3:$AH$3)+1)+INDEX(February!$C$3:$AH$169,113,MATCH(B57,February!$D$3:$AH$3)+1)+INDEX(February!$C$3:$AH$169,118,MATCH(B57,February!$D$3:$AH$3)+1)+INDEX(February!$C$3:$AH$169,123,MATCH(B57,February!$D$3:$AH$3)+1)+INDEX(February!$C$3:$AH$169,128,MATCH(B57,February!$D$3:$AH$3)+1)+INDEX(February!$C$3:$AH$169,133,MATCH(B57,February!$D$3:$AH$3)+1)+INDEX(February!$C$3:$AH$169,138,MATCH(B57,February!$D$3:$AH$3)+1)+INDEX(February!$C$3:$AH$169,143,MATCH(B57,February!$D$3:$AH$3)+1)+INDEX(February!$C$3:$AH$169,148,MATCH(B57,February!$D$3:$AH$3)+1)-INDEX(February!$B$5:$AH$169,MATCH("Patrick Janssen",February!$B$5:$B$169),MATCH(B57,February!$D$3:$AH$3)+2)-INDEX(February!$B$5:$AH$169,MATCH("Patrick Ziesen",February!$B$5:$B$169),MATCH(B57,February!$D$3:$AH$3)+2)-INDEX(February!$B$5:$AH$169,MATCH("Frido Meijer",February!$B$5:$B$169),MATCH(B57,February!$D$3:$AH$3)+2)</f>
        <v>8.5</v>
      </c>
      <c r="H57" s="130">
        <f>INDEX(February!$C$3:$AH$169,4,MATCH(B57,February!$D$3:$AH$3)+1)+INDEX(February!$C$3:$AH$169,9,MATCH(B57,February!$D$3:$AH$3)+1)+INDEX(February!$C$3:$AH$169,14,MATCH(B57,February!$D$3:$AH$3)+1)+INDEX(February!$C$3:$AH$169,19,MATCH(B57,February!$D$3:$AH$3)+1)+INDEX(February!$C$3:$AH$169,24,MATCH(B57,February!$D$3:$AH$3)+1)+INDEX(February!$C$3:$AH$169,29,MATCH(B57,February!$D$3:$AH$3)+1)+INDEX(February!$C$3:$AH$169,34,MATCH(B57,February!$D$3:$AH$3)+1)+INDEX(February!$C$3:$AH$169,39,MATCH(B57,February!$D$3:$AH$3)+1)+INDEX(February!$C$3:$AH$169,44,MATCH(B57,February!$D$3:$AH$3)+1)+INDEX(February!$C$3:$AH$169,49,MATCH(B57,February!$D$3:$AH$3)+1)+INDEX(February!$C$3:$AH$169,54,MATCH(B57,February!$D$3:$AH$3)+1)+INDEX(February!$C$3:$AH$169,59,MATCH(B57,February!$D$3:$AH$3)+1)+INDEX(February!$C$3:$AH$169,64,MATCH(B57,February!$D$3:$AH$3)+1)+INDEX(February!$C$3:$AH$169,69,MATCH(B57,February!$D$3:$AH$3)+1)+INDEX(February!$C$3:$AH$169,74,MATCH(B57,February!$D$3:$AH$3)+1)+INDEX(February!$C$3:$AH$169,79,MATCH(B57,February!$D$3:$AH$3)+1)+INDEX(February!$C$3:$AH$169,84,MATCH(B57,February!$D$3:$AH$3)+1)+INDEX(February!$C$3:$AH$169,89,MATCH(B57,February!$D$3:$AH$3)+1)+INDEX(February!$C$3:$AH$169,94,MATCH(B57,February!$D$3:$AH$3)+1)+INDEX(February!$C$3:$AH$169,99,MATCH(B57,February!$D$3:$AH$3)+1)+INDEX(February!$C$3:$AH$169,104,MATCH(B57,February!$D$3:$AH$3)+1)+INDEX(February!$C$3:$AH$169,109,MATCH(B57,February!$D$3:$AH$3)+1)+INDEX(February!$C$3:$AH$169,114,MATCH(B57,February!$D$3:$AH$3)+1)+INDEX(February!$C$3:$AH$169,119,MATCH(B57,February!$D$3:$AH$3)+1)+INDEX(February!$C$3:$AH$169,124,MATCH(B57,February!$D$3:$AH$3)+1)+INDEX(February!$C$3:$AH$169,129,MATCH(B57,February!$D$3:$AH$3)+1)+INDEX(February!$C$3:$AH$169,134,MATCH(B57,February!$D$3:$AH$3)+1)+INDEX(February!$C$3:$AH$169,139,MATCH(B57,February!$D$3:$AH$3)+1)+INDEX(February!$C$3:$AH$169,144,MATCH(B57,February!$D$3:$AH$3)+1)+INDEX(February!$C$3:$AH$169,149,MATCH(B57,February!$D$3:$AH$3)+1)-INDEX(February!$B$5:$AH$169,MATCH("Patrick Janssen",February!$B$5:$B$169)+1,MATCH(B57,February!$D$3:$AH$3)+2)-INDEX(February!$B$5:$AH$169,MATCH("Patrick Ziesen",February!$B$5:$B$169)+1,MATCH(B57,February!$D$3:$AH$3)+2)-INDEX(February!$B$5:$AH$169,MATCH("Frido Meijer",February!$B$5:$B$169)+1,MATCH(B57,February!$D$3:$AH$3)+2)</f>
        <v>16</v>
      </c>
      <c r="I57" s="130">
        <v>0</v>
      </c>
      <c r="J57" s="130">
        <v>0</v>
      </c>
      <c r="L57" s="212"/>
      <c r="M57" s="111"/>
      <c r="N57" s="111">
        <f t="shared" si="10"/>
        <v>0</v>
      </c>
      <c r="P57" s="112">
        <f t="shared" si="11"/>
        <v>0</v>
      </c>
      <c r="Q57" s="112">
        <f t="shared" si="12"/>
        <v>0</v>
      </c>
    </row>
    <row r="58" spans="2:17" x14ac:dyDescent="0.25">
      <c r="B58" s="110">
        <f>DATE(Title!$F$12,$S$6,S25)</f>
        <v>41326</v>
      </c>
      <c r="C58" s="111">
        <f>IF(WEEKDAY(B58)=1,0,IF(WEEKDAY(B58)=4,'Hours Scheduled'!$E$44-1,IF(WEEKDAY(B58)=7,0,'Hours Scheduled'!$E$44)))</f>
        <v>24</v>
      </c>
      <c r="D58" s="17">
        <f t="shared" si="13"/>
        <v>180</v>
      </c>
      <c r="E58" s="127">
        <f t="shared" si="14"/>
        <v>165.5</v>
      </c>
      <c r="F58" s="111"/>
      <c r="G58" s="130">
        <f>INDEX(February!$C$3:$AH$169,3,MATCH(B58,February!$D$3:$AH$3)+1)+INDEX(February!$C$3:$AH$169,8,MATCH(B58,February!$D$3:$AH$3)+1)+INDEX(February!$C$3:$AH$169,13,MATCH(B58,February!$D$3:$AH$3)+1)+INDEX(February!$C$3:$AH$169,18,MATCH(B58,February!$D$3:$AH$3)+1)+INDEX(February!$C$3:$AH$169,23,MATCH(B58,February!$D$3:$AH$3)+1)+INDEX(February!$C$3:$AH$169,28,MATCH(B58,February!$D$3:$AH$3)+1)+INDEX(February!$C$3:$AH$169,33,MATCH(B58,February!$D$3:$AH$3)+1)+INDEX(February!$C$3:$AH$169,38,MATCH(B58,February!$D$3:$AH$3)+1)+INDEX(February!$C$3:$AH$169,43,MATCH(B58,February!$D$3:$AH$3)+1)+INDEX(February!$C$3:$AH$169,48,MATCH(B58,February!$D$3:$AH$3)+1)+INDEX(February!$C$3:$AH$169,53,MATCH(B58,February!$D$3:$AH$3)+1)+INDEX(February!$C$3:$AH$169,58,MATCH(B58,February!$D$3:$AH$3)+1)+INDEX(February!$C$3:$AH$169,63,MATCH(B58,February!$D$3:$AH$3)+1)+INDEX(February!$C$3:$AH$169,68,MATCH(B58,February!$D$3:$AH$3)+1)+INDEX(February!$C$3:$AH$169,73,MATCH(B58,February!$D$3:$AH$3)+1)+INDEX(February!$C$3:$AH$169,78,MATCH(B58,February!$D$3:$AH$3)+1)+INDEX(February!$C$3:$AH$169,83,MATCH(B58,February!$D$3:$AH$3)+1)+INDEX(February!$C$3:$AH$169,88,MATCH(B58,February!$D$3:$AH$3)+1)+INDEX(February!$C$3:$AH$169,93,MATCH(B58,February!$D$3:$AH$3)+1)+INDEX(February!$C$3:$AH$169,98,MATCH(B58,February!$D$3:$AH$3)+1)+INDEX(February!$C$3:$AH$169,103,MATCH(B58,February!$D$3:$AH$3)+1)+INDEX(February!$C$3:$AH$169,108,MATCH(B58,February!$D$3:$AH$3)+1)+INDEX(February!$C$3:$AH$169,113,MATCH(B58,February!$D$3:$AH$3)+1)+INDEX(February!$C$3:$AH$169,118,MATCH(B58,February!$D$3:$AH$3)+1)+INDEX(February!$C$3:$AH$169,123,MATCH(B58,February!$D$3:$AH$3)+1)+INDEX(February!$C$3:$AH$169,128,MATCH(B58,February!$D$3:$AH$3)+1)+INDEX(February!$C$3:$AH$169,133,MATCH(B58,February!$D$3:$AH$3)+1)+INDEX(February!$C$3:$AH$169,138,MATCH(B58,February!$D$3:$AH$3)+1)+INDEX(February!$C$3:$AH$169,143,MATCH(B58,February!$D$3:$AH$3)+1)+INDEX(February!$C$3:$AH$169,148,MATCH(B58,February!$D$3:$AH$3)+1)-INDEX(February!$B$5:$AH$169,MATCH("Patrick Janssen",February!$B$5:$B$169),MATCH(B58,February!$D$3:$AH$3)+2)-INDEX(February!$B$5:$AH$169,MATCH("Patrick Ziesen",February!$B$5:$B$169),MATCH(B58,February!$D$3:$AH$3)+2)-INDEX(February!$B$5:$AH$169,MATCH("Frido Meijer",February!$B$5:$B$169),MATCH(B58,February!$D$3:$AH$3)+2)</f>
        <v>8</v>
      </c>
      <c r="H58" s="130">
        <f>INDEX(February!$C$3:$AH$169,4,MATCH(B58,February!$D$3:$AH$3)+1)+INDEX(February!$C$3:$AH$169,9,MATCH(B58,February!$D$3:$AH$3)+1)+INDEX(February!$C$3:$AH$169,14,MATCH(B58,February!$D$3:$AH$3)+1)+INDEX(February!$C$3:$AH$169,19,MATCH(B58,February!$D$3:$AH$3)+1)+INDEX(February!$C$3:$AH$169,24,MATCH(B58,February!$D$3:$AH$3)+1)+INDEX(February!$C$3:$AH$169,29,MATCH(B58,February!$D$3:$AH$3)+1)+INDEX(February!$C$3:$AH$169,34,MATCH(B58,February!$D$3:$AH$3)+1)+INDEX(February!$C$3:$AH$169,39,MATCH(B58,February!$D$3:$AH$3)+1)+INDEX(February!$C$3:$AH$169,44,MATCH(B58,February!$D$3:$AH$3)+1)+INDEX(February!$C$3:$AH$169,49,MATCH(B58,February!$D$3:$AH$3)+1)+INDEX(February!$C$3:$AH$169,54,MATCH(B58,February!$D$3:$AH$3)+1)+INDEX(February!$C$3:$AH$169,59,MATCH(B58,February!$D$3:$AH$3)+1)+INDEX(February!$C$3:$AH$169,64,MATCH(B58,February!$D$3:$AH$3)+1)+INDEX(February!$C$3:$AH$169,69,MATCH(B58,February!$D$3:$AH$3)+1)+INDEX(February!$C$3:$AH$169,74,MATCH(B58,February!$D$3:$AH$3)+1)+INDEX(February!$C$3:$AH$169,79,MATCH(B58,February!$D$3:$AH$3)+1)+INDEX(February!$C$3:$AH$169,84,MATCH(B58,February!$D$3:$AH$3)+1)+INDEX(February!$C$3:$AH$169,89,MATCH(B58,February!$D$3:$AH$3)+1)+INDEX(February!$C$3:$AH$169,94,MATCH(B58,February!$D$3:$AH$3)+1)+INDEX(February!$C$3:$AH$169,99,MATCH(B58,February!$D$3:$AH$3)+1)+INDEX(February!$C$3:$AH$169,104,MATCH(B58,February!$D$3:$AH$3)+1)+INDEX(February!$C$3:$AH$169,109,MATCH(B58,February!$D$3:$AH$3)+1)+INDEX(February!$C$3:$AH$169,114,MATCH(B58,February!$D$3:$AH$3)+1)+INDEX(February!$C$3:$AH$169,119,MATCH(B58,February!$D$3:$AH$3)+1)+INDEX(February!$C$3:$AH$169,124,MATCH(B58,February!$D$3:$AH$3)+1)+INDEX(February!$C$3:$AH$169,129,MATCH(B58,February!$D$3:$AH$3)+1)+INDEX(February!$C$3:$AH$169,134,MATCH(B58,February!$D$3:$AH$3)+1)+INDEX(February!$C$3:$AH$169,139,MATCH(B58,February!$D$3:$AH$3)+1)+INDEX(February!$C$3:$AH$169,144,MATCH(B58,February!$D$3:$AH$3)+1)+INDEX(February!$C$3:$AH$169,149,MATCH(B58,February!$D$3:$AH$3)+1)-INDEX(February!$B$5:$AH$169,MATCH("Patrick Janssen",February!$B$5:$B$169)+1,MATCH(B58,February!$D$3:$AH$3)+2)-INDEX(February!$B$5:$AH$169,MATCH("Patrick Ziesen",February!$B$5:$B$169)+1,MATCH(B58,February!$D$3:$AH$3)+2)-INDEX(February!$B$5:$AH$169,MATCH("Frido Meijer",February!$B$5:$B$169)+1,MATCH(B58,February!$D$3:$AH$3)+2)</f>
        <v>18.5</v>
      </c>
      <c r="I58" s="130">
        <v>0</v>
      </c>
      <c r="J58" s="130">
        <v>0</v>
      </c>
      <c r="L58" s="212"/>
      <c r="M58" s="111"/>
      <c r="N58" s="111">
        <f t="shared" si="10"/>
        <v>0</v>
      </c>
      <c r="P58" s="112">
        <f t="shared" si="11"/>
        <v>0</v>
      </c>
      <c r="Q58" s="112">
        <f t="shared" si="12"/>
        <v>0</v>
      </c>
    </row>
    <row r="59" spans="2:17" x14ac:dyDescent="0.25">
      <c r="B59" s="110">
        <f>DATE(Title!$F$12,$S$6,S26)</f>
        <v>41327</v>
      </c>
      <c r="C59" s="111">
        <f>IF(WEEKDAY(B59)=1,0,IF(WEEKDAY(B59)=4,'Hours Scheduled'!$E$44-1,IF(WEEKDAY(B59)=7,0,'Hours Scheduled'!$E$44)))</f>
        <v>24</v>
      </c>
      <c r="D59" s="17">
        <f t="shared" si="13"/>
        <v>180</v>
      </c>
      <c r="E59" s="127">
        <f t="shared" si="14"/>
        <v>150</v>
      </c>
      <c r="F59" s="111"/>
      <c r="G59" s="130">
        <f>INDEX(February!$C$3:$AH$169,3,MATCH(B59,February!$D$3:$AH$3)+1)+INDEX(February!$C$3:$AH$169,8,MATCH(B59,February!$D$3:$AH$3)+1)+INDEX(February!$C$3:$AH$169,13,MATCH(B59,February!$D$3:$AH$3)+1)+INDEX(February!$C$3:$AH$169,18,MATCH(B59,February!$D$3:$AH$3)+1)+INDEX(February!$C$3:$AH$169,23,MATCH(B59,February!$D$3:$AH$3)+1)+INDEX(February!$C$3:$AH$169,28,MATCH(B59,February!$D$3:$AH$3)+1)+INDEX(February!$C$3:$AH$169,33,MATCH(B59,February!$D$3:$AH$3)+1)+INDEX(February!$C$3:$AH$169,38,MATCH(B59,February!$D$3:$AH$3)+1)+INDEX(February!$C$3:$AH$169,43,MATCH(B59,February!$D$3:$AH$3)+1)+INDEX(February!$C$3:$AH$169,48,MATCH(B59,February!$D$3:$AH$3)+1)+INDEX(February!$C$3:$AH$169,53,MATCH(B59,February!$D$3:$AH$3)+1)+INDEX(February!$C$3:$AH$169,58,MATCH(B59,February!$D$3:$AH$3)+1)+INDEX(February!$C$3:$AH$169,63,MATCH(B59,February!$D$3:$AH$3)+1)+INDEX(February!$C$3:$AH$169,68,MATCH(B59,February!$D$3:$AH$3)+1)+INDEX(February!$C$3:$AH$169,73,MATCH(B59,February!$D$3:$AH$3)+1)+INDEX(February!$C$3:$AH$169,78,MATCH(B59,February!$D$3:$AH$3)+1)+INDEX(February!$C$3:$AH$169,83,MATCH(B59,February!$D$3:$AH$3)+1)+INDEX(February!$C$3:$AH$169,88,MATCH(B59,February!$D$3:$AH$3)+1)+INDEX(February!$C$3:$AH$169,93,MATCH(B59,February!$D$3:$AH$3)+1)+INDEX(February!$C$3:$AH$169,98,MATCH(B59,February!$D$3:$AH$3)+1)+INDEX(February!$C$3:$AH$169,103,MATCH(B59,February!$D$3:$AH$3)+1)+INDEX(February!$C$3:$AH$169,108,MATCH(B59,February!$D$3:$AH$3)+1)+INDEX(February!$C$3:$AH$169,113,MATCH(B59,February!$D$3:$AH$3)+1)+INDEX(February!$C$3:$AH$169,118,MATCH(B59,February!$D$3:$AH$3)+1)+INDEX(February!$C$3:$AH$169,123,MATCH(B59,February!$D$3:$AH$3)+1)+INDEX(February!$C$3:$AH$169,128,MATCH(B59,February!$D$3:$AH$3)+1)+INDEX(February!$C$3:$AH$169,133,MATCH(B59,February!$D$3:$AH$3)+1)+INDEX(February!$C$3:$AH$169,138,MATCH(B59,February!$D$3:$AH$3)+1)+INDEX(February!$C$3:$AH$169,143,MATCH(B59,February!$D$3:$AH$3)+1)+INDEX(February!$C$3:$AH$169,148,MATCH(B59,February!$D$3:$AH$3)+1)-INDEX(February!$B$5:$AH$169,MATCH("Patrick Janssen",February!$B$5:$B$169),MATCH(B59,February!$D$3:$AH$3)+2)-INDEX(February!$B$5:$AH$169,MATCH("Patrick Ziesen",February!$B$5:$B$169),MATCH(B59,February!$D$3:$AH$3)+2)-INDEX(February!$B$5:$AH$169,MATCH("Frido Meijer",February!$B$5:$B$169),MATCH(B59,February!$D$3:$AH$3)+2)</f>
        <v>17</v>
      </c>
      <c r="H59" s="130">
        <f>INDEX(February!$C$3:$AH$169,4,MATCH(B59,February!$D$3:$AH$3)+1)+INDEX(February!$C$3:$AH$169,9,MATCH(B59,February!$D$3:$AH$3)+1)+INDEX(February!$C$3:$AH$169,14,MATCH(B59,February!$D$3:$AH$3)+1)+INDEX(February!$C$3:$AH$169,19,MATCH(B59,February!$D$3:$AH$3)+1)+INDEX(February!$C$3:$AH$169,24,MATCH(B59,February!$D$3:$AH$3)+1)+INDEX(February!$C$3:$AH$169,29,MATCH(B59,February!$D$3:$AH$3)+1)+INDEX(February!$C$3:$AH$169,34,MATCH(B59,February!$D$3:$AH$3)+1)+INDEX(February!$C$3:$AH$169,39,MATCH(B59,February!$D$3:$AH$3)+1)+INDEX(February!$C$3:$AH$169,44,MATCH(B59,February!$D$3:$AH$3)+1)+INDEX(February!$C$3:$AH$169,49,MATCH(B59,February!$D$3:$AH$3)+1)+INDEX(February!$C$3:$AH$169,54,MATCH(B59,February!$D$3:$AH$3)+1)+INDEX(February!$C$3:$AH$169,59,MATCH(B59,February!$D$3:$AH$3)+1)+INDEX(February!$C$3:$AH$169,64,MATCH(B59,February!$D$3:$AH$3)+1)+INDEX(February!$C$3:$AH$169,69,MATCH(B59,February!$D$3:$AH$3)+1)+INDEX(February!$C$3:$AH$169,74,MATCH(B59,February!$D$3:$AH$3)+1)+INDEX(February!$C$3:$AH$169,79,MATCH(B59,February!$D$3:$AH$3)+1)+INDEX(February!$C$3:$AH$169,84,MATCH(B59,February!$D$3:$AH$3)+1)+INDEX(February!$C$3:$AH$169,89,MATCH(B59,February!$D$3:$AH$3)+1)+INDEX(February!$C$3:$AH$169,94,MATCH(B59,February!$D$3:$AH$3)+1)+INDEX(February!$C$3:$AH$169,99,MATCH(B59,February!$D$3:$AH$3)+1)+INDEX(February!$C$3:$AH$169,104,MATCH(B59,February!$D$3:$AH$3)+1)+INDEX(February!$C$3:$AH$169,109,MATCH(B59,February!$D$3:$AH$3)+1)+INDEX(February!$C$3:$AH$169,114,MATCH(B59,February!$D$3:$AH$3)+1)+INDEX(February!$C$3:$AH$169,119,MATCH(B59,February!$D$3:$AH$3)+1)+INDEX(February!$C$3:$AH$169,124,MATCH(B59,February!$D$3:$AH$3)+1)+INDEX(February!$C$3:$AH$169,129,MATCH(B59,February!$D$3:$AH$3)+1)+INDEX(February!$C$3:$AH$169,134,MATCH(B59,February!$D$3:$AH$3)+1)+INDEX(February!$C$3:$AH$169,139,MATCH(B59,February!$D$3:$AH$3)+1)+INDEX(February!$C$3:$AH$169,144,MATCH(B59,February!$D$3:$AH$3)+1)+INDEX(February!$C$3:$AH$169,149,MATCH(B59,February!$D$3:$AH$3)+1)-INDEX(February!$B$5:$AH$169,MATCH("Patrick Janssen",February!$B$5:$B$169)+1,MATCH(B59,February!$D$3:$AH$3)+2)-INDEX(February!$B$5:$AH$169,MATCH("Patrick Ziesen",February!$B$5:$B$169)+1,MATCH(B59,February!$D$3:$AH$3)+2)-INDEX(February!$B$5:$AH$169,MATCH("Frido Meijer",February!$B$5:$B$169)+1,MATCH(B59,February!$D$3:$AH$3)+2)</f>
        <v>25</v>
      </c>
      <c r="I59" s="130">
        <v>0</v>
      </c>
      <c r="J59" s="130">
        <v>0</v>
      </c>
      <c r="L59" s="212"/>
      <c r="M59" s="111"/>
      <c r="N59" s="111">
        <f t="shared" si="10"/>
        <v>0</v>
      </c>
      <c r="P59" s="112">
        <f t="shared" si="11"/>
        <v>0</v>
      </c>
      <c r="Q59" s="112">
        <f t="shared" si="12"/>
        <v>0</v>
      </c>
    </row>
    <row r="60" spans="2:17" x14ac:dyDescent="0.25">
      <c r="B60" s="110">
        <f>DATE(Title!$F$12,$S$6,S27)</f>
        <v>41328</v>
      </c>
      <c r="C60" s="111">
        <f>IF(WEEKDAY(B60)=1,0,IF(WEEKDAY(B60)=4,'Hours Scheduled'!$E$44-1,IF(WEEKDAY(B60)=7,0,'Hours Scheduled'!$E$44)))</f>
        <v>0</v>
      </c>
      <c r="D60" s="17">
        <f t="shared" si="13"/>
        <v>0</v>
      </c>
      <c r="E60" s="127">
        <f t="shared" si="14"/>
        <v>0</v>
      </c>
      <c r="F60" s="111"/>
      <c r="G60" s="130">
        <f>INDEX(February!$C$3:$AH$169,3,MATCH(B60,February!$D$3:$AH$3)+1)+INDEX(February!$C$3:$AH$169,8,MATCH(B60,February!$D$3:$AH$3)+1)+INDEX(February!$C$3:$AH$169,13,MATCH(B60,February!$D$3:$AH$3)+1)+INDEX(February!$C$3:$AH$169,18,MATCH(B60,February!$D$3:$AH$3)+1)+INDEX(February!$C$3:$AH$169,23,MATCH(B60,February!$D$3:$AH$3)+1)+INDEX(February!$C$3:$AH$169,28,MATCH(B60,February!$D$3:$AH$3)+1)+INDEX(February!$C$3:$AH$169,33,MATCH(B60,February!$D$3:$AH$3)+1)+INDEX(February!$C$3:$AH$169,38,MATCH(B60,February!$D$3:$AH$3)+1)+INDEX(February!$C$3:$AH$169,43,MATCH(B60,February!$D$3:$AH$3)+1)+INDEX(February!$C$3:$AH$169,48,MATCH(B60,February!$D$3:$AH$3)+1)+INDEX(February!$C$3:$AH$169,53,MATCH(B60,February!$D$3:$AH$3)+1)+INDEX(February!$C$3:$AH$169,58,MATCH(B60,February!$D$3:$AH$3)+1)+INDEX(February!$C$3:$AH$169,63,MATCH(B60,February!$D$3:$AH$3)+1)+INDEX(February!$C$3:$AH$169,68,MATCH(B60,February!$D$3:$AH$3)+1)+INDEX(February!$C$3:$AH$169,73,MATCH(B60,February!$D$3:$AH$3)+1)+INDEX(February!$C$3:$AH$169,78,MATCH(B60,February!$D$3:$AH$3)+1)+INDEX(February!$C$3:$AH$169,83,MATCH(B60,February!$D$3:$AH$3)+1)+INDEX(February!$C$3:$AH$169,88,MATCH(B60,February!$D$3:$AH$3)+1)+INDEX(February!$C$3:$AH$169,93,MATCH(B60,February!$D$3:$AH$3)+1)+INDEX(February!$C$3:$AH$169,98,MATCH(B60,February!$D$3:$AH$3)+1)+INDEX(February!$C$3:$AH$169,103,MATCH(B60,February!$D$3:$AH$3)+1)+INDEX(February!$C$3:$AH$169,108,MATCH(B60,February!$D$3:$AH$3)+1)+INDEX(February!$C$3:$AH$169,113,MATCH(B60,February!$D$3:$AH$3)+1)+INDEX(February!$C$3:$AH$169,118,MATCH(B60,February!$D$3:$AH$3)+1)+INDEX(February!$C$3:$AH$169,123,MATCH(B60,February!$D$3:$AH$3)+1)+INDEX(February!$C$3:$AH$169,128,MATCH(B60,February!$D$3:$AH$3)+1)+INDEX(February!$C$3:$AH$169,133,MATCH(B60,February!$D$3:$AH$3)+1)+INDEX(February!$C$3:$AH$169,138,MATCH(B60,February!$D$3:$AH$3)+1)+INDEX(February!$C$3:$AH$169,143,MATCH(B60,February!$D$3:$AH$3)+1)+INDEX(February!$C$3:$AH$169,148,MATCH(B60,February!$D$3:$AH$3)+1)-INDEX(February!$B$5:$AH$169,MATCH("Patrick Janssen",February!$B$5:$B$169),MATCH(B60,February!$D$3:$AH$3)+2)-INDEX(February!$B$5:$AH$169,MATCH("Patrick Ziesen",February!$B$5:$B$169),MATCH(B60,February!$D$3:$AH$3)+2)-INDEX(February!$B$5:$AH$169,MATCH("Frido Meijer",February!$B$5:$B$169),MATCH(B60,February!$D$3:$AH$3)+2)</f>
        <v>0</v>
      </c>
      <c r="H60" s="130">
        <f>INDEX(February!$C$3:$AH$169,4,MATCH(B60,February!$D$3:$AH$3)+1)+INDEX(February!$C$3:$AH$169,9,MATCH(B60,February!$D$3:$AH$3)+1)+INDEX(February!$C$3:$AH$169,14,MATCH(B60,February!$D$3:$AH$3)+1)+INDEX(February!$C$3:$AH$169,19,MATCH(B60,February!$D$3:$AH$3)+1)+INDEX(February!$C$3:$AH$169,24,MATCH(B60,February!$D$3:$AH$3)+1)+INDEX(February!$C$3:$AH$169,29,MATCH(B60,February!$D$3:$AH$3)+1)+INDEX(February!$C$3:$AH$169,34,MATCH(B60,February!$D$3:$AH$3)+1)+INDEX(February!$C$3:$AH$169,39,MATCH(B60,February!$D$3:$AH$3)+1)+INDEX(February!$C$3:$AH$169,44,MATCH(B60,February!$D$3:$AH$3)+1)+INDEX(February!$C$3:$AH$169,49,MATCH(B60,February!$D$3:$AH$3)+1)+INDEX(February!$C$3:$AH$169,54,MATCH(B60,February!$D$3:$AH$3)+1)+INDEX(February!$C$3:$AH$169,59,MATCH(B60,February!$D$3:$AH$3)+1)+INDEX(February!$C$3:$AH$169,64,MATCH(B60,February!$D$3:$AH$3)+1)+INDEX(February!$C$3:$AH$169,69,MATCH(B60,February!$D$3:$AH$3)+1)+INDEX(February!$C$3:$AH$169,74,MATCH(B60,February!$D$3:$AH$3)+1)+INDEX(February!$C$3:$AH$169,79,MATCH(B60,February!$D$3:$AH$3)+1)+INDEX(February!$C$3:$AH$169,84,MATCH(B60,February!$D$3:$AH$3)+1)+INDEX(February!$C$3:$AH$169,89,MATCH(B60,February!$D$3:$AH$3)+1)+INDEX(February!$C$3:$AH$169,94,MATCH(B60,February!$D$3:$AH$3)+1)+INDEX(February!$C$3:$AH$169,99,MATCH(B60,February!$D$3:$AH$3)+1)+INDEX(February!$C$3:$AH$169,104,MATCH(B60,February!$D$3:$AH$3)+1)+INDEX(February!$C$3:$AH$169,109,MATCH(B60,February!$D$3:$AH$3)+1)+INDEX(February!$C$3:$AH$169,114,MATCH(B60,February!$D$3:$AH$3)+1)+INDEX(February!$C$3:$AH$169,119,MATCH(B60,February!$D$3:$AH$3)+1)+INDEX(February!$C$3:$AH$169,124,MATCH(B60,February!$D$3:$AH$3)+1)+INDEX(February!$C$3:$AH$169,129,MATCH(B60,February!$D$3:$AH$3)+1)+INDEX(February!$C$3:$AH$169,134,MATCH(B60,February!$D$3:$AH$3)+1)+INDEX(February!$C$3:$AH$169,139,MATCH(B60,February!$D$3:$AH$3)+1)+INDEX(February!$C$3:$AH$169,144,MATCH(B60,February!$D$3:$AH$3)+1)+INDEX(February!$C$3:$AH$169,149,MATCH(B60,February!$D$3:$AH$3)+1)-INDEX(February!$B$5:$AH$169,MATCH("Patrick Janssen",February!$B$5:$B$169)+1,MATCH(B60,February!$D$3:$AH$3)+2)-INDEX(February!$B$5:$AH$169,MATCH("Patrick Ziesen",February!$B$5:$B$169)+1,MATCH(B60,February!$D$3:$AH$3)+2)-INDEX(February!$B$5:$AH$169,MATCH("Frido Meijer",February!$B$5:$B$169)+1,MATCH(B60,February!$D$3:$AH$3)+2)</f>
        <v>0</v>
      </c>
      <c r="I60" s="130">
        <v>0</v>
      </c>
      <c r="J60" s="130">
        <v>0</v>
      </c>
      <c r="L60" s="212"/>
      <c r="M60" s="111"/>
      <c r="N60" s="111">
        <f t="shared" si="10"/>
        <v>0</v>
      </c>
      <c r="P60" s="112" t="str">
        <f t="shared" si="11"/>
        <v/>
      </c>
      <c r="Q60" s="112" t="str">
        <f t="shared" si="12"/>
        <v/>
      </c>
    </row>
    <row r="61" spans="2:17" x14ac:dyDescent="0.25">
      <c r="B61" s="110">
        <f>DATE(Title!$F$12,$S$6,S28)</f>
        <v>41329</v>
      </c>
      <c r="C61" s="111">
        <f>IF(WEEKDAY(B61)=1,0,IF(WEEKDAY(B61)=4,'Hours Scheduled'!$E$44-1,IF(WEEKDAY(B61)=7,0,'Hours Scheduled'!$E$44)))</f>
        <v>0</v>
      </c>
      <c r="D61" s="17">
        <f t="shared" si="13"/>
        <v>0</v>
      </c>
      <c r="E61" s="127">
        <f t="shared" si="14"/>
        <v>0</v>
      </c>
      <c r="F61" s="111"/>
      <c r="G61" s="130">
        <f>INDEX(February!$C$3:$AH$169,3,MATCH(B61,February!$D$3:$AH$3)+1)+INDEX(February!$C$3:$AH$169,8,MATCH(B61,February!$D$3:$AH$3)+1)+INDEX(February!$C$3:$AH$169,13,MATCH(B61,February!$D$3:$AH$3)+1)+INDEX(February!$C$3:$AH$169,18,MATCH(B61,February!$D$3:$AH$3)+1)+INDEX(February!$C$3:$AH$169,23,MATCH(B61,February!$D$3:$AH$3)+1)+INDEX(February!$C$3:$AH$169,28,MATCH(B61,February!$D$3:$AH$3)+1)+INDEX(February!$C$3:$AH$169,33,MATCH(B61,February!$D$3:$AH$3)+1)+INDEX(February!$C$3:$AH$169,38,MATCH(B61,February!$D$3:$AH$3)+1)+INDEX(February!$C$3:$AH$169,43,MATCH(B61,February!$D$3:$AH$3)+1)+INDEX(February!$C$3:$AH$169,48,MATCH(B61,February!$D$3:$AH$3)+1)+INDEX(February!$C$3:$AH$169,53,MATCH(B61,February!$D$3:$AH$3)+1)+INDEX(February!$C$3:$AH$169,58,MATCH(B61,February!$D$3:$AH$3)+1)+INDEX(February!$C$3:$AH$169,63,MATCH(B61,February!$D$3:$AH$3)+1)+INDEX(February!$C$3:$AH$169,68,MATCH(B61,February!$D$3:$AH$3)+1)+INDEX(February!$C$3:$AH$169,73,MATCH(B61,February!$D$3:$AH$3)+1)+INDEX(February!$C$3:$AH$169,78,MATCH(B61,February!$D$3:$AH$3)+1)+INDEX(February!$C$3:$AH$169,83,MATCH(B61,February!$D$3:$AH$3)+1)+INDEX(February!$C$3:$AH$169,88,MATCH(B61,February!$D$3:$AH$3)+1)+INDEX(February!$C$3:$AH$169,93,MATCH(B61,February!$D$3:$AH$3)+1)+INDEX(February!$C$3:$AH$169,98,MATCH(B61,February!$D$3:$AH$3)+1)+INDEX(February!$C$3:$AH$169,103,MATCH(B61,February!$D$3:$AH$3)+1)+INDEX(February!$C$3:$AH$169,108,MATCH(B61,February!$D$3:$AH$3)+1)+INDEX(February!$C$3:$AH$169,113,MATCH(B61,February!$D$3:$AH$3)+1)+INDEX(February!$C$3:$AH$169,118,MATCH(B61,February!$D$3:$AH$3)+1)+INDEX(February!$C$3:$AH$169,123,MATCH(B61,February!$D$3:$AH$3)+1)+INDEX(February!$C$3:$AH$169,128,MATCH(B61,February!$D$3:$AH$3)+1)+INDEX(February!$C$3:$AH$169,133,MATCH(B61,February!$D$3:$AH$3)+1)+INDEX(February!$C$3:$AH$169,138,MATCH(B61,February!$D$3:$AH$3)+1)+INDEX(February!$C$3:$AH$169,143,MATCH(B61,February!$D$3:$AH$3)+1)+INDEX(February!$C$3:$AH$169,148,MATCH(B61,February!$D$3:$AH$3)+1)-INDEX(February!$B$5:$AH$169,MATCH("Patrick Janssen",February!$B$5:$B$169),MATCH(B61,February!$D$3:$AH$3)+2)-INDEX(February!$B$5:$AH$169,MATCH("Patrick Ziesen",February!$B$5:$B$169),MATCH(B61,February!$D$3:$AH$3)+2)-INDEX(February!$B$5:$AH$169,MATCH("Frido Meijer",February!$B$5:$B$169),MATCH(B61,February!$D$3:$AH$3)+2)</f>
        <v>0</v>
      </c>
      <c r="H61" s="130">
        <f>INDEX(February!$C$3:$AH$169,4,MATCH(B61,February!$D$3:$AH$3)+1)+INDEX(February!$C$3:$AH$169,9,MATCH(B61,February!$D$3:$AH$3)+1)+INDEX(February!$C$3:$AH$169,14,MATCH(B61,February!$D$3:$AH$3)+1)+INDEX(February!$C$3:$AH$169,19,MATCH(B61,February!$D$3:$AH$3)+1)+INDEX(February!$C$3:$AH$169,24,MATCH(B61,February!$D$3:$AH$3)+1)+INDEX(February!$C$3:$AH$169,29,MATCH(B61,February!$D$3:$AH$3)+1)+INDEX(February!$C$3:$AH$169,34,MATCH(B61,February!$D$3:$AH$3)+1)+INDEX(February!$C$3:$AH$169,39,MATCH(B61,February!$D$3:$AH$3)+1)+INDEX(February!$C$3:$AH$169,44,MATCH(B61,February!$D$3:$AH$3)+1)+INDEX(February!$C$3:$AH$169,49,MATCH(B61,February!$D$3:$AH$3)+1)+INDEX(February!$C$3:$AH$169,54,MATCH(B61,February!$D$3:$AH$3)+1)+INDEX(February!$C$3:$AH$169,59,MATCH(B61,February!$D$3:$AH$3)+1)+INDEX(February!$C$3:$AH$169,64,MATCH(B61,February!$D$3:$AH$3)+1)+INDEX(February!$C$3:$AH$169,69,MATCH(B61,February!$D$3:$AH$3)+1)+INDEX(February!$C$3:$AH$169,74,MATCH(B61,February!$D$3:$AH$3)+1)+INDEX(February!$C$3:$AH$169,79,MATCH(B61,February!$D$3:$AH$3)+1)+INDEX(February!$C$3:$AH$169,84,MATCH(B61,February!$D$3:$AH$3)+1)+INDEX(February!$C$3:$AH$169,89,MATCH(B61,February!$D$3:$AH$3)+1)+INDEX(February!$C$3:$AH$169,94,MATCH(B61,February!$D$3:$AH$3)+1)+INDEX(February!$C$3:$AH$169,99,MATCH(B61,February!$D$3:$AH$3)+1)+INDEX(February!$C$3:$AH$169,104,MATCH(B61,February!$D$3:$AH$3)+1)+INDEX(February!$C$3:$AH$169,109,MATCH(B61,February!$D$3:$AH$3)+1)+INDEX(February!$C$3:$AH$169,114,MATCH(B61,February!$D$3:$AH$3)+1)+INDEX(February!$C$3:$AH$169,119,MATCH(B61,February!$D$3:$AH$3)+1)+INDEX(February!$C$3:$AH$169,124,MATCH(B61,February!$D$3:$AH$3)+1)+INDEX(February!$C$3:$AH$169,129,MATCH(B61,February!$D$3:$AH$3)+1)+INDEX(February!$C$3:$AH$169,134,MATCH(B61,February!$D$3:$AH$3)+1)+INDEX(February!$C$3:$AH$169,139,MATCH(B61,February!$D$3:$AH$3)+1)+INDEX(February!$C$3:$AH$169,144,MATCH(B61,February!$D$3:$AH$3)+1)+INDEX(February!$C$3:$AH$169,149,MATCH(B61,February!$D$3:$AH$3)+1)-INDEX(February!$B$5:$AH$169,MATCH("Patrick Janssen",February!$B$5:$B$169)+1,MATCH(B61,February!$D$3:$AH$3)+2)-INDEX(February!$B$5:$AH$169,MATCH("Patrick Ziesen",February!$B$5:$B$169)+1,MATCH(B61,February!$D$3:$AH$3)+2)-INDEX(February!$B$5:$AH$169,MATCH("Frido Meijer",February!$B$5:$B$169)+1,MATCH(B61,February!$D$3:$AH$3)+2)</f>
        <v>0</v>
      </c>
      <c r="I61" s="130">
        <v>0</v>
      </c>
      <c r="J61" s="130">
        <v>0</v>
      </c>
      <c r="L61" s="212"/>
      <c r="M61" s="111"/>
      <c r="N61" s="111">
        <f t="shared" si="10"/>
        <v>0</v>
      </c>
      <c r="P61" s="112" t="str">
        <f t="shared" si="11"/>
        <v/>
      </c>
      <c r="Q61" s="112" t="str">
        <f t="shared" si="12"/>
        <v/>
      </c>
    </row>
    <row r="62" spans="2:17" x14ac:dyDescent="0.25">
      <c r="B62" s="110">
        <f>DATE(Title!$F$12,$S$6,S29)</f>
        <v>41330</v>
      </c>
      <c r="C62" s="111">
        <f>IF(WEEKDAY(B62)=1,0,IF(WEEKDAY(B62)=4,'Hours Scheduled'!$E$44-1,IF(WEEKDAY(B62)=7,0,'Hours Scheduled'!$E$44)))</f>
        <v>24</v>
      </c>
      <c r="D62" s="17">
        <f t="shared" si="13"/>
        <v>180</v>
      </c>
      <c r="E62" s="127">
        <f t="shared" si="14"/>
        <v>160</v>
      </c>
      <c r="F62" s="111"/>
      <c r="G62" s="130">
        <f>INDEX(February!$C$3:$AH$169,3,MATCH(B62,February!$D$3:$AH$3)+1)+INDEX(February!$C$3:$AH$169,8,MATCH(B62,February!$D$3:$AH$3)+1)+INDEX(February!$C$3:$AH$169,13,MATCH(B62,February!$D$3:$AH$3)+1)+INDEX(February!$C$3:$AH$169,18,MATCH(B62,February!$D$3:$AH$3)+1)+INDEX(February!$C$3:$AH$169,23,MATCH(B62,February!$D$3:$AH$3)+1)+INDEX(February!$C$3:$AH$169,28,MATCH(B62,February!$D$3:$AH$3)+1)+INDEX(February!$C$3:$AH$169,33,MATCH(B62,February!$D$3:$AH$3)+1)+INDEX(February!$C$3:$AH$169,38,MATCH(B62,February!$D$3:$AH$3)+1)+INDEX(February!$C$3:$AH$169,43,MATCH(B62,February!$D$3:$AH$3)+1)+INDEX(February!$C$3:$AH$169,48,MATCH(B62,February!$D$3:$AH$3)+1)+INDEX(February!$C$3:$AH$169,53,MATCH(B62,February!$D$3:$AH$3)+1)+INDEX(February!$C$3:$AH$169,58,MATCH(B62,February!$D$3:$AH$3)+1)+INDEX(February!$C$3:$AH$169,63,MATCH(B62,February!$D$3:$AH$3)+1)+INDEX(February!$C$3:$AH$169,68,MATCH(B62,February!$D$3:$AH$3)+1)+INDEX(February!$C$3:$AH$169,73,MATCH(B62,February!$D$3:$AH$3)+1)+INDEX(February!$C$3:$AH$169,78,MATCH(B62,February!$D$3:$AH$3)+1)+INDEX(February!$C$3:$AH$169,83,MATCH(B62,February!$D$3:$AH$3)+1)+INDEX(February!$C$3:$AH$169,88,MATCH(B62,February!$D$3:$AH$3)+1)+INDEX(February!$C$3:$AH$169,93,MATCH(B62,February!$D$3:$AH$3)+1)+INDEX(February!$C$3:$AH$169,98,MATCH(B62,February!$D$3:$AH$3)+1)+INDEX(February!$C$3:$AH$169,103,MATCH(B62,February!$D$3:$AH$3)+1)+INDEX(February!$C$3:$AH$169,108,MATCH(B62,February!$D$3:$AH$3)+1)+INDEX(February!$C$3:$AH$169,113,MATCH(B62,February!$D$3:$AH$3)+1)+INDEX(February!$C$3:$AH$169,118,MATCH(B62,February!$D$3:$AH$3)+1)+INDEX(February!$C$3:$AH$169,123,MATCH(B62,February!$D$3:$AH$3)+1)+INDEX(February!$C$3:$AH$169,128,MATCH(B62,February!$D$3:$AH$3)+1)+INDEX(February!$C$3:$AH$169,133,MATCH(B62,February!$D$3:$AH$3)+1)+INDEX(February!$C$3:$AH$169,138,MATCH(B62,February!$D$3:$AH$3)+1)+INDEX(February!$C$3:$AH$169,143,MATCH(B62,February!$D$3:$AH$3)+1)+INDEX(February!$C$3:$AH$169,148,MATCH(B62,February!$D$3:$AH$3)+1)-INDEX(February!$B$5:$AH$169,MATCH("Patrick Janssen",February!$B$5:$B$169),MATCH(B62,February!$D$3:$AH$3)+2)-INDEX(February!$B$5:$AH$169,MATCH("Patrick Ziesen",February!$B$5:$B$169),MATCH(B62,February!$D$3:$AH$3)+2)-INDEX(February!$B$5:$AH$169,MATCH("Frido Meijer",February!$B$5:$B$169),MATCH(B62,February!$D$3:$AH$3)+2)</f>
        <v>16</v>
      </c>
      <c r="H62" s="130">
        <f>INDEX(February!$C$3:$AH$169,4,MATCH(B62,February!$D$3:$AH$3)+1)+INDEX(February!$C$3:$AH$169,9,MATCH(B62,February!$D$3:$AH$3)+1)+INDEX(February!$C$3:$AH$169,14,MATCH(B62,February!$D$3:$AH$3)+1)+INDEX(February!$C$3:$AH$169,19,MATCH(B62,February!$D$3:$AH$3)+1)+INDEX(February!$C$3:$AH$169,24,MATCH(B62,February!$D$3:$AH$3)+1)+INDEX(February!$C$3:$AH$169,29,MATCH(B62,February!$D$3:$AH$3)+1)+INDEX(February!$C$3:$AH$169,34,MATCH(B62,February!$D$3:$AH$3)+1)+INDEX(February!$C$3:$AH$169,39,MATCH(B62,February!$D$3:$AH$3)+1)+INDEX(February!$C$3:$AH$169,44,MATCH(B62,February!$D$3:$AH$3)+1)+INDEX(February!$C$3:$AH$169,49,MATCH(B62,February!$D$3:$AH$3)+1)+INDEX(February!$C$3:$AH$169,54,MATCH(B62,February!$D$3:$AH$3)+1)+INDEX(February!$C$3:$AH$169,59,MATCH(B62,February!$D$3:$AH$3)+1)+INDEX(February!$C$3:$AH$169,64,MATCH(B62,February!$D$3:$AH$3)+1)+INDEX(February!$C$3:$AH$169,69,MATCH(B62,February!$D$3:$AH$3)+1)+INDEX(February!$C$3:$AH$169,74,MATCH(B62,February!$D$3:$AH$3)+1)+INDEX(February!$C$3:$AH$169,79,MATCH(B62,February!$D$3:$AH$3)+1)+INDEX(February!$C$3:$AH$169,84,MATCH(B62,February!$D$3:$AH$3)+1)+INDEX(February!$C$3:$AH$169,89,MATCH(B62,February!$D$3:$AH$3)+1)+INDEX(February!$C$3:$AH$169,94,MATCH(B62,February!$D$3:$AH$3)+1)+INDEX(February!$C$3:$AH$169,99,MATCH(B62,February!$D$3:$AH$3)+1)+INDEX(February!$C$3:$AH$169,104,MATCH(B62,February!$D$3:$AH$3)+1)+INDEX(February!$C$3:$AH$169,109,MATCH(B62,February!$D$3:$AH$3)+1)+INDEX(February!$C$3:$AH$169,114,MATCH(B62,February!$D$3:$AH$3)+1)+INDEX(February!$C$3:$AH$169,119,MATCH(B62,February!$D$3:$AH$3)+1)+INDEX(February!$C$3:$AH$169,124,MATCH(B62,February!$D$3:$AH$3)+1)+INDEX(February!$C$3:$AH$169,129,MATCH(B62,February!$D$3:$AH$3)+1)+INDEX(February!$C$3:$AH$169,134,MATCH(B62,February!$D$3:$AH$3)+1)+INDEX(February!$C$3:$AH$169,139,MATCH(B62,February!$D$3:$AH$3)+1)+INDEX(February!$C$3:$AH$169,144,MATCH(B62,February!$D$3:$AH$3)+1)+INDEX(February!$C$3:$AH$169,149,MATCH(B62,February!$D$3:$AH$3)+1)-INDEX(February!$B$5:$AH$169,MATCH("Patrick Janssen",February!$B$5:$B$169)+1,MATCH(B62,February!$D$3:$AH$3)+2)-INDEX(February!$B$5:$AH$169,MATCH("Patrick Ziesen",February!$B$5:$B$169)+1,MATCH(B62,February!$D$3:$AH$3)+2)-INDEX(February!$B$5:$AH$169,MATCH("Frido Meijer",February!$B$5:$B$169)+1,MATCH(B62,February!$D$3:$AH$3)+2)</f>
        <v>16</v>
      </c>
      <c r="I62" s="130">
        <v>0</v>
      </c>
      <c r="J62" s="130">
        <v>0</v>
      </c>
      <c r="L62" s="111"/>
      <c r="M62" s="111"/>
      <c r="N62" s="111">
        <f t="shared" si="10"/>
        <v>0</v>
      </c>
      <c r="P62" s="112">
        <f t="shared" si="11"/>
        <v>0</v>
      </c>
      <c r="Q62" s="112">
        <f t="shared" si="12"/>
        <v>0</v>
      </c>
    </row>
    <row r="63" spans="2:17" x14ac:dyDescent="0.25">
      <c r="B63" s="110">
        <f>DATE(Title!$F$12,$S$6,S30)</f>
        <v>41331</v>
      </c>
      <c r="C63" s="111">
        <f>IF(WEEKDAY(B63)=1,0,IF(WEEKDAY(B63)=4,'Hours Scheduled'!$E$44-1,IF(WEEKDAY(B63)=7,0,'Hours Scheduled'!$E$44)))</f>
        <v>24</v>
      </c>
      <c r="D63" s="17">
        <f t="shared" si="13"/>
        <v>180</v>
      </c>
      <c r="E63" s="127">
        <f t="shared" si="14"/>
        <v>147</v>
      </c>
      <c r="F63" s="111"/>
      <c r="G63" s="130">
        <f>INDEX(February!$C$3:$AH$169,3,MATCH(B63,February!$D$3:$AH$3)+1)+INDEX(February!$C$3:$AH$169,8,MATCH(B63,February!$D$3:$AH$3)+1)+INDEX(February!$C$3:$AH$169,13,MATCH(B63,February!$D$3:$AH$3)+1)+INDEX(February!$C$3:$AH$169,18,MATCH(B63,February!$D$3:$AH$3)+1)+INDEX(February!$C$3:$AH$169,23,MATCH(B63,February!$D$3:$AH$3)+1)+INDEX(February!$C$3:$AH$169,28,MATCH(B63,February!$D$3:$AH$3)+1)+INDEX(February!$C$3:$AH$169,33,MATCH(B63,February!$D$3:$AH$3)+1)+INDEX(February!$C$3:$AH$169,38,MATCH(B63,February!$D$3:$AH$3)+1)+INDEX(February!$C$3:$AH$169,43,MATCH(B63,February!$D$3:$AH$3)+1)+INDEX(February!$C$3:$AH$169,48,MATCH(B63,February!$D$3:$AH$3)+1)+INDEX(February!$C$3:$AH$169,53,MATCH(B63,February!$D$3:$AH$3)+1)+INDEX(February!$C$3:$AH$169,58,MATCH(B63,February!$D$3:$AH$3)+1)+INDEX(February!$C$3:$AH$169,63,MATCH(B63,February!$D$3:$AH$3)+1)+INDEX(February!$C$3:$AH$169,68,MATCH(B63,February!$D$3:$AH$3)+1)+INDEX(February!$C$3:$AH$169,73,MATCH(B63,February!$D$3:$AH$3)+1)+INDEX(February!$C$3:$AH$169,78,MATCH(B63,February!$D$3:$AH$3)+1)+INDEX(February!$C$3:$AH$169,83,MATCH(B63,February!$D$3:$AH$3)+1)+INDEX(February!$C$3:$AH$169,88,MATCH(B63,February!$D$3:$AH$3)+1)+INDEX(February!$C$3:$AH$169,93,MATCH(B63,February!$D$3:$AH$3)+1)+INDEX(February!$C$3:$AH$169,98,MATCH(B63,February!$D$3:$AH$3)+1)+INDEX(February!$C$3:$AH$169,103,MATCH(B63,February!$D$3:$AH$3)+1)+INDEX(February!$C$3:$AH$169,108,MATCH(B63,February!$D$3:$AH$3)+1)+INDEX(February!$C$3:$AH$169,113,MATCH(B63,February!$D$3:$AH$3)+1)+INDEX(February!$C$3:$AH$169,118,MATCH(B63,February!$D$3:$AH$3)+1)+INDEX(February!$C$3:$AH$169,123,MATCH(B63,February!$D$3:$AH$3)+1)+INDEX(February!$C$3:$AH$169,128,MATCH(B63,February!$D$3:$AH$3)+1)+INDEX(February!$C$3:$AH$169,133,MATCH(B63,February!$D$3:$AH$3)+1)+INDEX(February!$C$3:$AH$169,138,MATCH(B63,February!$D$3:$AH$3)+1)+INDEX(February!$C$3:$AH$169,143,MATCH(B63,February!$D$3:$AH$3)+1)+INDEX(February!$C$3:$AH$169,148,MATCH(B63,February!$D$3:$AH$3)+1)-INDEX(February!$B$5:$AH$169,MATCH("Patrick Janssen",February!$B$5:$B$169),MATCH(B63,February!$D$3:$AH$3)+2)-INDEX(February!$B$5:$AH$169,MATCH("Patrick Ziesen",February!$B$5:$B$169),MATCH(B63,February!$D$3:$AH$3)+2)-INDEX(February!$B$5:$AH$169,MATCH("Frido Meijer",February!$B$5:$B$169),MATCH(B63,February!$D$3:$AH$3)+2)</f>
        <v>29</v>
      </c>
      <c r="H63" s="130">
        <f>INDEX(February!$C$3:$AH$169,4,MATCH(B63,February!$D$3:$AH$3)+1)+INDEX(February!$C$3:$AH$169,9,MATCH(B63,February!$D$3:$AH$3)+1)+INDEX(February!$C$3:$AH$169,14,MATCH(B63,February!$D$3:$AH$3)+1)+INDEX(February!$C$3:$AH$169,19,MATCH(B63,February!$D$3:$AH$3)+1)+INDEX(February!$C$3:$AH$169,24,MATCH(B63,February!$D$3:$AH$3)+1)+INDEX(February!$C$3:$AH$169,29,MATCH(B63,February!$D$3:$AH$3)+1)+INDEX(February!$C$3:$AH$169,34,MATCH(B63,February!$D$3:$AH$3)+1)+INDEX(February!$C$3:$AH$169,39,MATCH(B63,February!$D$3:$AH$3)+1)+INDEX(February!$C$3:$AH$169,44,MATCH(B63,February!$D$3:$AH$3)+1)+INDEX(February!$C$3:$AH$169,49,MATCH(B63,February!$D$3:$AH$3)+1)+INDEX(February!$C$3:$AH$169,54,MATCH(B63,February!$D$3:$AH$3)+1)+INDEX(February!$C$3:$AH$169,59,MATCH(B63,February!$D$3:$AH$3)+1)+INDEX(February!$C$3:$AH$169,64,MATCH(B63,February!$D$3:$AH$3)+1)+INDEX(February!$C$3:$AH$169,69,MATCH(B63,February!$D$3:$AH$3)+1)+INDEX(February!$C$3:$AH$169,74,MATCH(B63,February!$D$3:$AH$3)+1)+INDEX(February!$C$3:$AH$169,79,MATCH(B63,February!$D$3:$AH$3)+1)+INDEX(February!$C$3:$AH$169,84,MATCH(B63,February!$D$3:$AH$3)+1)+INDEX(February!$C$3:$AH$169,89,MATCH(B63,February!$D$3:$AH$3)+1)+INDEX(February!$C$3:$AH$169,94,MATCH(B63,February!$D$3:$AH$3)+1)+INDEX(February!$C$3:$AH$169,99,MATCH(B63,February!$D$3:$AH$3)+1)+INDEX(February!$C$3:$AH$169,104,MATCH(B63,February!$D$3:$AH$3)+1)+INDEX(February!$C$3:$AH$169,109,MATCH(B63,February!$D$3:$AH$3)+1)+INDEX(February!$C$3:$AH$169,114,MATCH(B63,February!$D$3:$AH$3)+1)+INDEX(February!$C$3:$AH$169,119,MATCH(B63,February!$D$3:$AH$3)+1)+INDEX(February!$C$3:$AH$169,124,MATCH(B63,February!$D$3:$AH$3)+1)+INDEX(February!$C$3:$AH$169,129,MATCH(B63,February!$D$3:$AH$3)+1)+INDEX(February!$C$3:$AH$169,134,MATCH(B63,February!$D$3:$AH$3)+1)+INDEX(February!$C$3:$AH$169,139,MATCH(B63,February!$D$3:$AH$3)+1)+INDEX(February!$C$3:$AH$169,144,MATCH(B63,February!$D$3:$AH$3)+1)+INDEX(February!$C$3:$AH$169,149,MATCH(B63,February!$D$3:$AH$3)+1)-INDEX(February!$B$5:$AH$169,MATCH("Patrick Janssen",February!$B$5:$B$169)+1,MATCH(B63,February!$D$3:$AH$3)+2)-INDEX(February!$B$5:$AH$169,MATCH("Patrick Ziesen",February!$B$5:$B$169)+1,MATCH(B63,February!$D$3:$AH$3)+2)-INDEX(February!$B$5:$AH$169,MATCH("Frido Meijer",February!$B$5:$B$169)+1,MATCH(B63,February!$D$3:$AH$3)+2)</f>
        <v>16</v>
      </c>
      <c r="I63" s="130">
        <v>0</v>
      </c>
      <c r="J63" s="130">
        <v>0</v>
      </c>
      <c r="L63" s="111"/>
      <c r="M63" s="111"/>
      <c r="N63" s="111">
        <f t="shared" si="10"/>
        <v>0</v>
      </c>
      <c r="P63" s="112">
        <f t="shared" si="11"/>
        <v>0</v>
      </c>
      <c r="Q63" s="112">
        <f t="shared" si="12"/>
        <v>0</v>
      </c>
    </row>
    <row r="64" spans="2:17" x14ac:dyDescent="0.25">
      <c r="B64" s="110">
        <f>DATE(Title!$F$12,$S$6,S31)</f>
        <v>41332</v>
      </c>
      <c r="C64" s="111">
        <f>IF(WEEKDAY(B64)=1,0,IF(WEEKDAY(B64)=4,'Hours Scheduled'!$E$44-1,IF(WEEKDAY(B64)=7,0,'Hours Scheduled'!$E$44)))</f>
        <v>23</v>
      </c>
      <c r="D64" s="17">
        <f t="shared" si="13"/>
        <v>172.5</v>
      </c>
      <c r="E64" s="127">
        <f t="shared" si="14"/>
        <v>145.5</v>
      </c>
      <c r="F64" s="111"/>
      <c r="G64" s="130">
        <f>INDEX(February!$C$3:$AH$169,3,MATCH(B64,February!$D$3:$AH$3)+1)+INDEX(February!$C$3:$AH$169,8,MATCH(B64,February!$D$3:$AH$3)+1)+INDEX(February!$C$3:$AH$169,13,MATCH(B64,February!$D$3:$AH$3)+1)+INDEX(February!$C$3:$AH$169,18,MATCH(B64,February!$D$3:$AH$3)+1)+INDEX(February!$C$3:$AH$169,23,MATCH(B64,February!$D$3:$AH$3)+1)+INDEX(February!$C$3:$AH$169,28,MATCH(B64,February!$D$3:$AH$3)+1)+INDEX(February!$C$3:$AH$169,33,MATCH(B64,February!$D$3:$AH$3)+1)+INDEX(February!$C$3:$AH$169,38,MATCH(B64,February!$D$3:$AH$3)+1)+INDEX(February!$C$3:$AH$169,43,MATCH(B64,February!$D$3:$AH$3)+1)+INDEX(February!$C$3:$AH$169,48,MATCH(B64,February!$D$3:$AH$3)+1)+INDEX(February!$C$3:$AH$169,53,MATCH(B64,February!$D$3:$AH$3)+1)+INDEX(February!$C$3:$AH$169,58,MATCH(B64,February!$D$3:$AH$3)+1)+INDEX(February!$C$3:$AH$169,63,MATCH(B64,February!$D$3:$AH$3)+1)+INDEX(February!$C$3:$AH$169,68,MATCH(B64,February!$D$3:$AH$3)+1)+INDEX(February!$C$3:$AH$169,73,MATCH(B64,February!$D$3:$AH$3)+1)+INDEX(February!$C$3:$AH$169,78,MATCH(B64,February!$D$3:$AH$3)+1)+INDEX(February!$C$3:$AH$169,83,MATCH(B64,February!$D$3:$AH$3)+1)+INDEX(February!$C$3:$AH$169,88,MATCH(B64,February!$D$3:$AH$3)+1)+INDEX(February!$C$3:$AH$169,93,MATCH(B64,February!$D$3:$AH$3)+1)+INDEX(February!$C$3:$AH$169,98,MATCH(B64,February!$D$3:$AH$3)+1)+INDEX(February!$C$3:$AH$169,103,MATCH(B64,February!$D$3:$AH$3)+1)+INDEX(February!$C$3:$AH$169,108,MATCH(B64,February!$D$3:$AH$3)+1)+INDEX(February!$C$3:$AH$169,113,MATCH(B64,February!$D$3:$AH$3)+1)+INDEX(February!$C$3:$AH$169,118,MATCH(B64,February!$D$3:$AH$3)+1)+INDEX(February!$C$3:$AH$169,123,MATCH(B64,February!$D$3:$AH$3)+1)+INDEX(February!$C$3:$AH$169,128,MATCH(B64,February!$D$3:$AH$3)+1)+INDEX(February!$C$3:$AH$169,133,MATCH(B64,February!$D$3:$AH$3)+1)+INDEX(February!$C$3:$AH$169,138,MATCH(B64,February!$D$3:$AH$3)+1)+INDEX(February!$C$3:$AH$169,143,MATCH(B64,February!$D$3:$AH$3)+1)+INDEX(February!$C$3:$AH$169,148,MATCH(B64,February!$D$3:$AH$3)+1)-INDEX(February!$B$5:$AH$169,MATCH("Patrick Janssen",February!$B$5:$B$169),MATCH(B64,February!$D$3:$AH$3)+2)-INDEX(February!$B$5:$AH$169,MATCH("Patrick Ziesen",February!$B$5:$B$169),MATCH(B64,February!$D$3:$AH$3)+2)-INDEX(February!$B$5:$AH$169,MATCH("Frido Meijer",February!$B$5:$B$169),MATCH(B64,February!$D$3:$AH$3)+2)</f>
        <v>22.5</v>
      </c>
      <c r="H64" s="130">
        <f>INDEX(February!$C$3:$AH$169,4,MATCH(B64,February!$D$3:$AH$3)+1)+INDEX(February!$C$3:$AH$169,9,MATCH(B64,February!$D$3:$AH$3)+1)+INDEX(February!$C$3:$AH$169,14,MATCH(B64,February!$D$3:$AH$3)+1)+INDEX(February!$C$3:$AH$169,19,MATCH(B64,February!$D$3:$AH$3)+1)+INDEX(February!$C$3:$AH$169,24,MATCH(B64,February!$D$3:$AH$3)+1)+INDEX(February!$C$3:$AH$169,29,MATCH(B64,February!$D$3:$AH$3)+1)+INDEX(February!$C$3:$AH$169,34,MATCH(B64,February!$D$3:$AH$3)+1)+INDEX(February!$C$3:$AH$169,39,MATCH(B64,February!$D$3:$AH$3)+1)+INDEX(February!$C$3:$AH$169,44,MATCH(B64,February!$D$3:$AH$3)+1)+INDEX(February!$C$3:$AH$169,49,MATCH(B64,February!$D$3:$AH$3)+1)+INDEX(February!$C$3:$AH$169,54,MATCH(B64,February!$D$3:$AH$3)+1)+INDEX(February!$C$3:$AH$169,59,MATCH(B64,February!$D$3:$AH$3)+1)+INDEX(February!$C$3:$AH$169,64,MATCH(B64,February!$D$3:$AH$3)+1)+INDEX(February!$C$3:$AH$169,69,MATCH(B64,February!$D$3:$AH$3)+1)+INDEX(February!$C$3:$AH$169,74,MATCH(B64,February!$D$3:$AH$3)+1)+INDEX(February!$C$3:$AH$169,79,MATCH(B64,February!$D$3:$AH$3)+1)+INDEX(February!$C$3:$AH$169,84,MATCH(B64,February!$D$3:$AH$3)+1)+INDEX(February!$C$3:$AH$169,89,MATCH(B64,February!$D$3:$AH$3)+1)+INDEX(February!$C$3:$AH$169,94,MATCH(B64,February!$D$3:$AH$3)+1)+INDEX(February!$C$3:$AH$169,99,MATCH(B64,February!$D$3:$AH$3)+1)+INDEX(February!$C$3:$AH$169,104,MATCH(B64,February!$D$3:$AH$3)+1)+INDEX(February!$C$3:$AH$169,109,MATCH(B64,February!$D$3:$AH$3)+1)+INDEX(February!$C$3:$AH$169,114,MATCH(B64,February!$D$3:$AH$3)+1)+INDEX(February!$C$3:$AH$169,119,MATCH(B64,February!$D$3:$AH$3)+1)+INDEX(February!$C$3:$AH$169,124,MATCH(B64,February!$D$3:$AH$3)+1)+INDEX(February!$C$3:$AH$169,129,MATCH(B64,February!$D$3:$AH$3)+1)+INDEX(February!$C$3:$AH$169,134,MATCH(B64,February!$D$3:$AH$3)+1)+INDEX(February!$C$3:$AH$169,139,MATCH(B64,February!$D$3:$AH$3)+1)+INDEX(February!$C$3:$AH$169,144,MATCH(B64,February!$D$3:$AH$3)+1)+INDEX(February!$C$3:$AH$169,149,MATCH(B64,February!$D$3:$AH$3)+1)-INDEX(February!$B$5:$AH$169,MATCH("Patrick Janssen",February!$B$5:$B$169)+1,MATCH(B64,February!$D$3:$AH$3)+2)-INDEX(February!$B$5:$AH$169,MATCH("Patrick Ziesen",February!$B$5:$B$169)+1,MATCH(B64,February!$D$3:$AH$3)+2)-INDEX(February!$B$5:$AH$169,MATCH("Frido Meijer",February!$B$5:$B$169)+1,MATCH(B64,February!$D$3:$AH$3)+2)</f>
        <v>16</v>
      </c>
      <c r="I64" s="130">
        <v>0</v>
      </c>
      <c r="J64" s="130">
        <v>0</v>
      </c>
      <c r="L64" s="212"/>
      <c r="M64" s="111"/>
      <c r="N64" s="111">
        <f t="shared" si="10"/>
        <v>0</v>
      </c>
      <c r="P64" s="112">
        <f t="shared" si="11"/>
        <v>0</v>
      </c>
      <c r="Q64" s="112">
        <f t="shared" si="12"/>
        <v>0</v>
      </c>
    </row>
    <row r="65" spans="2:17" x14ac:dyDescent="0.25">
      <c r="B65" s="110">
        <f>DATE(Title!$F$12,$S$6,S32)</f>
        <v>41333</v>
      </c>
      <c r="C65" s="111">
        <f>IF(WEEKDAY(B65)=1,0,IF(WEEKDAY(B65)=4,'Hours Scheduled'!$E$44-1,IF(WEEKDAY(B65)=7,0,'Hours Scheduled'!$E$44)))</f>
        <v>24</v>
      </c>
      <c r="D65" s="17">
        <f t="shared" si="13"/>
        <v>180</v>
      </c>
      <c r="E65" s="127">
        <f t="shared" si="14"/>
        <v>160</v>
      </c>
      <c r="F65" s="111"/>
      <c r="G65" s="130">
        <f>INDEX(February!$C$3:$AH$169,3,MATCH(B65,February!$D$3:$AH$3)+1)+INDEX(February!$C$3:$AH$169,8,MATCH(B65,February!$D$3:$AH$3)+1)+INDEX(February!$C$3:$AH$169,13,MATCH(B65,February!$D$3:$AH$3)+1)+INDEX(February!$C$3:$AH$169,18,MATCH(B65,February!$D$3:$AH$3)+1)+INDEX(February!$C$3:$AH$169,23,MATCH(B65,February!$D$3:$AH$3)+1)+INDEX(February!$C$3:$AH$169,28,MATCH(B65,February!$D$3:$AH$3)+1)+INDEX(February!$C$3:$AH$169,33,MATCH(B65,February!$D$3:$AH$3)+1)+INDEX(February!$C$3:$AH$169,38,MATCH(B65,February!$D$3:$AH$3)+1)+INDEX(February!$C$3:$AH$169,43,MATCH(B65,February!$D$3:$AH$3)+1)+INDEX(February!$C$3:$AH$169,48,MATCH(B65,February!$D$3:$AH$3)+1)+INDEX(February!$C$3:$AH$169,53,MATCH(B65,February!$D$3:$AH$3)+1)+INDEX(February!$C$3:$AH$169,58,MATCH(B65,February!$D$3:$AH$3)+1)+INDEX(February!$C$3:$AH$169,63,MATCH(B65,February!$D$3:$AH$3)+1)+INDEX(February!$C$3:$AH$169,68,MATCH(B65,February!$D$3:$AH$3)+1)+INDEX(February!$C$3:$AH$169,73,MATCH(B65,February!$D$3:$AH$3)+1)+INDEX(February!$C$3:$AH$169,78,MATCH(B65,February!$D$3:$AH$3)+1)+INDEX(February!$C$3:$AH$169,83,MATCH(B65,February!$D$3:$AH$3)+1)+INDEX(February!$C$3:$AH$169,88,MATCH(B65,February!$D$3:$AH$3)+1)+INDEX(February!$C$3:$AH$169,93,MATCH(B65,February!$D$3:$AH$3)+1)+INDEX(February!$C$3:$AH$169,98,MATCH(B65,February!$D$3:$AH$3)+1)+INDEX(February!$C$3:$AH$169,103,MATCH(B65,February!$D$3:$AH$3)+1)+INDEX(February!$C$3:$AH$169,108,MATCH(B65,February!$D$3:$AH$3)+1)+INDEX(February!$C$3:$AH$169,113,MATCH(B65,February!$D$3:$AH$3)+1)+INDEX(February!$C$3:$AH$169,118,MATCH(B65,February!$D$3:$AH$3)+1)+INDEX(February!$C$3:$AH$169,123,MATCH(B65,February!$D$3:$AH$3)+1)+INDEX(February!$C$3:$AH$169,128,MATCH(B65,February!$D$3:$AH$3)+1)+INDEX(February!$C$3:$AH$169,133,MATCH(B65,February!$D$3:$AH$3)+1)+INDEX(February!$C$3:$AH$169,138,MATCH(B65,February!$D$3:$AH$3)+1)+INDEX(February!$C$3:$AH$169,143,MATCH(B65,February!$D$3:$AH$3)+1)+INDEX(February!$C$3:$AH$169,148,MATCH(B65,February!$D$3:$AH$3)+1)-INDEX(February!$B$5:$AH$169,MATCH("Patrick Janssen",February!$B$5:$B$169),MATCH(B65,February!$D$3:$AH$3)+2)-INDEX(February!$B$5:$AH$169,MATCH("Patrick Ziesen",February!$B$5:$B$169),MATCH(B65,February!$D$3:$AH$3)+2)-INDEX(February!$B$5:$AH$169,MATCH("Frido Meijer",February!$B$5:$B$169),MATCH(B65,February!$D$3:$AH$3)+2)</f>
        <v>16</v>
      </c>
      <c r="H65" s="130">
        <f>INDEX(February!$C$3:$AH$169,4,MATCH(B65,February!$D$3:$AH$3)+1)+INDEX(February!$C$3:$AH$169,9,MATCH(B65,February!$D$3:$AH$3)+1)+INDEX(February!$C$3:$AH$169,14,MATCH(B65,February!$D$3:$AH$3)+1)+INDEX(February!$C$3:$AH$169,19,MATCH(B65,February!$D$3:$AH$3)+1)+INDEX(February!$C$3:$AH$169,24,MATCH(B65,February!$D$3:$AH$3)+1)+INDEX(February!$C$3:$AH$169,29,MATCH(B65,February!$D$3:$AH$3)+1)+INDEX(February!$C$3:$AH$169,34,MATCH(B65,February!$D$3:$AH$3)+1)+INDEX(February!$C$3:$AH$169,39,MATCH(B65,February!$D$3:$AH$3)+1)+INDEX(February!$C$3:$AH$169,44,MATCH(B65,February!$D$3:$AH$3)+1)+INDEX(February!$C$3:$AH$169,49,MATCH(B65,February!$D$3:$AH$3)+1)+INDEX(February!$C$3:$AH$169,54,MATCH(B65,February!$D$3:$AH$3)+1)+INDEX(February!$C$3:$AH$169,59,MATCH(B65,February!$D$3:$AH$3)+1)+INDEX(February!$C$3:$AH$169,64,MATCH(B65,February!$D$3:$AH$3)+1)+INDEX(February!$C$3:$AH$169,69,MATCH(B65,February!$D$3:$AH$3)+1)+INDEX(February!$C$3:$AH$169,74,MATCH(B65,February!$D$3:$AH$3)+1)+INDEX(February!$C$3:$AH$169,79,MATCH(B65,February!$D$3:$AH$3)+1)+INDEX(February!$C$3:$AH$169,84,MATCH(B65,February!$D$3:$AH$3)+1)+INDEX(February!$C$3:$AH$169,89,MATCH(B65,February!$D$3:$AH$3)+1)+INDEX(February!$C$3:$AH$169,94,MATCH(B65,February!$D$3:$AH$3)+1)+INDEX(February!$C$3:$AH$169,99,MATCH(B65,February!$D$3:$AH$3)+1)+INDEX(February!$C$3:$AH$169,104,MATCH(B65,February!$D$3:$AH$3)+1)+INDEX(February!$C$3:$AH$169,109,MATCH(B65,February!$D$3:$AH$3)+1)+INDEX(February!$C$3:$AH$169,114,MATCH(B65,February!$D$3:$AH$3)+1)+INDEX(February!$C$3:$AH$169,119,MATCH(B65,February!$D$3:$AH$3)+1)+INDEX(February!$C$3:$AH$169,124,MATCH(B65,February!$D$3:$AH$3)+1)+INDEX(February!$C$3:$AH$169,129,MATCH(B65,February!$D$3:$AH$3)+1)+INDEX(February!$C$3:$AH$169,134,MATCH(B65,February!$D$3:$AH$3)+1)+INDEX(February!$C$3:$AH$169,139,MATCH(B65,February!$D$3:$AH$3)+1)+INDEX(February!$C$3:$AH$169,144,MATCH(B65,February!$D$3:$AH$3)+1)+INDEX(February!$C$3:$AH$169,149,MATCH(B65,February!$D$3:$AH$3)+1)-INDEX(February!$B$5:$AH$169,MATCH("Patrick Janssen",February!$B$5:$B$169)+1,MATCH(B65,February!$D$3:$AH$3)+2)-INDEX(February!$B$5:$AH$169,MATCH("Patrick Ziesen",February!$B$5:$B$169)+1,MATCH(B65,February!$D$3:$AH$3)+2)-INDEX(February!$B$5:$AH$169,MATCH("Frido Meijer",February!$B$5:$B$169)+1,MATCH(B65,February!$D$3:$AH$3)+2)</f>
        <v>16</v>
      </c>
      <c r="I65" s="130">
        <v>0</v>
      </c>
      <c r="J65" s="130">
        <v>0</v>
      </c>
      <c r="L65" s="212"/>
      <c r="M65" s="111"/>
      <c r="N65" s="111">
        <f t="shared" si="10"/>
        <v>0</v>
      </c>
      <c r="P65" s="112">
        <f t="shared" si="11"/>
        <v>0</v>
      </c>
      <c r="Q65" s="112">
        <f t="shared" si="12"/>
        <v>0</v>
      </c>
    </row>
    <row r="66" spans="2:17" ht="15.75" thickBot="1" x14ac:dyDescent="0.3">
      <c r="B66" s="110">
        <f>DATE(Title!$F$12,$S$6,S33)</f>
        <v>41334</v>
      </c>
      <c r="C66" s="111">
        <f>IF(WEEKDAY(B66)=1,0,IF(WEEKDAY(B66)=4,'Hours Scheduled'!$E$44-1,IF(WEEKDAY(B66)=7,0,'Hours Scheduled'!$E$44)))</f>
        <v>24</v>
      </c>
      <c r="D66" s="17">
        <f t="shared" ref="D66" si="15">C66*7.5</f>
        <v>180</v>
      </c>
      <c r="E66" s="127">
        <f t="shared" ref="E66" si="16">C66*8-G66-H66</f>
        <v>160</v>
      </c>
      <c r="F66" s="214"/>
      <c r="G66" s="215">
        <f>INDEX(February!$C$3:$AH$169,3,MATCH(B66,February!$D$3:$AH$3)+1)+INDEX(February!$C$3:$AH$169,8,MATCH(B66,February!$D$3:$AH$3)+1)+INDEX(February!$C$3:$AH$169,13,MATCH(B66,February!$D$3:$AH$3)+1)+INDEX(February!$C$3:$AH$169,18,MATCH(B66,February!$D$3:$AH$3)+1)+INDEX(February!$C$3:$AH$169,23,MATCH(B66,February!$D$3:$AH$3)+1)+INDEX(February!$C$3:$AH$169,28,MATCH(B66,February!$D$3:$AH$3)+1)+INDEX(February!$C$3:$AH$169,33,MATCH(B66,February!$D$3:$AH$3)+1)+INDEX(February!$C$3:$AH$169,38,MATCH(B66,February!$D$3:$AH$3)+1)+INDEX(February!$C$3:$AH$169,43,MATCH(B66,February!$D$3:$AH$3)+1)+INDEX(February!$C$3:$AH$169,48,MATCH(B66,February!$D$3:$AH$3)+1)+INDEX(February!$C$3:$AH$169,53,MATCH(B66,February!$D$3:$AH$3)+1)+INDEX(February!$C$3:$AH$169,58,MATCH(B66,February!$D$3:$AH$3)+1)+INDEX(February!$C$3:$AH$169,63,MATCH(B66,February!$D$3:$AH$3)+1)+INDEX(February!$C$3:$AH$169,68,MATCH(B66,February!$D$3:$AH$3)+1)+INDEX(February!$C$3:$AH$169,73,MATCH(B66,February!$D$3:$AH$3)+1)+INDEX(February!$C$3:$AH$169,78,MATCH(B66,February!$D$3:$AH$3)+1)+INDEX(February!$C$3:$AH$169,83,MATCH(B66,February!$D$3:$AH$3)+1)+INDEX(February!$C$3:$AH$169,88,MATCH(B66,February!$D$3:$AH$3)+1)+INDEX(February!$C$3:$AH$169,93,MATCH(B66,February!$D$3:$AH$3)+1)+INDEX(February!$C$3:$AH$169,98,MATCH(B66,February!$D$3:$AH$3)+1)+INDEX(February!$C$3:$AH$169,103,MATCH(B66,February!$D$3:$AH$3)+1)+INDEX(February!$C$3:$AH$169,108,MATCH(B66,February!$D$3:$AH$3)+1)+INDEX(February!$C$3:$AH$169,113,MATCH(B66,February!$D$3:$AH$3)+1)+INDEX(February!$C$3:$AH$169,118,MATCH(B66,February!$D$3:$AH$3)+1)+INDEX(February!$C$3:$AH$169,123,MATCH(B66,February!$D$3:$AH$3)+1)+INDEX(February!$C$3:$AH$169,128,MATCH(B66,February!$D$3:$AH$3)+1)+INDEX(February!$C$3:$AH$169,133,MATCH(B66,February!$D$3:$AH$3)+1)+INDEX(February!$C$3:$AH$169,138,MATCH(B66,February!$D$3:$AH$3)+1)+INDEX(February!$C$3:$AH$169,143,MATCH(B66,February!$D$3:$AH$3)+1)+INDEX(February!$C$3:$AH$169,148,MATCH(B66,February!$D$3:$AH$3)+1)-INDEX(February!$B$5:$AH$169,MATCH("Patrick Janssen",February!$B$5:$B$169),MATCH(B66,February!$D$3:$AH$3)+2)-INDEX(February!$B$5:$AH$169,MATCH("Patrick Ziesen",February!$B$5:$B$169),MATCH(B66,February!$D$3:$AH$3)+2)-INDEX(February!$B$5:$AH$169,MATCH("Frido Meijer",February!$B$5:$B$169),MATCH(B66,February!$D$3:$AH$3)+2)</f>
        <v>16</v>
      </c>
      <c r="H66" s="215">
        <f>INDEX(February!$C$3:$AH$169,4,MATCH(B66,February!$D$3:$AH$3)+1)+INDEX(February!$C$3:$AH$169,9,MATCH(B66,February!$D$3:$AH$3)+1)+INDEX(February!$C$3:$AH$169,14,MATCH(B66,February!$D$3:$AH$3)+1)+INDEX(February!$C$3:$AH$169,19,MATCH(B66,February!$D$3:$AH$3)+1)+INDEX(February!$C$3:$AH$169,24,MATCH(B66,February!$D$3:$AH$3)+1)+INDEX(February!$C$3:$AH$169,29,MATCH(B66,February!$D$3:$AH$3)+1)+INDEX(February!$C$3:$AH$169,34,MATCH(B66,February!$D$3:$AH$3)+1)+INDEX(February!$C$3:$AH$169,39,MATCH(B66,February!$D$3:$AH$3)+1)+INDEX(February!$C$3:$AH$169,44,MATCH(B66,February!$D$3:$AH$3)+1)+INDEX(February!$C$3:$AH$169,49,MATCH(B66,February!$D$3:$AH$3)+1)+INDEX(February!$C$3:$AH$169,54,MATCH(B66,February!$D$3:$AH$3)+1)+INDEX(February!$C$3:$AH$169,59,MATCH(B66,February!$D$3:$AH$3)+1)+INDEX(February!$C$3:$AH$169,64,MATCH(B66,February!$D$3:$AH$3)+1)+INDEX(February!$C$3:$AH$169,69,MATCH(B66,February!$D$3:$AH$3)+1)+INDEX(February!$C$3:$AH$169,74,MATCH(B66,February!$D$3:$AH$3)+1)+INDEX(February!$C$3:$AH$169,79,MATCH(B66,February!$D$3:$AH$3)+1)+INDEX(February!$C$3:$AH$169,84,MATCH(B66,February!$D$3:$AH$3)+1)+INDEX(February!$C$3:$AH$169,89,MATCH(B66,February!$D$3:$AH$3)+1)+INDEX(February!$C$3:$AH$169,94,MATCH(B66,February!$D$3:$AH$3)+1)+INDEX(February!$C$3:$AH$169,99,MATCH(B66,February!$D$3:$AH$3)+1)+INDEX(February!$C$3:$AH$169,104,MATCH(B66,February!$D$3:$AH$3)+1)+INDEX(February!$C$3:$AH$169,109,MATCH(B66,February!$D$3:$AH$3)+1)+INDEX(February!$C$3:$AH$169,114,MATCH(B66,February!$D$3:$AH$3)+1)+INDEX(February!$C$3:$AH$169,119,MATCH(B66,February!$D$3:$AH$3)+1)+INDEX(February!$C$3:$AH$169,124,MATCH(B66,February!$D$3:$AH$3)+1)+INDEX(February!$C$3:$AH$169,129,MATCH(B66,February!$D$3:$AH$3)+1)+INDEX(February!$C$3:$AH$169,134,MATCH(B66,February!$D$3:$AH$3)+1)+INDEX(February!$C$3:$AH$169,139,MATCH(B66,February!$D$3:$AH$3)+1)+INDEX(February!$C$3:$AH$169,144,MATCH(B66,February!$D$3:$AH$3)+1)+INDEX(February!$C$3:$AH$169,149,MATCH(B66,February!$D$3:$AH$3)+1)-INDEX(February!$B$5:$AH$169,MATCH("Patrick Janssen",February!$B$5:$B$169)+1,MATCH(B66,February!$D$3:$AH$3)+2)-INDEX(February!$B$5:$AH$169,MATCH("Patrick Ziesen",February!$B$5:$B$169)+1,MATCH(B66,February!$D$3:$AH$3)+2)-INDEX(February!$B$5:$AH$169,MATCH("Frido Meijer",February!$B$5:$B$169)+1,MATCH(B66,February!$D$3:$AH$3)+2)</f>
        <v>16</v>
      </c>
      <c r="I66" s="130">
        <v>0</v>
      </c>
      <c r="J66" s="130">
        <v>0</v>
      </c>
      <c r="L66" s="212"/>
      <c r="M66" s="111"/>
      <c r="N66" s="111">
        <f t="shared" ref="N66" si="17">IF(L66="",0,6*7.5)</f>
        <v>0</v>
      </c>
      <c r="P66" s="112">
        <f t="shared" ref="P66" si="18">IFERROR((L66+(M66/60)+N66)/(D66-F66-G66-H66-I66-J66),"")</f>
        <v>0</v>
      </c>
      <c r="Q66" s="112">
        <f t="shared" ref="Q66" si="19">IFERROR((L66+(M66/60)+N66)/(D66-(G66+H66)),"")</f>
        <v>0</v>
      </c>
    </row>
    <row r="67" spans="2:17" ht="15.75" x14ac:dyDescent="0.25">
      <c r="B67" s="146" t="s">
        <v>7</v>
      </c>
      <c r="C67" s="114">
        <f>SUM(C38:C65)</f>
        <v>476</v>
      </c>
      <c r="D67" s="107">
        <f t="shared" si="13"/>
        <v>3570</v>
      </c>
      <c r="E67" s="140">
        <f t="shared" si="14"/>
        <v>3141.75</v>
      </c>
      <c r="F67" s="114">
        <f>SUM(F38:F65)</f>
        <v>0</v>
      </c>
      <c r="G67" s="133">
        <f t="shared" ref="G67:J67" si="20">SUM(G38:G65)</f>
        <v>290.75</v>
      </c>
      <c r="H67" s="133">
        <f t="shared" si="20"/>
        <v>375.5</v>
      </c>
      <c r="I67" s="133">
        <f t="shared" si="20"/>
        <v>0</v>
      </c>
      <c r="J67" s="133">
        <f t="shared" si="20"/>
        <v>0</v>
      </c>
      <c r="K67" s="115"/>
      <c r="L67" s="114">
        <f>SUM(L38:L66)</f>
        <v>0</v>
      </c>
      <c r="M67" s="114">
        <f t="shared" ref="M67:N67" si="21">SUM(M38:M65)</f>
        <v>0</v>
      </c>
      <c r="N67" s="114">
        <f t="shared" si="21"/>
        <v>0</v>
      </c>
      <c r="O67" s="115"/>
      <c r="P67" s="116">
        <f t="shared" ref="P67" si="22">(L67+(M67/60)+N67)/(D67-F67-G67-H67-I67-J67)</f>
        <v>0</v>
      </c>
      <c r="Q67" s="116">
        <f t="shared" ref="Q67" si="23">(L67+(M67/60)+N67)/(D67-(G67+H67))</f>
        <v>0</v>
      </c>
    </row>
    <row r="68" spans="2:17" x14ac:dyDescent="0.25">
      <c r="B68"/>
      <c r="E68" s="127"/>
    </row>
    <row r="69" spans="2:17" x14ac:dyDescent="0.25">
      <c r="B69" s="110">
        <f>DATE(Title!$F$12,$S$7,S5)</f>
        <v>41334</v>
      </c>
      <c r="C69" s="111">
        <f>IF(WEEKDAY(B69)=1,0,IF(WEEKDAY(B69)=4,'Hours Scheduled'!$F$44-1,IF(WEEKDAY(B69)=7,0,'Hours Scheduled'!$F$44)))</f>
        <v>25</v>
      </c>
      <c r="D69" s="17">
        <f>C69*7.5</f>
        <v>187.5</v>
      </c>
      <c r="E69" s="127">
        <f>C69*8-G69-H69</f>
        <v>165</v>
      </c>
      <c r="F69" s="111"/>
      <c r="G69" s="130">
        <f>INDEX(March!$C$3:$AH$169,3,MATCH(B69,March!$D$3:$AH$3)+1)+INDEX(March!$C$3:$AH$169,8,MATCH(B69,March!$D$3:$AH$3)+1)+INDEX(March!$C$3:$AH$169,13,MATCH(B69,March!$D$3:$AH$3)+1)+INDEX(March!$C$3:$AH$169,18,MATCH(B69,March!$D$3:$AH$3)+1)+INDEX(March!$C$3:$AH$169,23,MATCH(B69,March!$D$3:$AH$3)+1)+INDEX(March!$C$3:$AH$169,28,MATCH(B69,March!$D$3:$AH$3)+1)+INDEX(March!$C$3:$AH$169,33,MATCH(B69,March!$D$3:$AH$3)+1)+INDEX(March!$C$3:$AH$169,38,MATCH(B69,March!$D$3:$AH$3)+1)+INDEX(March!$C$3:$AH$169,43,MATCH(B69,March!$D$3:$AH$3)+1)+INDEX(March!$C$3:$AH$169,48,MATCH(B69,March!$D$3:$AH$3)+1)+INDEX(March!$C$3:$AH$169,53,MATCH(B69,March!$D$3:$AH$3)+1)+INDEX(March!$C$3:$AH$169,58,MATCH(B69,March!$D$3:$AH$3)+1)+INDEX(March!$C$3:$AH$169,63,MATCH(B69,March!$D$3:$AH$3)+1)+INDEX(March!$C$3:$AH$169,68,MATCH(B69,March!$D$3:$AH$3)+1)+INDEX(March!$C$3:$AH$169,73,MATCH(B69,March!$D$3:$AH$3)+1)+INDEX(March!$C$3:$AH$169,78,MATCH(B69,March!$D$3:$AH$3)+1)+INDEX(March!$C$3:$AH$169,83,MATCH(B69,March!$D$3:$AH$3)+1)+INDEX(March!$C$3:$AH$169,88,MATCH(B69,March!$D$3:$AH$3)+1)+INDEX(March!$C$3:$AH$169,93,MATCH(B69,March!$D$3:$AH$3)+1)+INDEX(March!$C$3:$AH$169,98,MATCH(B69,March!$D$3:$AH$3)+1)+INDEX(March!$C$3:$AH$169,103,MATCH(B69,March!$D$3:$AH$3)+1)+INDEX(March!$C$3:$AH$169,108,MATCH(B69,March!$D$3:$AH$3)+1)+INDEX(March!$C$3:$AH$169,113,MATCH(B69,March!$D$3:$AH$3)+1)+INDEX(March!$C$3:$AH$169,118,MATCH(B69,March!$D$3:$AH$3)+1)+INDEX(March!$C$3:$AH$169,123,MATCH(B69,March!$D$3:$AH$3)+1)+INDEX(March!$C$3:$AH$169,128,MATCH(B69,March!$D$3:$AH$3)+1)+INDEX(March!$C$3:$AH$169,133,MATCH(B69,March!$D$3:$AH$3)+1)+INDEX(March!$C$3:$AH$169,138,MATCH(B69,March!$D$3:$AH$3)+1)+INDEX(March!$C$3:$AH$169,143,MATCH(B69,March!$D$3:$AH$3)+1)+INDEX(March!$C$3:$AH$169,148,MATCH(B69,March!$D$3:$AH$3)+1)-INDEX(March!$B$5:$AH$169,MATCH("Patrick Janssen",March!$B$5:$B$169),MATCH(B69,March!$D$3:$AH$3)+2)-INDEX(March!$B$5:$AH$169,MATCH("Patrick Ziesen",March!$B$5:$B$169),MATCH(B69,March!$D$3:$AH$3)+2)-INDEX(March!$B$5:$AH$169,MATCH("Frido Meijer",March!$B$5:$B$169),MATCH(B69,March!$D$3:$AH$3)+2)</f>
        <v>19</v>
      </c>
      <c r="H69" s="130">
        <f>INDEX(March!$C$3:$AH$169,4,MATCH(B69,March!$D$3:$AH$3)+1)+INDEX(March!$C$3:$AH$169,9,MATCH(B69,March!$D$3:$AH$3)+1)+INDEX(March!$C$3:$AH$169,14,MATCH(B69,March!$D$3:$AH$3)+1)+INDEX(March!$C$3:$AH$169,19,MATCH(B69,March!$D$3:$AH$3)+1)+INDEX(March!$C$3:$AH$169,24,MATCH(B69,March!$D$3:$AH$3)+1)+INDEX(March!$C$3:$AH$169,29,MATCH(B69,March!$D$3:$AH$3)+1)+INDEX(March!$C$3:$AH$169,34,MATCH(B69,March!$D$3:$AH$3)+1)+INDEX(March!$C$3:$AH$169,39,MATCH(B69,March!$D$3:$AH$3)+1)+INDEX(March!$C$3:$AH$169,44,MATCH(B69,March!$D$3:$AH$3)+1)+INDEX(March!$C$3:$AH$169,49,MATCH(B69,March!$D$3:$AH$3)+1)+INDEX(March!$C$3:$AH$169,54,MATCH(B69,March!$D$3:$AH$3)+1)+INDEX(March!$C$3:$AH$169,59,MATCH(B69,March!$D$3:$AH$3)+1)+INDEX(March!$C$3:$AH$169,64,MATCH(B69,March!$D$3:$AH$3)+1)+INDEX(March!$C$3:$AH$169,69,MATCH(B69,March!$D$3:$AH$3)+1)+INDEX(March!$C$3:$AH$169,74,MATCH(B69,March!$D$3:$AH$3)+1)+INDEX(March!$C$3:$AH$169,79,MATCH(B69,March!$D$3:$AH$3)+1)+INDEX(March!$C$3:$AH$169,84,MATCH(B69,March!$D$3:$AH$3)+1)+INDEX(March!$C$3:$AH$169,89,MATCH(B69,March!$D$3:$AH$3)+1)+INDEX(March!$C$3:$AH$169,94,MATCH(B69,March!$D$3:$AH$3)+1)+INDEX(March!$C$3:$AH$169,99,MATCH(B69,March!$D$3:$AH$3)+1)+INDEX(March!$C$3:$AH$169,104,MATCH(B69,March!$D$3:$AH$3)+1)+INDEX(March!$C$3:$AH$169,109,MATCH(B69,March!$D$3:$AH$3)+1)+INDEX(March!$C$3:$AH$169,114,MATCH(B69,March!$D$3:$AH$3)+1)+INDEX(March!$C$3:$AH$169,119,MATCH(B69,March!$D$3:$AH$3)+1)+INDEX(March!$C$3:$AH$169,124,MATCH(B69,March!$D$3:$AH$3)+1)+INDEX(March!$C$3:$AH$169,129,MATCH(B69,March!$D$3:$AH$3)+1)+INDEX(March!$C$3:$AH$169,134,MATCH(B69,March!$D$3:$AH$3)+1)+INDEX(March!$C$3:$AH$169,139,MATCH(B69,March!$D$3:$AH$3)+1)+INDEX(March!$C$3:$AH$169,144,MATCH(B69,March!$D$3:$AH$3)+1)+INDEX(March!$C$3:$AH$169,149,MATCH(B69,March!$D$3:$AH$3)+1)-INDEX(March!$B$5:$AH$169,MATCH("Patrick Janssen",March!$B$5:$B$169)+1,MATCH(B69,March!$D$3:$AH$3)+2)-INDEX(March!$B$5:$AH$169,MATCH("Patrick Ziesen",March!$B$5:$B$169)+1,MATCH(B69,March!$D$3:$AH$3)+2)-INDEX(March!$B$5:$AH$169,MATCH("Frido Meijer",March!$B$5:$B$169)+1,MATCH(B69,March!$D$3:$AH$3)+2)</f>
        <v>16</v>
      </c>
      <c r="I69" s="130">
        <v>0</v>
      </c>
      <c r="J69" s="130">
        <v>0</v>
      </c>
      <c r="L69" s="165"/>
      <c r="M69" s="111"/>
      <c r="N69" s="111">
        <f t="shared" ref="N69:N99" si="24">IF(L69="",0,6*7.5)</f>
        <v>0</v>
      </c>
      <c r="P69" s="112">
        <f t="shared" ref="P69:P99" si="25">IFERROR((L69+(M69/60)+N69)/(D69-F69-G69-H69-I69-J69),"")</f>
        <v>0</v>
      </c>
      <c r="Q69" s="112">
        <f t="shared" ref="Q69:Q99" si="26">IFERROR((L69+(M69/60)+N69)/(D69-(G69+H69)),"")</f>
        <v>0</v>
      </c>
    </row>
    <row r="70" spans="2:17" x14ac:dyDescent="0.25">
      <c r="B70" s="110">
        <f>DATE(Title!$F$12,$S$7,S6)</f>
        <v>41335</v>
      </c>
      <c r="C70" s="111">
        <f>IF(WEEKDAY(B70)=1,0,IF(WEEKDAY(B70)=4,'Hours Scheduled'!$F$44-1,IF(WEEKDAY(B70)=7,0,'Hours Scheduled'!$F$44)))</f>
        <v>0</v>
      </c>
      <c r="D70" s="17">
        <f t="shared" ref="D70:D100" si="27">C70*7.5</f>
        <v>0</v>
      </c>
      <c r="E70" s="127">
        <f t="shared" ref="E70:E100" si="28">C70*8-G70-H70</f>
        <v>0</v>
      </c>
      <c r="F70" s="111"/>
      <c r="G70" s="130">
        <f>INDEX(March!$C$3:$AH$169,3,MATCH(B70,March!$D$3:$AH$3)+1)+INDEX(March!$C$3:$AH$169,8,MATCH(B70,March!$D$3:$AH$3)+1)+INDEX(March!$C$3:$AH$169,13,MATCH(B70,March!$D$3:$AH$3)+1)+INDEX(March!$C$3:$AH$169,18,MATCH(B70,March!$D$3:$AH$3)+1)+INDEX(March!$C$3:$AH$169,23,MATCH(B70,March!$D$3:$AH$3)+1)+INDEX(March!$C$3:$AH$169,28,MATCH(B70,March!$D$3:$AH$3)+1)+INDEX(March!$C$3:$AH$169,33,MATCH(B70,March!$D$3:$AH$3)+1)+INDEX(March!$C$3:$AH$169,38,MATCH(B70,March!$D$3:$AH$3)+1)+INDEX(March!$C$3:$AH$169,43,MATCH(B70,March!$D$3:$AH$3)+1)+INDEX(March!$C$3:$AH$169,48,MATCH(B70,March!$D$3:$AH$3)+1)+INDEX(March!$C$3:$AH$169,53,MATCH(B70,March!$D$3:$AH$3)+1)+INDEX(March!$C$3:$AH$169,58,MATCH(B70,March!$D$3:$AH$3)+1)+INDEX(March!$C$3:$AH$169,63,MATCH(B70,March!$D$3:$AH$3)+1)+INDEX(March!$C$3:$AH$169,68,MATCH(B70,March!$D$3:$AH$3)+1)+INDEX(March!$C$3:$AH$169,73,MATCH(B70,March!$D$3:$AH$3)+1)+INDEX(March!$C$3:$AH$169,78,MATCH(B70,March!$D$3:$AH$3)+1)+INDEX(March!$C$3:$AH$169,83,MATCH(B70,March!$D$3:$AH$3)+1)+INDEX(March!$C$3:$AH$169,88,MATCH(B70,March!$D$3:$AH$3)+1)+INDEX(March!$C$3:$AH$169,93,MATCH(B70,March!$D$3:$AH$3)+1)+INDEX(March!$C$3:$AH$169,98,MATCH(B70,March!$D$3:$AH$3)+1)+INDEX(March!$C$3:$AH$169,103,MATCH(B70,March!$D$3:$AH$3)+1)+INDEX(March!$C$3:$AH$169,108,MATCH(B70,March!$D$3:$AH$3)+1)+INDEX(March!$C$3:$AH$169,113,MATCH(B70,March!$D$3:$AH$3)+1)+INDEX(March!$C$3:$AH$169,118,MATCH(B70,March!$D$3:$AH$3)+1)+INDEX(March!$C$3:$AH$169,123,MATCH(B70,March!$D$3:$AH$3)+1)+INDEX(March!$C$3:$AH$169,128,MATCH(B70,March!$D$3:$AH$3)+1)+INDEX(March!$C$3:$AH$169,133,MATCH(B70,March!$D$3:$AH$3)+1)+INDEX(March!$C$3:$AH$169,138,MATCH(B70,March!$D$3:$AH$3)+1)+INDEX(March!$C$3:$AH$169,143,MATCH(B70,March!$D$3:$AH$3)+1)+INDEX(March!$C$3:$AH$169,148,MATCH(B70,March!$D$3:$AH$3)+1)-INDEX(March!$B$5:$AH$169,MATCH("Patrick Janssen",March!$B$5:$B$169),MATCH(B70,March!$D$3:$AH$3)+2)-INDEX(March!$B$5:$AH$169,MATCH("Patrick Ziesen",March!$B$5:$B$169),MATCH(B70,March!$D$3:$AH$3)+2)-INDEX(March!$B$5:$AH$169,MATCH("Frido Meijer",March!$B$5:$B$169),MATCH(B70,March!$D$3:$AH$3)+2)</f>
        <v>0</v>
      </c>
      <c r="H70" s="130">
        <f>INDEX(March!$C$3:$AH$169,4,MATCH(B70,March!$D$3:$AH$3)+1)+INDEX(March!$C$3:$AH$169,9,MATCH(B70,March!$D$3:$AH$3)+1)+INDEX(March!$C$3:$AH$169,14,MATCH(B70,March!$D$3:$AH$3)+1)+INDEX(March!$C$3:$AH$169,19,MATCH(B70,March!$D$3:$AH$3)+1)+INDEX(March!$C$3:$AH$169,24,MATCH(B70,March!$D$3:$AH$3)+1)+INDEX(March!$C$3:$AH$169,29,MATCH(B70,March!$D$3:$AH$3)+1)+INDEX(March!$C$3:$AH$169,34,MATCH(B70,March!$D$3:$AH$3)+1)+INDEX(March!$C$3:$AH$169,39,MATCH(B70,March!$D$3:$AH$3)+1)+INDEX(March!$C$3:$AH$169,44,MATCH(B70,March!$D$3:$AH$3)+1)+INDEX(March!$C$3:$AH$169,49,MATCH(B70,March!$D$3:$AH$3)+1)+INDEX(March!$C$3:$AH$169,54,MATCH(B70,March!$D$3:$AH$3)+1)+INDEX(March!$C$3:$AH$169,59,MATCH(B70,March!$D$3:$AH$3)+1)+INDEX(March!$C$3:$AH$169,64,MATCH(B70,March!$D$3:$AH$3)+1)+INDEX(March!$C$3:$AH$169,69,MATCH(B70,March!$D$3:$AH$3)+1)+INDEX(March!$C$3:$AH$169,74,MATCH(B70,March!$D$3:$AH$3)+1)+INDEX(March!$C$3:$AH$169,79,MATCH(B70,March!$D$3:$AH$3)+1)+INDEX(March!$C$3:$AH$169,84,MATCH(B70,March!$D$3:$AH$3)+1)+INDEX(March!$C$3:$AH$169,89,MATCH(B70,March!$D$3:$AH$3)+1)+INDEX(March!$C$3:$AH$169,94,MATCH(B70,March!$D$3:$AH$3)+1)+INDEX(March!$C$3:$AH$169,99,MATCH(B70,March!$D$3:$AH$3)+1)+INDEX(March!$C$3:$AH$169,104,MATCH(B70,March!$D$3:$AH$3)+1)+INDEX(March!$C$3:$AH$169,109,MATCH(B70,March!$D$3:$AH$3)+1)+INDEX(March!$C$3:$AH$169,114,MATCH(B70,March!$D$3:$AH$3)+1)+INDEX(March!$C$3:$AH$169,119,MATCH(B70,March!$D$3:$AH$3)+1)+INDEX(March!$C$3:$AH$169,124,MATCH(B70,March!$D$3:$AH$3)+1)+INDEX(March!$C$3:$AH$169,129,MATCH(B70,March!$D$3:$AH$3)+1)+INDEX(March!$C$3:$AH$169,134,MATCH(B70,March!$D$3:$AH$3)+1)+INDEX(March!$C$3:$AH$169,139,MATCH(B70,March!$D$3:$AH$3)+1)+INDEX(March!$C$3:$AH$169,144,MATCH(B70,March!$D$3:$AH$3)+1)+INDEX(March!$C$3:$AH$169,149,MATCH(B70,March!$D$3:$AH$3)+1)-INDEX(March!$B$5:$AH$169,MATCH("Patrick Janssen",March!$B$5:$B$169)+1,MATCH(B70,March!$D$3:$AH$3)+2)-INDEX(March!$B$5:$AH$169,MATCH("Patrick Ziesen",March!$B$5:$B$169)+1,MATCH(B70,March!$D$3:$AH$3)+2)-INDEX(March!$B$5:$AH$169,MATCH("Frido Meijer",March!$B$5:$B$169)+1,MATCH(B70,March!$D$3:$AH$3)+2)</f>
        <v>0</v>
      </c>
      <c r="I70" s="130">
        <v>0</v>
      </c>
      <c r="J70" s="130">
        <v>0</v>
      </c>
      <c r="L70" s="165"/>
      <c r="M70" s="111"/>
      <c r="N70" s="111">
        <f t="shared" si="24"/>
        <v>0</v>
      </c>
      <c r="P70" s="112" t="str">
        <f t="shared" si="25"/>
        <v/>
      </c>
      <c r="Q70" s="112" t="str">
        <f t="shared" si="26"/>
        <v/>
      </c>
    </row>
    <row r="71" spans="2:17" x14ac:dyDescent="0.25">
      <c r="B71" s="110">
        <f>DATE(Title!$F$12,$S$7,S7)</f>
        <v>41336</v>
      </c>
      <c r="C71" s="111">
        <f>IF(WEEKDAY(B71)=1,0,IF(WEEKDAY(B71)=4,'Hours Scheduled'!$F$44-1,IF(WEEKDAY(B71)=7,0,'Hours Scheduled'!$F$44)))</f>
        <v>0</v>
      </c>
      <c r="D71" s="17">
        <f t="shared" si="27"/>
        <v>0</v>
      </c>
      <c r="E71" s="127">
        <f t="shared" si="28"/>
        <v>0</v>
      </c>
      <c r="F71" s="111"/>
      <c r="G71" s="130">
        <f>INDEX(March!$C$3:$AH$169,3,MATCH(B71,March!$D$3:$AH$3)+1)+INDEX(March!$C$3:$AH$169,8,MATCH(B71,March!$D$3:$AH$3)+1)+INDEX(March!$C$3:$AH$169,13,MATCH(B71,March!$D$3:$AH$3)+1)+INDEX(March!$C$3:$AH$169,18,MATCH(B71,March!$D$3:$AH$3)+1)+INDEX(March!$C$3:$AH$169,23,MATCH(B71,March!$D$3:$AH$3)+1)+INDEX(March!$C$3:$AH$169,28,MATCH(B71,March!$D$3:$AH$3)+1)+INDEX(March!$C$3:$AH$169,33,MATCH(B71,March!$D$3:$AH$3)+1)+INDEX(March!$C$3:$AH$169,38,MATCH(B71,March!$D$3:$AH$3)+1)+INDEX(March!$C$3:$AH$169,43,MATCH(B71,March!$D$3:$AH$3)+1)+INDEX(March!$C$3:$AH$169,48,MATCH(B71,March!$D$3:$AH$3)+1)+INDEX(March!$C$3:$AH$169,53,MATCH(B71,March!$D$3:$AH$3)+1)+INDEX(March!$C$3:$AH$169,58,MATCH(B71,March!$D$3:$AH$3)+1)+INDEX(March!$C$3:$AH$169,63,MATCH(B71,March!$D$3:$AH$3)+1)+INDEX(March!$C$3:$AH$169,68,MATCH(B71,March!$D$3:$AH$3)+1)+INDEX(March!$C$3:$AH$169,73,MATCH(B71,March!$D$3:$AH$3)+1)+INDEX(March!$C$3:$AH$169,78,MATCH(B71,March!$D$3:$AH$3)+1)+INDEX(March!$C$3:$AH$169,83,MATCH(B71,March!$D$3:$AH$3)+1)+INDEX(March!$C$3:$AH$169,88,MATCH(B71,March!$D$3:$AH$3)+1)+INDEX(March!$C$3:$AH$169,93,MATCH(B71,March!$D$3:$AH$3)+1)+INDEX(March!$C$3:$AH$169,98,MATCH(B71,March!$D$3:$AH$3)+1)+INDEX(March!$C$3:$AH$169,103,MATCH(B71,March!$D$3:$AH$3)+1)+INDEX(March!$C$3:$AH$169,108,MATCH(B71,March!$D$3:$AH$3)+1)+INDEX(March!$C$3:$AH$169,113,MATCH(B71,March!$D$3:$AH$3)+1)+INDEX(March!$C$3:$AH$169,118,MATCH(B71,March!$D$3:$AH$3)+1)+INDEX(March!$C$3:$AH$169,123,MATCH(B71,March!$D$3:$AH$3)+1)+INDEX(March!$C$3:$AH$169,128,MATCH(B71,March!$D$3:$AH$3)+1)+INDEX(March!$C$3:$AH$169,133,MATCH(B71,March!$D$3:$AH$3)+1)+INDEX(March!$C$3:$AH$169,138,MATCH(B71,March!$D$3:$AH$3)+1)+INDEX(March!$C$3:$AH$169,143,MATCH(B71,March!$D$3:$AH$3)+1)+INDEX(March!$C$3:$AH$169,148,MATCH(B71,March!$D$3:$AH$3)+1)-INDEX(March!$B$5:$AH$169,MATCH("Patrick Janssen",March!$B$5:$B$169),MATCH(B71,March!$D$3:$AH$3)+2)-INDEX(March!$B$5:$AH$169,MATCH("Patrick Ziesen",March!$B$5:$B$169),MATCH(B71,March!$D$3:$AH$3)+2)-INDEX(March!$B$5:$AH$169,MATCH("Frido Meijer",March!$B$5:$B$169),MATCH(B71,March!$D$3:$AH$3)+2)</f>
        <v>0</v>
      </c>
      <c r="H71" s="130">
        <f>INDEX(March!$C$3:$AH$169,4,MATCH(B71,March!$D$3:$AH$3)+1)+INDEX(March!$C$3:$AH$169,9,MATCH(B71,March!$D$3:$AH$3)+1)+INDEX(March!$C$3:$AH$169,14,MATCH(B71,March!$D$3:$AH$3)+1)+INDEX(March!$C$3:$AH$169,19,MATCH(B71,March!$D$3:$AH$3)+1)+INDEX(March!$C$3:$AH$169,24,MATCH(B71,March!$D$3:$AH$3)+1)+INDEX(March!$C$3:$AH$169,29,MATCH(B71,March!$D$3:$AH$3)+1)+INDEX(March!$C$3:$AH$169,34,MATCH(B71,March!$D$3:$AH$3)+1)+INDEX(March!$C$3:$AH$169,39,MATCH(B71,March!$D$3:$AH$3)+1)+INDEX(March!$C$3:$AH$169,44,MATCH(B71,March!$D$3:$AH$3)+1)+INDEX(March!$C$3:$AH$169,49,MATCH(B71,March!$D$3:$AH$3)+1)+INDEX(March!$C$3:$AH$169,54,MATCH(B71,March!$D$3:$AH$3)+1)+INDEX(March!$C$3:$AH$169,59,MATCH(B71,March!$D$3:$AH$3)+1)+INDEX(March!$C$3:$AH$169,64,MATCH(B71,March!$D$3:$AH$3)+1)+INDEX(March!$C$3:$AH$169,69,MATCH(B71,March!$D$3:$AH$3)+1)+INDEX(March!$C$3:$AH$169,74,MATCH(B71,March!$D$3:$AH$3)+1)+INDEX(March!$C$3:$AH$169,79,MATCH(B71,March!$D$3:$AH$3)+1)+INDEX(March!$C$3:$AH$169,84,MATCH(B71,March!$D$3:$AH$3)+1)+INDEX(March!$C$3:$AH$169,89,MATCH(B71,March!$D$3:$AH$3)+1)+INDEX(March!$C$3:$AH$169,94,MATCH(B71,March!$D$3:$AH$3)+1)+INDEX(March!$C$3:$AH$169,99,MATCH(B71,March!$D$3:$AH$3)+1)+INDEX(March!$C$3:$AH$169,104,MATCH(B71,March!$D$3:$AH$3)+1)+INDEX(March!$C$3:$AH$169,109,MATCH(B71,March!$D$3:$AH$3)+1)+INDEX(March!$C$3:$AH$169,114,MATCH(B71,March!$D$3:$AH$3)+1)+INDEX(March!$C$3:$AH$169,119,MATCH(B71,March!$D$3:$AH$3)+1)+INDEX(March!$C$3:$AH$169,124,MATCH(B71,March!$D$3:$AH$3)+1)+INDEX(March!$C$3:$AH$169,129,MATCH(B71,March!$D$3:$AH$3)+1)+INDEX(March!$C$3:$AH$169,134,MATCH(B71,March!$D$3:$AH$3)+1)+INDEX(March!$C$3:$AH$169,139,MATCH(B71,March!$D$3:$AH$3)+1)+INDEX(March!$C$3:$AH$169,144,MATCH(B71,March!$D$3:$AH$3)+1)+INDEX(March!$C$3:$AH$169,149,MATCH(B71,March!$D$3:$AH$3)+1)-INDEX(March!$B$5:$AH$169,MATCH("Patrick Janssen",March!$B$5:$B$169)+1,MATCH(B71,March!$D$3:$AH$3)+2)-INDEX(March!$B$5:$AH$169,MATCH("Patrick Ziesen",March!$B$5:$B$169)+1,MATCH(B71,March!$D$3:$AH$3)+2)-INDEX(March!$B$5:$AH$169,MATCH("Frido Meijer",March!$B$5:$B$169)+1,MATCH(B71,March!$D$3:$AH$3)+2)</f>
        <v>0</v>
      </c>
      <c r="I71" s="130">
        <v>0</v>
      </c>
      <c r="J71" s="130">
        <v>0</v>
      </c>
      <c r="L71" s="124"/>
      <c r="M71" s="111"/>
      <c r="N71" s="111">
        <f t="shared" si="24"/>
        <v>0</v>
      </c>
      <c r="P71" s="112" t="str">
        <f t="shared" si="25"/>
        <v/>
      </c>
      <c r="Q71" s="112" t="str">
        <f t="shared" si="26"/>
        <v/>
      </c>
    </row>
    <row r="72" spans="2:17" x14ac:dyDescent="0.25">
      <c r="B72" s="110">
        <f>DATE(Title!$F$12,$S$7,S8)</f>
        <v>41337</v>
      </c>
      <c r="C72" s="111">
        <f>IF(WEEKDAY(B72)=1,0,IF(WEEKDAY(B72)=4,'Hours Scheduled'!$F$44-1,IF(WEEKDAY(B72)=7,0,'Hours Scheduled'!$F$44)))</f>
        <v>25</v>
      </c>
      <c r="D72" s="17">
        <f t="shared" si="27"/>
        <v>187.5</v>
      </c>
      <c r="E72" s="127">
        <f t="shared" si="28"/>
        <v>136</v>
      </c>
      <c r="F72" s="111"/>
      <c r="G72" s="130">
        <f>INDEX(March!$C$3:$AH$169,3,MATCH(B72,March!$D$3:$AH$3)+1)+INDEX(March!$C$3:$AH$169,8,MATCH(B72,March!$D$3:$AH$3)+1)+INDEX(March!$C$3:$AH$169,13,MATCH(B72,March!$D$3:$AH$3)+1)+INDEX(March!$C$3:$AH$169,18,MATCH(B72,March!$D$3:$AH$3)+1)+INDEX(March!$C$3:$AH$169,23,MATCH(B72,March!$D$3:$AH$3)+1)+INDEX(March!$C$3:$AH$169,28,MATCH(B72,March!$D$3:$AH$3)+1)+INDEX(March!$C$3:$AH$169,33,MATCH(B72,March!$D$3:$AH$3)+1)+INDEX(March!$C$3:$AH$169,38,MATCH(B72,March!$D$3:$AH$3)+1)+INDEX(March!$C$3:$AH$169,43,MATCH(B72,March!$D$3:$AH$3)+1)+INDEX(March!$C$3:$AH$169,48,MATCH(B72,March!$D$3:$AH$3)+1)+INDEX(March!$C$3:$AH$169,53,MATCH(B72,March!$D$3:$AH$3)+1)+INDEX(March!$C$3:$AH$169,58,MATCH(B72,March!$D$3:$AH$3)+1)+INDEX(March!$C$3:$AH$169,63,MATCH(B72,March!$D$3:$AH$3)+1)+INDEX(March!$C$3:$AH$169,68,MATCH(B72,March!$D$3:$AH$3)+1)+INDEX(March!$C$3:$AH$169,73,MATCH(B72,March!$D$3:$AH$3)+1)+INDEX(March!$C$3:$AH$169,78,MATCH(B72,March!$D$3:$AH$3)+1)+INDEX(March!$C$3:$AH$169,83,MATCH(B72,March!$D$3:$AH$3)+1)+INDEX(March!$C$3:$AH$169,88,MATCH(B72,March!$D$3:$AH$3)+1)+INDEX(March!$C$3:$AH$169,93,MATCH(B72,March!$D$3:$AH$3)+1)+INDEX(March!$C$3:$AH$169,98,MATCH(B72,March!$D$3:$AH$3)+1)+INDEX(March!$C$3:$AH$169,103,MATCH(B72,March!$D$3:$AH$3)+1)+INDEX(March!$C$3:$AH$169,108,MATCH(B72,March!$D$3:$AH$3)+1)+INDEX(March!$C$3:$AH$169,113,MATCH(B72,March!$D$3:$AH$3)+1)+INDEX(March!$C$3:$AH$169,118,MATCH(B72,March!$D$3:$AH$3)+1)+INDEX(March!$C$3:$AH$169,123,MATCH(B72,March!$D$3:$AH$3)+1)+INDEX(March!$C$3:$AH$169,128,MATCH(B72,March!$D$3:$AH$3)+1)+INDEX(March!$C$3:$AH$169,133,MATCH(B72,March!$D$3:$AH$3)+1)+INDEX(March!$C$3:$AH$169,138,MATCH(B72,March!$D$3:$AH$3)+1)+INDEX(March!$C$3:$AH$169,143,MATCH(B72,March!$D$3:$AH$3)+1)+INDEX(March!$C$3:$AH$169,148,MATCH(B72,March!$D$3:$AH$3)+1)-INDEX(March!$B$5:$AH$169,MATCH("Patrick Janssen",March!$B$5:$B$169),MATCH(B72,March!$D$3:$AH$3)+2)-INDEX(March!$B$5:$AH$169,MATCH("Patrick Ziesen",March!$B$5:$B$169),MATCH(B72,March!$D$3:$AH$3)+2)-INDEX(March!$B$5:$AH$169,MATCH("Frido Meijer",March!$B$5:$B$169),MATCH(B72,March!$D$3:$AH$3)+2)</f>
        <v>16</v>
      </c>
      <c r="H72" s="130">
        <f>INDEX(March!$C$3:$AH$169,4,MATCH(B72,March!$D$3:$AH$3)+1)+INDEX(March!$C$3:$AH$169,9,MATCH(B72,March!$D$3:$AH$3)+1)+INDEX(March!$C$3:$AH$169,14,MATCH(B72,March!$D$3:$AH$3)+1)+INDEX(March!$C$3:$AH$169,19,MATCH(B72,March!$D$3:$AH$3)+1)+INDEX(March!$C$3:$AH$169,24,MATCH(B72,March!$D$3:$AH$3)+1)+INDEX(March!$C$3:$AH$169,29,MATCH(B72,March!$D$3:$AH$3)+1)+INDEX(March!$C$3:$AH$169,34,MATCH(B72,March!$D$3:$AH$3)+1)+INDEX(March!$C$3:$AH$169,39,MATCH(B72,March!$D$3:$AH$3)+1)+INDEX(March!$C$3:$AH$169,44,MATCH(B72,March!$D$3:$AH$3)+1)+INDEX(March!$C$3:$AH$169,49,MATCH(B72,March!$D$3:$AH$3)+1)+INDEX(March!$C$3:$AH$169,54,MATCH(B72,March!$D$3:$AH$3)+1)+INDEX(March!$C$3:$AH$169,59,MATCH(B72,March!$D$3:$AH$3)+1)+INDEX(March!$C$3:$AH$169,64,MATCH(B72,March!$D$3:$AH$3)+1)+INDEX(March!$C$3:$AH$169,69,MATCH(B72,March!$D$3:$AH$3)+1)+INDEX(March!$C$3:$AH$169,74,MATCH(B72,March!$D$3:$AH$3)+1)+INDEX(March!$C$3:$AH$169,79,MATCH(B72,March!$D$3:$AH$3)+1)+INDEX(March!$C$3:$AH$169,84,MATCH(B72,March!$D$3:$AH$3)+1)+INDEX(March!$C$3:$AH$169,89,MATCH(B72,March!$D$3:$AH$3)+1)+INDEX(March!$C$3:$AH$169,94,MATCH(B72,March!$D$3:$AH$3)+1)+INDEX(March!$C$3:$AH$169,99,MATCH(B72,March!$D$3:$AH$3)+1)+INDEX(March!$C$3:$AH$169,104,MATCH(B72,March!$D$3:$AH$3)+1)+INDEX(March!$C$3:$AH$169,109,MATCH(B72,March!$D$3:$AH$3)+1)+INDEX(March!$C$3:$AH$169,114,MATCH(B72,March!$D$3:$AH$3)+1)+INDEX(March!$C$3:$AH$169,119,MATCH(B72,March!$D$3:$AH$3)+1)+INDEX(March!$C$3:$AH$169,124,MATCH(B72,March!$D$3:$AH$3)+1)+INDEX(March!$C$3:$AH$169,129,MATCH(B72,March!$D$3:$AH$3)+1)+INDEX(March!$C$3:$AH$169,134,MATCH(B72,March!$D$3:$AH$3)+1)+INDEX(March!$C$3:$AH$169,139,MATCH(B72,March!$D$3:$AH$3)+1)+INDEX(March!$C$3:$AH$169,144,MATCH(B72,March!$D$3:$AH$3)+1)+INDEX(March!$C$3:$AH$169,149,MATCH(B72,March!$D$3:$AH$3)+1)-INDEX(March!$B$5:$AH$169,MATCH("Patrick Janssen",March!$B$5:$B$169)+1,MATCH(B72,March!$D$3:$AH$3)+2)-INDEX(March!$B$5:$AH$169,MATCH("Patrick Ziesen",March!$B$5:$B$169)+1,MATCH(B72,March!$D$3:$AH$3)+2)-INDEX(March!$B$5:$AH$169,MATCH("Frido Meijer",March!$B$5:$B$169)+1,MATCH(B72,March!$D$3:$AH$3)+2)</f>
        <v>48</v>
      </c>
      <c r="I72" s="130">
        <v>0</v>
      </c>
      <c r="J72" s="130">
        <v>0</v>
      </c>
      <c r="L72" s="124"/>
      <c r="M72" s="111"/>
      <c r="N72" s="111">
        <f t="shared" si="24"/>
        <v>0</v>
      </c>
      <c r="P72" s="112">
        <f t="shared" si="25"/>
        <v>0</v>
      </c>
      <c r="Q72" s="112">
        <f t="shared" si="26"/>
        <v>0</v>
      </c>
    </row>
    <row r="73" spans="2:17" x14ac:dyDescent="0.25">
      <c r="B73" s="110">
        <f>DATE(Title!$F$12,$S$7,S9)</f>
        <v>41338</v>
      </c>
      <c r="C73" s="111">
        <f>IF(WEEKDAY(B73)=1,0,IF(WEEKDAY(B73)=4,'Hours Scheduled'!$F$44-1,IF(WEEKDAY(B73)=7,0,'Hours Scheduled'!$F$44)))</f>
        <v>25</v>
      </c>
      <c r="D73" s="17">
        <f t="shared" si="27"/>
        <v>187.5</v>
      </c>
      <c r="E73" s="127">
        <f t="shared" si="28"/>
        <v>160</v>
      </c>
      <c r="F73" s="111"/>
      <c r="G73" s="130">
        <f>INDEX(March!$C$3:$AH$169,3,MATCH(B73,March!$D$3:$AH$3)+1)+INDEX(March!$C$3:$AH$169,8,MATCH(B73,March!$D$3:$AH$3)+1)+INDEX(March!$C$3:$AH$169,13,MATCH(B73,March!$D$3:$AH$3)+1)+INDEX(March!$C$3:$AH$169,18,MATCH(B73,March!$D$3:$AH$3)+1)+INDEX(March!$C$3:$AH$169,23,MATCH(B73,March!$D$3:$AH$3)+1)+INDEX(March!$C$3:$AH$169,28,MATCH(B73,March!$D$3:$AH$3)+1)+INDEX(March!$C$3:$AH$169,33,MATCH(B73,March!$D$3:$AH$3)+1)+INDEX(March!$C$3:$AH$169,38,MATCH(B73,March!$D$3:$AH$3)+1)+INDEX(March!$C$3:$AH$169,43,MATCH(B73,March!$D$3:$AH$3)+1)+INDEX(March!$C$3:$AH$169,48,MATCH(B73,March!$D$3:$AH$3)+1)+INDEX(March!$C$3:$AH$169,53,MATCH(B73,March!$D$3:$AH$3)+1)+INDEX(March!$C$3:$AH$169,58,MATCH(B73,March!$D$3:$AH$3)+1)+INDEX(March!$C$3:$AH$169,63,MATCH(B73,March!$D$3:$AH$3)+1)+INDEX(March!$C$3:$AH$169,68,MATCH(B73,March!$D$3:$AH$3)+1)+INDEX(March!$C$3:$AH$169,73,MATCH(B73,March!$D$3:$AH$3)+1)+INDEX(March!$C$3:$AH$169,78,MATCH(B73,March!$D$3:$AH$3)+1)+INDEX(March!$C$3:$AH$169,83,MATCH(B73,March!$D$3:$AH$3)+1)+INDEX(March!$C$3:$AH$169,88,MATCH(B73,March!$D$3:$AH$3)+1)+INDEX(March!$C$3:$AH$169,93,MATCH(B73,March!$D$3:$AH$3)+1)+INDEX(March!$C$3:$AH$169,98,MATCH(B73,March!$D$3:$AH$3)+1)+INDEX(March!$C$3:$AH$169,103,MATCH(B73,March!$D$3:$AH$3)+1)+INDEX(March!$C$3:$AH$169,108,MATCH(B73,March!$D$3:$AH$3)+1)+INDEX(March!$C$3:$AH$169,113,MATCH(B73,March!$D$3:$AH$3)+1)+INDEX(March!$C$3:$AH$169,118,MATCH(B73,March!$D$3:$AH$3)+1)+INDEX(March!$C$3:$AH$169,123,MATCH(B73,March!$D$3:$AH$3)+1)+INDEX(March!$C$3:$AH$169,128,MATCH(B73,March!$D$3:$AH$3)+1)+INDEX(March!$C$3:$AH$169,133,MATCH(B73,March!$D$3:$AH$3)+1)+INDEX(March!$C$3:$AH$169,138,MATCH(B73,March!$D$3:$AH$3)+1)+INDEX(March!$C$3:$AH$169,143,MATCH(B73,March!$D$3:$AH$3)+1)+INDEX(March!$C$3:$AH$169,148,MATCH(B73,March!$D$3:$AH$3)+1)-INDEX(March!$B$5:$AH$169,MATCH("Patrick Janssen",March!$B$5:$B$169),MATCH(B73,March!$D$3:$AH$3)+2)-INDEX(March!$B$5:$AH$169,MATCH("Patrick Ziesen",March!$B$5:$B$169),MATCH(B73,March!$D$3:$AH$3)+2)-INDEX(March!$B$5:$AH$169,MATCH("Frido Meijer",March!$B$5:$B$169),MATCH(B73,March!$D$3:$AH$3)+2)</f>
        <v>16</v>
      </c>
      <c r="H73" s="130">
        <f>INDEX(March!$C$3:$AH$169,4,MATCH(B73,March!$D$3:$AH$3)+1)+INDEX(March!$C$3:$AH$169,9,MATCH(B73,March!$D$3:$AH$3)+1)+INDEX(March!$C$3:$AH$169,14,MATCH(B73,March!$D$3:$AH$3)+1)+INDEX(March!$C$3:$AH$169,19,MATCH(B73,March!$D$3:$AH$3)+1)+INDEX(March!$C$3:$AH$169,24,MATCH(B73,March!$D$3:$AH$3)+1)+INDEX(March!$C$3:$AH$169,29,MATCH(B73,March!$D$3:$AH$3)+1)+INDEX(March!$C$3:$AH$169,34,MATCH(B73,March!$D$3:$AH$3)+1)+INDEX(March!$C$3:$AH$169,39,MATCH(B73,March!$D$3:$AH$3)+1)+INDEX(March!$C$3:$AH$169,44,MATCH(B73,March!$D$3:$AH$3)+1)+INDEX(March!$C$3:$AH$169,49,MATCH(B73,March!$D$3:$AH$3)+1)+INDEX(March!$C$3:$AH$169,54,MATCH(B73,March!$D$3:$AH$3)+1)+INDEX(March!$C$3:$AH$169,59,MATCH(B73,March!$D$3:$AH$3)+1)+INDEX(March!$C$3:$AH$169,64,MATCH(B73,March!$D$3:$AH$3)+1)+INDEX(March!$C$3:$AH$169,69,MATCH(B73,March!$D$3:$AH$3)+1)+INDEX(March!$C$3:$AH$169,74,MATCH(B73,March!$D$3:$AH$3)+1)+INDEX(March!$C$3:$AH$169,79,MATCH(B73,March!$D$3:$AH$3)+1)+INDEX(March!$C$3:$AH$169,84,MATCH(B73,March!$D$3:$AH$3)+1)+INDEX(March!$C$3:$AH$169,89,MATCH(B73,March!$D$3:$AH$3)+1)+INDEX(March!$C$3:$AH$169,94,MATCH(B73,March!$D$3:$AH$3)+1)+INDEX(March!$C$3:$AH$169,99,MATCH(B73,March!$D$3:$AH$3)+1)+INDEX(March!$C$3:$AH$169,104,MATCH(B73,March!$D$3:$AH$3)+1)+INDEX(March!$C$3:$AH$169,109,MATCH(B73,March!$D$3:$AH$3)+1)+INDEX(March!$C$3:$AH$169,114,MATCH(B73,March!$D$3:$AH$3)+1)+INDEX(March!$C$3:$AH$169,119,MATCH(B73,March!$D$3:$AH$3)+1)+INDEX(March!$C$3:$AH$169,124,MATCH(B73,March!$D$3:$AH$3)+1)+INDEX(March!$C$3:$AH$169,129,MATCH(B73,March!$D$3:$AH$3)+1)+INDEX(March!$C$3:$AH$169,134,MATCH(B73,March!$D$3:$AH$3)+1)+INDEX(March!$C$3:$AH$169,139,MATCH(B73,March!$D$3:$AH$3)+1)+INDEX(March!$C$3:$AH$169,144,MATCH(B73,March!$D$3:$AH$3)+1)+INDEX(March!$C$3:$AH$169,149,MATCH(B73,March!$D$3:$AH$3)+1)-INDEX(March!$B$5:$AH$169,MATCH("Patrick Janssen",March!$B$5:$B$169)+1,MATCH(B73,March!$D$3:$AH$3)+2)-INDEX(March!$B$5:$AH$169,MATCH("Patrick Ziesen",March!$B$5:$B$169)+1,MATCH(B73,March!$D$3:$AH$3)+2)-INDEX(March!$B$5:$AH$169,MATCH("Frido Meijer",March!$B$5:$B$169)+1,MATCH(B73,March!$D$3:$AH$3)+2)</f>
        <v>24</v>
      </c>
      <c r="I73" s="130">
        <v>0</v>
      </c>
      <c r="J73" s="130">
        <v>0</v>
      </c>
      <c r="L73" s="165"/>
      <c r="M73" s="111"/>
      <c r="N73" s="111">
        <f t="shared" si="24"/>
        <v>0</v>
      </c>
      <c r="P73" s="112">
        <f t="shared" si="25"/>
        <v>0</v>
      </c>
      <c r="Q73" s="112">
        <f t="shared" si="26"/>
        <v>0</v>
      </c>
    </row>
    <row r="74" spans="2:17" x14ac:dyDescent="0.25">
      <c r="B74" s="110">
        <f>DATE(Title!$F$12,$S$7,S10)</f>
        <v>41339</v>
      </c>
      <c r="C74" s="111">
        <f>IF(WEEKDAY(B74)=1,0,IF(WEEKDAY(B74)=4,'Hours Scheduled'!$F$44-1,IF(WEEKDAY(B74)=7,0,'Hours Scheduled'!$F$44)))</f>
        <v>24</v>
      </c>
      <c r="D74" s="17">
        <f t="shared" si="27"/>
        <v>180</v>
      </c>
      <c r="E74" s="127">
        <f t="shared" si="28"/>
        <v>133.5</v>
      </c>
      <c r="F74" s="111"/>
      <c r="G74" s="130">
        <f>INDEX(March!$C$3:$AH$169,3,MATCH(B74,March!$D$3:$AH$3)+1)+INDEX(March!$C$3:$AH$169,8,MATCH(B74,March!$D$3:$AH$3)+1)+INDEX(March!$C$3:$AH$169,13,MATCH(B74,March!$D$3:$AH$3)+1)+INDEX(March!$C$3:$AH$169,18,MATCH(B74,March!$D$3:$AH$3)+1)+INDEX(March!$C$3:$AH$169,23,MATCH(B74,March!$D$3:$AH$3)+1)+INDEX(March!$C$3:$AH$169,28,MATCH(B74,March!$D$3:$AH$3)+1)+INDEX(March!$C$3:$AH$169,33,MATCH(B74,March!$D$3:$AH$3)+1)+INDEX(March!$C$3:$AH$169,38,MATCH(B74,March!$D$3:$AH$3)+1)+INDEX(March!$C$3:$AH$169,43,MATCH(B74,March!$D$3:$AH$3)+1)+INDEX(March!$C$3:$AH$169,48,MATCH(B74,March!$D$3:$AH$3)+1)+INDEX(March!$C$3:$AH$169,53,MATCH(B74,March!$D$3:$AH$3)+1)+INDEX(March!$C$3:$AH$169,58,MATCH(B74,March!$D$3:$AH$3)+1)+INDEX(March!$C$3:$AH$169,63,MATCH(B74,March!$D$3:$AH$3)+1)+INDEX(March!$C$3:$AH$169,68,MATCH(B74,March!$D$3:$AH$3)+1)+INDEX(March!$C$3:$AH$169,73,MATCH(B74,March!$D$3:$AH$3)+1)+INDEX(March!$C$3:$AH$169,78,MATCH(B74,March!$D$3:$AH$3)+1)+INDEX(March!$C$3:$AH$169,83,MATCH(B74,March!$D$3:$AH$3)+1)+INDEX(March!$C$3:$AH$169,88,MATCH(B74,March!$D$3:$AH$3)+1)+INDEX(March!$C$3:$AH$169,93,MATCH(B74,March!$D$3:$AH$3)+1)+INDEX(March!$C$3:$AH$169,98,MATCH(B74,March!$D$3:$AH$3)+1)+INDEX(March!$C$3:$AH$169,103,MATCH(B74,March!$D$3:$AH$3)+1)+INDEX(March!$C$3:$AH$169,108,MATCH(B74,March!$D$3:$AH$3)+1)+INDEX(March!$C$3:$AH$169,113,MATCH(B74,March!$D$3:$AH$3)+1)+INDEX(March!$C$3:$AH$169,118,MATCH(B74,March!$D$3:$AH$3)+1)+INDEX(March!$C$3:$AH$169,123,MATCH(B74,March!$D$3:$AH$3)+1)+INDEX(March!$C$3:$AH$169,128,MATCH(B74,March!$D$3:$AH$3)+1)+INDEX(March!$C$3:$AH$169,133,MATCH(B74,March!$D$3:$AH$3)+1)+INDEX(March!$C$3:$AH$169,138,MATCH(B74,March!$D$3:$AH$3)+1)+INDEX(March!$C$3:$AH$169,143,MATCH(B74,March!$D$3:$AH$3)+1)+INDEX(March!$C$3:$AH$169,148,MATCH(B74,March!$D$3:$AH$3)+1)-INDEX(March!$B$5:$AH$169,MATCH("Patrick Janssen",March!$B$5:$B$169),MATCH(B74,March!$D$3:$AH$3)+2)-INDEX(March!$B$5:$AH$169,MATCH("Patrick Ziesen",March!$B$5:$B$169),MATCH(B74,March!$D$3:$AH$3)+2)-INDEX(March!$B$5:$AH$169,MATCH("Frido Meijer",March!$B$5:$B$169),MATCH(B74,March!$D$3:$AH$3)+2)</f>
        <v>26.5</v>
      </c>
      <c r="H74" s="130">
        <f>INDEX(March!$C$3:$AH$169,4,MATCH(B74,March!$D$3:$AH$3)+1)+INDEX(March!$C$3:$AH$169,9,MATCH(B74,March!$D$3:$AH$3)+1)+INDEX(March!$C$3:$AH$169,14,MATCH(B74,March!$D$3:$AH$3)+1)+INDEX(March!$C$3:$AH$169,19,MATCH(B74,March!$D$3:$AH$3)+1)+INDEX(March!$C$3:$AH$169,24,MATCH(B74,March!$D$3:$AH$3)+1)+INDEX(March!$C$3:$AH$169,29,MATCH(B74,March!$D$3:$AH$3)+1)+INDEX(March!$C$3:$AH$169,34,MATCH(B74,March!$D$3:$AH$3)+1)+INDEX(March!$C$3:$AH$169,39,MATCH(B74,March!$D$3:$AH$3)+1)+INDEX(March!$C$3:$AH$169,44,MATCH(B74,March!$D$3:$AH$3)+1)+INDEX(March!$C$3:$AH$169,49,MATCH(B74,March!$D$3:$AH$3)+1)+INDEX(March!$C$3:$AH$169,54,MATCH(B74,March!$D$3:$AH$3)+1)+INDEX(March!$C$3:$AH$169,59,MATCH(B74,March!$D$3:$AH$3)+1)+INDEX(March!$C$3:$AH$169,64,MATCH(B74,March!$D$3:$AH$3)+1)+INDEX(March!$C$3:$AH$169,69,MATCH(B74,March!$D$3:$AH$3)+1)+INDEX(March!$C$3:$AH$169,74,MATCH(B74,March!$D$3:$AH$3)+1)+INDEX(March!$C$3:$AH$169,79,MATCH(B74,March!$D$3:$AH$3)+1)+INDEX(March!$C$3:$AH$169,84,MATCH(B74,March!$D$3:$AH$3)+1)+INDEX(March!$C$3:$AH$169,89,MATCH(B74,March!$D$3:$AH$3)+1)+INDEX(March!$C$3:$AH$169,94,MATCH(B74,March!$D$3:$AH$3)+1)+INDEX(March!$C$3:$AH$169,99,MATCH(B74,March!$D$3:$AH$3)+1)+INDEX(March!$C$3:$AH$169,104,MATCH(B74,March!$D$3:$AH$3)+1)+INDEX(March!$C$3:$AH$169,109,MATCH(B74,March!$D$3:$AH$3)+1)+INDEX(March!$C$3:$AH$169,114,MATCH(B74,March!$D$3:$AH$3)+1)+INDEX(March!$C$3:$AH$169,119,MATCH(B74,March!$D$3:$AH$3)+1)+INDEX(March!$C$3:$AH$169,124,MATCH(B74,March!$D$3:$AH$3)+1)+INDEX(March!$C$3:$AH$169,129,MATCH(B74,March!$D$3:$AH$3)+1)+INDEX(March!$C$3:$AH$169,134,MATCH(B74,March!$D$3:$AH$3)+1)+INDEX(March!$C$3:$AH$169,139,MATCH(B74,March!$D$3:$AH$3)+1)+INDEX(March!$C$3:$AH$169,144,MATCH(B74,March!$D$3:$AH$3)+1)+INDEX(March!$C$3:$AH$169,149,MATCH(B74,March!$D$3:$AH$3)+1)-INDEX(March!$B$5:$AH$169,MATCH("Patrick Janssen",March!$B$5:$B$169)+1,MATCH(B74,March!$D$3:$AH$3)+2)-INDEX(March!$B$5:$AH$169,MATCH("Patrick Ziesen",March!$B$5:$B$169)+1,MATCH(B74,March!$D$3:$AH$3)+2)-INDEX(March!$B$5:$AH$169,MATCH("Frido Meijer",March!$B$5:$B$169)+1,MATCH(B74,March!$D$3:$AH$3)+2)</f>
        <v>32</v>
      </c>
      <c r="I74" s="130">
        <v>0</v>
      </c>
      <c r="J74" s="130">
        <v>0</v>
      </c>
      <c r="L74" s="165"/>
      <c r="M74" s="111"/>
      <c r="N74" s="111">
        <f t="shared" si="24"/>
        <v>0</v>
      </c>
      <c r="P74" s="112">
        <f t="shared" si="25"/>
        <v>0</v>
      </c>
      <c r="Q74" s="112">
        <f t="shared" si="26"/>
        <v>0</v>
      </c>
    </row>
    <row r="75" spans="2:17" x14ac:dyDescent="0.25">
      <c r="B75" s="110">
        <f>DATE(Title!$F$12,$S$7,S11)</f>
        <v>41340</v>
      </c>
      <c r="C75" s="111">
        <f>IF(WEEKDAY(B75)=1,0,IF(WEEKDAY(B75)=4,'Hours Scheduled'!$F$44-1,IF(WEEKDAY(B75)=7,0,'Hours Scheduled'!$F$44)))</f>
        <v>25</v>
      </c>
      <c r="D75" s="17">
        <f t="shared" si="27"/>
        <v>187.5</v>
      </c>
      <c r="E75" s="127">
        <f t="shared" si="28"/>
        <v>159</v>
      </c>
      <c r="F75" s="111"/>
      <c r="G75" s="130">
        <f>INDEX(March!$C$3:$AH$169,3,MATCH(B75,March!$D$3:$AH$3)+1)+INDEX(March!$C$3:$AH$169,8,MATCH(B75,March!$D$3:$AH$3)+1)+INDEX(March!$C$3:$AH$169,13,MATCH(B75,March!$D$3:$AH$3)+1)+INDEX(March!$C$3:$AH$169,18,MATCH(B75,March!$D$3:$AH$3)+1)+INDEX(March!$C$3:$AH$169,23,MATCH(B75,March!$D$3:$AH$3)+1)+INDEX(March!$C$3:$AH$169,28,MATCH(B75,March!$D$3:$AH$3)+1)+INDEX(March!$C$3:$AH$169,33,MATCH(B75,March!$D$3:$AH$3)+1)+INDEX(March!$C$3:$AH$169,38,MATCH(B75,March!$D$3:$AH$3)+1)+INDEX(March!$C$3:$AH$169,43,MATCH(B75,March!$D$3:$AH$3)+1)+INDEX(March!$C$3:$AH$169,48,MATCH(B75,March!$D$3:$AH$3)+1)+INDEX(March!$C$3:$AH$169,53,MATCH(B75,March!$D$3:$AH$3)+1)+INDEX(March!$C$3:$AH$169,58,MATCH(B75,March!$D$3:$AH$3)+1)+INDEX(March!$C$3:$AH$169,63,MATCH(B75,March!$D$3:$AH$3)+1)+INDEX(March!$C$3:$AH$169,68,MATCH(B75,March!$D$3:$AH$3)+1)+INDEX(March!$C$3:$AH$169,73,MATCH(B75,March!$D$3:$AH$3)+1)+INDEX(March!$C$3:$AH$169,78,MATCH(B75,March!$D$3:$AH$3)+1)+INDEX(March!$C$3:$AH$169,83,MATCH(B75,March!$D$3:$AH$3)+1)+INDEX(March!$C$3:$AH$169,88,MATCH(B75,March!$D$3:$AH$3)+1)+INDEX(March!$C$3:$AH$169,93,MATCH(B75,March!$D$3:$AH$3)+1)+INDEX(March!$C$3:$AH$169,98,MATCH(B75,March!$D$3:$AH$3)+1)+INDEX(March!$C$3:$AH$169,103,MATCH(B75,March!$D$3:$AH$3)+1)+INDEX(March!$C$3:$AH$169,108,MATCH(B75,March!$D$3:$AH$3)+1)+INDEX(March!$C$3:$AH$169,113,MATCH(B75,March!$D$3:$AH$3)+1)+INDEX(March!$C$3:$AH$169,118,MATCH(B75,March!$D$3:$AH$3)+1)+INDEX(March!$C$3:$AH$169,123,MATCH(B75,March!$D$3:$AH$3)+1)+INDEX(March!$C$3:$AH$169,128,MATCH(B75,March!$D$3:$AH$3)+1)+INDEX(March!$C$3:$AH$169,133,MATCH(B75,March!$D$3:$AH$3)+1)+INDEX(March!$C$3:$AH$169,138,MATCH(B75,March!$D$3:$AH$3)+1)+INDEX(March!$C$3:$AH$169,143,MATCH(B75,March!$D$3:$AH$3)+1)+INDEX(March!$C$3:$AH$169,148,MATCH(B75,March!$D$3:$AH$3)+1)-INDEX(March!$B$5:$AH$169,MATCH("Patrick Janssen",March!$B$5:$B$169),MATCH(B75,March!$D$3:$AH$3)+2)-INDEX(March!$B$5:$AH$169,MATCH("Patrick Ziesen",March!$B$5:$B$169),MATCH(B75,March!$D$3:$AH$3)+2)-INDEX(March!$B$5:$AH$169,MATCH("Frido Meijer",March!$B$5:$B$169),MATCH(B75,March!$D$3:$AH$3)+2)</f>
        <v>25</v>
      </c>
      <c r="H75" s="130">
        <f>INDEX(March!$C$3:$AH$169,4,MATCH(B75,March!$D$3:$AH$3)+1)+INDEX(March!$C$3:$AH$169,9,MATCH(B75,March!$D$3:$AH$3)+1)+INDEX(March!$C$3:$AH$169,14,MATCH(B75,March!$D$3:$AH$3)+1)+INDEX(March!$C$3:$AH$169,19,MATCH(B75,March!$D$3:$AH$3)+1)+INDEX(March!$C$3:$AH$169,24,MATCH(B75,March!$D$3:$AH$3)+1)+INDEX(March!$C$3:$AH$169,29,MATCH(B75,March!$D$3:$AH$3)+1)+INDEX(March!$C$3:$AH$169,34,MATCH(B75,March!$D$3:$AH$3)+1)+INDEX(March!$C$3:$AH$169,39,MATCH(B75,March!$D$3:$AH$3)+1)+INDEX(March!$C$3:$AH$169,44,MATCH(B75,March!$D$3:$AH$3)+1)+INDEX(March!$C$3:$AH$169,49,MATCH(B75,March!$D$3:$AH$3)+1)+INDEX(March!$C$3:$AH$169,54,MATCH(B75,March!$D$3:$AH$3)+1)+INDEX(March!$C$3:$AH$169,59,MATCH(B75,March!$D$3:$AH$3)+1)+INDEX(March!$C$3:$AH$169,64,MATCH(B75,March!$D$3:$AH$3)+1)+INDEX(March!$C$3:$AH$169,69,MATCH(B75,March!$D$3:$AH$3)+1)+INDEX(March!$C$3:$AH$169,74,MATCH(B75,March!$D$3:$AH$3)+1)+INDEX(March!$C$3:$AH$169,79,MATCH(B75,March!$D$3:$AH$3)+1)+INDEX(March!$C$3:$AH$169,84,MATCH(B75,March!$D$3:$AH$3)+1)+INDEX(March!$C$3:$AH$169,89,MATCH(B75,March!$D$3:$AH$3)+1)+INDEX(March!$C$3:$AH$169,94,MATCH(B75,March!$D$3:$AH$3)+1)+INDEX(March!$C$3:$AH$169,99,MATCH(B75,March!$D$3:$AH$3)+1)+INDEX(March!$C$3:$AH$169,104,MATCH(B75,March!$D$3:$AH$3)+1)+INDEX(March!$C$3:$AH$169,109,MATCH(B75,March!$D$3:$AH$3)+1)+INDEX(March!$C$3:$AH$169,114,MATCH(B75,March!$D$3:$AH$3)+1)+INDEX(March!$C$3:$AH$169,119,MATCH(B75,March!$D$3:$AH$3)+1)+INDEX(March!$C$3:$AH$169,124,MATCH(B75,March!$D$3:$AH$3)+1)+INDEX(March!$C$3:$AH$169,129,MATCH(B75,March!$D$3:$AH$3)+1)+INDEX(March!$C$3:$AH$169,134,MATCH(B75,March!$D$3:$AH$3)+1)+INDEX(March!$C$3:$AH$169,139,MATCH(B75,March!$D$3:$AH$3)+1)+INDEX(March!$C$3:$AH$169,144,MATCH(B75,March!$D$3:$AH$3)+1)+INDEX(March!$C$3:$AH$169,149,MATCH(B75,March!$D$3:$AH$3)+1)-INDEX(March!$B$5:$AH$169,MATCH("Patrick Janssen",March!$B$5:$B$169)+1,MATCH(B75,March!$D$3:$AH$3)+2)-INDEX(March!$B$5:$AH$169,MATCH("Patrick Ziesen",March!$B$5:$B$169)+1,MATCH(B75,March!$D$3:$AH$3)+2)-INDEX(March!$B$5:$AH$169,MATCH("Frido Meijer",March!$B$5:$B$169)+1,MATCH(B75,March!$D$3:$AH$3)+2)</f>
        <v>16</v>
      </c>
      <c r="I75" s="130">
        <v>0</v>
      </c>
      <c r="J75" s="130">
        <v>0</v>
      </c>
      <c r="L75" s="165"/>
      <c r="M75" s="111"/>
      <c r="N75" s="111">
        <f t="shared" si="24"/>
        <v>0</v>
      </c>
      <c r="P75" s="112">
        <f t="shared" si="25"/>
        <v>0</v>
      </c>
      <c r="Q75" s="112">
        <f t="shared" si="26"/>
        <v>0</v>
      </c>
    </row>
    <row r="76" spans="2:17" x14ac:dyDescent="0.25">
      <c r="B76" s="110">
        <f>DATE(Title!$F$12,$S$7,S12)</f>
        <v>41341</v>
      </c>
      <c r="C76" s="111">
        <f>IF(WEEKDAY(B76)=1,0,IF(WEEKDAY(B76)=4,'Hours Scheduled'!$F$44-1,IF(WEEKDAY(B76)=7,0,'Hours Scheduled'!$F$44)))</f>
        <v>25</v>
      </c>
      <c r="D76" s="17">
        <f t="shared" si="27"/>
        <v>187.5</v>
      </c>
      <c r="E76" s="127">
        <f t="shared" si="28"/>
        <v>162</v>
      </c>
      <c r="F76" s="111"/>
      <c r="G76" s="130">
        <f>INDEX(March!$C$3:$AH$169,3,MATCH(B76,March!$D$3:$AH$3)+1)+INDEX(March!$C$3:$AH$169,8,MATCH(B76,March!$D$3:$AH$3)+1)+INDEX(March!$C$3:$AH$169,13,MATCH(B76,March!$D$3:$AH$3)+1)+INDEX(March!$C$3:$AH$169,18,MATCH(B76,March!$D$3:$AH$3)+1)+INDEX(March!$C$3:$AH$169,23,MATCH(B76,March!$D$3:$AH$3)+1)+INDEX(March!$C$3:$AH$169,28,MATCH(B76,March!$D$3:$AH$3)+1)+INDEX(March!$C$3:$AH$169,33,MATCH(B76,March!$D$3:$AH$3)+1)+INDEX(March!$C$3:$AH$169,38,MATCH(B76,March!$D$3:$AH$3)+1)+INDEX(March!$C$3:$AH$169,43,MATCH(B76,March!$D$3:$AH$3)+1)+INDEX(March!$C$3:$AH$169,48,MATCH(B76,March!$D$3:$AH$3)+1)+INDEX(March!$C$3:$AH$169,53,MATCH(B76,March!$D$3:$AH$3)+1)+INDEX(March!$C$3:$AH$169,58,MATCH(B76,March!$D$3:$AH$3)+1)+INDEX(March!$C$3:$AH$169,63,MATCH(B76,March!$D$3:$AH$3)+1)+INDEX(March!$C$3:$AH$169,68,MATCH(B76,March!$D$3:$AH$3)+1)+INDEX(March!$C$3:$AH$169,73,MATCH(B76,March!$D$3:$AH$3)+1)+INDEX(March!$C$3:$AH$169,78,MATCH(B76,March!$D$3:$AH$3)+1)+INDEX(March!$C$3:$AH$169,83,MATCH(B76,March!$D$3:$AH$3)+1)+INDEX(March!$C$3:$AH$169,88,MATCH(B76,March!$D$3:$AH$3)+1)+INDEX(March!$C$3:$AH$169,93,MATCH(B76,March!$D$3:$AH$3)+1)+INDEX(March!$C$3:$AH$169,98,MATCH(B76,March!$D$3:$AH$3)+1)+INDEX(March!$C$3:$AH$169,103,MATCH(B76,March!$D$3:$AH$3)+1)+INDEX(March!$C$3:$AH$169,108,MATCH(B76,March!$D$3:$AH$3)+1)+INDEX(March!$C$3:$AH$169,113,MATCH(B76,March!$D$3:$AH$3)+1)+INDEX(March!$C$3:$AH$169,118,MATCH(B76,March!$D$3:$AH$3)+1)+INDEX(March!$C$3:$AH$169,123,MATCH(B76,March!$D$3:$AH$3)+1)+INDEX(March!$C$3:$AH$169,128,MATCH(B76,March!$D$3:$AH$3)+1)+INDEX(March!$C$3:$AH$169,133,MATCH(B76,March!$D$3:$AH$3)+1)+INDEX(March!$C$3:$AH$169,138,MATCH(B76,March!$D$3:$AH$3)+1)+INDEX(March!$C$3:$AH$169,143,MATCH(B76,March!$D$3:$AH$3)+1)+INDEX(March!$C$3:$AH$169,148,MATCH(B76,March!$D$3:$AH$3)+1)-INDEX(March!$B$5:$AH$169,MATCH("Patrick Janssen",March!$B$5:$B$169),MATCH(B76,March!$D$3:$AH$3)+2)-INDEX(March!$B$5:$AH$169,MATCH("Patrick Ziesen",March!$B$5:$B$169),MATCH(B76,March!$D$3:$AH$3)+2)-INDEX(March!$B$5:$AH$169,MATCH("Frido Meijer",March!$B$5:$B$169),MATCH(B76,March!$D$3:$AH$3)+2)</f>
        <v>30</v>
      </c>
      <c r="H76" s="130">
        <f>INDEX(March!$C$3:$AH$169,4,MATCH(B76,March!$D$3:$AH$3)+1)+INDEX(March!$C$3:$AH$169,9,MATCH(B76,March!$D$3:$AH$3)+1)+INDEX(March!$C$3:$AH$169,14,MATCH(B76,March!$D$3:$AH$3)+1)+INDEX(March!$C$3:$AH$169,19,MATCH(B76,March!$D$3:$AH$3)+1)+INDEX(March!$C$3:$AH$169,24,MATCH(B76,March!$D$3:$AH$3)+1)+INDEX(March!$C$3:$AH$169,29,MATCH(B76,March!$D$3:$AH$3)+1)+INDEX(March!$C$3:$AH$169,34,MATCH(B76,March!$D$3:$AH$3)+1)+INDEX(March!$C$3:$AH$169,39,MATCH(B76,March!$D$3:$AH$3)+1)+INDEX(March!$C$3:$AH$169,44,MATCH(B76,March!$D$3:$AH$3)+1)+INDEX(March!$C$3:$AH$169,49,MATCH(B76,March!$D$3:$AH$3)+1)+INDEX(March!$C$3:$AH$169,54,MATCH(B76,March!$D$3:$AH$3)+1)+INDEX(March!$C$3:$AH$169,59,MATCH(B76,March!$D$3:$AH$3)+1)+INDEX(March!$C$3:$AH$169,64,MATCH(B76,March!$D$3:$AH$3)+1)+INDEX(March!$C$3:$AH$169,69,MATCH(B76,March!$D$3:$AH$3)+1)+INDEX(March!$C$3:$AH$169,74,MATCH(B76,March!$D$3:$AH$3)+1)+INDEX(March!$C$3:$AH$169,79,MATCH(B76,March!$D$3:$AH$3)+1)+INDEX(March!$C$3:$AH$169,84,MATCH(B76,March!$D$3:$AH$3)+1)+INDEX(March!$C$3:$AH$169,89,MATCH(B76,March!$D$3:$AH$3)+1)+INDEX(March!$C$3:$AH$169,94,MATCH(B76,March!$D$3:$AH$3)+1)+INDEX(March!$C$3:$AH$169,99,MATCH(B76,March!$D$3:$AH$3)+1)+INDEX(March!$C$3:$AH$169,104,MATCH(B76,March!$D$3:$AH$3)+1)+INDEX(March!$C$3:$AH$169,109,MATCH(B76,March!$D$3:$AH$3)+1)+INDEX(March!$C$3:$AH$169,114,MATCH(B76,March!$D$3:$AH$3)+1)+INDEX(March!$C$3:$AH$169,119,MATCH(B76,March!$D$3:$AH$3)+1)+INDEX(March!$C$3:$AH$169,124,MATCH(B76,March!$D$3:$AH$3)+1)+INDEX(March!$C$3:$AH$169,129,MATCH(B76,March!$D$3:$AH$3)+1)+INDEX(March!$C$3:$AH$169,134,MATCH(B76,March!$D$3:$AH$3)+1)+INDEX(March!$C$3:$AH$169,139,MATCH(B76,March!$D$3:$AH$3)+1)+INDEX(March!$C$3:$AH$169,144,MATCH(B76,March!$D$3:$AH$3)+1)+INDEX(March!$C$3:$AH$169,149,MATCH(B76,March!$D$3:$AH$3)+1)-INDEX(March!$B$5:$AH$169,MATCH("Patrick Janssen",March!$B$5:$B$169)+1,MATCH(B76,March!$D$3:$AH$3)+2)-INDEX(March!$B$5:$AH$169,MATCH("Patrick Ziesen",March!$B$5:$B$169)+1,MATCH(B76,March!$D$3:$AH$3)+2)-INDEX(March!$B$5:$AH$169,MATCH("Frido Meijer",March!$B$5:$B$169)+1,MATCH(B76,March!$D$3:$AH$3)+2)</f>
        <v>8</v>
      </c>
      <c r="I76" s="130">
        <v>0</v>
      </c>
      <c r="J76" s="130">
        <v>0</v>
      </c>
      <c r="L76" s="165"/>
      <c r="M76" s="111"/>
      <c r="N76" s="111">
        <f t="shared" si="24"/>
        <v>0</v>
      </c>
      <c r="P76" s="112">
        <f t="shared" si="25"/>
        <v>0</v>
      </c>
      <c r="Q76" s="112">
        <f t="shared" si="26"/>
        <v>0</v>
      </c>
    </row>
    <row r="77" spans="2:17" x14ac:dyDescent="0.25">
      <c r="B77" s="110">
        <f>DATE(Title!$F$12,$S$7,S13)</f>
        <v>41342</v>
      </c>
      <c r="C77" s="111">
        <f>IF(WEEKDAY(B77)=1,0,IF(WEEKDAY(B77)=4,'Hours Scheduled'!$F$44-1,IF(WEEKDAY(B77)=7,0,'Hours Scheduled'!$F$44)))</f>
        <v>0</v>
      </c>
      <c r="D77" s="17">
        <f t="shared" si="27"/>
        <v>0</v>
      </c>
      <c r="E77" s="127">
        <f t="shared" si="28"/>
        <v>0</v>
      </c>
      <c r="F77" s="111"/>
      <c r="G77" s="130">
        <f>INDEX(March!$C$3:$AH$169,3,MATCH(B77,March!$D$3:$AH$3)+1)+INDEX(March!$C$3:$AH$169,8,MATCH(B77,March!$D$3:$AH$3)+1)+INDEX(March!$C$3:$AH$169,13,MATCH(B77,March!$D$3:$AH$3)+1)+INDEX(March!$C$3:$AH$169,18,MATCH(B77,March!$D$3:$AH$3)+1)+INDEX(March!$C$3:$AH$169,23,MATCH(B77,March!$D$3:$AH$3)+1)+INDEX(March!$C$3:$AH$169,28,MATCH(B77,March!$D$3:$AH$3)+1)+INDEX(March!$C$3:$AH$169,33,MATCH(B77,March!$D$3:$AH$3)+1)+INDEX(March!$C$3:$AH$169,38,MATCH(B77,March!$D$3:$AH$3)+1)+INDEX(March!$C$3:$AH$169,43,MATCH(B77,March!$D$3:$AH$3)+1)+INDEX(March!$C$3:$AH$169,48,MATCH(B77,March!$D$3:$AH$3)+1)+INDEX(March!$C$3:$AH$169,53,MATCH(B77,March!$D$3:$AH$3)+1)+INDEX(March!$C$3:$AH$169,58,MATCH(B77,March!$D$3:$AH$3)+1)+INDEX(March!$C$3:$AH$169,63,MATCH(B77,March!$D$3:$AH$3)+1)+INDEX(March!$C$3:$AH$169,68,MATCH(B77,March!$D$3:$AH$3)+1)+INDEX(March!$C$3:$AH$169,73,MATCH(B77,March!$D$3:$AH$3)+1)+INDEX(March!$C$3:$AH$169,78,MATCH(B77,March!$D$3:$AH$3)+1)+INDEX(March!$C$3:$AH$169,83,MATCH(B77,March!$D$3:$AH$3)+1)+INDEX(March!$C$3:$AH$169,88,MATCH(B77,March!$D$3:$AH$3)+1)+INDEX(March!$C$3:$AH$169,93,MATCH(B77,March!$D$3:$AH$3)+1)+INDEX(March!$C$3:$AH$169,98,MATCH(B77,March!$D$3:$AH$3)+1)+INDEX(March!$C$3:$AH$169,103,MATCH(B77,March!$D$3:$AH$3)+1)+INDEX(March!$C$3:$AH$169,108,MATCH(B77,March!$D$3:$AH$3)+1)+INDEX(March!$C$3:$AH$169,113,MATCH(B77,March!$D$3:$AH$3)+1)+INDEX(March!$C$3:$AH$169,118,MATCH(B77,March!$D$3:$AH$3)+1)+INDEX(March!$C$3:$AH$169,123,MATCH(B77,March!$D$3:$AH$3)+1)+INDEX(March!$C$3:$AH$169,128,MATCH(B77,March!$D$3:$AH$3)+1)+INDEX(March!$C$3:$AH$169,133,MATCH(B77,March!$D$3:$AH$3)+1)+INDEX(March!$C$3:$AH$169,138,MATCH(B77,March!$D$3:$AH$3)+1)+INDEX(March!$C$3:$AH$169,143,MATCH(B77,March!$D$3:$AH$3)+1)+INDEX(March!$C$3:$AH$169,148,MATCH(B77,March!$D$3:$AH$3)+1)-INDEX(March!$B$5:$AH$169,MATCH("Patrick Janssen",March!$B$5:$B$169),MATCH(B77,March!$D$3:$AH$3)+2)-INDEX(March!$B$5:$AH$169,MATCH("Patrick Ziesen",March!$B$5:$B$169),MATCH(B77,March!$D$3:$AH$3)+2)-INDEX(March!$B$5:$AH$169,MATCH("Frido Meijer",March!$B$5:$B$169),MATCH(B77,March!$D$3:$AH$3)+2)</f>
        <v>0</v>
      </c>
      <c r="H77" s="130">
        <f>INDEX(March!$C$3:$AH$169,4,MATCH(B77,March!$D$3:$AH$3)+1)+INDEX(March!$C$3:$AH$169,9,MATCH(B77,March!$D$3:$AH$3)+1)+INDEX(March!$C$3:$AH$169,14,MATCH(B77,March!$D$3:$AH$3)+1)+INDEX(March!$C$3:$AH$169,19,MATCH(B77,March!$D$3:$AH$3)+1)+INDEX(March!$C$3:$AH$169,24,MATCH(B77,March!$D$3:$AH$3)+1)+INDEX(March!$C$3:$AH$169,29,MATCH(B77,March!$D$3:$AH$3)+1)+INDEX(March!$C$3:$AH$169,34,MATCH(B77,March!$D$3:$AH$3)+1)+INDEX(March!$C$3:$AH$169,39,MATCH(B77,March!$D$3:$AH$3)+1)+INDEX(March!$C$3:$AH$169,44,MATCH(B77,March!$D$3:$AH$3)+1)+INDEX(March!$C$3:$AH$169,49,MATCH(B77,March!$D$3:$AH$3)+1)+INDEX(March!$C$3:$AH$169,54,MATCH(B77,March!$D$3:$AH$3)+1)+INDEX(March!$C$3:$AH$169,59,MATCH(B77,March!$D$3:$AH$3)+1)+INDEX(March!$C$3:$AH$169,64,MATCH(B77,March!$D$3:$AH$3)+1)+INDEX(March!$C$3:$AH$169,69,MATCH(B77,March!$D$3:$AH$3)+1)+INDEX(March!$C$3:$AH$169,74,MATCH(B77,March!$D$3:$AH$3)+1)+INDEX(March!$C$3:$AH$169,79,MATCH(B77,March!$D$3:$AH$3)+1)+INDEX(March!$C$3:$AH$169,84,MATCH(B77,March!$D$3:$AH$3)+1)+INDEX(March!$C$3:$AH$169,89,MATCH(B77,March!$D$3:$AH$3)+1)+INDEX(March!$C$3:$AH$169,94,MATCH(B77,March!$D$3:$AH$3)+1)+INDEX(March!$C$3:$AH$169,99,MATCH(B77,March!$D$3:$AH$3)+1)+INDEX(March!$C$3:$AH$169,104,MATCH(B77,March!$D$3:$AH$3)+1)+INDEX(March!$C$3:$AH$169,109,MATCH(B77,March!$D$3:$AH$3)+1)+INDEX(March!$C$3:$AH$169,114,MATCH(B77,March!$D$3:$AH$3)+1)+INDEX(March!$C$3:$AH$169,119,MATCH(B77,March!$D$3:$AH$3)+1)+INDEX(March!$C$3:$AH$169,124,MATCH(B77,March!$D$3:$AH$3)+1)+INDEX(March!$C$3:$AH$169,129,MATCH(B77,March!$D$3:$AH$3)+1)+INDEX(March!$C$3:$AH$169,134,MATCH(B77,March!$D$3:$AH$3)+1)+INDEX(March!$C$3:$AH$169,139,MATCH(B77,March!$D$3:$AH$3)+1)+INDEX(March!$C$3:$AH$169,144,MATCH(B77,March!$D$3:$AH$3)+1)+INDEX(March!$C$3:$AH$169,149,MATCH(B77,March!$D$3:$AH$3)+1)-INDEX(March!$B$5:$AH$169,MATCH("Patrick Janssen",March!$B$5:$B$169)+1,MATCH(B77,March!$D$3:$AH$3)+2)-INDEX(March!$B$5:$AH$169,MATCH("Patrick Ziesen",March!$B$5:$B$169)+1,MATCH(B77,March!$D$3:$AH$3)+2)-INDEX(March!$B$5:$AH$169,MATCH("Frido Meijer",March!$B$5:$B$169)+1,MATCH(B77,March!$D$3:$AH$3)+2)</f>
        <v>0</v>
      </c>
      <c r="I77" s="130">
        <v>0</v>
      </c>
      <c r="J77" s="130">
        <v>0</v>
      </c>
      <c r="L77" s="165"/>
      <c r="M77" s="111"/>
      <c r="N77" s="111">
        <f t="shared" si="24"/>
        <v>0</v>
      </c>
      <c r="P77" s="112" t="str">
        <f t="shared" si="25"/>
        <v/>
      </c>
      <c r="Q77" s="112" t="str">
        <f t="shared" si="26"/>
        <v/>
      </c>
    </row>
    <row r="78" spans="2:17" x14ac:dyDescent="0.25">
      <c r="B78" s="110">
        <f>DATE(Title!$F$12,$S$7,S14)</f>
        <v>41343</v>
      </c>
      <c r="C78" s="111">
        <f>IF(WEEKDAY(B78)=1,0,IF(WEEKDAY(B78)=4,'Hours Scheduled'!$F$44-1,IF(WEEKDAY(B78)=7,0,'Hours Scheduled'!$F$44)))</f>
        <v>0</v>
      </c>
      <c r="D78" s="17">
        <f t="shared" si="27"/>
        <v>0</v>
      </c>
      <c r="E78" s="127">
        <f t="shared" si="28"/>
        <v>0</v>
      </c>
      <c r="F78" s="111"/>
      <c r="G78" s="130">
        <f>INDEX(March!$C$3:$AH$169,3,MATCH(B78,March!$D$3:$AH$3)+1)+INDEX(March!$C$3:$AH$169,8,MATCH(B78,March!$D$3:$AH$3)+1)+INDEX(March!$C$3:$AH$169,13,MATCH(B78,March!$D$3:$AH$3)+1)+INDEX(March!$C$3:$AH$169,18,MATCH(B78,March!$D$3:$AH$3)+1)+INDEX(March!$C$3:$AH$169,23,MATCH(B78,March!$D$3:$AH$3)+1)+INDEX(March!$C$3:$AH$169,28,MATCH(B78,March!$D$3:$AH$3)+1)+INDEX(March!$C$3:$AH$169,33,MATCH(B78,March!$D$3:$AH$3)+1)+INDEX(March!$C$3:$AH$169,38,MATCH(B78,March!$D$3:$AH$3)+1)+INDEX(March!$C$3:$AH$169,43,MATCH(B78,March!$D$3:$AH$3)+1)+INDEX(March!$C$3:$AH$169,48,MATCH(B78,March!$D$3:$AH$3)+1)+INDEX(March!$C$3:$AH$169,53,MATCH(B78,March!$D$3:$AH$3)+1)+INDEX(March!$C$3:$AH$169,58,MATCH(B78,March!$D$3:$AH$3)+1)+INDEX(March!$C$3:$AH$169,63,MATCH(B78,March!$D$3:$AH$3)+1)+INDEX(March!$C$3:$AH$169,68,MATCH(B78,March!$D$3:$AH$3)+1)+INDEX(March!$C$3:$AH$169,73,MATCH(B78,March!$D$3:$AH$3)+1)+INDEX(March!$C$3:$AH$169,78,MATCH(B78,March!$D$3:$AH$3)+1)+INDEX(March!$C$3:$AH$169,83,MATCH(B78,March!$D$3:$AH$3)+1)+INDEX(March!$C$3:$AH$169,88,MATCH(B78,March!$D$3:$AH$3)+1)+INDEX(March!$C$3:$AH$169,93,MATCH(B78,March!$D$3:$AH$3)+1)+INDEX(March!$C$3:$AH$169,98,MATCH(B78,March!$D$3:$AH$3)+1)+INDEX(March!$C$3:$AH$169,103,MATCH(B78,March!$D$3:$AH$3)+1)+INDEX(March!$C$3:$AH$169,108,MATCH(B78,March!$D$3:$AH$3)+1)+INDEX(March!$C$3:$AH$169,113,MATCH(B78,March!$D$3:$AH$3)+1)+INDEX(March!$C$3:$AH$169,118,MATCH(B78,March!$D$3:$AH$3)+1)+INDEX(March!$C$3:$AH$169,123,MATCH(B78,March!$D$3:$AH$3)+1)+INDEX(March!$C$3:$AH$169,128,MATCH(B78,March!$D$3:$AH$3)+1)+INDEX(March!$C$3:$AH$169,133,MATCH(B78,March!$D$3:$AH$3)+1)+INDEX(March!$C$3:$AH$169,138,MATCH(B78,March!$D$3:$AH$3)+1)+INDEX(March!$C$3:$AH$169,143,MATCH(B78,March!$D$3:$AH$3)+1)+INDEX(March!$C$3:$AH$169,148,MATCH(B78,March!$D$3:$AH$3)+1)-INDEX(March!$B$5:$AH$169,MATCH("Patrick Janssen",March!$B$5:$B$169),MATCH(B78,March!$D$3:$AH$3)+2)-INDEX(March!$B$5:$AH$169,MATCH("Patrick Ziesen",March!$B$5:$B$169),MATCH(B78,March!$D$3:$AH$3)+2)-INDEX(March!$B$5:$AH$169,MATCH("Frido Meijer",March!$B$5:$B$169),MATCH(B78,March!$D$3:$AH$3)+2)</f>
        <v>0</v>
      </c>
      <c r="H78" s="130">
        <f>INDEX(March!$C$3:$AH$169,4,MATCH(B78,March!$D$3:$AH$3)+1)+INDEX(March!$C$3:$AH$169,9,MATCH(B78,March!$D$3:$AH$3)+1)+INDEX(March!$C$3:$AH$169,14,MATCH(B78,March!$D$3:$AH$3)+1)+INDEX(March!$C$3:$AH$169,19,MATCH(B78,March!$D$3:$AH$3)+1)+INDEX(March!$C$3:$AH$169,24,MATCH(B78,March!$D$3:$AH$3)+1)+INDEX(March!$C$3:$AH$169,29,MATCH(B78,March!$D$3:$AH$3)+1)+INDEX(March!$C$3:$AH$169,34,MATCH(B78,March!$D$3:$AH$3)+1)+INDEX(March!$C$3:$AH$169,39,MATCH(B78,March!$D$3:$AH$3)+1)+INDEX(March!$C$3:$AH$169,44,MATCH(B78,March!$D$3:$AH$3)+1)+INDEX(March!$C$3:$AH$169,49,MATCH(B78,March!$D$3:$AH$3)+1)+INDEX(March!$C$3:$AH$169,54,MATCH(B78,March!$D$3:$AH$3)+1)+INDEX(March!$C$3:$AH$169,59,MATCH(B78,March!$D$3:$AH$3)+1)+INDEX(March!$C$3:$AH$169,64,MATCH(B78,March!$D$3:$AH$3)+1)+INDEX(March!$C$3:$AH$169,69,MATCH(B78,March!$D$3:$AH$3)+1)+INDEX(March!$C$3:$AH$169,74,MATCH(B78,March!$D$3:$AH$3)+1)+INDEX(March!$C$3:$AH$169,79,MATCH(B78,March!$D$3:$AH$3)+1)+INDEX(March!$C$3:$AH$169,84,MATCH(B78,March!$D$3:$AH$3)+1)+INDEX(March!$C$3:$AH$169,89,MATCH(B78,March!$D$3:$AH$3)+1)+INDEX(March!$C$3:$AH$169,94,MATCH(B78,March!$D$3:$AH$3)+1)+INDEX(March!$C$3:$AH$169,99,MATCH(B78,March!$D$3:$AH$3)+1)+INDEX(March!$C$3:$AH$169,104,MATCH(B78,March!$D$3:$AH$3)+1)+INDEX(March!$C$3:$AH$169,109,MATCH(B78,March!$D$3:$AH$3)+1)+INDEX(March!$C$3:$AH$169,114,MATCH(B78,March!$D$3:$AH$3)+1)+INDEX(March!$C$3:$AH$169,119,MATCH(B78,March!$D$3:$AH$3)+1)+INDEX(March!$C$3:$AH$169,124,MATCH(B78,March!$D$3:$AH$3)+1)+INDEX(March!$C$3:$AH$169,129,MATCH(B78,March!$D$3:$AH$3)+1)+INDEX(March!$C$3:$AH$169,134,MATCH(B78,March!$D$3:$AH$3)+1)+INDEX(March!$C$3:$AH$169,139,MATCH(B78,March!$D$3:$AH$3)+1)+INDEX(March!$C$3:$AH$169,144,MATCH(B78,March!$D$3:$AH$3)+1)+INDEX(March!$C$3:$AH$169,149,MATCH(B78,March!$D$3:$AH$3)+1)-INDEX(March!$B$5:$AH$169,MATCH("Patrick Janssen",March!$B$5:$B$169)+1,MATCH(B78,March!$D$3:$AH$3)+2)-INDEX(March!$B$5:$AH$169,MATCH("Patrick Ziesen",March!$B$5:$B$169)+1,MATCH(B78,March!$D$3:$AH$3)+2)-INDEX(March!$B$5:$AH$169,MATCH("Frido Meijer",March!$B$5:$B$169)+1,MATCH(B78,March!$D$3:$AH$3)+2)</f>
        <v>0</v>
      </c>
      <c r="I78" s="130">
        <v>0</v>
      </c>
      <c r="J78" s="130">
        <v>0</v>
      </c>
      <c r="L78" s="111"/>
      <c r="M78" s="111"/>
      <c r="N78" s="111">
        <f t="shared" si="24"/>
        <v>0</v>
      </c>
      <c r="P78" s="112" t="str">
        <f t="shared" si="25"/>
        <v/>
      </c>
      <c r="Q78" s="112" t="str">
        <f t="shared" si="26"/>
        <v/>
      </c>
    </row>
    <row r="79" spans="2:17" x14ac:dyDescent="0.25">
      <c r="B79" s="110">
        <f>DATE(Title!$F$12,$S$7,S15)</f>
        <v>41344</v>
      </c>
      <c r="C79" s="111">
        <f>IF(WEEKDAY(B79)=1,0,IF(WEEKDAY(B79)=4,'Hours Scheduled'!$F$44-1,IF(WEEKDAY(B79)=7,0,'Hours Scheduled'!$F$44)))</f>
        <v>25</v>
      </c>
      <c r="D79" s="17">
        <f t="shared" si="27"/>
        <v>187.5</v>
      </c>
      <c r="E79" s="127">
        <f t="shared" si="28"/>
        <v>168</v>
      </c>
      <c r="F79" s="111"/>
      <c r="G79" s="130">
        <f>INDEX(March!$C$3:$AH$169,3,MATCH(B79,March!$D$3:$AH$3)+1)+INDEX(March!$C$3:$AH$169,8,MATCH(B79,March!$D$3:$AH$3)+1)+INDEX(March!$C$3:$AH$169,13,MATCH(B79,March!$D$3:$AH$3)+1)+INDEX(March!$C$3:$AH$169,18,MATCH(B79,March!$D$3:$AH$3)+1)+INDEX(March!$C$3:$AH$169,23,MATCH(B79,March!$D$3:$AH$3)+1)+INDEX(March!$C$3:$AH$169,28,MATCH(B79,March!$D$3:$AH$3)+1)+INDEX(March!$C$3:$AH$169,33,MATCH(B79,March!$D$3:$AH$3)+1)+INDEX(March!$C$3:$AH$169,38,MATCH(B79,March!$D$3:$AH$3)+1)+INDEX(March!$C$3:$AH$169,43,MATCH(B79,March!$D$3:$AH$3)+1)+INDEX(March!$C$3:$AH$169,48,MATCH(B79,March!$D$3:$AH$3)+1)+INDEX(March!$C$3:$AH$169,53,MATCH(B79,March!$D$3:$AH$3)+1)+INDEX(March!$C$3:$AH$169,58,MATCH(B79,March!$D$3:$AH$3)+1)+INDEX(March!$C$3:$AH$169,63,MATCH(B79,March!$D$3:$AH$3)+1)+INDEX(March!$C$3:$AH$169,68,MATCH(B79,March!$D$3:$AH$3)+1)+INDEX(March!$C$3:$AH$169,73,MATCH(B79,March!$D$3:$AH$3)+1)+INDEX(March!$C$3:$AH$169,78,MATCH(B79,March!$D$3:$AH$3)+1)+INDEX(March!$C$3:$AH$169,83,MATCH(B79,March!$D$3:$AH$3)+1)+INDEX(March!$C$3:$AH$169,88,MATCH(B79,March!$D$3:$AH$3)+1)+INDEX(March!$C$3:$AH$169,93,MATCH(B79,March!$D$3:$AH$3)+1)+INDEX(March!$C$3:$AH$169,98,MATCH(B79,March!$D$3:$AH$3)+1)+INDEX(March!$C$3:$AH$169,103,MATCH(B79,March!$D$3:$AH$3)+1)+INDEX(March!$C$3:$AH$169,108,MATCH(B79,March!$D$3:$AH$3)+1)+INDEX(March!$C$3:$AH$169,113,MATCH(B79,March!$D$3:$AH$3)+1)+INDEX(March!$C$3:$AH$169,118,MATCH(B79,March!$D$3:$AH$3)+1)+INDEX(March!$C$3:$AH$169,123,MATCH(B79,March!$D$3:$AH$3)+1)+INDEX(March!$C$3:$AH$169,128,MATCH(B79,March!$D$3:$AH$3)+1)+INDEX(March!$C$3:$AH$169,133,MATCH(B79,March!$D$3:$AH$3)+1)+INDEX(March!$C$3:$AH$169,138,MATCH(B79,March!$D$3:$AH$3)+1)+INDEX(March!$C$3:$AH$169,143,MATCH(B79,March!$D$3:$AH$3)+1)+INDEX(March!$C$3:$AH$169,148,MATCH(B79,March!$D$3:$AH$3)+1)-INDEX(March!$B$5:$AH$169,MATCH("Patrick Janssen",March!$B$5:$B$169),MATCH(B79,March!$D$3:$AH$3)+2)-INDEX(March!$B$5:$AH$169,MATCH("Patrick Ziesen",March!$B$5:$B$169),MATCH(B79,March!$D$3:$AH$3)+2)-INDEX(March!$B$5:$AH$169,MATCH("Frido Meijer",March!$B$5:$B$169),MATCH(B79,March!$D$3:$AH$3)+2)</f>
        <v>16</v>
      </c>
      <c r="H79" s="130">
        <f>INDEX(March!$C$3:$AH$169,4,MATCH(B79,March!$D$3:$AH$3)+1)+INDEX(March!$C$3:$AH$169,9,MATCH(B79,March!$D$3:$AH$3)+1)+INDEX(March!$C$3:$AH$169,14,MATCH(B79,March!$D$3:$AH$3)+1)+INDEX(March!$C$3:$AH$169,19,MATCH(B79,March!$D$3:$AH$3)+1)+INDEX(March!$C$3:$AH$169,24,MATCH(B79,March!$D$3:$AH$3)+1)+INDEX(March!$C$3:$AH$169,29,MATCH(B79,March!$D$3:$AH$3)+1)+INDEX(March!$C$3:$AH$169,34,MATCH(B79,March!$D$3:$AH$3)+1)+INDEX(March!$C$3:$AH$169,39,MATCH(B79,March!$D$3:$AH$3)+1)+INDEX(March!$C$3:$AH$169,44,MATCH(B79,March!$D$3:$AH$3)+1)+INDEX(March!$C$3:$AH$169,49,MATCH(B79,March!$D$3:$AH$3)+1)+INDEX(March!$C$3:$AH$169,54,MATCH(B79,March!$D$3:$AH$3)+1)+INDEX(March!$C$3:$AH$169,59,MATCH(B79,March!$D$3:$AH$3)+1)+INDEX(March!$C$3:$AH$169,64,MATCH(B79,March!$D$3:$AH$3)+1)+INDEX(March!$C$3:$AH$169,69,MATCH(B79,March!$D$3:$AH$3)+1)+INDEX(March!$C$3:$AH$169,74,MATCH(B79,March!$D$3:$AH$3)+1)+INDEX(March!$C$3:$AH$169,79,MATCH(B79,March!$D$3:$AH$3)+1)+INDEX(March!$C$3:$AH$169,84,MATCH(B79,March!$D$3:$AH$3)+1)+INDEX(March!$C$3:$AH$169,89,MATCH(B79,March!$D$3:$AH$3)+1)+INDEX(March!$C$3:$AH$169,94,MATCH(B79,March!$D$3:$AH$3)+1)+INDEX(March!$C$3:$AH$169,99,MATCH(B79,March!$D$3:$AH$3)+1)+INDEX(March!$C$3:$AH$169,104,MATCH(B79,March!$D$3:$AH$3)+1)+INDEX(March!$C$3:$AH$169,109,MATCH(B79,March!$D$3:$AH$3)+1)+INDEX(March!$C$3:$AH$169,114,MATCH(B79,March!$D$3:$AH$3)+1)+INDEX(March!$C$3:$AH$169,119,MATCH(B79,March!$D$3:$AH$3)+1)+INDEX(March!$C$3:$AH$169,124,MATCH(B79,March!$D$3:$AH$3)+1)+INDEX(March!$C$3:$AH$169,129,MATCH(B79,March!$D$3:$AH$3)+1)+INDEX(March!$C$3:$AH$169,134,MATCH(B79,March!$D$3:$AH$3)+1)+INDEX(March!$C$3:$AH$169,139,MATCH(B79,March!$D$3:$AH$3)+1)+INDEX(March!$C$3:$AH$169,144,MATCH(B79,March!$D$3:$AH$3)+1)+INDEX(March!$C$3:$AH$169,149,MATCH(B79,March!$D$3:$AH$3)+1)-INDEX(March!$B$5:$AH$169,MATCH("Patrick Janssen",March!$B$5:$B$169)+1,MATCH(B79,March!$D$3:$AH$3)+2)-INDEX(March!$B$5:$AH$169,MATCH("Patrick Ziesen",March!$B$5:$B$169)+1,MATCH(B79,March!$D$3:$AH$3)+2)-INDEX(March!$B$5:$AH$169,MATCH("Frido Meijer",March!$B$5:$B$169)+1,MATCH(B79,March!$D$3:$AH$3)+2)</f>
        <v>16</v>
      </c>
      <c r="I79" s="130">
        <v>0</v>
      </c>
      <c r="J79" s="130">
        <v>0</v>
      </c>
      <c r="L79" s="111"/>
      <c r="M79" s="111"/>
      <c r="N79" s="111">
        <f t="shared" si="24"/>
        <v>0</v>
      </c>
      <c r="P79" s="112">
        <f t="shared" si="25"/>
        <v>0</v>
      </c>
      <c r="Q79" s="112">
        <f t="shared" si="26"/>
        <v>0</v>
      </c>
    </row>
    <row r="80" spans="2:17" x14ac:dyDescent="0.25">
      <c r="B80" s="110">
        <f>DATE(Title!$F$12,$S$7,S16)</f>
        <v>41345</v>
      </c>
      <c r="C80" s="111">
        <f>IF(WEEKDAY(B80)=1,0,IF(WEEKDAY(B80)=4,'Hours Scheduled'!$F$44-1,IF(WEEKDAY(B80)=7,0,'Hours Scheduled'!$F$44)))</f>
        <v>25</v>
      </c>
      <c r="D80" s="17">
        <f t="shared" si="27"/>
        <v>187.5</v>
      </c>
      <c r="E80" s="127">
        <f t="shared" si="28"/>
        <v>160</v>
      </c>
      <c r="F80" s="111"/>
      <c r="G80" s="130">
        <f>INDEX(March!$C$3:$AH$169,3,MATCH(B80,March!$D$3:$AH$3)+1)+INDEX(March!$C$3:$AH$169,8,MATCH(B80,March!$D$3:$AH$3)+1)+INDEX(March!$C$3:$AH$169,13,MATCH(B80,March!$D$3:$AH$3)+1)+INDEX(March!$C$3:$AH$169,18,MATCH(B80,March!$D$3:$AH$3)+1)+INDEX(March!$C$3:$AH$169,23,MATCH(B80,March!$D$3:$AH$3)+1)+INDEX(March!$C$3:$AH$169,28,MATCH(B80,March!$D$3:$AH$3)+1)+INDEX(March!$C$3:$AH$169,33,MATCH(B80,March!$D$3:$AH$3)+1)+INDEX(March!$C$3:$AH$169,38,MATCH(B80,March!$D$3:$AH$3)+1)+INDEX(March!$C$3:$AH$169,43,MATCH(B80,March!$D$3:$AH$3)+1)+INDEX(March!$C$3:$AH$169,48,MATCH(B80,March!$D$3:$AH$3)+1)+INDEX(March!$C$3:$AH$169,53,MATCH(B80,March!$D$3:$AH$3)+1)+INDEX(March!$C$3:$AH$169,58,MATCH(B80,March!$D$3:$AH$3)+1)+INDEX(March!$C$3:$AH$169,63,MATCH(B80,March!$D$3:$AH$3)+1)+INDEX(March!$C$3:$AH$169,68,MATCH(B80,March!$D$3:$AH$3)+1)+INDEX(March!$C$3:$AH$169,73,MATCH(B80,March!$D$3:$AH$3)+1)+INDEX(March!$C$3:$AH$169,78,MATCH(B80,March!$D$3:$AH$3)+1)+INDEX(March!$C$3:$AH$169,83,MATCH(B80,March!$D$3:$AH$3)+1)+INDEX(March!$C$3:$AH$169,88,MATCH(B80,March!$D$3:$AH$3)+1)+INDEX(March!$C$3:$AH$169,93,MATCH(B80,March!$D$3:$AH$3)+1)+INDEX(March!$C$3:$AH$169,98,MATCH(B80,March!$D$3:$AH$3)+1)+INDEX(March!$C$3:$AH$169,103,MATCH(B80,March!$D$3:$AH$3)+1)+INDEX(March!$C$3:$AH$169,108,MATCH(B80,March!$D$3:$AH$3)+1)+INDEX(March!$C$3:$AH$169,113,MATCH(B80,March!$D$3:$AH$3)+1)+INDEX(March!$C$3:$AH$169,118,MATCH(B80,March!$D$3:$AH$3)+1)+INDEX(March!$C$3:$AH$169,123,MATCH(B80,March!$D$3:$AH$3)+1)+INDEX(March!$C$3:$AH$169,128,MATCH(B80,March!$D$3:$AH$3)+1)+INDEX(March!$C$3:$AH$169,133,MATCH(B80,March!$D$3:$AH$3)+1)+INDEX(March!$C$3:$AH$169,138,MATCH(B80,March!$D$3:$AH$3)+1)+INDEX(March!$C$3:$AH$169,143,MATCH(B80,March!$D$3:$AH$3)+1)+INDEX(March!$C$3:$AH$169,148,MATCH(B80,March!$D$3:$AH$3)+1)-INDEX(March!$B$5:$AH$169,MATCH("Patrick Janssen",March!$B$5:$B$169),MATCH(B80,March!$D$3:$AH$3)+2)-INDEX(March!$B$5:$AH$169,MATCH("Patrick Ziesen",March!$B$5:$B$169),MATCH(B80,March!$D$3:$AH$3)+2)-INDEX(March!$B$5:$AH$169,MATCH("Frido Meijer",March!$B$5:$B$169),MATCH(B80,March!$D$3:$AH$3)+2)</f>
        <v>24</v>
      </c>
      <c r="H80" s="130">
        <f>INDEX(March!$C$3:$AH$169,4,MATCH(B80,March!$D$3:$AH$3)+1)+INDEX(March!$C$3:$AH$169,9,MATCH(B80,March!$D$3:$AH$3)+1)+INDEX(March!$C$3:$AH$169,14,MATCH(B80,March!$D$3:$AH$3)+1)+INDEX(March!$C$3:$AH$169,19,MATCH(B80,March!$D$3:$AH$3)+1)+INDEX(March!$C$3:$AH$169,24,MATCH(B80,March!$D$3:$AH$3)+1)+INDEX(March!$C$3:$AH$169,29,MATCH(B80,March!$D$3:$AH$3)+1)+INDEX(March!$C$3:$AH$169,34,MATCH(B80,March!$D$3:$AH$3)+1)+INDEX(March!$C$3:$AH$169,39,MATCH(B80,March!$D$3:$AH$3)+1)+INDEX(March!$C$3:$AH$169,44,MATCH(B80,March!$D$3:$AH$3)+1)+INDEX(March!$C$3:$AH$169,49,MATCH(B80,March!$D$3:$AH$3)+1)+INDEX(March!$C$3:$AH$169,54,MATCH(B80,March!$D$3:$AH$3)+1)+INDEX(March!$C$3:$AH$169,59,MATCH(B80,March!$D$3:$AH$3)+1)+INDEX(March!$C$3:$AH$169,64,MATCH(B80,March!$D$3:$AH$3)+1)+INDEX(March!$C$3:$AH$169,69,MATCH(B80,March!$D$3:$AH$3)+1)+INDEX(March!$C$3:$AH$169,74,MATCH(B80,March!$D$3:$AH$3)+1)+INDEX(March!$C$3:$AH$169,79,MATCH(B80,March!$D$3:$AH$3)+1)+INDEX(March!$C$3:$AH$169,84,MATCH(B80,March!$D$3:$AH$3)+1)+INDEX(March!$C$3:$AH$169,89,MATCH(B80,March!$D$3:$AH$3)+1)+INDEX(March!$C$3:$AH$169,94,MATCH(B80,March!$D$3:$AH$3)+1)+INDEX(March!$C$3:$AH$169,99,MATCH(B80,March!$D$3:$AH$3)+1)+INDEX(March!$C$3:$AH$169,104,MATCH(B80,March!$D$3:$AH$3)+1)+INDEX(March!$C$3:$AH$169,109,MATCH(B80,March!$D$3:$AH$3)+1)+INDEX(March!$C$3:$AH$169,114,MATCH(B80,March!$D$3:$AH$3)+1)+INDEX(March!$C$3:$AH$169,119,MATCH(B80,March!$D$3:$AH$3)+1)+INDEX(March!$C$3:$AH$169,124,MATCH(B80,March!$D$3:$AH$3)+1)+INDEX(March!$C$3:$AH$169,129,MATCH(B80,March!$D$3:$AH$3)+1)+INDEX(March!$C$3:$AH$169,134,MATCH(B80,March!$D$3:$AH$3)+1)+INDEX(March!$C$3:$AH$169,139,MATCH(B80,March!$D$3:$AH$3)+1)+INDEX(March!$C$3:$AH$169,144,MATCH(B80,March!$D$3:$AH$3)+1)+INDEX(March!$C$3:$AH$169,149,MATCH(B80,March!$D$3:$AH$3)+1)-INDEX(March!$B$5:$AH$169,MATCH("Patrick Janssen",March!$B$5:$B$169)+1,MATCH(B80,March!$D$3:$AH$3)+2)-INDEX(March!$B$5:$AH$169,MATCH("Patrick Ziesen",March!$B$5:$B$169)+1,MATCH(B80,March!$D$3:$AH$3)+2)-INDEX(March!$B$5:$AH$169,MATCH("Frido Meijer",March!$B$5:$B$169)+1,MATCH(B80,March!$D$3:$AH$3)+2)</f>
        <v>16</v>
      </c>
      <c r="I80" s="130">
        <v>0</v>
      </c>
      <c r="J80" s="130">
        <v>0</v>
      </c>
      <c r="L80" s="165"/>
      <c r="M80" s="111"/>
      <c r="N80" s="111">
        <f t="shared" si="24"/>
        <v>0</v>
      </c>
      <c r="P80" s="112">
        <f t="shared" si="25"/>
        <v>0</v>
      </c>
      <c r="Q80" s="112">
        <f t="shared" si="26"/>
        <v>0</v>
      </c>
    </row>
    <row r="81" spans="2:17" x14ac:dyDescent="0.25">
      <c r="B81" s="110">
        <f>DATE(Title!$F$12,$S$7,S17)</f>
        <v>41346</v>
      </c>
      <c r="C81" s="111">
        <f>IF(WEEKDAY(B81)=1,0,IF(WEEKDAY(B81)=4,'Hours Scheduled'!$F$44-1,IF(WEEKDAY(B81)=7,0,'Hours Scheduled'!$F$44)))</f>
        <v>24</v>
      </c>
      <c r="D81" s="17">
        <f t="shared" si="27"/>
        <v>180</v>
      </c>
      <c r="E81" s="127">
        <f t="shared" si="28"/>
        <v>144</v>
      </c>
      <c r="F81" s="111"/>
      <c r="G81" s="130">
        <f>INDEX(March!$C$3:$AH$169,3,MATCH(B81,March!$D$3:$AH$3)+1)+INDEX(March!$C$3:$AH$169,8,MATCH(B81,March!$D$3:$AH$3)+1)+INDEX(March!$C$3:$AH$169,13,MATCH(B81,March!$D$3:$AH$3)+1)+INDEX(March!$C$3:$AH$169,18,MATCH(B81,March!$D$3:$AH$3)+1)+INDEX(March!$C$3:$AH$169,23,MATCH(B81,March!$D$3:$AH$3)+1)+INDEX(March!$C$3:$AH$169,28,MATCH(B81,March!$D$3:$AH$3)+1)+INDEX(March!$C$3:$AH$169,33,MATCH(B81,March!$D$3:$AH$3)+1)+INDEX(March!$C$3:$AH$169,38,MATCH(B81,March!$D$3:$AH$3)+1)+INDEX(March!$C$3:$AH$169,43,MATCH(B81,March!$D$3:$AH$3)+1)+INDEX(March!$C$3:$AH$169,48,MATCH(B81,March!$D$3:$AH$3)+1)+INDEX(March!$C$3:$AH$169,53,MATCH(B81,March!$D$3:$AH$3)+1)+INDEX(March!$C$3:$AH$169,58,MATCH(B81,March!$D$3:$AH$3)+1)+INDEX(March!$C$3:$AH$169,63,MATCH(B81,March!$D$3:$AH$3)+1)+INDEX(March!$C$3:$AH$169,68,MATCH(B81,March!$D$3:$AH$3)+1)+INDEX(March!$C$3:$AH$169,73,MATCH(B81,March!$D$3:$AH$3)+1)+INDEX(March!$C$3:$AH$169,78,MATCH(B81,March!$D$3:$AH$3)+1)+INDEX(March!$C$3:$AH$169,83,MATCH(B81,March!$D$3:$AH$3)+1)+INDEX(March!$C$3:$AH$169,88,MATCH(B81,March!$D$3:$AH$3)+1)+INDEX(March!$C$3:$AH$169,93,MATCH(B81,March!$D$3:$AH$3)+1)+INDEX(March!$C$3:$AH$169,98,MATCH(B81,March!$D$3:$AH$3)+1)+INDEX(March!$C$3:$AH$169,103,MATCH(B81,March!$D$3:$AH$3)+1)+INDEX(March!$C$3:$AH$169,108,MATCH(B81,March!$D$3:$AH$3)+1)+INDEX(March!$C$3:$AH$169,113,MATCH(B81,March!$D$3:$AH$3)+1)+INDEX(March!$C$3:$AH$169,118,MATCH(B81,March!$D$3:$AH$3)+1)+INDEX(March!$C$3:$AH$169,123,MATCH(B81,March!$D$3:$AH$3)+1)+INDEX(March!$C$3:$AH$169,128,MATCH(B81,March!$D$3:$AH$3)+1)+INDEX(March!$C$3:$AH$169,133,MATCH(B81,March!$D$3:$AH$3)+1)+INDEX(March!$C$3:$AH$169,138,MATCH(B81,March!$D$3:$AH$3)+1)+INDEX(March!$C$3:$AH$169,143,MATCH(B81,March!$D$3:$AH$3)+1)+INDEX(March!$C$3:$AH$169,148,MATCH(B81,March!$D$3:$AH$3)+1)-INDEX(March!$B$5:$AH$169,MATCH("Patrick Janssen",March!$B$5:$B$169),MATCH(B81,March!$D$3:$AH$3)+2)-INDEX(March!$B$5:$AH$169,MATCH("Patrick Ziesen",March!$B$5:$B$169),MATCH(B81,March!$D$3:$AH$3)+2)-INDEX(March!$B$5:$AH$169,MATCH("Frido Meijer",March!$B$5:$B$169),MATCH(B81,March!$D$3:$AH$3)+2)</f>
        <v>24</v>
      </c>
      <c r="H81" s="130">
        <f>INDEX(March!$C$3:$AH$169,4,MATCH(B81,March!$D$3:$AH$3)+1)+INDEX(March!$C$3:$AH$169,9,MATCH(B81,March!$D$3:$AH$3)+1)+INDEX(March!$C$3:$AH$169,14,MATCH(B81,March!$D$3:$AH$3)+1)+INDEX(March!$C$3:$AH$169,19,MATCH(B81,March!$D$3:$AH$3)+1)+INDEX(March!$C$3:$AH$169,24,MATCH(B81,March!$D$3:$AH$3)+1)+INDEX(March!$C$3:$AH$169,29,MATCH(B81,March!$D$3:$AH$3)+1)+INDEX(March!$C$3:$AH$169,34,MATCH(B81,March!$D$3:$AH$3)+1)+INDEX(March!$C$3:$AH$169,39,MATCH(B81,March!$D$3:$AH$3)+1)+INDEX(March!$C$3:$AH$169,44,MATCH(B81,March!$D$3:$AH$3)+1)+INDEX(March!$C$3:$AH$169,49,MATCH(B81,March!$D$3:$AH$3)+1)+INDEX(March!$C$3:$AH$169,54,MATCH(B81,March!$D$3:$AH$3)+1)+INDEX(March!$C$3:$AH$169,59,MATCH(B81,March!$D$3:$AH$3)+1)+INDEX(March!$C$3:$AH$169,64,MATCH(B81,March!$D$3:$AH$3)+1)+INDEX(March!$C$3:$AH$169,69,MATCH(B81,March!$D$3:$AH$3)+1)+INDEX(March!$C$3:$AH$169,74,MATCH(B81,March!$D$3:$AH$3)+1)+INDEX(March!$C$3:$AH$169,79,MATCH(B81,March!$D$3:$AH$3)+1)+INDEX(March!$C$3:$AH$169,84,MATCH(B81,March!$D$3:$AH$3)+1)+INDEX(March!$C$3:$AH$169,89,MATCH(B81,March!$D$3:$AH$3)+1)+INDEX(March!$C$3:$AH$169,94,MATCH(B81,March!$D$3:$AH$3)+1)+INDEX(March!$C$3:$AH$169,99,MATCH(B81,March!$D$3:$AH$3)+1)+INDEX(March!$C$3:$AH$169,104,MATCH(B81,March!$D$3:$AH$3)+1)+INDEX(March!$C$3:$AH$169,109,MATCH(B81,March!$D$3:$AH$3)+1)+INDEX(March!$C$3:$AH$169,114,MATCH(B81,March!$D$3:$AH$3)+1)+INDEX(March!$C$3:$AH$169,119,MATCH(B81,March!$D$3:$AH$3)+1)+INDEX(March!$C$3:$AH$169,124,MATCH(B81,March!$D$3:$AH$3)+1)+INDEX(March!$C$3:$AH$169,129,MATCH(B81,March!$D$3:$AH$3)+1)+INDEX(March!$C$3:$AH$169,134,MATCH(B81,March!$D$3:$AH$3)+1)+INDEX(March!$C$3:$AH$169,139,MATCH(B81,March!$D$3:$AH$3)+1)+INDEX(March!$C$3:$AH$169,144,MATCH(B81,March!$D$3:$AH$3)+1)+INDEX(March!$C$3:$AH$169,149,MATCH(B81,March!$D$3:$AH$3)+1)-INDEX(March!$B$5:$AH$169,MATCH("Patrick Janssen",March!$B$5:$B$169)+1,MATCH(B81,March!$D$3:$AH$3)+2)-INDEX(March!$B$5:$AH$169,MATCH("Patrick Ziesen",March!$B$5:$B$169)+1,MATCH(B81,March!$D$3:$AH$3)+2)-INDEX(March!$B$5:$AH$169,MATCH("Frido Meijer",March!$B$5:$B$169)+1,MATCH(B81,March!$D$3:$AH$3)+2)</f>
        <v>24</v>
      </c>
      <c r="I81" s="130">
        <v>0</v>
      </c>
      <c r="J81" s="130">
        <v>0</v>
      </c>
      <c r="L81" s="165"/>
      <c r="M81" s="111"/>
      <c r="N81" s="111">
        <f t="shared" si="24"/>
        <v>0</v>
      </c>
      <c r="P81" s="112">
        <f t="shared" si="25"/>
        <v>0</v>
      </c>
      <c r="Q81" s="112">
        <f t="shared" si="26"/>
        <v>0</v>
      </c>
    </row>
    <row r="82" spans="2:17" x14ac:dyDescent="0.25">
      <c r="B82" s="110">
        <f>DATE(Title!$F$12,$S$7,S18)</f>
        <v>41347</v>
      </c>
      <c r="C82" s="111">
        <f>IF(WEEKDAY(B82)=1,0,IF(WEEKDAY(B82)=4,'Hours Scheduled'!$F$44-1,IF(WEEKDAY(B82)=7,0,'Hours Scheduled'!$F$44)))</f>
        <v>25</v>
      </c>
      <c r="D82" s="17">
        <f t="shared" si="27"/>
        <v>187.5</v>
      </c>
      <c r="E82" s="127">
        <f t="shared" si="28"/>
        <v>168</v>
      </c>
      <c r="F82" s="111"/>
      <c r="G82" s="130">
        <f>INDEX(March!$C$3:$AH$169,3,MATCH(B82,March!$D$3:$AH$3)+1)+INDEX(March!$C$3:$AH$169,8,MATCH(B82,March!$D$3:$AH$3)+1)+INDEX(March!$C$3:$AH$169,13,MATCH(B82,March!$D$3:$AH$3)+1)+INDEX(March!$C$3:$AH$169,18,MATCH(B82,March!$D$3:$AH$3)+1)+INDEX(March!$C$3:$AH$169,23,MATCH(B82,March!$D$3:$AH$3)+1)+INDEX(March!$C$3:$AH$169,28,MATCH(B82,March!$D$3:$AH$3)+1)+INDEX(March!$C$3:$AH$169,33,MATCH(B82,March!$D$3:$AH$3)+1)+INDEX(March!$C$3:$AH$169,38,MATCH(B82,March!$D$3:$AH$3)+1)+INDEX(March!$C$3:$AH$169,43,MATCH(B82,March!$D$3:$AH$3)+1)+INDEX(March!$C$3:$AH$169,48,MATCH(B82,March!$D$3:$AH$3)+1)+INDEX(March!$C$3:$AH$169,53,MATCH(B82,March!$D$3:$AH$3)+1)+INDEX(March!$C$3:$AH$169,58,MATCH(B82,March!$D$3:$AH$3)+1)+INDEX(March!$C$3:$AH$169,63,MATCH(B82,March!$D$3:$AH$3)+1)+INDEX(March!$C$3:$AH$169,68,MATCH(B82,March!$D$3:$AH$3)+1)+INDEX(March!$C$3:$AH$169,73,MATCH(B82,March!$D$3:$AH$3)+1)+INDEX(March!$C$3:$AH$169,78,MATCH(B82,March!$D$3:$AH$3)+1)+INDEX(March!$C$3:$AH$169,83,MATCH(B82,March!$D$3:$AH$3)+1)+INDEX(March!$C$3:$AH$169,88,MATCH(B82,March!$D$3:$AH$3)+1)+INDEX(March!$C$3:$AH$169,93,MATCH(B82,March!$D$3:$AH$3)+1)+INDEX(March!$C$3:$AH$169,98,MATCH(B82,March!$D$3:$AH$3)+1)+INDEX(March!$C$3:$AH$169,103,MATCH(B82,March!$D$3:$AH$3)+1)+INDEX(March!$C$3:$AH$169,108,MATCH(B82,March!$D$3:$AH$3)+1)+INDEX(March!$C$3:$AH$169,113,MATCH(B82,March!$D$3:$AH$3)+1)+INDEX(March!$C$3:$AH$169,118,MATCH(B82,March!$D$3:$AH$3)+1)+INDEX(March!$C$3:$AH$169,123,MATCH(B82,March!$D$3:$AH$3)+1)+INDEX(March!$C$3:$AH$169,128,MATCH(B82,March!$D$3:$AH$3)+1)+INDEX(March!$C$3:$AH$169,133,MATCH(B82,March!$D$3:$AH$3)+1)+INDEX(March!$C$3:$AH$169,138,MATCH(B82,March!$D$3:$AH$3)+1)+INDEX(March!$C$3:$AH$169,143,MATCH(B82,March!$D$3:$AH$3)+1)+INDEX(March!$C$3:$AH$169,148,MATCH(B82,March!$D$3:$AH$3)+1)-INDEX(March!$B$5:$AH$169,MATCH("Patrick Janssen",March!$B$5:$B$169),MATCH(B82,March!$D$3:$AH$3)+2)-INDEX(March!$B$5:$AH$169,MATCH("Patrick Ziesen",March!$B$5:$B$169),MATCH(B82,March!$D$3:$AH$3)+2)-INDEX(March!$B$5:$AH$169,MATCH("Frido Meijer",March!$B$5:$B$169),MATCH(B82,March!$D$3:$AH$3)+2)</f>
        <v>24</v>
      </c>
      <c r="H82" s="130">
        <f>INDEX(March!$C$3:$AH$169,4,MATCH(B82,March!$D$3:$AH$3)+1)+INDEX(March!$C$3:$AH$169,9,MATCH(B82,March!$D$3:$AH$3)+1)+INDEX(March!$C$3:$AH$169,14,MATCH(B82,March!$D$3:$AH$3)+1)+INDEX(March!$C$3:$AH$169,19,MATCH(B82,March!$D$3:$AH$3)+1)+INDEX(March!$C$3:$AH$169,24,MATCH(B82,March!$D$3:$AH$3)+1)+INDEX(March!$C$3:$AH$169,29,MATCH(B82,March!$D$3:$AH$3)+1)+INDEX(March!$C$3:$AH$169,34,MATCH(B82,March!$D$3:$AH$3)+1)+INDEX(March!$C$3:$AH$169,39,MATCH(B82,March!$D$3:$AH$3)+1)+INDEX(March!$C$3:$AH$169,44,MATCH(B82,March!$D$3:$AH$3)+1)+INDEX(March!$C$3:$AH$169,49,MATCH(B82,March!$D$3:$AH$3)+1)+INDEX(March!$C$3:$AH$169,54,MATCH(B82,March!$D$3:$AH$3)+1)+INDEX(March!$C$3:$AH$169,59,MATCH(B82,March!$D$3:$AH$3)+1)+INDEX(March!$C$3:$AH$169,64,MATCH(B82,March!$D$3:$AH$3)+1)+INDEX(March!$C$3:$AH$169,69,MATCH(B82,March!$D$3:$AH$3)+1)+INDEX(March!$C$3:$AH$169,74,MATCH(B82,March!$D$3:$AH$3)+1)+INDEX(March!$C$3:$AH$169,79,MATCH(B82,March!$D$3:$AH$3)+1)+INDEX(March!$C$3:$AH$169,84,MATCH(B82,March!$D$3:$AH$3)+1)+INDEX(March!$C$3:$AH$169,89,MATCH(B82,March!$D$3:$AH$3)+1)+INDEX(March!$C$3:$AH$169,94,MATCH(B82,March!$D$3:$AH$3)+1)+INDEX(March!$C$3:$AH$169,99,MATCH(B82,March!$D$3:$AH$3)+1)+INDEX(March!$C$3:$AH$169,104,MATCH(B82,March!$D$3:$AH$3)+1)+INDEX(March!$C$3:$AH$169,109,MATCH(B82,March!$D$3:$AH$3)+1)+INDEX(March!$C$3:$AH$169,114,MATCH(B82,March!$D$3:$AH$3)+1)+INDEX(March!$C$3:$AH$169,119,MATCH(B82,March!$D$3:$AH$3)+1)+INDEX(March!$C$3:$AH$169,124,MATCH(B82,March!$D$3:$AH$3)+1)+INDEX(March!$C$3:$AH$169,129,MATCH(B82,March!$D$3:$AH$3)+1)+INDEX(March!$C$3:$AH$169,134,MATCH(B82,March!$D$3:$AH$3)+1)+INDEX(March!$C$3:$AH$169,139,MATCH(B82,March!$D$3:$AH$3)+1)+INDEX(March!$C$3:$AH$169,144,MATCH(B82,March!$D$3:$AH$3)+1)+INDEX(March!$C$3:$AH$169,149,MATCH(B82,March!$D$3:$AH$3)+1)-INDEX(March!$B$5:$AH$169,MATCH("Patrick Janssen",March!$B$5:$B$169)+1,MATCH(B82,March!$D$3:$AH$3)+2)-INDEX(March!$B$5:$AH$169,MATCH("Patrick Ziesen",March!$B$5:$B$169)+1,MATCH(B82,March!$D$3:$AH$3)+2)-INDEX(March!$B$5:$AH$169,MATCH("Frido Meijer",March!$B$5:$B$169)+1,MATCH(B82,March!$D$3:$AH$3)+2)</f>
        <v>8</v>
      </c>
      <c r="I82" s="130">
        <v>0</v>
      </c>
      <c r="J82" s="130">
        <v>0</v>
      </c>
      <c r="L82" s="165"/>
      <c r="M82" s="111"/>
      <c r="N82" s="111">
        <f t="shared" si="24"/>
        <v>0</v>
      </c>
      <c r="P82" s="112">
        <f t="shared" si="25"/>
        <v>0</v>
      </c>
      <c r="Q82" s="112">
        <f t="shared" si="26"/>
        <v>0</v>
      </c>
    </row>
    <row r="83" spans="2:17" x14ac:dyDescent="0.25">
      <c r="B83" s="110">
        <f>DATE(Title!$F$12,$S$7,S19)</f>
        <v>41348</v>
      </c>
      <c r="C83" s="111">
        <f>IF(WEEKDAY(B83)=1,0,IF(WEEKDAY(B83)=4,'Hours Scheduled'!$F$44-1,IF(WEEKDAY(B83)=7,0,'Hours Scheduled'!$F$44)))</f>
        <v>25</v>
      </c>
      <c r="D83" s="17">
        <f t="shared" si="27"/>
        <v>187.5</v>
      </c>
      <c r="E83" s="127">
        <f t="shared" si="28"/>
        <v>158</v>
      </c>
      <c r="F83" s="111"/>
      <c r="G83" s="130">
        <f>INDEX(March!$C$3:$AH$169,3,MATCH(B83,March!$D$3:$AH$3)+1)+INDEX(March!$C$3:$AH$169,8,MATCH(B83,March!$D$3:$AH$3)+1)+INDEX(March!$C$3:$AH$169,13,MATCH(B83,March!$D$3:$AH$3)+1)+INDEX(March!$C$3:$AH$169,18,MATCH(B83,March!$D$3:$AH$3)+1)+INDEX(March!$C$3:$AH$169,23,MATCH(B83,March!$D$3:$AH$3)+1)+INDEX(March!$C$3:$AH$169,28,MATCH(B83,March!$D$3:$AH$3)+1)+INDEX(March!$C$3:$AH$169,33,MATCH(B83,March!$D$3:$AH$3)+1)+INDEX(March!$C$3:$AH$169,38,MATCH(B83,March!$D$3:$AH$3)+1)+INDEX(March!$C$3:$AH$169,43,MATCH(B83,March!$D$3:$AH$3)+1)+INDEX(March!$C$3:$AH$169,48,MATCH(B83,March!$D$3:$AH$3)+1)+INDEX(March!$C$3:$AH$169,53,MATCH(B83,March!$D$3:$AH$3)+1)+INDEX(March!$C$3:$AH$169,58,MATCH(B83,March!$D$3:$AH$3)+1)+INDEX(March!$C$3:$AH$169,63,MATCH(B83,March!$D$3:$AH$3)+1)+INDEX(March!$C$3:$AH$169,68,MATCH(B83,March!$D$3:$AH$3)+1)+INDEX(March!$C$3:$AH$169,73,MATCH(B83,March!$D$3:$AH$3)+1)+INDEX(March!$C$3:$AH$169,78,MATCH(B83,March!$D$3:$AH$3)+1)+INDEX(March!$C$3:$AH$169,83,MATCH(B83,March!$D$3:$AH$3)+1)+INDEX(March!$C$3:$AH$169,88,MATCH(B83,March!$D$3:$AH$3)+1)+INDEX(March!$C$3:$AH$169,93,MATCH(B83,March!$D$3:$AH$3)+1)+INDEX(March!$C$3:$AH$169,98,MATCH(B83,March!$D$3:$AH$3)+1)+INDEX(March!$C$3:$AH$169,103,MATCH(B83,March!$D$3:$AH$3)+1)+INDEX(March!$C$3:$AH$169,108,MATCH(B83,March!$D$3:$AH$3)+1)+INDEX(March!$C$3:$AH$169,113,MATCH(B83,March!$D$3:$AH$3)+1)+INDEX(March!$C$3:$AH$169,118,MATCH(B83,March!$D$3:$AH$3)+1)+INDEX(March!$C$3:$AH$169,123,MATCH(B83,March!$D$3:$AH$3)+1)+INDEX(March!$C$3:$AH$169,128,MATCH(B83,March!$D$3:$AH$3)+1)+INDEX(March!$C$3:$AH$169,133,MATCH(B83,March!$D$3:$AH$3)+1)+INDEX(March!$C$3:$AH$169,138,MATCH(B83,March!$D$3:$AH$3)+1)+INDEX(March!$C$3:$AH$169,143,MATCH(B83,March!$D$3:$AH$3)+1)+INDEX(March!$C$3:$AH$169,148,MATCH(B83,March!$D$3:$AH$3)+1)-INDEX(March!$B$5:$AH$169,MATCH("Patrick Janssen",March!$B$5:$B$169),MATCH(B83,March!$D$3:$AH$3)+2)-INDEX(March!$B$5:$AH$169,MATCH("Patrick Ziesen",March!$B$5:$B$169),MATCH(B83,March!$D$3:$AH$3)+2)-INDEX(March!$B$5:$AH$169,MATCH("Frido Meijer",March!$B$5:$B$169),MATCH(B83,March!$D$3:$AH$3)+2)</f>
        <v>34</v>
      </c>
      <c r="H83" s="130">
        <f>INDEX(March!$C$3:$AH$169,4,MATCH(B83,March!$D$3:$AH$3)+1)+INDEX(March!$C$3:$AH$169,9,MATCH(B83,March!$D$3:$AH$3)+1)+INDEX(March!$C$3:$AH$169,14,MATCH(B83,March!$D$3:$AH$3)+1)+INDEX(March!$C$3:$AH$169,19,MATCH(B83,March!$D$3:$AH$3)+1)+INDEX(March!$C$3:$AH$169,24,MATCH(B83,March!$D$3:$AH$3)+1)+INDEX(March!$C$3:$AH$169,29,MATCH(B83,March!$D$3:$AH$3)+1)+INDEX(March!$C$3:$AH$169,34,MATCH(B83,March!$D$3:$AH$3)+1)+INDEX(March!$C$3:$AH$169,39,MATCH(B83,March!$D$3:$AH$3)+1)+INDEX(March!$C$3:$AH$169,44,MATCH(B83,March!$D$3:$AH$3)+1)+INDEX(March!$C$3:$AH$169,49,MATCH(B83,March!$D$3:$AH$3)+1)+INDEX(March!$C$3:$AH$169,54,MATCH(B83,March!$D$3:$AH$3)+1)+INDEX(March!$C$3:$AH$169,59,MATCH(B83,March!$D$3:$AH$3)+1)+INDEX(March!$C$3:$AH$169,64,MATCH(B83,March!$D$3:$AH$3)+1)+INDEX(March!$C$3:$AH$169,69,MATCH(B83,March!$D$3:$AH$3)+1)+INDEX(March!$C$3:$AH$169,74,MATCH(B83,March!$D$3:$AH$3)+1)+INDEX(March!$C$3:$AH$169,79,MATCH(B83,March!$D$3:$AH$3)+1)+INDEX(March!$C$3:$AH$169,84,MATCH(B83,March!$D$3:$AH$3)+1)+INDEX(March!$C$3:$AH$169,89,MATCH(B83,March!$D$3:$AH$3)+1)+INDEX(March!$C$3:$AH$169,94,MATCH(B83,March!$D$3:$AH$3)+1)+INDEX(March!$C$3:$AH$169,99,MATCH(B83,March!$D$3:$AH$3)+1)+INDEX(March!$C$3:$AH$169,104,MATCH(B83,March!$D$3:$AH$3)+1)+INDEX(March!$C$3:$AH$169,109,MATCH(B83,March!$D$3:$AH$3)+1)+INDEX(March!$C$3:$AH$169,114,MATCH(B83,March!$D$3:$AH$3)+1)+INDEX(March!$C$3:$AH$169,119,MATCH(B83,March!$D$3:$AH$3)+1)+INDEX(March!$C$3:$AH$169,124,MATCH(B83,March!$D$3:$AH$3)+1)+INDEX(March!$C$3:$AH$169,129,MATCH(B83,March!$D$3:$AH$3)+1)+INDEX(March!$C$3:$AH$169,134,MATCH(B83,March!$D$3:$AH$3)+1)+INDEX(March!$C$3:$AH$169,139,MATCH(B83,March!$D$3:$AH$3)+1)+INDEX(March!$C$3:$AH$169,144,MATCH(B83,March!$D$3:$AH$3)+1)+INDEX(March!$C$3:$AH$169,149,MATCH(B83,March!$D$3:$AH$3)+1)-INDEX(March!$B$5:$AH$169,MATCH("Patrick Janssen",March!$B$5:$B$169)+1,MATCH(B83,March!$D$3:$AH$3)+2)-INDEX(March!$B$5:$AH$169,MATCH("Patrick Ziesen",March!$B$5:$B$169)+1,MATCH(B83,March!$D$3:$AH$3)+2)-INDEX(March!$B$5:$AH$169,MATCH("Frido Meijer",March!$B$5:$B$169)+1,MATCH(B83,March!$D$3:$AH$3)+2)</f>
        <v>8</v>
      </c>
      <c r="I83" s="130">
        <v>0</v>
      </c>
      <c r="J83" s="130">
        <v>0</v>
      </c>
      <c r="L83" s="165"/>
      <c r="M83" s="111"/>
      <c r="N83" s="111">
        <f t="shared" si="24"/>
        <v>0</v>
      </c>
      <c r="P83" s="112">
        <f t="shared" si="25"/>
        <v>0</v>
      </c>
      <c r="Q83" s="112">
        <f t="shared" si="26"/>
        <v>0</v>
      </c>
    </row>
    <row r="84" spans="2:17" x14ac:dyDescent="0.25">
      <c r="B84" s="110">
        <f>DATE(Title!$F$12,$S$7,S20)</f>
        <v>41349</v>
      </c>
      <c r="C84" s="111">
        <f>IF(WEEKDAY(B84)=1,0,IF(WEEKDAY(B84)=4,'Hours Scheduled'!$F$44-1,IF(WEEKDAY(B84)=7,0,'Hours Scheduled'!$F$44)))</f>
        <v>0</v>
      </c>
      <c r="D84" s="17">
        <f t="shared" si="27"/>
        <v>0</v>
      </c>
      <c r="E84" s="127">
        <f t="shared" si="28"/>
        <v>0</v>
      </c>
      <c r="F84" s="111"/>
      <c r="G84" s="130">
        <f>INDEX(March!$C$3:$AH$169,3,MATCH(B84,March!$D$3:$AH$3)+1)+INDEX(March!$C$3:$AH$169,8,MATCH(B84,March!$D$3:$AH$3)+1)+INDEX(March!$C$3:$AH$169,13,MATCH(B84,March!$D$3:$AH$3)+1)+INDEX(March!$C$3:$AH$169,18,MATCH(B84,March!$D$3:$AH$3)+1)+INDEX(March!$C$3:$AH$169,23,MATCH(B84,March!$D$3:$AH$3)+1)+INDEX(March!$C$3:$AH$169,28,MATCH(B84,March!$D$3:$AH$3)+1)+INDEX(March!$C$3:$AH$169,33,MATCH(B84,March!$D$3:$AH$3)+1)+INDEX(March!$C$3:$AH$169,38,MATCH(B84,March!$D$3:$AH$3)+1)+INDEX(March!$C$3:$AH$169,43,MATCH(B84,March!$D$3:$AH$3)+1)+INDEX(March!$C$3:$AH$169,48,MATCH(B84,March!$D$3:$AH$3)+1)+INDEX(March!$C$3:$AH$169,53,MATCH(B84,March!$D$3:$AH$3)+1)+INDEX(March!$C$3:$AH$169,58,MATCH(B84,March!$D$3:$AH$3)+1)+INDEX(March!$C$3:$AH$169,63,MATCH(B84,March!$D$3:$AH$3)+1)+INDEX(March!$C$3:$AH$169,68,MATCH(B84,March!$D$3:$AH$3)+1)+INDEX(March!$C$3:$AH$169,73,MATCH(B84,March!$D$3:$AH$3)+1)+INDEX(March!$C$3:$AH$169,78,MATCH(B84,March!$D$3:$AH$3)+1)+INDEX(March!$C$3:$AH$169,83,MATCH(B84,March!$D$3:$AH$3)+1)+INDEX(March!$C$3:$AH$169,88,MATCH(B84,March!$D$3:$AH$3)+1)+INDEX(March!$C$3:$AH$169,93,MATCH(B84,March!$D$3:$AH$3)+1)+INDEX(March!$C$3:$AH$169,98,MATCH(B84,March!$D$3:$AH$3)+1)+INDEX(March!$C$3:$AH$169,103,MATCH(B84,March!$D$3:$AH$3)+1)+INDEX(March!$C$3:$AH$169,108,MATCH(B84,March!$D$3:$AH$3)+1)+INDEX(March!$C$3:$AH$169,113,MATCH(B84,March!$D$3:$AH$3)+1)+INDEX(March!$C$3:$AH$169,118,MATCH(B84,March!$D$3:$AH$3)+1)+INDEX(March!$C$3:$AH$169,123,MATCH(B84,March!$D$3:$AH$3)+1)+INDEX(March!$C$3:$AH$169,128,MATCH(B84,March!$D$3:$AH$3)+1)+INDEX(March!$C$3:$AH$169,133,MATCH(B84,March!$D$3:$AH$3)+1)+INDEX(March!$C$3:$AH$169,138,MATCH(B84,March!$D$3:$AH$3)+1)+INDEX(March!$C$3:$AH$169,143,MATCH(B84,March!$D$3:$AH$3)+1)+INDEX(March!$C$3:$AH$169,148,MATCH(B84,March!$D$3:$AH$3)+1)-INDEX(March!$B$5:$AH$169,MATCH("Patrick Janssen",March!$B$5:$B$169),MATCH(B84,March!$D$3:$AH$3)+2)-INDEX(March!$B$5:$AH$169,MATCH("Patrick Ziesen",March!$B$5:$B$169),MATCH(B84,March!$D$3:$AH$3)+2)-INDEX(March!$B$5:$AH$169,MATCH("Frido Meijer",March!$B$5:$B$169),MATCH(B84,March!$D$3:$AH$3)+2)</f>
        <v>0</v>
      </c>
      <c r="H84" s="130">
        <f>INDEX(March!$C$3:$AH$169,4,MATCH(B84,March!$D$3:$AH$3)+1)+INDEX(March!$C$3:$AH$169,9,MATCH(B84,March!$D$3:$AH$3)+1)+INDEX(March!$C$3:$AH$169,14,MATCH(B84,March!$D$3:$AH$3)+1)+INDEX(March!$C$3:$AH$169,19,MATCH(B84,March!$D$3:$AH$3)+1)+INDEX(March!$C$3:$AH$169,24,MATCH(B84,March!$D$3:$AH$3)+1)+INDEX(March!$C$3:$AH$169,29,MATCH(B84,March!$D$3:$AH$3)+1)+INDEX(March!$C$3:$AH$169,34,MATCH(B84,March!$D$3:$AH$3)+1)+INDEX(March!$C$3:$AH$169,39,MATCH(B84,March!$D$3:$AH$3)+1)+INDEX(March!$C$3:$AH$169,44,MATCH(B84,March!$D$3:$AH$3)+1)+INDEX(March!$C$3:$AH$169,49,MATCH(B84,March!$D$3:$AH$3)+1)+INDEX(March!$C$3:$AH$169,54,MATCH(B84,March!$D$3:$AH$3)+1)+INDEX(March!$C$3:$AH$169,59,MATCH(B84,March!$D$3:$AH$3)+1)+INDEX(March!$C$3:$AH$169,64,MATCH(B84,March!$D$3:$AH$3)+1)+INDEX(March!$C$3:$AH$169,69,MATCH(B84,March!$D$3:$AH$3)+1)+INDEX(March!$C$3:$AH$169,74,MATCH(B84,March!$D$3:$AH$3)+1)+INDEX(March!$C$3:$AH$169,79,MATCH(B84,March!$D$3:$AH$3)+1)+INDEX(March!$C$3:$AH$169,84,MATCH(B84,March!$D$3:$AH$3)+1)+INDEX(March!$C$3:$AH$169,89,MATCH(B84,March!$D$3:$AH$3)+1)+INDEX(March!$C$3:$AH$169,94,MATCH(B84,March!$D$3:$AH$3)+1)+INDEX(March!$C$3:$AH$169,99,MATCH(B84,March!$D$3:$AH$3)+1)+INDEX(March!$C$3:$AH$169,104,MATCH(B84,March!$D$3:$AH$3)+1)+INDEX(March!$C$3:$AH$169,109,MATCH(B84,March!$D$3:$AH$3)+1)+INDEX(March!$C$3:$AH$169,114,MATCH(B84,March!$D$3:$AH$3)+1)+INDEX(March!$C$3:$AH$169,119,MATCH(B84,March!$D$3:$AH$3)+1)+INDEX(March!$C$3:$AH$169,124,MATCH(B84,March!$D$3:$AH$3)+1)+INDEX(March!$C$3:$AH$169,129,MATCH(B84,March!$D$3:$AH$3)+1)+INDEX(March!$C$3:$AH$169,134,MATCH(B84,March!$D$3:$AH$3)+1)+INDEX(March!$C$3:$AH$169,139,MATCH(B84,March!$D$3:$AH$3)+1)+INDEX(March!$C$3:$AH$169,144,MATCH(B84,March!$D$3:$AH$3)+1)+INDEX(March!$C$3:$AH$169,149,MATCH(B84,March!$D$3:$AH$3)+1)-INDEX(March!$B$5:$AH$169,MATCH("Patrick Janssen",March!$B$5:$B$169)+1,MATCH(B84,March!$D$3:$AH$3)+2)-INDEX(March!$B$5:$AH$169,MATCH("Patrick Ziesen",March!$B$5:$B$169)+1,MATCH(B84,March!$D$3:$AH$3)+2)-INDEX(March!$B$5:$AH$169,MATCH("Frido Meijer",March!$B$5:$B$169)+1,MATCH(B84,March!$D$3:$AH$3)+2)</f>
        <v>0</v>
      </c>
      <c r="I84" s="130">
        <v>0</v>
      </c>
      <c r="J84" s="130">
        <v>0</v>
      </c>
      <c r="L84" s="165"/>
      <c r="M84" s="111"/>
      <c r="N84" s="111">
        <f t="shared" si="24"/>
        <v>0</v>
      </c>
      <c r="P84" s="112" t="str">
        <f t="shared" si="25"/>
        <v/>
      </c>
      <c r="Q84" s="112" t="str">
        <f t="shared" si="26"/>
        <v/>
      </c>
    </row>
    <row r="85" spans="2:17" x14ac:dyDescent="0.25">
      <c r="B85" s="110">
        <f>DATE(Title!$F$12,$S$7,S21)</f>
        <v>41350</v>
      </c>
      <c r="C85" s="111">
        <f>IF(WEEKDAY(B85)=1,0,IF(WEEKDAY(B85)=4,'Hours Scheduled'!$F$44-1,IF(WEEKDAY(B85)=7,0,'Hours Scheduled'!$F$44)))</f>
        <v>0</v>
      </c>
      <c r="D85" s="17">
        <f t="shared" si="27"/>
        <v>0</v>
      </c>
      <c r="E85" s="127">
        <f t="shared" si="28"/>
        <v>0</v>
      </c>
      <c r="F85" s="111"/>
      <c r="G85" s="130">
        <f>INDEX(March!$C$3:$AH$169,3,MATCH(B85,March!$D$3:$AH$3)+1)+INDEX(March!$C$3:$AH$169,8,MATCH(B85,March!$D$3:$AH$3)+1)+INDEX(March!$C$3:$AH$169,13,MATCH(B85,March!$D$3:$AH$3)+1)+INDEX(March!$C$3:$AH$169,18,MATCH(B85,March!$D$3:$AH$3)+1)+INDEX(March!$C$3:$AH$169,23,MATCH(B85,March!$D$3:$AH$3)+1)+INDEX(March!$C$3:$AH$169,28,MATCH(B85,March!$D$3:$AH$3)+1)+INDEX(March!$C$3:$AH$169,33,MATCH(B85,March!$D$3:$AH$3)+1)+INDEX(March!$C$3:$AH$169,38,MATCH(B85,March!$D$3:$AH$3)+1)+INDEX(March!$C$3:$AH$169,43,MATCH(B85,March!$D$3:$AH$3)+1)+INDEX(March!$C$3:$AH$169,48,MATCH(B85,March!$D$3:$AH$3)+1)+INDEX(March!$C$3:$AH$169,53,MATCH(B85,March!$D$3:$AH$3)+1)+INDEX(March!$C$3:$AH$169,58,MATCH(B85,March!$D$3:$AH$3)+1)+INDEX(March!$C$3:$AH$169,63,MATCH(B85,March!$D$3:$AH$3)+1)+INDEX(March!$C$3:$AH$169,68,MATCH(B85,March!$D$3:$AH$3)+1)+INDEX(March!$C$3:$AH$169,73,MATCH(B85,March!$D$3:$AH$3)+1)+INDEX(March!$C$3:$AH$169,78,MATCH(B85,March!$D$3:$AH$3)+1)+INDEX(March!$C$3:$AH$169,83,MATCH(B85,March!$D$3:$AH$3)+1)+INDEX(March!$C$3:$AH$169,88,MATCH(B85,March!$D$3:$AH$3)+1)+INDEX(March!$C$3:$AH$169,93,MATCH(B85,March!$D$3:$AH$3)+1)+INDEX(March!$C$3:$AH$169,98,MATCH(B85,March!$D$3:$AH$3)+1)+INDEX(March!$C$3:$AH$169,103,MATCH(B85,March!$D$3:$AH$3)+1)+INDEX(March!$C$3:$AH$169,108,MATCH(B85,March!$D$3:$AH$3)+1)+INDEX(March!$C$3:$AH$169,113,MATCH(B85,March!$D$3:$AH$3)+1)+INDEX(March!$C$3:$AH$169,118,MATCH(B85,March!$D$3:$AH$3)+1)+INDEX(March!$C$3:$AH$169,123,MATCH(B85,March!$D$3:$AH$3)+1)+INDEX(March!$C$3:$AH$169,128,MATCH(B85,March!$D$3:$AH$3)+1)+INDEX(March!$C$3:$AH$169,133,MATCH(B85,March!$D$3:$AH$3)+1)+INDEX(March!$C$3:$AH$169,138,MATCH(B85,March!$D$3:$AH$3)+1)+INDEX(March!$C$3:$AH$169,143,MATCH(B85,March!$D$3:$AH$3)+1)+INDEX(March!$C$3:$AH$169,148,MATCH(B85,March!$D$3:$AH$3)+1)-INDEX(March!$B$5:$AH$169,MATCH("Patrick Janssen",March!$B$5:$B$169),MATCH(B85,March!$D$3:$AH$3)+2)-INDEX(March!$B$5:$AH$169,MATCH("Patrick Ziesen",March!$B$5:$B$169),MATCH(B85,March!$D$3:$AH$3)+2)-INDEX(March!$B$5:$AH$169,MATCH("Frido Meijer",March!$B$5:$B$169),MATCH(B85,March!$D$3:$AH$3)+2)</f>
        <v>0</v>
      </c>
      <c r="H85" s="130">
        <f>INDEX(March!$C$3:$AH$169,4,MATCH(B85,March!$D$3:$AH$3)+1)+INDEX(March!$C$3:$AH$169,9,MATCH(B85,March!$D$3:$AH$3)+1)+INDEX(March!$C$3:$AH$169,14,MATCH(B85,March!$D$3:$AH$3)+1)+INDEX(March!$C$3:$AH$169,19,MATCH(B85,March!$D$3:$AH$3)+1)+INDEX(March!$C$3:$AH$169,24,MATCH(B85,March!$D$3:$AH$3)+1)+INDEX(March!$C$3:$AH$169,29,MATCH(B85,March!$D$3:$AH$3)+1)+INDEX(March!$C$3:$AH$169,34,MATCH(B85,March!$D$3:$AH$3)+1)+INDEX(March!$C$3:$AH$169,39,MATCH(B85,March!$D$3:$AH$3)+1)+INDEX(March!$C$3:$AH$169,44,MATCH(B85,March!$D$3:$AH$3)+1)+INDEX(March!$C$3:$AH$169,49,MATCH(B85,March!$D$3:$AH$3)+1)+INDEX(March!$C$3:$AH$169,54,MATCH(B85,March!$D$3:$AH$3)+1)+INDEX(March!$C$3:$AH$169,59,MATCH(B85,March!$D$3:$AH$3)+1)+INDEX(March!$C$3:$AH$169,64,MATCH(B85,March!$D$3:$AH$3)+1)+INDEX(March!$C$3:$AH$169,69,MATCH(B85,March!$D$3:$AH$3)+1)+INDEX(March!$C$3:$AH$169,74,MATCH(B85,March!$D$3:$AH$3)+1)+INDEX(March!$C$3:$AH$169,79,MATCH(B85,March!$D$3:$AH$3)+1)+INDEX(March!$C$3:$AH$169,84,MATCH(B85,March!$D$3:$AH$3)+1)+INDEX(March!$C$3:$AH$169,89,MATCH(B85,March!$D$3:$AH$3)+1)+INDEX(March!$C$3:$AH$169,94,MATCH(B85,March!$D$3:$AH$3)+1)+INDEX(March!$C$3:$AH$169,99,MATCH(B85,March!$D$3:$AH$3)+1)+INDEX(March!$C$3:$AH$169,104,MATCH(B85,March!$D$3:$AH$3)+1)+INDEX(March!$C$3:$AH$169,109,MATCH(B85,March!$D$3:$AH$3)+1)+INDEX(March!$C$3:$AH$169,114,MATCH(B85,March!$D$3:$AH$3)+1)+INDEX(March!$C$3:$AH$169,119,MATCH(B85,March!$D$3:$AH$3)+1)+INDEX(March!$C$3:$AH$169,124,MATCH(B85,March!$D$3:$AH$3)+1)+INDEX(March!$C$3:$AH$169,129,MATCH(B85,March!$D$3:$AH$3)+1)+INDEX(March!$C$3:$AH$169,134,MATCH(B85,March!$D$3:$AH$3)+1)+INDEX(March!$C$3:$AH$169,139,MATCH(B85,March!$D$3:$AH$3)+1)+INDEX(March!$C$3:$AH$169,144,MATCH(B85,March!$D$3:$AH$3)+1)+INDEX(March!$C$3:$AH$169,149,MATCH(B85,March!$D$3:$AH$3)+1)-INDEX(March!$B$5:$AH$169,MATCH("Patrick Janssen",March!$B$5:$B$169)+1,MATCH(B85,March!$D$3:$AH$3)+2)-INDEX(March!$B$5:$AH$169,MATCH("Patrick Ziesen",March!$B$5:$B$169)+1,MATCH(B85,March!$D$3:$AH$3)+2)-INDEX(March!$B$5:$AH$169,MATCH("Frido Meijer",March!$B$5:$B$169)+1,MATCH(B85,March!$D$3:$AH$3)+2)</f>
        <v>0</v>
      </c>
      <c r="I85" s="130">
        <v>0</v>
      </c>
      <c r="J85" s="130">
        <v>0</v>
      </c>
      <c r="L85" s="111"/>
      <c r="M85" s="111"/>
      <c r="N85" s="111">
        <f t="shared" si="24"/>
        <v>0</v>
      </c>
      <c r="P85" s="112" t="str">
        <f t="shared" si="25"/>
        <v/>
      </c>
      <c r="Q85" s="112" t="str">
        <f t="shared" si="26"/>
        <v/>
      </c>
    </row>
    <row r="86" spans="2:17" x14ac:dyDescent="0.25">
      <c r="B86" s="110">
        <f>DATE(Title!$F$12,$S$7,S22)</f>
        <v>41351</v>
      </c>
      <c r="C86" s="111">
        <f>IF(WEEKDAY(B86)=1,0,IF(WEEKDAY(B86)=4,'Hours Scheduled'!$F$44-1,IF(WEEKDAY(B86)=7,0,'Hours Scheduled'!$F$44)))</f>
        <v>25</v>
      </c>
      <c r="D86" s="17">
        <f t="shared" si="27"/>
        <v>187.5</v>
      </c>
      <c r="E86" s="127">
        <f t="shared" si="28"/>
        <v>163</v>
      </c>
      <c r="F86" s="111"/>
      <c r="G86" s="130">
        <f>INDEX(March!$C$3:$AH$169,3,MATCH(B86,March!$D$3:$AH$3)+1)+INDEX(March!$C$3:$AH$169,8,MATCH(B86,March!$D$3:$AH$3)+1)+INDEX(March!$C$3:$AH$169,13,MATCH(B86,March!$D$3:$AH$3)+1)+INDEX(March!$C$3:$AH$169,18,MATCH(B86,March!$D$3:$AH$3)+1)+INDEX(March!$C$3:$AH$169,23,MATCH(B86,March!$D$3:$AH$3)+1)+INDEX(March!$C$3:$AH$169,28,MATCH(B86,March!$D$3:$AH$3)+1)+INDEX(March!$C$3:$AH$169,33,MATCH(B86,March!$D$3:$AH$3)+1)+INDEX(March!$C$3:$AH$169,38,MATCH(B86,March!$D$3:$AH$3)+1)+INDEX(March!$C$3:$AH$169,43,MATCH(B86,March!$D$3:$AH$3)+1)+INDEX(March!$C$3:$AH$169,48,MATCH(B86,March!$D$3:$AH$3)+1)+INDEX(March!$C$3:$AH$169,53,MATCH(B86,March!$D$3:$AH$3)+1)+INDEX(March!$C$3:$AH$169,58,MATCH(B86,March!$D$3:$AH$3)+1)+INDEX(March!$C$3:$AH$169,63,MATCH(B86,March!$D$3:$AH$3)+1)+INDEX(March!$C$3:$AH$169,68,MATCH(B86,March!$D$3:$AH$3)+1)+INDEX(March!$C$3:$AH$169,73,MATCH(B86,March!$D$3:$AH$3)+1)+INDEX(March!$C$3:$AH$169,78,MATCH(B86,March!$D$3:$AH$3)+1)+INDEX(March!$C$3:$AH$169,83,MATCH(B86,March!$D$3:$AH$3)+1)+INDEX(March!$C$3:$AH$169,88,MATCH(B86,March!$D$3:$AH$3)+1)+INDEX(March!$C$3:$AH$169,93,MATCH(B86,March!$D$3:$AH$3)+1)+INDEX(March!$C$3:$AH$169,98,MATCH(B86,March!$D$3:$AH$3)+1)+INDEX(March!$C$3:$AH$169,103,MATCH(B86,March!$D$3:$AH$3)+1)+INDEX(March!$C$3:$AH$169,108,MATCH(B86,March!$D$3:$AH$3)+1)+INDEX(March!$C$3:$AH$169,113,MATCH(B86,March!$D$3:$AH$3)+1)+INDEX(March!$C$3:$AH$169,118,MATCH(B86,March!$D$3:$AH$3)+1)+INDEX(March!$C$3:$AH$169,123,MATCH(B86,March!$D$3:$AH$3)+1)+INDEX(March!$C$3:$AH$169,128,MATCH(B86,March!$D$3:$AH$3)+1)+INDEX(March!$C$3:$AH$169,133,MATCH(B86,March!$D$3:$AH$3)+1)+INDEX(March!$C$3:$AH$169,138,MATCH(B86,March!$D$3:$AH$3)+1)+INDEX(March!$C$3:$AH$169,143,MATCH(B86,March!$D$3:$AH$3)+1)+INDEX(March!$C$3:$AH$169,148,MATCH(B86,March!$D$3:$AH$3)+1)-INDEX(March!$B$5:$AH$169,MATCH("Patrick Janssen",March!$B$5:$B$169),MATCH(B86,March!$D$3:$AH$3)+2)-INDEX(March!$B$5:$AH$169,MATCH("Patrick Ziesen",March!$B$5:$B$169),MATCH(B86,March!$D$3:$AH$3)+2)-INDEX(March!$B$5:$AH$169,MATCH("Frido Meijer",March!$B$5:$B$169),MATCH(B86,March!$D$3:$AH$3)+2)</f>
        <v>24</v>
      </c>
      <c r="H86" s="130">
        <f>INDEX(March!$C$3:$AH$169,4,MATCH(B86,March!$D$3:$AH$3)+1)+INDEX(March!$C$3:$AH$169,9,MATCH(B86,March!$D$3:$AH$3)+1)+INDEX(March!$C$3:$AH$169,14,MATCH(B86,March!$D$3:$AH$3)+1)+INDEX(March!$C$3:$AH$169,19,MATCH(B86,March!$D$3:$AH$3)+1)+INDEX(March!$C$3:$AH$169,24,MATCH(B86,March!$D$3:$AH$3)+1)+INDEX(March!$C$3:$AH$169,29,MATCH(B86,March!$D$3:$AH$3)+1)+INDEX(March!$C$3:$AH$169,34,MATCH(B86,March!$D$3:$AH$3)+1)+INDEX(March!$C$3:$AH$169,39,MATCH(B86,March!$D$3:$AH$3)+1)+INDEX(March!$C$3:$AH$169,44,MATCH(B86,March!$D$3:$AH$3)+1)+INDEX(March!$C$3:$AH$169,49,MATCH(B86,March!$D$3:$AH$3)+1)+INDEX(March!$C$3:$AH$169,54,MATCH(B86,March!$D$3:$AH$3)+1)+INDEX(March!$C$3:$AH$169,59,MATCH(B86,March!$D$3:$AH$3)+1)+INDEX(March!$C$3:$AH$169,64,MATCH(B86,March!$D$3:$AH$3)+1)+INDEX(March!$C$3:$AH$169,69,MATCH(B86,March!$D$3:$AH$3)+1)+INDEX(March!$C$3:$AH$169,74,MATCH(B86,March!$D$3:$AH$3)+1)+INDEX(March!$C$3:$AH$169,79,MATCH(B86,March!$D$3:$AH$3)+1)+INDEX(March!$C$3:$AH$169,84,MATCH(B86,March!$D$3:$AH$3)+1)+INDEX(March!$C$3:$AH$169,89,MATCH(B86,March!$D$3:$AH$3)+1)+INDEX(March!$C$3:$AH$169,94,MATCH(B86,March!$D$3:$AH$3)+1)+INDEX(March!$C$3:$AH$169,99,MATCH(B86,March!$D$3:$AH$3)+1)+INDEX(March!$C$3:$AH$169,104,MATCH(B86,March!$D$3:$AH$3)+1)+INDEX(March!$C$3:$AH$169,109,MATCH(B86,March!$D$3:$AH$3)+1)+INDEX(March!$C$3:$AH$169,114,MATCH(B86,March!$D$3:$AH$3)+1)+INDEX(March!$C$3:$AH$169,119,MATCH(B86,March!$D$3:$AH$3)+1)+INDEX(March!$C$3:$AH$169,124,MATCH(B86,March!$D$3:$AH$3)+1)+INDEX(March!$C$3:$AH$169,129,MATCH(B86,March!$D$3:$AH$3)+1)+INDEX(March!$C$3:$AH$169,134,MATCH(B86,March!$D$3:$AH$3)+1)+INDEX(March!$C$3:$AH$169,139,MATCH(B86,March!$D$3:$AH$3)+1)+INDEX(March!$C$3:$AH$169,144,MATCH(B86,March!$D$3:$AH$3)+1)+INDEX(March!$C$3:$AH$169,149,MATCH(B86,March!$D$3:$AH$3)+1)-INDEX(March!$B$5:$AH$169,MATCH("Patrick Janssen",March!$B$5:$B$169)+1,MATCH(B86,March!$D$3:$AH$3)+2)-INDEX(March!$B$5:$AH$169,MATCH("Patrick Ziesen",March!$B$5:$B$169)+1,MATCH(B86,March!$D$3:$AH$3)+2)-INDEX(March!$B$5:$AH$169,MATCH("Frido Meijer",March!$B$5:$B$169)+1,MATCH(B86,March!$D$3:$AH$3)+2)</f>
        <v>13</v>
      </c>
      <c r="I86" s="130">
        <v>0</v>
      </c>
      <c r="J86" s="130">
        <v>0</v>
      </c>
      <c r="L86" s="111"/>
      <c r="M86" s="111"/>
      <c r="N86" s="111">
        <f t="shared" si="24"/>
        <v>0</v>
      </c>
      <c r="P86" s="112">
        <f t="shared" si="25"/>
        <v>0</v>
      </c>
      <c r="Q86" s="112">
        <f t="shared" si="26"/>
        <v>0</v>
      </c>
    </row>
    <row r="87" spans="2:17" x14ac:dyDescent="0.25">
      <c r="B87" s="110">
        <f>DATE(Title!$F$12,$S$7,S23)</f>
        <v>41352</v>
      </c>
      <c r="C87" s="111">
        <f>IF(WEEKDAY(B87)=1,0,IF(WEEKDAY(B87)=4,'Hours Scheduled'!$F$44-1,IF(WEEKDAY(B87)=7,0,'Hours Scheduled'!$F$44)))</f>
        <v>25</v>
      </c>
      <c r="D87" s="17">
        <f t="shared" si="27"/>
        <v>187.5</v>
      </c>
      <c r="E87" s="127">
        <f t="shared" si="28"/>
        <v>153.5</v>
      </c>
      <c r="F87" s="111"/>
      <c r="G87" s="130">
        <f>INDEX(March!$C$3:$AH$169,3,MATCH(B87,March!$D$3:$AH$3)+1)+INDEX(March!$C$3:$AH$169,8,MATCH(B87,March!$D$3:$AH$3)+1)+INDEX(March!$C$3:$AH$169,13,MATCH(B87,March!$D$3:$AH$3)+1)+INDEX(March!$C$3:$AH$169,18,MATCH(B87,March!$D$3:$AH$3)+1)+INDEX(March!$C$3:$AH$169,23,MATCH(B87,March!$D$3:$AH$3)+1)+INDEX(March!$C$3:$AH$169,28,MATCH(B87,March!$D$3:$AH$3)+1)+INDEX(March!$C$3:$AH$169,33,MATCH(B87,March!$D$3:$AH$3)+1)+INDEX(March!$C$3:$AH$169,38,MATCH(B87,March!$D$3:$AH$3)+1)+INDEX(March!$C$3:$AH$169,43,MATCH(B87,March!$D$3:$AH$3)+1)+INDEX(March!$C$3:$AH$169,48,MATCH(B87,March!$D$3:$AH$3)+1)+INDEX(March!$C$3:$AH$169,53,MATCH(B87,March!$D$3:$AH$3)+1)+INDEX(March!$C$3:$AH$169,58,MATCH(B87,March!$D$3:$AH$3)+1)+INDEX(March!$C$3:$AH$169,63,MATCH(B87,March!$D$3:$AH$3)+1)+INDEX(March!$C$3:$AH$169,68,MATCH(B87,March!$D$3:$AH$3)+1)+INDEX(March!$C$3:$AH$169,73,MATCH(B87,March!$D$3:$AH$3)+1)+INDEX(March!$C$3:$AH$169,78,MATCH(B87,March!$D$3:$AH$3)+1)+INDEX(March!$C$3:$AH$169,83,MATCH(B87,March!$D$3:$AH$3)+1)+INDEX(March!$C$3:$AH$169,88,MATCH(B87,March!$D$3:$AH$3)+1)+INDEX(March!$C$3:$AH$169,93,MATCH(B87,March!$D$3:$AH$3)+1)+INDEX(March!$C$3:$AH$169,98,MATCH(B87,March!$D$3:$AH$3)+1)+INDEX(March!$C$3:$AH$169,103,MATCH(B87,March!$D$3:$AH$3)+1)+INDEX(March!$C$3:$AH$169,108,MATCH(B87,March!$D$3:$AH$3)+1)+INDEX(March!$C$3:$AH$169,113,MATCH(B87,March!$D$3:$AH$3)+1)+INDEX(March!$C$3:$AH$169,118,MATCH(B87,March!$D$3:$AH$3)+1)+INDEX(March!$C$3:$AH$169,123,MATCH(B87,March!$D$3:$AH$3)+1)+INDEX(March!$C$3:$AH$169,128,MATCH(B87,March!$D$3:$AH$3)+1)+INDEX(March!$C$3:$AH$169,133,MATCH(B87,March!$D$3:$AH$3)+1)+INDEX(March!$C$3:$AH$169,138,MATCH(B87,March!$D$3:$AH$3)+1)+INDEX(March!$C$3:$AH$169,143,MATCH(B87,March!$D$3:$AH$3)+1)+INDEX(March!$C$3:$AH$169,148,MATCH(B87,March!$D$3:$AH$3)+1)-INDEX(March!$B$5:$AH$169,MATCH("Patrick Janssen",March!$B$5:$B$169),MATCH(B87,March!$D$3:$AH$3)+2)-INDEX(March!$B$5:$AH$169,MATCH("Patrick Ziesen",March!$B$5:$B$169),MATCH(B87,March!$D$3:$AH$3)+2)-INDEX(March!$B$5:$AH$169,MATCH("Frido Meijer",March!$B$5:$B$169),MATCH(B87,March!$D$3:$AH$3)+2)</f>
        <v>25.5</v>
      </c>
      <c r="H87" s="130">
        <f>INDEX(March!$C$3:$AH$169,4,MATCH(B87,March!$D$3:$AH$3)+1)+INDEX(March!$C$3:$AH$169,9,MATCH(B87,March!$D$3:$AH$3)+1)+INDEX(March!$C$3:$AH$169,14,MATCH(B87,March!$D$3:$AH$3)+1)+INDEX(March!$C$3:$AH$169,19,MATCH(B87,March!$D$3:$AH$3)+1)+INDEX(March!$C$3:$AH$169,24,MATCH(B87,March!$D$3:$AH$3)+1)+INDEX(March!$C$3:$AH$169,29,MATCH(B87,March!$D$3:$AH$3)+1)+INDEX(March!$C$3:$AH$169,34,MATCH(B87,March!$D$3:$AH$3)+1)+INDEX(March!$C$3:$AH$169,39,MATCH(B87,March!$D$3:$AH$3)+1)+INDEX(March!$C$3:$AH$169,44,MATCH(B87,March!$D$3:$AH$3)+1)+INDEX(March!$C$3:$AH$169,49,MATCH(B87,March!$D$3:$AH$3)+1)+INDEX(March!$C$3:$AH$169,54,MATCH(B87,March!$D$3:$AH$3)+1)+INDEX(March!$C$3:$AH$169,59,MATCH(B87,March!$D$3:$AH$3)+1)+INDEX(March!$C$3:$AH$169,64,MATCH(B87,March!$D$3:$AH$3)+1)+INDEX(March!$C$3:$AH$169,69,MATCH(B87,March!$D$3:$AH$3)+1)+INDEX(March!$C$3:$AH$169,74,MATCH(B87,March!$D$3:$AH$3)+1)+INDEX(March!$C$3:$AH$169,79,MATCH(B87,March!$D$3:$AH$3)+1)+INDEX(March!$C$3:$AH$169,84,MATCH(B87,March!$D$3:$AH$3)+1)+INDEX(March!$C$3:$AH$169,89,MATCH(B87,March!$D$3:$AH$3)+1)+INDEX(March!$C$3:$AH$169,94,MATCH(B87,March!$D$3:$AH$3)+1)+INDEX(March!$C$3:$AH$169,99,MATCH(B87,March!$D$3:$AH$3)+1)+INDEX(March!$C$3:$AH$169,104,MATCH(B87,March!$D$3:$AH$3)+1)+INDEX(March!$C$3:$AH$169,109,MATCH(B87,March!$D$3:$AH$3)+1)+INDEX(March!$C$3:$AH$169,114,MATCH(B87,March!$D$3:$AH$3)+1)+INDEX(March!$C$3:$AH$169,119,MATCH(B87,March!$D$3:$AH$3)+1)+INDEX(March!$C$3:$AH$169,124,MATCH(B87,March!$D$3:$AH$3)+1)+INDEX(March!$C$3:$AH$169,129,MATCH(B87,March!$D$3:$AH$3)+1)+INDEX(March!$C$3:$AH$169,134,MATCH(B87,March!$D$3:$AH$3)+1)+INDEX(March!$C$3:$AH$169,139,MATCH(B87,March!$D$3:$AH$3)+1)+INDEX(March!$C$3:$AH$169,144,MATCH(B87,March!$D$3:$AH$3)+1)+INDEX(March!$C$3:$AH$169,149,MATCH(B87,March!$D$3:$AH$3)+1)-INDEX(March!$B$5:$AH$169,MATCH("Patrick Janssen",March!$B$5:$B$169)+1,MATCH(B87,March!$D$3:$AH$3)+2)-INDEX(March!$B$5:$AH$169,MATCH("Patrick Ziesen",March!$B$5:$B$169)+1,MATCH(B87,March!$D$3:$AH$3)+2)-INDEX(March!$B$5:$AH$169,MATCH("Frido Meijer",March!$B$5:$B$169)+1,MATCH(B87,March!$D$3:$AH$3)+2)</f>
        <v>21</v>
      </c>
      <c r="I87" s="130">
        <v>0</v>
      </c>
      <c r="J87" s="130">
        <v>0</v>
      </c>
      <c r="L87" s="165"/>
      <c r="M87" s="111"/>
      <c r="N87" s="111">
        <f t="shared" si="24"/>
        <v>0</v>
      </c>
      <c r="P87" s="112">
        <f t="shared" si="25"/>
        <v>0</v>
      </c>
      <c r="Q87" s="112">
        <f t="shared" si="26"/>
        <v>0</v>
      </c>
    </row>
    <row r="88" spans="2:17" x14ac:dyDescent="0.25">
      <c r="B88" s="110">
        <f>DATE(Title!$F$12,$S$7,S24)</f>
        <v>41353</v>
      </c>
      <c r="C88" s="111">
        <f>IF(WEEKDAY(B88)=1,0,IF(WEEKDAY(B88)=4,'Hours Scheduled'!$F$44-1,IF(WEEKDAY(B88)=7,0,'Hours Scheduled'!$F$44)))</f>
        <v>24</v>
      </c>
      <c r="D88" s="17">
        <f t="shared" si="27"/>
        <v>180</v>
      </c>
      <c r="E88" s="127">
        <f t="shared" si="28"/>
        <v>156</v>
      </c>
      <c r="F88" s="111"/>
      <c r="G88" s="130">
        <f>INDEX(March!$C$3:$AH$169,3,MATCH(B88,March!$D$3:$AH$3)+1)+INDEX(March!$C$3:$AH$169,8,MATCH(B88,March!$D$3:$AH$3)+1)+INDEX(March!$C$3:$AH$169,13,MATCH(B88,March!$D$3:$AH$3)+1)+INDEX(March!$C$3:$AH$169,18,MATCH(B88,March!$D$3:$AH$3)+1)+INDEX(March!$C$3:$AH$169,23,MATCH(B88,March!$D$3:$AH$3)+1)+INDEX(March!$C$3:$AH$169,28,MATCH(B88,March!$D$3:$AH$3)+1)+INDEX(March!$C$3:$AH$169,33,MATCH(B88,March!$D$3:$AH$3)+1)+INDEX(March!$C$3:$AH$169,38,MATCH(B88,March!$D$3:$AH$3)+1)+INDEX(March!$C$3:$AH$169,43,MATCH(B88,March!$D$3:$AH$3)+1)+INDEX(March!$C$3:$AH$169,48,MATCH(B88,March!$D$3:$AH$3)+1)+INDEX(March!$C$3:$AH$169,53,MATCH(B88,March!$D$3:$AH$3)+1)+INDEX(March!$C$3:$AH$169,58,MATCH(B88,March!$D$3:$AH$3)+1)+INDEX(March!$C$3:$AH$169,63,MATCH(B88,March!$D$3:$AH$3)+1)+INDEX(March!$C$3:$AH$169,68,MATCH(B88,March!$D$3:$AH$3)+1)+INDEX(March!$C$3:$AH$169,73,MATCH(B88,March!$D$3:$AH$3)+1)+INDEX(March!$C$3:$AH$169,78,MATCH(B88,March!$D$3:$AH$3)+1)+INDEX(March!$C$3:$AH$169,83,MATCH(B88,March!$D$3:$AH$3)+1)+INDEX(March!$C$3:$AH$169,88,MATCH(B88,March!$D$3:$AH$3)+1)+INDEX(March!$C$3:$AH$169,93,MATCH(B88,March!$D$3:$AH$3)+1)+INDEX(March!$C$3:$AH$169,98,MATCH(B88,March!$D$3:$AH$3)+1)+INDEX(March!$C$3:$AH$169,103,MATCH(B88,March!$D$3:$AH$3)+1)+INDEX(March!$C$3:$AH$169,108,MATCH(B88,March!$D$3:$AH$3)+1)+INDEX(March!$C$3:$AH$169,113,MATCH(B88,March!$D$3:$AH$3)+1)+INDEX(March!$C$3:$AH$169,118,MATCH(B88,March!$D$3:$AH$3)+1)+INDEX(March!$C$3:$AH$169,123,MATCH(B88,March!$D$3:$AH$3)+1)+INDEX(March!$C$3:$AH$169,128,MATCH(B88,March!$D$3:$AH$3)+1)+INDEX(March!$C$3:$AH$169,133,MATCH(B88,March!$D$3:$AH$3)+1)+INDEX(March!$C$3:$AH$169,138,MATCH(B88,March!$D$3:$AH$3)+1)+INDEX(March!$C$3:$AH$169,143,MATCH(B88,March!$D$3:$AH$3)+1)+INDEX(March!$C$3:$AH$169,148,MATCH(B88,March!$D$3:$AH$3)+1)-INDEX(March!$B$5:$AH$169,MATCH("Patrick Janssen",March!$B$5:$B$169),MATCH(B88,March!$D$3:$AH$3)+2)-INDEX(March!$B$5:$AH$169,MATCH("Patrick Ziesen",March!$B$5:$B$169),MATCH(B88,March!$D$3:$AH$3)+2)-INDEX(March!$B$5:$AH$169,MATCH("Frido Meijer",March!$B$5:$B$169),MATCH(B88,March!$D$3:$AH$3)+2)</f>
        <v>20</v>
      </c>
      <c r="H88" s="130">
        <f>INDEX(March!$C$3:$AH$169,4,MATCH(B88,March!$D$3:$AH$3)+1)+INDEX(March!$C$3:$AH$169,9,MATCH(B88,March!$D$3:$AH$3)+1)+INDEX(March!$C$3:$AH$169,14,MATCH(B88,March!$D$3:$AH$3)+1)+INDEX(March!$C$3:$AH$169,19,MATCH(B88,March!$D$3:$AH$3)+1)+INDEX(March!$C$3:$AH$169,24,MATCH(B88,March!$D$3:$AH$3)+1)+INDEX(March!$C$3:$AH$169,29,MATCH(B88,March!$D$3:$AH$3)+1)+INDEX(March!$C$3:$AH$169,34,MATCH(B88,March!$D$3:$AH$3)+1)+INDEX(March!$C$3:$AH$169,39,MATCH(B88,March!$D$3:$AH$3)+1)+INDEX(March!$C$3:$AH$169,44,MATCH(B88,March!$D$3:$AH$3)+1)+INDEX(March!$C$3:$AH$169,49,MATCH(B88,March!$D$3:$AH$3)+1)+INDEX(March!$C$3:$AH$169,54,MATCH(B88,March!$D$3:$AH$3)+1)+INDEX(March!$C$3:$AH$169,59,MATCH(B88,March!$D$3:$AH$3)+1)+INDEX(March!$C$3:$AH$169,64,MATCH(B88,March!$D$3:$AH$3)+1)+INDEX(March!$C$3:$AH$169,69,MATCH(B88,March!$D$3:$AH$3)+1)+INDEX(March!$C$3:$AH$169,74,MATCH(B88,March!$D$3:$AH$3)+1)+INDEX(March!$C$3:$AH$169,79,MATCH(B88,March!$D$3:$AH$3)+1)+INDEX(March!$C$3:$AH$169,84,MATCH(B88,March!$D$3:$AH$3)+1)+INDEX(March!$C$3:$AH$169,89,MATCH(B88,March!$D$3:$AH$3)+1)+INDEX(March!$C$3:$AH$169,94,MATCH(B88,March!$D$3:$AH$3)+1)+INDEX(March!$C$3:$AH$169,99,MATCH(B88,March!$D$3:$AH$3)+1)+INDEX(March!$C$3:$AH$169,104,MATCH(B88,March!$D$3:$AH$3)+1)+INDEX(March!$C$3:$AH$169,109,MATCH(B88,March!$D$3:$AH$3)+1)+INDEX(March!$C$3:$AH$169,114,MATCH(B88,March!$D$3:$AH$3)+1)+INDEX(March!$C$3:$AH$169,119,MATCH(B88,March!$D$3:$AH$3)+1)+INDEX(March!$C$3:$AH$169,124,MATCH(B88,March!$D$3:$AH$3)+1)+INDEX(March!$C$3:$AH$169,129,MATCH(B88,March!$D$3:$AH$3)+1)+INDEX(March!$C$3:$AH$169,134,MATCH(B88,March!$D$3:$AH$3)+1)+INDEX(March!$C$3:$AH$169,139,MATCH(B88,March!$D$3:$AH$3)+1)+INDEX(March!$C$3:$AH$169,144,MATCH(B88,March!$D$3:$AH$3)+1)+INDEX(March!$C$3:$AH$169,149,MATCH(B88,March!$D$3:$AH$3)+1)-INDEX(March!$B$5:$AH$169,MATCH("Patrick Janssen",March!$B$5:$B$169)+1,MATCH(B88,March!$D$3:$AH$3)+2)-INDEX(March!$B$5:$AH$169,MATCH("Patrick Ziesen",March!$B$5:$B$169)+1,MATCH(B88,March!$D$3:$AH$3)+2)-INDEX(March!$B$5:$AH$169,MATCH("Frido Meijer",March!$B$5:$B$169)+1,MATCH(B88,March!$D$3:$AH$3)+2)</f>
        <v>16</v>
      </c>
      <c r="I88" s="130">
        <v>0</v>
      </c>
      <c r="J88" s="130">
        <v>0</v>
      </c>
      <c r="L88" s="165"/>
      <c r="M88" s="111"/>
      <c r="N88" s="111">
        <f t="shared" si="24"/>
        <v>0</v>
      </c>
      <c r="P88" s="112">
        <f t="shared" si="25"/>
        <v>0</v>
      </c>
      <c r="Q88" s="112">
        <f t="shared" si="26"/>
        <v>0</v>
      </c>
    </row>
    <row r="89" spans="2:17" x14ac:dyDescent="0.25">
      <c r="B89" s="110">
        <f>DATE(Title!$F$12,$S$7,S25)</f>
        <v>41354</v>
      </c>
      <c r="C89" s="111">
        <f>IF(WEEKDAY(B89)=1,0,IF(WEEKDAY(B89)=4,'Hours Scheduled'!$F$44-1,IF(WEEKDAY(B89)=7,0,'Hours Scheduled'!$F$44)))</f>
        <v>25</v>
      </c>
      <c r="D89" s="17">
        <f t="shared" si="27"/>
        <v>187.5</v>
      </c>
      <c r="E89" s="127">
        <f t="shared" si="28"/>
        <v>161</v>
      </c>
      <c r="F89" s="111"/>
      <c r="G89" s="130">
        <f>INDEX(March!$C$3:$AH$169,3,MATCH(B89,March!$D$3:$AH$3)+1)+INDEX(March!$C$3:$AH$169,8,MATCH(B89,March!$D$3:$AH$3)+1)+INDEX(March!$C$3:$AH$169,13,MATCH(B89,March!$D$3:$AH$3)+1)+INDEX(March!$C$3:$AH$169,18,MATCH(B89,March!$D$3:$AH$3)+1)+INDEX(March!$C$3:$AH$169,23,MATCH(B89,March!$D$3:$AH$3)+1)+INDEX(March!$C$3:$AH$169,28,MATCH(B89,March!$D$3:$AH$3)+1)+INDEX(March!$C$3:$AH$169,33,MATCH(B89,March!$D$3:$AH$3)+1)+INDEX(March!$C$3:$AH$169,38,MATCH(B89,March!$D$3:$AH$3)+1)+INDEX(March!$C$3:$AH$169,43,MATCH(B89,March!$D$3:$AH$3)+1)+INDEX(March!$C$3:$AH$169,48,MATCH(B89,March!$D$3:$AH$3)+1)+INDEX(March!$C$3:$AH$169,53,MATCH(B89,March!$D$3:$AH$3)+1)+INDEX(March!$C$3:$AH$169,58,MATCH(B89,March!$D$3:$AH$3)+1)+INDEX(March!$C$3:$AH$169,63,MATCH(B89,March!$D$3:$AH$3)+1)+INDEX(March!$C$3:$AH$169,68,MATCH(B89,March!$D$3:$AH$3)+1)+INDEX(March!$C$3:$AH$169,73,MATCH(B89,March!$D$3:$AH$3)+1)+INDEX(March!$C$3:$AH$169,78,MATCH(B89,March!$D$3:$AH$3)+1)+INDEX(March!$C$3:$AH$169,83,MATCH(B89,March!$D$3:$AH$3)+1)+INDEX(March!$C$3:$AH$169,88,MATCH(B89,March!$D$3:$AH$3)+1)+INDEX(March!$C$3:$AH$169,93,MATCH(B89,March!$D$3:$AH$3)+1)+INDEX(March!$C$3:$AH$169,98,MATCH(B89,March!$D$3:$AH$3)+1)+INDEX(March!$C$3:$AH$169,103,MATCH(B89,March!$D$3:$AH$3)+1)+INDEX(March!$C$3:$AH$169,108,MATCH(B89,March!$D$3:$AH$3)+1)+INDEX(March!$C$3:$AH$169,113,MATCH(B89,March!$D$3:$AH$3)+1)+INDEX(March!$C$3:$AH$169,118,MATCH(B89,March!$D$3:$AH$3)+1)+INDEX(March!$C$3:$AH$169,123,MATCH(B89,March!$D$3:$AH$3)+1)+INDEX(March!$C$3:$AH$169,128,MATCH(B89,March!$D$3:$AH$3)+1)+INDEX(March!$C$3:$AH$169,133,MATCH(B89,March!$D$3:$AH$3)+1)+INDEX(March!$C$3:$AH$169,138,MATCH(B89,March!$D$3:$AH$3)+1)+INDEX(March!$C$3:$AH$169,143,MATCH(B89,March!$D$3:$AH$3)+1)+INDEX(March!$C$3:$AH$169,148,MATCH(B89,March!$D$3:$AH$3)+1)-INDEX(March!$B$5:$AH$169,MATCH("Patrick Janssen",March!$B$5:$B$169),MATCH(B89,March!$D$3:$AH$3)+2)-INDEX(March!$B$5:$AH$169,MATCH("Patrick Ziesen",March!$B$5:$B$169),MATCH(B89,March!$D$3:$AH$3)+2)-INDEX(March!$B$5:$AH$169,MATCH("Frido Meijer",March!$B$5:$B$169),MATCH(B89,March!$D$3:$AH$3)+2)</f>
        <v>26</v>
      </c>
      <c r="H89" s="130">
        <f>INDEX(March!$C$3:$AH$169,4,MATCH(B89,March!$D$3:$AH$3)+1)+INDEX(March!$C$3:$AH$169,9,MATCH(B89,March!$D$3:$AH$3)+1)+INDEX(March!$C$3:$AH$169,14,MATCH(B89,March!$D$3:$AH$3)+1)+INDEX(March!$C$3:$AH$169,19,MATCH(B89,March!$D$3:$AH$3)+1)+INDEX(March!$C$3:$AH$169,24,MATCH(B89,March!$D$3:$AH$3)+1)+INDEX(March!$C$3:$AH$169,29,MATCH(B89,March!$D$3:$AH$3)+1)+INDEX(March!$C$3:$AH$169,34,MATCH(B89,March!$D$3:$AH$3)+1)+INDEX(March!$C$3:$AH$169,39,MATCH(B89,March!$D$3:$AH$3)+1)+INDEX(March!$C$3:$AH$169,44,MATCH(B89,March!$D$3:$AH$3)+1)+INDEX(March!$C$3:$AH$169,49,MATCH(B89,March!$D$3:$AH$3)+1)+INDEX(March!$C$3:$AH$169,54,MATCH(B89,March!$D$3:$AH$3)+1)+INDEX(March!$C$3:$AH$169,59,MATCH(B89,March!$D$3:$AH$3)+1)+INDEX(March!$C$3:$AH$169,64,MATCH(B89,March!$D$3:$AH$3)+1)+INDEX(March!$C$3:$AH$169,69,MATCH(B89,March!$D$3:$AH$3)+1)+INDEX(March!$C$3:$AH$169,74,MATCH(B89,March!$D$3:$AH$3)+1)+INDEX(March!$C$3:$AH$169,79,MATCH(B89,March!$D$3:$AH$3)+1)+INDEX(March!$C$3:$AH$169,84,MATCH(B89,March!$D$3:$AH$3)+1)+INDEX(March!$C$3:$AH$169,89,MATCH(B89,March!$D$3:$AH$3)+1)+INDEX(March!$C$3:$AH$169,94,MATCH(B89,March!$D$3:$AH$3)+1)+INDEX(March!$C$3:$AH$169,99,MATCH(B89,March!$D$3:$AH$3)+1)+INDEX(March!$C$3:$AH$169,104,MATCH(B89,March!$D$3:$AH$3)+1)+INDEX(March!$C$3:$AH$169,109,MATCH(B89,March!$D$3:$AH$3)+1)+INDEX(March!$C$3:$AH$169,114,MATCH(B89,March!$D$3:$AH$3)+1)+INDEX(March!$C$3:$AH$169,119,MATCH(B89,March!$D$3:$AH$3)+1)+INDEX(March!$C$3:$AH$169,124,MATCH(B89,March!$D$3:$AH$3)+1)+INDEX(March!$C$3:$AH$169,129,MATCH(B89,March!$D$3:$AH$3)+1)+INDEX(March!$C$3:$AH$169,134,MATCH(B89,March!$D$3:$AH$3)+1)+INDEX(March!$C$3:$AH$169,139,MATCH(B89,March!$D$3:$AH$3)+1)+INDEX(March!$C$3:$AH$169,144,MATCH(B89,March!$D$3:$AH$3)+1)+INDEX(March!$C$3:$AH$169,149,MATCH(B89,March!$D$3:$AH$3)+1)-INDEX(March!$B$5:$AH$169,MATCH("Patrick Janssen",March!$B$5:$B$169)+1,MATCH(B89,March!$D$3:$AH$3)+2)-INDEX(March!$B$5:$AH$169,MATCH("Patrick Ziesen",March!$B$5:$B$169)+1,MATCH(B89,March!$D$3:$AH$3)+2)-INDEX(March!$B$5:$AH$169,MATCH("Frido Meijer",March!$B$5:$B$169)+1,MATCH(B89,March!$D$3:$AH$3)+2)</f>
        <v>13</v>
      </c>
      <c r="I89" s="130">
        <v>0</v>
      </c>
      <c r="J89" s="130">
        <v>0</v>
      </c>
      <c r="L89" s="165"/>
      <c r="M89" s="111"/>
      <c r="N89" s="111">
        <f t="shared" si="24"/>
        <v>0</v>
      </c>
      <c r="P89" s="112">
        <f t="shared" si="25"/>
        <v>0</v>
      </c>
      <c r="Q89" s="112">
        <f t="shared" si="26"/>
        <v>0</v>
      </c>
    </row>
    <row r="90" spans="2:17" x14ac:dyDescent="0.25">
      <c r="B90" s="110">
        <f>DATE(Title!$F$12,$S$7,S26)</f>
        <v>41355</v>
      </c>
      <c r="C90" s="111">
        <f>IF(WEEKDAY(B90)=1,0,IF(WEEKDAY(B90)=4,'Hours Scheduled'!$F$44-1,IF(WEEKDAY(B90)=7,0,'Hours Scheduled'!$F$44)))</f>
        <v>25</v>
      </c>
      <c r="D90" s="17">
        <f t="shared" si="27"/>
        <v>187.5</v>
      </c>
      <c r="E90" s="127">
        <f t="shared" si="28"/>
        <v>163</v>
      </c>
      <c r="F90" s="111"/>
      <c r="G90" s="130">
        <f>INDEX(March!$C$3:$AH$169,3,MATCH(B90,March!$D$3:$AH$3)+1)+INDEX(March!$C$3:$AH$169,8,MATCH(B90,March!$D$3:$AH$3)+1)+INDEX(March!$C$3:$AH$169,13,MATCH(B90,March!$D$3:$AH$3)+1)+INDEX(March!$C$3:$AH$169,18,MATCH(B90,March!$D$3:$AH$3)+1)+INDEX(March!$C$3:$AH$169,23,MATCH(B90,March!$D$3:$AH$3)+1)+INDEX(March!$C$3:$AH$169,28,MATCH(B90,March!$D$3:$AH$3)+1)+INDEX(March!$C$3:$AH$169,33,MATCH(B90,March!$D$3:$AH$3)+1)+INDEX(March!$C$3:$AH$169,38,MATCH(B90,March!$D$3:$AH$3)+1)+INDEX(March!$C$3:$AH$169,43,MATCH(B90,March!$D$3:$AH$3)+1)+INDEX(March!$C$3:$AH$169,48,MATCH(B90,March!$D$3:$AH$3)+1)+INDEX(March!$C$3:$AH$169,53,MATCH(B90,March!$D$3:$AH$3)+1)+INDEX(March!$C$3:$AH$169,58,MATCH(B90,March!$D$3:$AH$3)+1)+INDEX(March!$C$3:$AH$169,63,MATCH(B90,March!$D$3:$AH$3)+1)+INDEX(March!$C$3:$AH$169,68,MATCH(B90,March!$D$3:$AH$3)+1)+INDEX(March!$C$3:$AH$169,73,MATCH(B90,March!$D$3:$AH$3)+1)+INDEX(March!$C$3:$AH$169,78,MATCH(B90,March!$D$3:$AH$3)+1)+INDEX(March!$C$3:$AH$169,83,MATCH(B90,March!$D$3:$AH$3)+1)+INDEX(March!$C$3:$AH$169,88,MATCH(B90,March!$D$3:$AH$3)+1)+INDEX(March!$C$3:$AH$169,93,MATCH(B90,March!$D$3:$AH$3)+1)+INDEX(March!$C$3:$AH$169,98,MATCH(B90,March!$D$3:$AH$3)+1)+INDEX(March!$C$3:$AH$169,103,MATCH(B90,March!$D$3:$AH$3)+1)+INDEX(March!$C$3:$AH$169,108,MATCH(B90,March!$D$3:$AH$3)+1)+INDEX(March!$C$3:$AH$169,113,MATCH(B90,March!$D$3:$AH$3)+1)+INDEX(March!$C$3:$AH$169,118,MATCH(B90,March!$D$3:$AH$3)+1)+INDEX(March!$C$3:$AH$169,123,MATCH(B90,March!$D$3:$AH$3)+1)+INDEX(March!$C$3:$AH$169,128,MATCH(B90,March!$D$3:$AH$3)+1)+INDEX(March!$C$3:$AH$169,133,MATCH(B90,March!$D$3:$AH$3)+1)+INDEX(March!$C$3:$AH$169,138,MATCH(B90,March!$D$3:$AH$3)+1)+INDEX(March!$C$3:$AH$169,143,MATCH(B90,March!$D$3:$AH$3)+1)+INDEX(March!$C$3:$AH$169,148,MATCH(B90,March!$D$3:$AH$3)+1)-INDEX(March!$B$5:$AH$169,MATCH("Patrick Janssen",March!$B$5:$B$169),MATCH(B90,March!$D$3:$AH$3)+2)-INDEX(March!$B$5:$AH$169,MATCH("Patrick Ziesen",March!$B$5:$B$169),MATCH(B90,March!$D$3:$AH$3)+2)-INDEX(March!$B$5:$AH$169,MATCH("Frido Meijer",March!$B$5:$B$169),MATCH(B90,March!$D$3:$AH$3)+2)</f>
        <v>24</v>
      </c>
      <c r="H90" s="130">
        <f>INDEX(March!$C$3:$AH$169,4,MATCH(B90,March!$D$3:$AH$3)+1)+INDEX(March!$C$3:$AH$169,9,MATCH(B90,March!$D$3:$AH$3)+1)+INDEX(March!$C$3:$AH$169,14,MATCH(B90,March!$D$3:$AH$3)+1)+INDEX(March!$C$3:$AH$169,19,MATCH(B90,March!$D$3:$AH$3)+1)+INDEX(March!$C$3:$AH$169,24,MATCH(B90,March!$D$3:$AH$3)+1)+INDEX(March!$C$3:$AH$169,29,MATCH(B90,March!$D$3:$AH$3)+1)+INDEX(March!$C$3:$AH$169,34,MATCH(B90,March!$D$3:$AH$3)+1)+INDEX(March!$C$3:$AH$169,39,MATCH(B90,March!$D$3:$AH$3)+1)+INDEX(March!$C$3:$AH$169,44,MATCH(B90,March!$D$3:$AH$3)+1)+INDEX(March!$C$3:$AH$169,49,MATCH(B90,March!$D$3:$AH$3)+1)+INDEX(March!$C$3:$AH$169,54,MATCH(B90,March!$D$3:$AH$3)+1)+INDEX(March!$C$3:$AH$169,59,MATCH(B90,March!$D$3:$AH$3)+1)+INDEX(March!$C$3:$AH$169,64,MATCH(B90,March!$D$3:$AH$3)+1)+INDEX(March!$C$3:$AH$169,69,MATCH(B90,March!$D$3:$AH$3)+1)+INDEX(March!$C$3:$AH$169,74,MATCH(B90,March!$D$3:$AH$3)+1)+INDEX(March!$C$3:$AH$169,79,MATCH(B90,March!$D$3:$AH$3)+1)+INDEX(March!$C$3:$AH$169,84,MATCH(B90,March!$D$3:$AH$3)+1)+INDEX(March!$C$3:$AH$169,89,MATCH(B90,March!$D$3:$AH$3)+1)+INDEX(March!$C$3:$AH$169,94,MATCH(B90,March!$D$3:$AH$3)+1)+INDEX(March!$C$3:$AH$169,99,MATCH(B90,March!$D$3:$AH$3)+1)+INDEX(March!$C$3:$AH$169,104,MATCH(B90,March!$D$3:$AH$3)+1)+INDEX(March!$C$3:$AH$169,109,MATCH(B90,March!$D$3:$AH$3)+1)+INDEX(March!$C$3:$AH$169,114,MATCH(B90,March!$D$3:$AH$3)+1)+INDEX(March!$C$3:$AH$169,119,MATCH(B90,March!$D$3:$AH$3)+1)+INDEX(March!$C$3:$AH$169,124,MATCH(B90,March!$D$3:$AH$3)+1)+INDEX(March!$C$3:$AH$169,129,MATCH(B90,March!$D$3:$AH$3)+1)+INDEX(March!$C$3:$AH$169,134,MATCH(B90,March!$D$3:$AH$3)+1)+INDEX(March!$C$3:$AH$169,139,MATCH(B90,March!$D$3:$AH$3)+1)+INDEX(March!$C$3:$AH$169,144,MATCH(B90,March!$D$3:$AH$3)+1)+INDEX(March!$C$3:$AH$169,149,MATCH(B90,March!$D$3:$AH$3)+1)-INDEX(March!$B$5:$AH$169,MATCH("Patrick Janssen",March!$B$5:$B$169)+1,MATCH(B90,March!$D$3:$AH$3)+2)-INDEX(March!$B$5:$AH$169,MATCH("Patrick Ziesen",March!$B$5:$B$169)+1,MATCH(B90,March!$D$3:$AH$3)+2)-INDEX(March!$B$5:$AH$169,MATCH("Frido Meijer",March!$B$5:$B$169)+1,MATCH(B90,March!$D$3:$AH$3)+2)</f>
        <v>13</v>
      </c>
      <c r="I90" s="130">
        <v>0</v>
      </c>
      <c r="J90" s="130">
        <v>0</v>
      </c>
      <c r="L90" s="165"/>
      <c r="M90" s="111"/>
      <c r="N90" s="111">
        <f t="shared" si="24"/>
        <v>0</v>
      </c>
      <c r="P90" s="112">
        <f t="shared" si="25"/>
        <v>0</v>
      </c>
      <c r="Q90" s="112">
        <f t="shared" si="26"/>
        <v>0</v>
      </c>
    </row>
    <row r="91" spans="2:17" x14ac:dyDescent="0.25">
      <c r="B91" s="110">
        <f>DATE(Title!$F$12,$S$7,S27)</f>
        <v>41356</v>
      </c>
      <c r="C91" s="111">
        <f>IF(WEEKDAY(B91)=1,0,IF(WEEKDAY(B91)=4,'Hours Scheduled'!$F$44-1,IF(WEEKDAY(B91)=7,0,'Hours Scheduled'!$F$44)))</f>
        <v>0</v>
      </c>
      <c r="D91" s="17">
        <f t="shared" si="27"/>
        <v>0</v>
      </c>
      <c r="E91" s="127">
        <f t="shared" si="28"/>
        <v>0</v>
      </c>
      <c r="F91" s="111"/>
      <c r="G91" s="130">
        <f>INDEX(March!$C$3:$AH$169,3,MATCH(B91,March!$D$3:$AH$3)+1)+INDEX(March!$C$3:$AH$169,8,MATCH(B91,March!$D$3:$AH$3)+1)+INDEX(March!$C$3:$AH$169,13,MATCH(B91,March!$D$3:$AH$3)+1)+INDEX(March!$C$3:$AH$169,18,MATCH(B91,March!$D$3:$AH$3)+1)+INDEX(March!$C$3:$AH$169,23,MATCH(B91,March!$D$3:$AH$3)+1)+INDEX(March!$C$3:$AH$169,28,MATCH(B91,March!$D$3:$AH$3)+1)+INDEX(March!$C$3:$AH$169,33,MATCH(B91,March!$D$3:$AH$3)+1)+INDEX(March!$C$3:$AH$169,38,MATCH(B91,March!$D$3:$AH$3)+1)+INDEX(March!$C$3:$AH$169,43,MATCH(B91,March!$D$3:$AH$3)+1)+INDEX(March!$C$3:$AH$169,48,MATCH(B91,March!$D$3:$AH$3)+1)+INDEX(March!$C$3:$AH$169,53,MATCH(B91,March!$D$3:$AH$3)+1)+INDEX(March!$C$3:$AH$169,58,MATCH(B91,March!$D$3:$AH$3)+1)+INDEX(March!$C$3:$AH$169,63,MATCH(B91,March!$D$3:$AH$3)+1)+INDEX(March!$C$3:$AH$169,68,MATCH(B91,March!$D$3:$AH$3)+1)+INDEX(March!$C$3:$AH$169,73,MATCH(B91,March!$D$3:$AH$3)+1)+INDEX(March!$C$3:$AH$169,78,MATCH(B91,March!$D$3:$AH$3)+1)+INDEX(March!$C$3:$AH$169,83,MATCH(B91,March!$D$3:$AH$3)+1)+INDEX(March!$C$3:$AH$169,88,MATCH(B91,March!$D$3:$AH$3)+1)+INDEX(March!$C$3:$AH$169,93,MATCH(B91,March!$D$3:$AH$3)+1)+INDEX(March!$C$3:$AH$169,98,MATCH(B91,March!$D$3:$AH$3)+1)+INDEX(March!$C$3:$AH$169,103,MATCH(B91,March!$D$3:$AH$3)+1)+INDEX(March!$C$3:$AH$169,108,MATCH(B91,March!$D$3:$AH$3)+1)+INDEX(March!$C$3:$AH$169,113,MATCH(B91,March!$D$3:$AH$3)+1)+INDEX(March!$C$3:$AH$169,118,MATCH(B91,March!$D$3:$AH$3)+1)+INDEX(March!$C$3:$AH$169,123,MATCH(B91,March!$D$3:$AH$3)+1)+INDEX(March!$C$3:$AH$169,128,MATCH(B91,March!$D$3:$AH$3)+1)+INDEX(March!$C$3:$AH$169,133,MATCH(B91,March!$D$3:$AH$3)+1)+INDEX(March!$C$3:$AH$169,138,MATCH(B91,March!$D$3:$AH$3)+1)+INDEX(March!$C$3:$AH$169,143,MATCH(B91,March!$D$3:$AH$3)+1)+INDEX(March!$C$3:$AH$169,148,MATCH(B91,March!$D$3:$AH$3)+1)-INDEX(March!$B$5:$AH$169,MATCH("Patrick Janssen",March!$B$5:$B$169),MATCH(B91,March!$D$3:$AH$3)+2)-INDEX(March!$B$5:$AH$169,MATCH("Patrick Ziesen",March!$B$5:$B$169),MATCH(B91,March!$D$3:$AH$3)+2)-INDEX(March!$B$5:$AH$169,MATCH("Frido Meijer",March!$B$5:$B$169),MATCH(B91,March!$D$3:$AH$3)+2)</f>
        <v>0</v>
      </c>
      <c r="H91" s="130">
        <f>INDEX(March!$C$3:$AH$169,4,MATCH(B91,March!$D$3:$AH$3)+1)+INDEX(March!$C$3:$AH$169,9,MATCH(B91,March!$D$3:$AH$3)+1)+INDEX(March!$C$3:$AH$169,14,MATCH(B91,March!$D$3:$AH$3)+1)+INDEX(March!$C$3:$AH$169,19,MATCH(B91,March!$D$3:$AH$3)+1)+INDEX(March!$C$3:$AH$169,24,MATCH(B91,March!$D$3:$AH$3)+1)+INDEX(March!$C$3:$AH$169,29,MATCH(B91,March!$D$3:$AH$3)+1)+INDEX(March!$C$3:$AH$169,34,MATCH(B91,March!$D$3:$AH$3)+1)+INDEX(March!$C$3:$AH$169,39,MATCH(B91,March!$D$3:$AH$3)+1)+INDEX(March!$C$3:$AH$169,44,MATCH(B91,March!$D$3:$AH$3)+1)+INDEX(March!$C$3:$AH$169,49,MATCH(B91,March!$D$3:$AH$3)+1)+INDEX(March!$C$3:$AH$169,54,MATCH(B91,March!$D$3:$AH$3)+1)+INDEX(March!$C$3:$AH$169,59,MATCH(B91,March!$D$3:$AH$3)+1)+INDEX(March!$C$3:$AH$169,64,MATCH(B91,March!$D$3:$AH$3)+1)+INDEX(March!$C$3:$AH$169,69,MATCH(B91,March!$D$3:$AH$3)+1)+INDEX(March!$C$3:$AH$169,74,MATCH(B91,March!$D$3:$AH$3)+1)+INDEX(March!$C$3:$AH$169,79,MATCH(B91,March!$D$3:$AH$3)+1)+INDEX(March!$C$3:$AH$169,84,MATCH(B91,March!$D$3:$AH$3)+1)+INDEX(March!$C$3:$AH$169,89,MATCH(B91,March!$D$3:$AH$3)+1)+INDEX(March!$C$3:$AH$169,94,MATCH(B91,March!$D$3:$AH$3)+1)+INDEX(March!$C$3:$AH$169,99,MATCH(B91,March!$D$3:$AH$3)+1)+INDEX(March!$C$3:$AH$169,104,MATCH(B91,March!$D$3:$AH$3)+1)+INDEX(March!$C$3:$AH$169,109,MATCH(B91,March!$D$3:$AH$3)+1)+INDEX(March!$C$3:$AH$169,114,MATCH(B91,March!$D$3:$AH$3)+1)+INDEX(March!$C$3:$AH$169,119,MATCH(B91,March!$D$3:$AH$3)+1)+INDEX(March!$C$3:$AH$169,124,MATCH(B91,March!$D$3:$AH$3)+1)+INDEX(March!$C$3:$AH$169,129,MATCH(B91,March!$D$3:$AH$3)+1)+INDEX(March!$C$3:$AH$169,134,MATCH(B91,March!$D$3:$AH$3)+1)+INDEX(March!$C$3:$AH$169,139,MATCH(B91,March!$D$3:$AH$3)+1)+INDEX(March!$C$3:$AH$169,144,MATCH(B91,March!$D$3:$AH$3)+1)+INDEX(March!$C$3:$AH$169,149,MATCH(B91,March!$D$3:$AH$3)+1)-INDEX(March!$B$5:$AH$169,MATCH("Patrick Janssen",March!$B$5:$B$169)+1,MATCH(B91,March!$D$3:$AH$3)+2)-INDEX(March!$B$5:$AH$169,MATCH("Patrick Ziesen",March!$B$5:$B$169)+1,MATCH(B91,March!$D$3:$AH$3)+2)-INDEX(March!$B$5:$AH$169,MATCH("Frido Meijer",March!$B$5:$B$169)+1,MATCH(B91,March!$D$3:$AH$3)+2)</f>
        <v>0</v>
      </c>
      <c r="I91" s="130">
        <v>0</v>
      </c>
      <c r="J91" s="130">
        <v>0</v>
      </c>
      <c r="L91" s="165"/>
      <c r="M91" s="111"/>
      <c r="N91" s="111">
        <f t="shared" si="24"/>
        <v>0</v>
      </c>
      <c r="P91" s="112" t="str">
        <f t="shared" si="25"/>
        <v/>
      </c>
      <c r="Q91" s="112" t="str">
        <f t="shared" si="26"/>
        <v/>
      </c>
    </row>
    <row r="92" spans="2:17" x14ac:dyDescent="0.25">
      <c r="B92" s="110">
        <f>DATE(Title!$F$12,$S$7,S28)</f>
        <v>41357</v>
      </c>
      <c r="C92" s="111">
        <f>IF(WEEKDAY(B92)=1,0,IF(WEEKDAY(B92)=4,'Hours Scheduled'!$F$44-1,IF(WEEKDAY(B92)=7,0,'Hours Scheduled'!$F$44)))</f>
        <v>0</v>
      </c>
      <c r="D92" s="17">
        <f t="shared" si="27"/>
        <v>0</v>
      </c>
      <c r="E92" s="127">
        <f t="shared" si="28"/>
        <v>0</v>
      </c>
      <c r="F92" s="111"/>
      <c r="G92" s="130">
        <f>INDEX(March!$C$3:$AH$169,3,MATCH(B92,March!$D$3:$AH$3)+1)+INDEX(March!$C$3:$AH$169,8,MATCH(B92,March!$D$3:$AH$3)+1)+INDEX(March!$C$3:$AH$169,13,MATCH(B92,March!$D$3:$AH$3)+1)+INDEX(March!$C$3:$AH$169,18,MATCH(B92,March!$D$3:$AH$3)+1)+INDEX(March!$C$3:$AH$169,23,MATCH(B92,March!$D$3:$AH$3)+1)+INDEX(March!$C$3:$AH$169,28,MATCH(B92,March!$D$3:$AH$3)+1)+INDEX(March!$C$3:$AH$169,33,MATCH(B92,March!$D$3:$AH$3)+1)+INDEX(March!$C$3:$AH$169,38,MATCH(B92,March!$D$3:$AH$3)+1)+INDEX(March!$C$3:$AH$169,43,MATCH(B92,March!$D$3:$AH$3)+1)+INDEX(March!$C$3:$AH$169,48,MATCH(B92,March!$D$3:$AH$3)+1)+INDEX(March!$C$3:$AH$169,53,MATCH(B92,March!$D$3:$AH$3)+1)+INDEX(March!$C$3:$AH$169,58,MATCH(B92,March!$D$3:$AH$3)+1)+INDEX(March!$C$3:$AH$169,63,MATCH(B92,March!$D$3:$AH$3)+1)+INDEX(March!$C$3:$AH$169,68,MATCH(B92,March!$D$3:$AH$3)+1)+INDEX(March!$C$3:$AH$169,73,MATCH(B92,March!$D$3:$AH$3)+1)+INDEX(March!$C$3:$AH$169,78,MATCH(B92,March!$D$3:$AH$3)+1)+INDEX(March!$C$3:$AH$169,83,MATCH(B92,March!$D$3:$AH$3)+1)+INDEX(March!$C$3:$AH$169,88,MATCH(B92,March!$D$3:$AH$3)+1)+INDEX(March!$C$3:$AH$169,93,MATCH(B92,March!$D$3:$AH$3)+1)+INDEX(March!$C$3:$AH$169,98,MATCH(B92,March!$D$3:$AH$3)+1)+INDEX(March!$C$3:$AH$169,103,MATCH(B92,March!$D$3:$AH$3)+1)+INDEX(March!$C$3:$AH$169,108,MATCH(B92,March!$D$3:$AH$3)+1)+INDEX(March!$C$3:$AH$169,113,MATCH(B92,March!$D$3:$AH$3)+1)+INDEX(March!$C$3:$AH$169,118,MATCH(B92,March!$D$3:$AH$3)+1)+INDEX(March!$C$3:$AH$169,123,MATCH(B92,March!$D$3:$AH$3)+1)+INDEX(March!$C$3:$AH$169,128,MATCH(B92,March!$D$3:$AH$3)+1)+INDEX(March!$C$3:$AH$169,133,MATCH(B92,March!$D$3:$AH$3)+1)+INDEX(March!$C$3:$AH$169,138,MATCH(B92,March!$D$3:$AH$3)+1)+INDEX(March!$C$3:$AH$169,143,MATCH(B92,March!$D$3:$AH$3)+1)+INDEX(March!$C$3:$AH$169,148,MATCH(B92,March!$D$3:$AH$3)+1)-INDEX(March!$B$5:$AH$169,MATCH("Patrick Janssen",March!$B$5:$B$169),MATCH(B92,March!$D$3:$AH$3)+2)-INDEX(March!$B$5:$AH$169,MATCH("Patrick Ziesen",March!$B$5:$B$169),MATCH(B92,March!$D$3:$AH$3)+2)-INDEX(March!$B$5:$AH$169,MATCH("Frido Meijer",March!$B$5:$B$169),MATCH(B92,March!$D$3:$AH$3)+2)</f>
        <v>0</v>
      </c>
      <c r="H92" s="130">
        <f>INDEX(March!$C$3:$AH$169,4,MATCH(B92,March!$D$3:$AH$3)+1)+INDEX(March!$C$3:$AH$169,9,MATCH(B92,March!$D$3:$AH$3)+1)+INDEX(March!$C$3:$AH$169,14,MATCH(B92,March!$D$3:$AH$3)+1)+INDEX(March!$C$3:$AH$169,19,MATCH(B92,March!$D$3:$AH$3)+1)+INDEX(March!$C$3:$AH$169,24,MATCH(B92,March!$D$3:$AH$3)+1)+INDEX(March!$C$3:$AH$169,29,MATCH(B92,March!$D$3:$AH$3)+1)+INDEX(March!$C$3:$AH$169,34,MATCH(B92,March!$D$3:$AH$3)+1)+INDEX(March!$C$3:$AH$169,39,MATCH(B92,March!$D$3:$AH$3)+1)+INDEX(March!$C$3:$AH$169,44,MATCH(B92,March!$D$3:$AH$3)+1)+INDEX(March!$C$3:$AH$169,49,MATCH(B92,March!$D$3:$AH$3)+1)+INDEX(March!$C$3:$AH$169,54,MATCH(B92,March!$D$3:$AH$3)+1)+INDEX(March!$C$3:$AH$169,59,MATCH(B92,March!$D$3:$AH$3)+1)+INDEX(March!$C$3:$AH$169,64,MATCH(B92,March!$D$3:$AH$3)+1)+INDEX(March!$C$3:$AH$169,69,MATCH(B92,March!$D$3:$AH$3)+1)+INDEX(March!$C$3:$AH$169,74,MATCH(B92,March!$D$3:$AH$3)+1)+INDEX(March!$C$3:$AH$169,79,MATCH(B92,March!$D$3:$AH$3)+1)+INDEX(March!$C$3:$AH$169,84,MATCH(B92,March!$D$3:$AH$3)+1)+INDEX(March!$C$3:$AH$169,89,MATCH(B92,March!$D$3:$AH$3)+1)+INDEX(March!$C$3:$AH$169,94,MATCH(B92,March!$D$3:$AH$3)+1)+INDEX(March!$C$3:$AH$169,99,MATCH(B92,March!$D$3:$AH$3)+1)+INDEX(March!$C$3:$AH$169,104,MATCH(B92,March!$D$3:$AH$3)+1)+INDEX(March!$C$3:$AH$169,109,MATCH(B92,March!$D$3:$AH$3)+1)+INDEX(March!$C$3:$AH$169,114,MATCH(B92,March!$D$3:$AH$3)+1)+INDEX(March!$C$3:$AH$169,119,MATCH(B92,March!$D$3:$AH$3)+1)+INDEX(March!$C$3:$AH$169,124,MATCH(B92,March!$D$3:$AH$3)+1)+INDEX(March!$C$3:$AH$169,129,MATCH(B92,March!$D$3:$AH$3)+1)+INDEX(March!$C$3:$AH$169,134,MATCH(B92,March!$D$3:$AH$3)+1)+INDEX(March!$C$3:$AH$169,139,MATCH(B92,March!$D$3:$AH$3)+1)+INDEX(March!$C$3:$AH$169,144,MATCH(B92,March!$D$3:$AH$3)+1)+INDEX(March!$C$3:$AH$169,149,MATCH(B92,March!$D$3:$AH$3)+1)-INDEX(March!$B$5:$AH$169,MATCH("Patrick Janssen",March!$B$5:$B$169)+1,MATCH(B92,March!$D$3:$AH$3)+2)-INDEX(March!$B$5:$AH$169,MATCH("Patrick Ziesen",March!$B$5:$B$169)+1,MATCH(B92,March!$D$3:$AH$3)+2)-INDEX(March!$B$5:$AH$169,MATCH("Frido Meijer",March!$B$5:$B$169)+1,MATCH(B92,March!$D$3:$AH$3)+2)</f>
        <v>0</v>
      </c>
      <c r="I92" s="130">
        <v>0</v>
      </c>
      <c r="J92" s="130">
        <v>0</v>
      </c>
      <c r="L92" s="111"/>
      <c r="M92" s="111"/>
      <c r="N92" s="111">
        <f t="shared" si="24"/>
        <v>0</v>
      </c>
      <c r="P92" s="112" t="str">
        <f t="shared" si="25"/>
        <v/>
      </c>
      <c r="Q92" s="112" t="str">
        <f t="shared" si="26"/>
        <v/>
      </c>
    </row>
    <row r="93" spans="2:17" x14ac:dyDescent="0.25">
      <c r="B93" s="110">
        <f>DATE(Title!$F$12,$S$7,S29)</f>
        <v>41358</v>
      </c>
      <c r="C93" s="111">
        <f>IF(WEEKDAY(B93)=1,0,IF(WEEKDAY(B93)=4,'Hours Scheduled'!$F$44-1,IF(WEEKDAY(B93)=7,0,'Hours Scheduled'!$F$44)))</f>
        <v>25</v>
      </c>
      <c r="D93" s="17">
        <f t="shared" si="27"/>
        <v>187.5</v>
      </c>
      <c r="E93" s="127">
        <f t="shared" si="28"/>
        <v>168</v>
      </c>
      <c r="F93" s="111"/>
      <c r="G93" s="130">
        <f>INDEX(March!$C$3:$AH$169,3,MATCH(B93,March!$D$3:$AH$3)+1)+INDEX(March!$C$3:$AH$169,8,MATCH(B93,March!$D$3:$AH$3)+1)+INDEX(March!$C$3:$AH$169,13,MATCH(B93,March!$D$3:$AH$3)+1)+INDEX(March!$C$3:$AH$169,18,MATCH(B93,March!$D$3:$AH$3)+1)+INDEX(March!$C$3:$AH$169,23,MATCH(B93,March!$D$3:$AH$3)+1)+INDEX(March!$C$3:$AH$169,28,MATCH(B93,March!$D$3:$AH$3)+1)+INDEX(March!$C$3:$AH$169,33,MATCH(B93,March!$D$3:$AH$3)+1)+INDEX(March!$C$3:$AH$169,38,MATCH(B93,March!$D$3:$AH$3)+1)+INDEX(March!$C$3:$AH$169,43,MATCH(B93,March!$D$3:$AH$3)+1)+INDEX(March!$C$3:$AH$169,48,MATCH(B93,March!$D$3:$AH$3)+1)+INDEX(March!$C$3:$AH$169,53,MATCH(B93,March!$D$3:$AH$3)+1)+INDEX(March!$C$3:$AH$169,58,MATCH(B93,March!$D$3:$AH$3)+1)+INDEX(March!$C$3:$AH$169,63,MATCH(B93,March!$D$3:$AH$3)+1)+INDEX(March!$C$3:$AH$169,68,MATCH(B93,March!$D$3:$AH$3)+1)+INDEX(March!$C$3:$AH$169,73,MATCH(B93,March!$D$3:$AH$3)+1)+INDEX(March!$C$3:$AH$169,78,MATCH(B93,March!$D$3:$AH$3)+1)+INDEX(March!$C$3:$AH$169,83,MATCH(B93,March!$D$3:$AH$3)+1)+INDEX(March!$C$3:$AH$169,88,MATCH(B93,March!$D$3:$AH$3)+1)+INDEX(March!$C$3:$AH$169,93,MATCH(B93,March!$D$3:$AH$3)+1)+INDEX(March!$C$3:$AH$169,98,MATCH(B93,March!$D$3:$AH$3)+1)+INDEX(March!$C$3:$AH$169,103,MATCH(B93,March!$D$3:$AH$3)+1)+INDEX(March!$C$3:$AH$169,108,MATCH(B93,March!$D$3:$AH$3)+1)+INDEX(March!$C$3:$AH$169,113,MATCH(B93,March!$D$3:$AH$3)+1)+INDEX(March!$C$3:$AH$169,118,MATCH(B93,March!$D$3:$AH$3)+1)+INDEX(March!$C$3:$AH$169,123,MATCH(B93,March!$D$3:$AH$3)+1)+INDEX(March!$C$3:$AH$169,128,MATCH(B93,March!$D$3:$AH$3)+1)+INDEX(March!$C$3:$AH$169,133,MATCH(B93,March!$D$3:$AH$3)+1)+INDEX(March!$C$3:$AH$169,138,MATCH(B93,March!$D$3:$AH$3)+1)+INDEX(March!$C$3:$AH$169,143,MATCH(B93,March!$D$3:$AH$3)+1)+INDEX(March!$C$3:$AH$169,148,MATCH(B93,March!$D$3:$AH$3)+1)-INDEX(March!$B$5:$AH$169,MATCH("Patrick Janssen",March!$B$5:$B$169),MATCH(B93,March!$D$3:$AH$3)+2)-INDEX(March!$B$5:$AH$169,MATCH("Patrick Ziesen",March!$B$5:$B$169),MATCH(B93,March!$D$3:$AH$3)+2)-INDEX(March!$B$5:$AH$169,MATCH("Frido Meijer",March!$B$5:$B$169),MATCH(B93,March!$D$3:$AH$3)+2)</f>
        <v>24</v>
      </c>
      <c r="H93" s="130">
        <f>INDEX(March!$C$3:$AH$169,4,MATCH(B93,March!$D$3:$AH$3)+1)+INDEX(March!$C$3:$AH$169,9,MATCH(B93,March!$D$3:$AH$3)+1)+INDEX(March!$C$3:$AH$169,14,MATCH(B93,March!$D$3:$AH$3)+1)+INDEX(March!$C$3:$AH$169,19,MATCH(B93,March!$D$3:$AH$3)+1)+INDEX(March!$C$3:$AH$169,24,MATCH(B93,March!$D$3:$AH$3)+1)+INDEX(March!$C$3:$AH$169,29,MATCH(B93,March!$D$3:$AH$3)+1)+INDEX(March!$C$3:$AH$169,34,MATCH(B93,March!$D$3:$AH$3)+1)+INDEX(March!$C$3:$AH$169,39,MATCH(B93,March!$D$3:$AH$3)+1)+INDEX(March!$C$3:$AH$169,44,MATCH(B93,March!$D$3:$AH$3)+1)+INDEX(March!$C$3:$AH$169,49,MATCH(B93,March!$D$3:$AH$3)+1)+INDEX(March!$C$3:$AH$169,54,MATCH(B93,March!$D$3:$AH$3)+1)+INDEX(March!$C$3:$AH$169,59,MATCH(B93,March!$D$3:$AH$3)+1)+INDEX(March!$C$3:$AH$169,64,MATCH(B93,March!$D$3:$AH$3)+1)+INDEX(March!$C$3:$AH$169,69,MATCH(B93,March!$D$3:$AH$3)+1)+INDEX(March!$C$3:$AH$169,74,MATCH(B93,March!$D$3:$AH$3)+1)+INDEX(March!$C$3:$AH$169,79,MATCH(B93,March!$D$3:$AH$3)+1)+INDEX(March!$C$3:$AH$169,84,MATCH(B93,March!$D$3:$AH$3)+1)+INDEX(March!$C$3:$AH$169,89,MATCH(B93,March!$D$3:$AH$3)+1)+INDEX(March!$C$3:$AH$169,94,MATCH(B93,March!$D$3:$AH$3)+1)+INDEX(March!$C$3:$AH$169,99,MATCH(B93,March!$D$3:$AH$3)+1)+INDEX(March!$C$3:$AH$169,104,MATCH(B93,March!$D$3:$AH$3)+1)+INDEX(March!$C$3:$AH$169,109,MATCH(B93,March!$D$3:$AH$3)+1)+INDEX(March!$C$3:$AH$169,114,MATCH(B93,March!$D$3:$AH$3)+1)+INDEX(March!$C$3:$AH$169,119,MATCH(B93,March!$D$3:$AH$3)+1)+INDEX(March!$C$3:$AH$169,124,MATCH(B93,March!$D$3:$AH$3)+1)+INDEX(March!$C$3:$AH$169,129,MATCH(B93,March!$D$3:$AH$3)+1)+INDEX(March!$C$3:$AH$169,134,MATCH(B93,March!$D$3:$AH$3)+1)+INDEX(March!$C$3:$AH$169,139,MATCH(B93,March!$D$3:$AH$3)+1)+INDEX(March!$C$3:$AH$169,144,MATCH(B93,March!$D$3:$AH$3)+1)+INDEX(March!$C$3:$AH$169,149,MATCH(B93,March!$D$3:$AH$3)+1)-INDEX(March!$B$5:$AH$169,MATCH("Patrick Janssen",March!$B$5:$B$169)+1,MATCH(B93,March!$D$3:$AH$3)+2)-INDEX(March!$B$5:$AH$169,MATCH("Patrick Ziesen",March!$B$5:$B$169)+1,MATCH(B93,March!$D$3:$AH$3)+2)-INDEX(March!$B$5:$AH$169,MATCH("Frido Meijer",March!$B$5:$B$169)+1,MATCH(B93,March!$D$3:$AH$3)+2)</f>
        <v>8</v>
      </c>
      <c r="I93" s="130">
        <v>0</v>
      </c>
      <c r="J93" s="130">
        <v>0</v>
      </c>
      <c r="L93" s="111"/>
      <c r="M93" s="111"/>
      <c r="N93" s="111">
        <f t="shared" si="24"/>
        <v>0</v>
      </c>
      <c r="P93" s="112">
        <f t="shared" si="25"/>
        <v>0</v>
      </c>
      <c r="Q93" s="112">
        <f t="shared" si="26"/>
        <v>0</v>
      </c>
    </row>
    <row r="94" spans="2:17" x14ac:dyDescent="0.25">
      <c r="B94" s="110">
        <f>DATE(Title!$F$12,$S$7,S30)</f>
        <v>41359</v>
      </c>
      <c r="C94" s="111">
        <f>IF(WEEKDAY(B94)=1,0,IF(WEEKDAY(B94)=4,'Hours Scheduled'!$F$44-1,IF(WEEKDAY(B94)=7,0,'Hours Scheduled'!$F$44)))</f>
        <v>25</v>
      </c>
      <c r="D94" s="17">
        <f t="shared" si="27"/>
        <v>187.5</v>
      </c>
      <c r="E94" s="127">
        <f t="shared" si="28"/>
        <v>172</v>
      </c>
      <c r="F94" s="111"/>
      <c r="G94" s="130">
        <f>INDEX(March!$C$3:$AH$169,3,MATCH(B94,March!$D$3:$AH$3)+1)+INDEX(March!$C$3:$AH$169,8,MATCH(B94,March!$D$3:$AH$3)+1)+INDEX(March!$C$3:$AH$169,13,MATCH(B94,March!$D$3:$AH$3)+1)+INDEX(March!$C$3:$AH$169,18,MATCH(B94,March!$D$3:$AH$3)+1)+INDEX(March!$C$3:$AH$169,23,MATCH(B94,March!$D$3:$AH$3)+1)+INDEX(March!$C$3:$AH$169,28,MATCH(B94,March!$D$3:$AH$3)+1)+INDEX(March!$C$3:$AH$169,33,MATCH(B94,March!$D$3:$AH$3)+1)+INDEX(March!$C$3:$AH$169,38,MATCH(B94,March!$D$3:$AH$3)+1)+INDEX(March!$C$3:$AH$169,43,MATCH(B94,March!$D$3:$AH$3)+1)+INDEX(March!$C$3:$AH$169,48,MATCH(B94,March!$D$3:$AH$3)+1)+INDEX(March!$C$3:$AH$169,53,MATCH(B94,March!$D$3:$AH$3)+1)+INDEX(March!$C$3:$AH$169,58,MATCH(B94,March!$D$3:$AH$3)+1)+INDEX(March!$C$3:$AH$169,63,MATCH(B94,March!$D$3:$AH$3)+1)+INDEX(March!$C$3:$AH$169,68,MATCH(B94,March!$D$3:$AH$3)+1)+INDEX(March!$C$3:$AH$169,73,MATCH(B94,March!$D$3:$AH$3)+1)+INDEX(March!$C$3:$AH$169,78,MATCH(B94,March!$D$3:$AH$3)+1)+INDEX(March!$C$3:$AH$169,83,MATCH(B94,March!$D$3:$AH$3)+1)+INDEX(March!$C$3:$AH$169,88,MATCH(B94,March!$D$3:$AH$3)+1)+INDEX(March!$C$3:$AH$169,93,MATCH(B94,March!$D$3:$AH$3)+1)+INDEX(March!$C$3:$AH$169,98,MATCH(B94,March!$D$3:$AH$3)+1)+INDEX(March!$C$3:$AH$169,103,MATCH(B94,March!$D$3:$AH$3)+1)+INDEX(March!$C$3:$AH$169,108,MATCH(B94,March!$D$3:$AH$3)+1)+INDEX(March!$C$3:$AH$169,113,MATCH(B94,March!$D$3:$AH$3)+1)+INDEX(March!$C$3:$AH$169,118,MATCH(B94,March!$D$3:$AH$3)+1)+INDEX(March!$C$3:$AH$169,123,MATCH(B94,March!$D$3:$AH$3)+1)+INDEX(March!$C$3:$AH$169,128,MATCH(B94,March!$D$3:$AH$3)+1)+INDEX(March!$C$3:$AH$169,133,MATCH(B94,March!$D$3:$AH$3)+1)+INDEX(March!$C$3:$AH$169,138,MATCH(B94,March!$D$3:$AH$3)+1)+INDEX(March!$C$3:$AH$169,143,MATCH(B94,March!$D$3:$AH$3)+1)+INDEX(March!$C$3:$AH$169,148,MATCH(B94,March!$D$3:$AH$3)+1)-INDEX(March!$B$5:$AH$169,MATCH("Patrick Janssen",March!$B$5:$B$169),MATCH(B94,March!$D$3:$AH$3)+2)-INDEX(March!$B$5:$AH$169,MATCH("Patrick Ziesen",March!$B$5:$B$169),MATCH(B94,March!$D$3:$AH$3)+2)-INDEX(March!$B$5:$AH$169,MATCH("Frido Meijer",March!$B$5:$B$169),MATCH(B94,March!$D$3:$AH$3)+2)</f>
        <v>24</v>
      </c>
      <c r="H94" s="130">
        <f>INDEX(March!$C$3:$AH$169,4,MATCH(B94,March!$D$3:$AH$3)+1)+INDEX(March!$C$3:$AH$169,9,MATCH(B94,March!$D$3:$AH$3)+1)+INDEX(March!$C$3:$AH$169,14,MATCH(B94,March!$D$3:$AH$3)+1)+INDEX(March!$C$3:$AH$169,19,MATCH(B94,March!$D$3:$AH$3)+1)+INDEX(March!$C$3:$AH$169,24,MATCH(B94,March!$D$3:$AH$3)+1)+INDEX(March!$C$3:$AH$169,29,MATCH(B94,March!$D$3:$AH$3)+1)+INDEX(March!$C$3:$AH$169,34,MATCH(B94,March!$D$3:$AH$3)+1)+INDEX(March!$C$3:$AH$169,39,MATCH(B94,March!$D$3:$AH$3)+1)+INDEX(March!$C$3:$AH$169,44,MATCH(B94,March!$D$3:$AH$3)+1)+INDEX(March!$C$3:$AH$169,49,MATCH(B94,March!$D$3:$AH$3)+1)+INDEX(March!$C$3:$AH$169,54,MATCH(B94,March!$D$3:$AH$3)+1)+INDEX(March!$C$3:$AH$169,59,MATCH(B94,March!$D$3:$AH$3)+1)+INDEX(March!$C$3:$AH$169,64,MATCH(B94,March!$D$3:$AH$3)+1)+INDEX(March!$C$3:$AH$169,69,MATCH(B94,March!$D$3:$AH$3)+1)+INDEX(March!$C$3:$AH$169,74,MATCH(B94,March!$D$3:$AH$3)+1)+INDEX(March!$C$3:$AH$169,79,MATCH(B94,March!$D$3:$AH$3)+1)+INDEX(March!$C$3:$AH$169,84,MATCH(B94,March!$D$3:$AH$3)+1)+INDEX(March!$C$3:$AH$169,89,MATCH(B94,March!$D$3:$AH$3)+1)+INDEX(March!$C$3:$AH$169,94,MATCH(B94,March!$D$3:$AH$3)+1)+INDEX(March!$C$3:$AH$169,99,MATCH(B94,March!$D$3:$AH$3)+1)+INDEX(March!$C$3:$AH$169,104,MATCH(B94,March!$D$3:$AH$3)+1)+INDEX(March!$C$3:$AH$169,109,MATCH(B94,March!$D$3:$AH$3)+1)+INDEX(March!$C$3:$AH$169,114,MATCH(B94,March!$D$3:$AH$3)+1)+INDEX(March!$C$3:$AH$169,119,MATCH(B94,March!$D$3:$AH$3)+1)+INDEX(March!$C$3:$AH$169,124,MATCH(B94,March!$D$3:$AH$3)+1)+INDEX(March!$C$3:$AH$169,129,MATCH(B94,March!$D$3:$AH$3)+1)+INDEX(March!$C$3:$AH$169,134,MATCH(B94,March!$D$3:$AH$3)+1)+INDEX(March!$C$3:$AH$169,139,MATCH(B94,March!$D$3:$AH$3)+1)+INDEX(March!$C$3:$AH$169,144,MATCH(B94,March!$D$3:$AH$3)+1)+INDEX(March!$C$3:$AH$169,149,MATCH(B94,March!$D$3:$AH$3)+1)-INDEX(March!$B$5:$AH$169,MATCH("Patrick Janssen",March!$B$5:$B$169)+1,MATCH(B94,March!$D$3:$AH$3)+2)-INDEX(March!$B$5:$AH$169,MATCH("Patrick Ziesen",March!$B$5:$B$169)+1,MATCH(B94,March!$D$3:$AH$3)+2)-INDEX(March!$B$5:$AH$169,MATCH("Frido Meijer",March!$B$5:$B$169)+1,MATCH(B94,March!$D$3:$AH$3)+2)</f>
        <v>4</v>
      </c>
      <c r="I94" s="130">
        <v>0</v>
      </c>
      <c r="J94" s="130">
        <v>0</v>
      </c>
      <c r="L94" s="165"/>
      <c r="M94" s="111"/>
      <c r="N94" s="111">
        <f t="shared" si="24"/>
        <v>0</v>
      </c>
      <c r="P94" s="112">
        <f t="shared" si="25"/>
        <v>0</v>
      </c>
      <c r="Q94" s="112">
        <f t="shared" si="26"/>
        <v>0</v>
      </c>
    </row>
    <row r="95" spans="2:17" x14ac:dyDescent="0.25">
      <c r="B95" s="110">
        <f>DATE(Title!$F$12,$S$7,S31)</f>
        <v>41360</v>
      </c>
      <c r="C95" s="111">
        <f>IF(WEEKDAY(B95)=1,0,IF(WEEKDAY(B95)=4,'Hours Scheduled'!$F$44-1,IF(WEEKDAY(B95)=7,0,'Hours Scheduled'!$F$44)))</f>
        <v>24</v>
      </c>
      <c r="D95" s="17">
        <f t="shared" si="27"/>
        <v>180</v>
      </c>
      <c r="E95" s="127">
        <f t="shared" si="28"/>
        <v>164</v>
      </c>
      <c r="F95" s="111"/>
      <c r="G95" s="130">
        <f>INDEX(March!$C$3:$AH$169,3,MATCH(B95,March!$D$3:$AH$3)+1)+INDEX(March!$C$3:$AH$169,8,MATCH(B95,March!$D$3:$AH$3)+1)+INDEX(March!$C$3:$AH$169,13,MATCH(B95,March!$D$3:$AH$3)+1)+INDEX(March!$C$3:$AH$169,18,MATCH(B95,March!$D$3:$AH$3)+1)+INDEX(March!$C$3:$AH$169,23,MATCH(B95,March!$D$3:$AH$3)+1)+INDEX(March!$C$3:$AH$169,28,MATCH(B95,March!$D$3:$AH$3)+1)+INDEX(March!$C$3:$AH$169,33,MATCH(B95,March!$D$3:$AH$3)+1)+INDEX(March!$C$3:$AH$169,38,MATCH(B95,March!$D$3:$AH$3)+1)+INDEX(March!$C$3:$AH$169,43,MATCH(B95,March!$D$3:$AH$3)+1)+INDEX(March!$C$3:$AH$169,48,MATCH(B95,March!$D$3:$AH$3)+1)+INDEX(March!$C$3:$AH$169,53,MATCH(B95,March!$D$3:$AH$3)+1)+INDEX(March!$C$3:$AH$169,58,MATCH(B95,March!$D$3:$AH$3)+1)+INDEX(March!$C$3:$AH$169,63,MATCH(B95,March!$D$3:$AH$3)+1)+INDEX(March!$C$3:$AH$169,68,MATCH(B95,March!$D$3:$AH$3)+1)+INDEX(March!$C$3:$AH$169,73,MATCH(B95,March!$D$3:$AH$3)+1)+INDEX(March!$C$3:$AH$169,78,MATCH(B95,March!$D$3:$AH$3)+1)+INDEX(March!$C$3:$AH$169,83,MATCH(B95,March!$D$3:$AH$3)+1)+INDEX(March!$C$3:$AH$169,88,MATCH(B95,March!$D$3:$AH$3)+1)+INDEX(March!$C$3:$AH$169,93,MATCH(B95,March!$D$3:$AH$3)+1)+INDEX(March!$C$3:$AH$169,98,MATCH(B95,March!$D$3:$AH$3)+1)+INDEX(March!$C$3:$AH$169,103,MATCH(B95,March!$D$3:$AH$3)+1)+INDEX(March!$C$3:$AH$169,108,MATCH(B95,March!$D$3:$AH$3)+1)+INDEX(March!$C$3:$AH$169,113,MATCH(B95,March!$D$3:$AH$3)+1)+INDEX(March!$C$3:$AH$169,118,MATCH(B95,March!$D$3:$AH$3)+1)+INDEX(March!$C$3:$AH$169,123,MATCH(B95,March!$D$3:$AH$3)+1)+INDEX(March!$C$3:$AH$169,128,MATCH(B95,March!$D$3:$AH$3)+1)+INDEX(March!$C$3:$AH$169,133,MATCH(B95,March!$D$3:$AH$3)+1)+INDEX(March!$C$3:$AH$169,138,MATCH(B95,March!$D$3:$AH$3)+1)+INDEX(March!$C$3:$AH$169,143,MATCH(B95,March!$D$3:$AH$3)+1)+INDEX(March!$C$3:$AH$169,148,MATCH(B95,March!$D$3:$AH$3)+1)-INDEX(March!$B$5:$AH$169,MATCH("Patrick Janssen",March!$B$5:$B$169),MATCH(B95,March!$D$3:$AH$3)+2)-INDEX(March!$B$5:$AH$169,MATCH("Patrick Ziesen",March!$B$5:$B$169),MATCH(B95,March!$D$3:$AH$3)+2)-INDEX(March!$B$5:$AH$169,MATCH("Frido Meijer",March!$B$5:$B$169),MATCH(B95,March!$D$3:$AH$3)+2)</f>
        <v>20</v>
      </c>
      <c r="H95" s="130">
        <f>INDEX(March!$C$3:$AH$169,4,MATCH(B95,March!$D$3:$AH$3)+1)+INDEX(March!$C$3:$AH$169,9,MATCH(B95,March!$D$3:$AH$3)+1)+INDEX(March!$C$3:$AH$169,14,MATCH(B95,March!$D$3:$AH$3)+1)+INDEX(March!$C$3:$AH$169,19,MATCH(B95,March!$D$3:$AH$3)+1)+INDEX(March!$C$3:$AH$169,24,MATCH(B95,March!$D$3:$AH$3)+1)+INDEX(March!$C$3:$AH$169,29,MATCH(B95,March!$D$3:$AH$3)+1)+INDEX(March!$C$3:$AH$169,34,MATCH(B95,March!$D$3:$AH$3)+1)+INDEX(March!$C$3:$AH$169,39,MATCH(B95,March!$D$3:$AH$3)+1)+INDEX(March!$C$3:$AH$169,44,MATCH(B95,March!$D$3:$AH$3)+1)+INDEX(March!$C$3:$AH$169,49,MATCH(B95,March!$D$3:$AH$3)+1)+INDEX(March!$C$3:$AH$169,54,MATCH(B95,March!$D$3:$AH$3)+1)+INDEX(March!$C$3:$AH$169,59,MATCH(B95,March!$D$3:$AH$3)+1)+INDEX(March!$C$3:$AH$169,64,MATCH(B95,March!$D$3:$AH$3)+1)+INDEX(March!$C$3:$AH$169,69,MATCH(B95,March!$D$3:$AH$3)+1)+INDEX(March!$C$3:$AH$169,74,MATCH(B95,March!$D$3:$AH$3)+1)+INDEX(March!$C$3:$AH$169,79,MATCH(B95,March!$D$3:$AH$3)+1)+INDEX(March!$C$3:$AH$169,84,MATCH(B95,March!$D$3:$AH$3)+1)+INDEX(March!$C$3:$AH$169,89,MATCH(B95,March!$D$3:$AH$3)+1)+INDEX(March!$C$3:$AH$169,94,MATCH(B95,March!$D$3:$AH$3)+1)+INDEX(March!$C$3:$AH$169,99,MATCH(B95,March!$D$3:$AH$3)+1)+INDEX(March!$C$3:$AH$169,104,MATCH(B95,March!$D$3:$AH$3)+1)+INDEX(March!$C$3:$AH$169,109,MATCH(B95,March!$D$3:$AH$3)+1)+INDEX(March!$C$3:$AH$169,114,MATCH(B95,March!$D$3:$AH$3)+1)+INDEX(March!$C$3:$AH$169,119,MATCH(B95,March!$D$3:$AH$3)+1)+INDEX(March!$C$3:$AH$169,124,MATCH(B95,March!$D$3:$AH$3)+1)+INDEX(March!$C$3:$AH$169,129,MATCH(B95,March!$D$3:$AH$3)+1)+INDEX(March!$C$3:$AH$169,134,MATCH(B95,March!$D$3:$AH$3)+1)+INDEX(March!$C$3:$AH$169,139,MATCH(B95,March!$D$3:$AH$3)+1)+INDEX(March!$C$3:$AH$169,144,MATCH(B95,March!$D$3:$AH$3)+1)+INDEX(March!$C$3:$AH$169,149,MATCH(B95,March!$D$3:$AH$3)+1)-INDEX(March!$B$5:$AH$169,MATCH("Patrick Janssen",March!$B$5:$B$169)+1,MATCH(B95,March!$D$3:$AH$3)+2)-INDEX(March!$B$5:$AH$169,MATCH("Patrick Ziesen",March!$B$5:$B$169)+1,MATCH(B95,March!$D$3:$AH$3)+2)-INDEX(March!$B$5:$AH$169,MATCH("Frido Meijer",March!$B$5:$B$169)+1,MATCH(B95,March!$D$3:$AH$3)+2)</f>
        <v>8</v>
      </c>
      <c r="I95" s="130">
        <v>0</v>
      </c>
      <c r="J95" s="130">
        <v>0</v>
      </c>
      <c r="L95" s="165"/>
      <c r="M95" s="111"/>
      <c r="N95" s="111">
        <f t="shared" si="24"/>
        <v>0</v>
      </c>
      <c r="P95" s="112">
        <f t="shared" si="25"/>
        <v>0</v>
      </c>
      <c r="Q95" s="112">
        <f t="shared" si="26"/>
        <v>0</v>
      </c>
    </row>
    <row r="96" spans="2:17" x14ac:dyDescent="0.25">
      <c r="B96" s="110">
        <f>DATE(Title!$F$12,$S$7,S32)</f>
        <v>41361</v>
      </c>
      <c r="C96" s="111">
        <f>IF(WEEKDAY(B96)=1,0,IF(WEEKDAY(B96)=4,'Hours Scheduled'!$F$44-1,IF(WEEKDAY(B96)=7,0,'Hours Scheduled'!$F$44)))</f>
        <v>25</v>
      </c>
      <c r="D96" s="17">
        <f t="shared" si="27"/>
        <v>187.5</v>
      </c>
      <c r="E96" s="127">
        <f t="shared" si="28"/>
        <v>156.5</v>
      </c>
      <c r="F96" s="111"/>
      <c r="G96" s="130">
        <f>INDEX(March!$C$3:$AH$169,3,MATCH(B96,March!$D$3:$AH$3)+1)+INDEX(March!$C$3:$AH$169,8,MATCH(B96,March!$D$3:$AH$3)+1)+INDEX(March!$C$3:$AH$169,13,MATCH(B96,March!$D$3:$AH$3)+1)+INDEX(March!$C$3:$AH$169,18,MATCH(B96,March!$D$3:$AH$3)+1)+INDEX(March!$C$3:$AH$169,23,MATCH(B96,March!$D$3:$AH$3)+1)+INDEX(March!$C$3:$AH$169,28,MATCH(B96,March!$D$3:$AH$3)+1)+INDEX(March!$C$3:$AH$169,33,MATCH(B96,March!$D$3:$AH$3)+1)+INDEX(March!$C$3:$AH$169,38,MATCH(B96,March!$D$3:$AH$3)+1)+INDEX(March!$C$3:$AH$169,43,MATCH(B96,March!$D$3:$AH$3)+1)+INDEX(March!$C$3:$AH$169,48,MATCH(B96,March!$D$3:$AH$3)+1)+INDEX(March!$C$3:$AH$169,53,MATCH(B96,March!$D$3:$AH$3)+1)+INDEX(March!$C$3:$AH$169,58,MATCH(B96,March!$D$3:$AH$3)+1)+INDEX(March!$C$3:$AH$169,63,MATCH(B96,March!$D$3:$AH$3)+1)+INDEX(March!$C$3:$AH$169,68,MATCH(B96,March!$D$3:$AH$3)+1)+INDEX(March!$C$3:$AH$169,73,MATCH(B96,March!$D$3:$AH$3)+1)+INDEX(March!$C$3:$AH$169,78,MATCH(B96,March!$D$3:$AH$3)+1)+INDEX(March!$C$3:$AH$169,83,MATCH(B96,March!$D$3:$AH$3)+1)+INDEX(March!$C$3:$AH$169,88,MATCH(B96,March!$D$3:$AH$3)+1)+INDEX(March!$C$3:$AH$169,93,MATCH(B96,March!$D$3:$AH$3)+1)+INDEX(March!$C$3:$AH$169,98,MATCH(B96,March!$D$3:$AH$3)+1)+INDEX(March!$C$3:$AH$169,103,MATCH(B96,March!$D$3:$AH$3)+1)+INDEX(March!$C$3:$AH$169,108,MATCH(B96,March!$D$3:$AH$3)+1)+INDEX(March!$C$3:$AH$169,113,MATCH(B96,March!$D$3:$AH$3)+1)+INDEX(March!$C$3:$AH$169,118,MATCH(B96,March!$D$3:$AH$3)+1)+INDEX(March!$C$3:$AH$169,123,MATCH(B96,March!$D$3:$AH$3)+1)+INDEX(March!$C$3:$AH$169,128,MATCH(B96,March!$D$3:$AH$3)+1)+INDEX(March!$C$3:$AH$169,133,MATCH(B96,March!$D$3:$AH$3)+1)+INDEX(March!$C$3:$AH$169,138,MATCH(B96,March!$D$3:$AH$3)+1)+INDEX(March!$C$3:$AH$169,143,MATCH(B96,March!$D$3:$AH$3)+1)+INDEX(March!$C$3:$AH$169,148,MATCH(B96,March!$D$3:$AH$3)+1)-INDEX(March!$B$5:$AH$169,MATCH("Patrick Janssen",March!$B$5:$B$169),MATCH(B96,March!$D$3:$AH$3)+2)-INDEX(March!$B$5:$AH$169,MATCH("Patrick Ziesen",March!$B$5:$B$169),MATCH(B96,March!$D$3:$AH$3)+2)-INDEX(March!$B$5:$AH$169,MATCH("Frido Meijer",March!$B$5:$B$169),MATCH(B96,March!$D$3:$AH$3)+2)</f>
        <v>39.5</v>
      </c>
      <c r="H96" s="130">
        <f>INDEX(March!$C$3:$AH$169,4,MATCH(B96,March!$D$3:$AH$3)+1)+INDEX(March!$C$3:$AH$169,9,MATCH(B96,March!$D$3:$AH$3)+1)+INDEX(March!$C$3:$AH$169,14,MATCH(B96,March!$D$3:$AH$3)+1)+INDEX(March!$C$3:$AH$169,19,MATCH(B96,March!$D$3:$AH$3)+1)+INDEX(March!$C$3:$AH$169,24,MATCH(B96,March!$D$3:$AH$3)+1)+INDEX(March!$C$3:$AH$169,29,MATCH(B96,March!$D$3:$AH$3)+1)+INDEX(March!$C$3:$AH$169,34,MATCH(B96,March!$D$3:$AH$3)+1)+INDEX(March!$C$3:$AH$169,39,MATCH(B96,March!$D$3:$AH$3)+1)+INDEX(March!$C$3:$AH$169,44,MATCH(B96,March!$D$3:$AH$3)+1)+INDEX(March!$C$3:$AH$169,49,MATCH(B96,March!$D$3:$AH$3)+1)+INDEX(March!$C$3:$AH$169,54,MATCH(B96,March!$D$3:$AH$3)+1)+INDEX(March!$C$3:$AH$169,59,MATCH(B96,March!$D$3:$AH$3)+1)+INDEX(March!$C$3:$AH$169,64,MATCH(B96,March!$D$3:$AH$3)+1)+INDEX(March!$C$3:$AH$169,69,MATCH(B96,March!$D$3:$AH$3)+1)+INDEX(March!$C$3:$AH$169,74,MATCH(B96,March!$D$3:$AH$3)+1)+INDEX(March!$C$3:$AH$169,79,MATCH(B96,March!$D$3:$AH$3)+1)+INDEX(March!$C$3:$AH$169,84,MATCH(B96,March!$D$3:$AH$3)+1)+INDEX(March!$C$3:$AH$169,89,MATCH(B96,March!$D$3:$AH$3)+1)+INDEX(March!$C$3:$AH$169,94,MATCH(B96,March!$D$3:$AH$3)+1)+INDEX(March!$C$3:$AH$169,99,MATCH(B96,March!$D$3:$AH$3)+1)+INDEX(March!$C$3:$AH$169,104,MATCH(B96,March!$D$3:$AH$3)+1)+INDEX(March!$C$3:$AH$169,109,MATCH(B96,March!$D$3:$AH$3)+1)+INDEX(March!$C$3:$AH$169,114,MATCH(B96,March!$D$3:$AH$3)+1)+INDEX(March!$C$3:$AH$169,119,MATCH(B96,March!$D$3:$AH$3)+1)+INDEX(March!$C$3:$AH$169,124,MATCH(B96,March!$D$3:$AH$3)+1)+INDEX(March!$C$3:$AH$169,129,MATCH(B96,March!$D$3:$AH$3)+1)+INDEX(March!$C$3:$AH$169,134,MATCH(B96,March!$D$3:$AH$3)+1)+INDEX(March!$C$3:$AH$169,139,MATCH(B96,March!$D$3:$AH$3)+1)+INDEX(March!$C$3:$AH$169,144,MATCH(B96,March!$D$3:$AH$3)+1)+INDEX(March!$C$3:$AH$169,149,MATCH(B96,March!$D$3:$AH$3)+1)-INDEX(March!$B$5:$AH$169,MATCH("Patrick Janssen",March!$B$5:$B$169)+1,MATCH(B96,March!$D$3:$AH$3)+2)-INDEX(March!$B$5:$AH$169,MATCH("Patrick Ziesen",March!$B$5:$B$169)+1,MATCH(B96,March!$D$3:$AH$3)+2)-INDEX(March!$B$5:$AH$169,MATCH("Frido Meijer",March!$B$5:$B$169)+1,MATCH(B96,March!$D$3:$AH$3)+2)</f>
        <v>4</v>
      </c>
      <c r="I96" s="130">
        <v>0</v>
      </c>
      <c r="J96" s="130">
        <v>0</v>
      </c>
      <c r="L96" s="165"/>
      <c r="M96" s="111"/>
      <c r="N96" s="111">
        <f t="shared" si="24"/>
        <v>0</v>
      </c>
      <c r="P96" s="112">
        <f t="shared" si="25"/>
        <v>0</v>
      </c>
      <c r="Q96" s="112">
        <f t="shared" si="26"/>
        <v>0</v>
      </c>
    </row>
    <row r="97" spans="2:17" x14ac:dyDescent="0.25">
      <c r="B97" s="110">
        <f>DATE(Title!$F$12,$S$7,S33)</f>
        <v>41362</v>
      </c>
      <c r="C97" s="111">
        <f>IF(WEEKDAY(B97)=1,0,IF(WEEKDAY(B97)=4,'Hours Scheduled'!$F$44-1,IF(WEEKDAY(B97)=7,0,'Hours Scheduled'!$F$44)))</f>
        <v>25</v>
      </c>
      <c r="D97" s="17">
        <f t="shared" si="27"/>
        <v>187.5</v>
      </c>
      <c r="E97" s="127">
        <f t="shared" si="28"/>
        <v>148</v>
      </c>
      <c r="F97" s="111"/>
      <c r="G97" s="130">
        <f>INDEX(March!$C$3:$AH$169,3,MATCH(B97,March!$D$3:$AH$3)+1)+INDEX(March!$C$3:$AH$169,8,MATCH(B97,March!$D$3:$AH$3)+1)+INDEX(March!$C$3:$AH$169,13,MATCH(B97,March!$D$3:$AH$3)+1)+INDEX(March!$C$3:$AH$169,18,MATCH(B97,March!$D$3:$AH$3)+1)+INDEX(March!$C$3:$AH$169,23,MATCH(B97,March!$D$3:$AH$3)+1)+INDEX(March!$C$3:$AH$169,28,MATCH(B97,March!$D$3:$AH$3)+1)+INDEX(March!$C$3:$AH$169,33,MATCH(B97,March!$D$3:$AH$3)+1)+INDEX(March!$C$3:$AH$169,38,MATCH(B97,March!$D$3:$AH$3)+1)+INDEX(March!$C$3:$AH$169,43,MATCH(B97,March!$D$3:$AH$3)+1)+INDEX(March!$C$3:$AH$169,48,MATCH(B97,March!$D$3:$AH$3)+1)+INDEX(March!$C$3:$AH$169,53,MATCH(B97,March!$D$3:$AH$3)+1)+INDEX(March!$C$3:$AH$169,58,MATCH(B97,March!$D$3:$AH$3)+1)+INDEX(March!$C$3:$AH$169,63,MATCH(B97,March!$D$3:$AH$3)+1)+INDEX(March!$C$3:$AH$169,68,MATCH(B97,March!$D$3:$AH$3)+1)+INDEX(March!$C$3:$AH$169,73,MATCH(B97,March!$D$3:$AH$3)+1)+INDEX(March!$C$3:$AH$169,78,MATCH(B97,March!$D$3:$AH$3)+1)+INDEX(March!$C$3:$AH$169,83,MATCH(B97,March!$D$3:$AH$3)+1)+INDEX(March!$C$3:$AH$169,88,MATCH(B97,March!$D$3:$AH$3)+1)+INDEX(March!$C$3:$AH$169,93,MATCH(B97,March!$D$3:$AH$3)+1)+INDEX(March!$C$3:$AH$169,98,MATCH(B97,March!$D$3:$AH$3)+1)+INDEX(March!$C$3:$AH$169,103,MATCH(B97,March!$D$3:$AH$3)+1)+INDEX(March!$C$3:$AH$169,108,MATCH(B97,March!$D$3:$AH$3)+1)+INDEX(March!$C$3:$AH$169,113,MATCH(B97,March!$D$3:$AH$3)+1)+INDEX(March!$C$3:$AH$169,118,MATCH(B97,March!$D$3:$AH$3)+1)+INDEX(March!$C$3:$AH$169,123,MATCH(B97,March!$D$3:$AH$3)+1)+INDEX(March!$C$3:$AH$169,128,MATCH(B97,March!$D$3:$AH$3)+1)+INDEX(March!$C$3:$AH$169,133,MATCH(B97,March!$D$3:$AH$3)+1)+INDEX(March!$C$3:$AH$169,138,MATCH(B97,March!$D$3:$AH$3)+1)+INDEX(March!$C$3:$AH$169,143,MATCH(B97,March!$D$3:$AH$3)+1)+INDEX(March!$C$3:$AH$169,148,MATCH(B97,March!$D$3:$AH$3)+1)-INDEX(March!$B$5:$AH$169,MATCH("Patrick Janssen",March!$B$5:$B$169),MATCH(B97,March!$D$3:$AH$3)+2)-INDEX(March!$B$5:$AH$169,MATCH("Patrick Ziesen",March!$B$5:$B$169),MATCH(B97,March!$D$3:$AH$3)+2)-INDEX(March!$B$5:$AH$169,MATCH("Frido Meijer",March!$B$5:$B$169),MATCH(B97,March!$D$3:$AH$3)+2)</f>
        <v>48</v>
      </c>
      <c r="H97" s="130">
        <f>INDEX(March!$C$3:$AH$169,4,MATCH(B97,March!$D$3:$AH$3)+1)+INDEX(March!$C$3:$AH$169,9,MATCH(B97,March!$D$3:$AH$3)+1)+INDEX(March!$C$3:$AH$169,14,MATCH(B97,March!$D$3:$AH$3)+1)+INDEX(March!$C$3:$AH$169,19,MATCH(B97,March!$D$3:$AH$3)+1)+INDEX(March!$C$3:$AH$169,24,MATCH(B97,March!$D$3:$AH$3)+1)+INDEX(March!$C$3:$AH$169,29,MATCH(B97,March!$D$3:$AH$3)+1)+INDEX(March!$C$3:$AH$169,34,MATCH(B97,March!$D$3:$AH$3)+1)+INDEX(March!$C$3:$AH$169,39,MATCH(B97,March!$D$3:$AH$3)+1)+INDEX(March!$C$3:$AH$169,44,MATCH(B97,March!$D$3:$AH$3)+1)+INDEX(March!$C$3:$AH$169,49,MATCH(B97,March!$D$3:$AH$3)+1)+INDEX(March!$C$3:$AH$169,54,MATCH(B97,March!$D$3:$AH$3)+1)+INDEX(March!$C$3:$AH$169,59,MATCH(B97,March!$D$3:$AH$3)+1)+INDEX(March!$C$3:$AH$169,64,MATCH(B97,March!$D$3:$AH$3)+1)+INDEX(March!$C$3:$AH$169,69,MATCH(B97,March!$D$3:$AH$3)+1)+INDEX(March!$C$3:$AH$169,74,MATCH(B97,March!$D$3:$AH$3)+1)+INDEX(March!$C$3:$AH$169,79,MATCH(B97,March!$D$3:$AH$3)+1)+INDEX(March!$C$3:$AH$169,84,MATCH(B97,March!$D$3:$AH$3)+1)+INDEX(March!$C$3:$AH$169,89,MATCH(B97,March!$D$3:$AH$3)+1)+INDEX(March!$C$3:$AH$169,94,MATCH(B97,March!$D$3:$AH$3)+1)+INDEX(March!$C$3:$AH$169,99,MATCH(B97,March!$D$3:$AH$3)+1)+INDEX(March!$C$3:$AH$169,104,MATCH(B97,March!$D$3:$AH$3)+1)+INDEX(March!$C$3:$AH$169,109,MATCH(B97,March!$D$3:$AH$3)+1)+INDEX(March!$C$3:$AH$169,114,MATCH(B97,March!$D$3:$AH$3)+1)+INDEX(March!$C$3:$AH$169,119,MATCH(B97,March!$D$3:$AH$3)+1)+INDEX(March!$C$3:$AH$169,124,MATCH(B97,March!$D$3:$AH$3)+1)+INDEX(March!$C$3:$AH$169,129,MATCH(B97,March!$D$3:$AH$3)+1)+INDEX(March!$C$3:$AH$169,134,MATCH(B97,March!$D$3:$AH$3)+1)+INDEX(March!$C$3:$AH$169,139,MATCH(B97,March!$D$3:$AH$3)+1)+INDEX(March!$C$3:$AH$169,144,MATCH(B97,March!$D$3:$AH$3)+1)+INDEX(March!$C$3:$AH$169,149,MATCH(B97,March!$D$3:$AH$3)+1)-INDEX(March!$B$5:$AH$169,MATCH("Patrick Janssen",March!$B$5:$B$169)+1,MATCH(B97,March!$D$3:$AH$3)+2)-INDEX(March!$B$5:$AH$169,MATCH("Patrick Ziesen",March!$B$5:$B$169)+1,MATCH(B97,March!$D$3:$AH$3)+2)-INDEX(March!$B$5:$AH$169,MATCH("Frido Meijer",March!$B$5:$B$169)+1,MATCH(B97,March!$D$3:$AH$3)+2)</f>
        <v>4</v>
      </c>
      <c r="I97" s="130">
        <v>0</v>
      </c>
      <c r="J97" s="130">
        <v>0</v>
      </c>
      <c r="L97" s="165"/>
      <c r="M97" s="111"/>
      <c r="N97" s="111">
        <f t="shared" si="24"/>
        <v>0</v>
      </c>
      <c r="P97" s="112">
        <f t="shared" si="25"/>
        <v>0</v>
      </c>
      <c r="Q97" s="112">
        <f t="shared" si="26"/>
        <v>0</v>
      </c>
    </row>
    <row r="98" spans="2:17" x14ac:dyDescent="0.25">
      <c r="B98" s="110">
        <f>DATE(Title!$F$12,$S$7,S34)</f>
        <v>41363</v>
      </c>
      <c r="C98" s="111">
        <f>IF(WEEKDAY(B98)=1,0,IF(WEEKDAY(B98)=4,'Hours Scheduled'!$F$44-1,IF(WEEKDAY(B98)=7,0,'Hours Scheduled'!$F$44)))</f>
        <v>0</v>
      </c>
      <c r="D98" s="17">
        <f t="shared" si="27"/>
        <v>0</v>
      </c>
      <c r="E98" s="127">
        <f t="shared" si="28"/>
        <v>0</v>
      </c>
      <c r="F98" s="111"/>
      <c r="G98" s="130">
        <f>INDEX(March!$C$3:$AH$169,3,MATCH(B98,March!$D$3:$AH$3)+1)+INDEX(March!$C$3:$AH$169,8,MATCH(B98,March!$D$3:$AH$3)+1)+INDEX(March!$C$3:$AH$169,13,MATCH(B98,March!$D$3:$AH$3)+1)+INDEX(March!$C$3:$AH$169,18,MATCH(B98,March!$D$3:$AH$3)+1)+INDEX(March!$C$3:$AH$169,23,MATCH(B98,March!$D$3:$AH$3)+1)+INDEX(March!$C$3:$AH$169,28,MATCH(B98,March!$D$3:$AH$3)+1)+INDEX(March!$C$3:$AH$169,33,MATCH(B98,March!$D$3:$AH$3)+1)+INDEX(March!$C$3:$AH$169,38,MATCH(B98,March!$D$3:$AH$3)+1)+INDEX(March!$C$3:$AH$169,43,MATCH(B98,March!$D$3:$AH$3)+1)+INDEX(March!$C$3:$AH$169,48,MATCH(B98,March!$D$3:$AH$3)+1)+INDEX(March!$C$3:$AH$169,53,MATCH(B98,March!$D$3:$AH$3)+1)+INDEX(March!$C$3:$AH$169,58,MATCH(B98,March!$D$3:$AH$3)+1)+INDEX(March!$C$3:$AH$169,63,MATCH(B98,March!$D$3:$AH$3)+1)+INDEX(March!$C$3:$AH$169,68,MATCH(B98,March!$D$3:$AH$3)+1)+INDEX(March!$C$3:$AH$169,73,MATCH(B98,March!$D$3:$AH$3)+1)+INDEX(March!$C$3:$AH$169,78,MATCH(B98,March!$D$3:$AH$3)+1)+INDEX(March!$C$3:$AH$169,83,MATCH(B98,March!$D$3:$AH$3)+1)+INDEX(March!$C$3:$AH$169,88,MATCH(B98,March!$D$3:$AH$3)+1)+INDEX(March!$C$3:$AH$169,93,MATCH(B98,March!$D$3:$AH$3)+1)+INDEX(March!$C$3:$AH$169,98,MATCH(B98,March!$D$3:$AH$3)+1)+INDEX(March!$C$3:$AH$169,103,MATCH(B98,March!$D$3:$AH$3)+1)+INDEX(March!$C$3:$AH$169,108,MATCH(B98,March!$D$3:$AH$3)+1)+INDEX(March!$C$3:$AH$169,113,MATCH(B98,March!$D$3:$AH$3)+1)+INDEX(March!$C$3:$AH$169,118,MATCH(B98,March!$D$3:$AH$3)+1)+INDEX(March!$C$3:$AH$169,123,MATCH(B98,March!$D$3:$AH$3)+1)+INDEX(March!$C$3:$AH$169,128,MATCH(B98,March!$D$3:$AH$3)+1)+INDEX(March!$C$3:$AH$169,133,MATCH(B98,March!$D$3:$AH$3)+1)+INDEX(March!$C$3:$AH$169,138,MATCH(B98,March!$D$3:$AH$3)+1)+INDEX(March!$C$3:$AH$169,143,MATCH(B98,March!$D$3:$AH$3)+1)+INDEX(March!$C$3:$AH$169,148,MATCH(B98,March!$D$3:$AH$3)+1)-INDEX(March!$B$5:$AH$169,MATCH("Patrick Janssen",March!$B$5:$B$169),MATCH(B98,March!$D$3:$AH$3)+2)-INDEX(March!$B$5:$AH$169,MATCH("Patrick Ziesen",March!$B$5:$B$169),MATCH(B98,March!$D$3:$AH$3)+2)-INDEX(March!$B$5:$AH$169,MATCH("Frido Meijer",March!$B$5:$B$169),MATCH(B98,March!$D$3:$AH$3)+2)</f>
        <v>0</v>
      </c>
      <c r="H98" s="130">
        <f>INDEX(March!$C$3:$AH$169,4,MATCH(B98,March!$D$3:$AH$3)+1)+INDEX(March!$C$3:$AH$169,9,MATCH(B98,March!$D$3:$AH$3)+1)+INDEX(March!$C$3:$AH$169,14,MATCH(B98,March!$D$3:$AH$3)+1)+INDEX(March!$C$3:$AH$169,19,MATCH(B98,March!$D$3:$AH$3)+1)+INDEX(March!$C$3:$AH$169,24,MATCH(B98,March!$D$3:$AH$3)+1)+INDEX(March!$C$3:$AH$169,29,MATCH(B98,March!$D$3:$AH$3)+1)+INDEX(March!$C$3:$AH$169,34,MATCH(B98,March!$D$3:$AH$3)+1)+INDEX(March!$C$3:$AH$169,39,MATCH(B98,March!$D$3:$AH$3)+1)+INDEX(March!$C$3:$AH$169,44,MATCH(B98,March!$D$3:$AH$3)+1)+INDEX(March!$C$3:$AH$169,49,MATCH(B98,March!$D$3:$AH$3)+1)+INDEX(March!$C$3:$AH$169,54,MATCH(B98,March!$D$3:$AH$3)+1)+INDEX(March!$C$3:$AH$169,59,MATCH(B98,March!$D$3:$AH$3)+1)+INDEX(March!$C$3:$AH$169,64,MATCH(B98,March!$D$3:$AH$3)+1)+INDEX(March!$C$3:$AH$169,69,MATCH(B98,March!$D$3:$AH$3)+1)+INDEX(March!$C$3:$AH$169,74,MATCH(B98,March!$D$3:$AH$3)+1)+INDEX(March!$C$3:$AH$169,79,MATCH(B98,March!$D$3:$AH$3)+1)+INDEX(March!$C$3:$AH$169,84,MATCH(B98,March!$D$3:$AH$3)+1)+INDEX(March!$C$3:$AH$169,89,MATCH(B98,March!$D$3:$AH$3)+1)+INDEX(March!$C$3:$AH$169,94,MATCH(B98,March!$D$3:$AH$3)+1)+INDEX(March!$C$3:$AH$169,99,MATCH(B98,March!$D$3:$AH$3)+1)+INDEX(March!$C$3:$AH$169,104,MATCH(B98,March!$D$3:$AH$3)+1)+INDEX(March!$C$3:$AH$169,109,MATCH(B98,March!$D$3:$AH$3)+1)+INDEX(March!$C$3:$AH$169,114,MATCH(B98,March!$D$3:$AH$3)+1)+INDEX(March!$C$3:$AH$169,119,MATCH(B98,March!$D$3:$AH$3)+1)+INDEX(March!$C$3:$AH$169,124,MATCH(B98,March!$D$3:$AH$3)+1)+INDEX(March!$C$3:$AH$169,129,MATCH(B98,March!$D$3:$AH$3)+1)+INDEX(March!$C$3:$AH$169,134,MATCH(B98,March!$D$3:$AH$3)+1)+INDEX(March!$C$3:$AH$169,139,MATCH(B98,March!$D$3:$AH$3)+1)+INDEX(March!$C$3:$AH$169,144,MATCH(B98,March!$D$3:$AH$3)+1)+INDEX(March!$C$3:$AH$169,149,MATCH(B98,March!$D$3:$AH$3)+1)-INDEX(March!$B$5:$AH$169,MATCH("Patrick Janssen",March!$B$5:$B$169)+1,MATCH(B98,March!$D$3:$AH$3)+2)-INDEX(March!$B$5:$AH$169,MATCH("Patrick Ziesen",March!$B$5:$B$169)+1,MATCH(B98,March!$D$3:$AH$3)+2)-INDEX(March!$B$5:$AH$169,MATCH("Frido Meijer",March!$B$5:$B$169)+1,MATCH(B98,March!$D$3:$AH$3)+2)</f>
        <v>0</v>
      </c>
      <c r="I98" s="130">
        <v>0</v>
      </c>
      <c r="J98" s="130">
        <v>0</v>
      </c>
      <c r="L98" s="165"/>
      <c r="M98" s="111"/>
      <c r="N98" s="111">
        <f t="shared" si="24"/>
        <v>0</v>
      </c>
      <c r="P98" s="112" t="str">
        <f t="shared" si="25"/>
        <v/>
      </c>
      <c r="Q98" s="112" t="str">
        <f t="shared" si="26"/>
        <v/>
      </c>
    </row>
    <row r="99" spans="2:17" ht="15.75" thickBot="1" x14ac:dyDescent="0.3">
      <c r="B99" s="110">
        <f>DATE(Title!$F$12,$S$7,S35)</f>
        <v>41364</v>
      </c>
      <c r="C99" s="111">
        <f>IF(WEEKDAY(B99)=1,0,IF(WEEKDAY(B99)=4,'Hours Scheduled'!$F$44-1,IF(WEEKDAY(B99)=7,0,'Hours Scheduled'!$F$44)))</f>
        <v>0</v>
      </c>
      <c r="D99" s="17">
        <f t="shared" si="27"/>
        <v>0</v>
      </c>
      <c r="E99" s="127">
        <f t="shared" si="28"/>
        <v>0</v>
      </c>
      <c r="F99" s="113"/>
      <c r="G99" s="132">
        <f>INDEX(March!$C$3:$AH$169,3,MATCH(B99,March!$D$3:$AH$3)+1)+INDEX(March!$C$3:$AH$169,8,MATCH(B99,March!$D$3:$AH$3)+1)+INDEX(March!$C$3:$AH$169,13,MATCH(B99,March!$D$3:$AH$3)+1)+INDEX(March!$C$3:$AH$169,18,MATCH(B99,March!$D$3:$AH$3)+1)+INDEX(March!$C$3:$AH$169,23,MATCH(B99,March!$D$3:$AH$3)+1)+INDEX(March!$C$3:$AH$169,28,MATCH(B99,March!$D$3:$AH$3)+1)+INDEX(March!$C$3:$AH$169,33,MATCH(B99,March!$D$3:$AH$3)+1)+INDEX(March!$C$3:$AH$169,38,MATCH(B99,March!$D$3:$AH$3)+1)+INDEX(March!$C$3:$AH$169,43,MATCH(B99,March!$D$3:$AH$3)+1)+INDEX(March!$C$3:$AH$169,48,MATCH(B99,March!$D$3:$AH$3)+1)+INDEX(March!$C$3:$AH$169,53,MATCH(B99,March!$D$3:$AH$3)+1)+INDEX(March!$C$3:$AH$169,58,MATCH(B99,March!$D$3:$AH$3)+1)+INDEX(March!$C$3:$AH$169,63,MATCH(B99,March!$D$3:$AH$3)+1)+INDEX(March!$C$3:$AH$169,68,MATCH(B99,March!$D$3:$AH$3)+1)+INDEX(March!$C$3:$AH$169,73,MATCH(B99,March!$D$3:$AH$3)+1)+INDEX(March!$C$3:$AH$169,78,MATCH(B99,March!$D$3:$AH$3)+1)+INDEX(March!$C$3:$AH$169,83,MATCH(B99,March!$D$3:$AH$3)+1)+INDEX(March!$C$3:$AH$169,88,MATCH(B99,March!$D$3:$AH$3)+1)+INDEX(March!$C$3:$AH$169,93,MATCH(B99,March!$D$3:$AH$3)+1)+INDEX(March!$C$3:$AH$169,98,MATCH(B99,March!$D$3:$AH$3)+1)+INDEX(March!$C$3:$AH$169,103,MATCH(B99,March!$D$3:$AH$3)+1)+INDEX(March!$C$3:$AH$169,108,MATCH(B99,March!$D$3:$AH$3)+1)+INDEX(March!$C$3:$AH$169,113,MATCH(B99,March!$D$3:$AH$3)+1)+INDEX(March!$C$3:$AH$169,118,MATCH(B99,March!$D$3:$AH$3)+1)+INDEX(March!$C$3:$AH$169,123,MATCH(B99,March!$D$3:$AH$3)+1)+INDEX(March!$C$3:$AH$169,128,MATCH(B99,March!$D$3:$AH$3)+1)+INDEX(March!$C$3:$AH$169,133,MATCH(B99,March!$D$3:$AH$3)+1)+INDEX(March!$C$3:$AH$169,138,MATCH(B99,March!$D$3:$AH$3)+1)+INDEX(March!$C$3:$AH$169,143,MATCH(B99,March!$D$3:$AH$3)+1)+INDEX(March!$C$3:$AH$169,148,MATCH(B99,March!$D$3:$AH$3)+1)-INDEX(March!$B$5:$AH$169,MATCH("Patrick Janssen",March!$B$5:$B$169),MATCH(B99,March!$D$3:$AH$3)+2)-INDEX(March!$B$5:$AH$169,MATCH("Patrick Ziesen",March!$B$5:$B$169),MATCH(B99,March!$D$3:$AH$3)+2)-INDEX(March!$B$5:$AH$169,MATCH("Frido Meijer",March!$B$5:$B$169),MATCH(B99,March!$D$3:$AH$3)+2)</f>
        <v>0</v>
      </c>
      <c r="H99" s="132">
        <f>INDEX(March!$C$3:$AH$169,4,MATCH(B99,March!$D$3:$AH$3)+1)+INDEX(March!$C$3:$AH$169,9,MATCH(B99,March!$D$3:$AH$3)+1)+INDEX(March!$C$3:$AH$169,14,MATCH(B99,March!$D$3:$AH$3)+1)+INDEX(March!$C$3:$AH$169,19,MATCH(B99,March!$D$3:$AH$3)+1)+INDEX(March!$C$3:$AH$169,24,MATCH(B99,March!$D$3:$AH$3)+1)+INDEX(March!$C$3:$AH$169,29,MATCH(B99,March!$D$3:$AH$3)+1)+INDEX(March!$C$3:$AH$169,34,MATCH(B99,March!$D$3:$AH$3)+1)+INDEX(March!$C$3:$AH$169,39,MATCH(B99,March!$D$3:$AH$3)+1)+INDEX(March!$C$3:$AH$169,44,MATCH(B99,March!$D$3:$AH$3)+1)+INDEX(March!$C$3:$AH$169,49,MATCH(B99,March!$D$3:$AH$3)+1)+INDEX(March!$C$3:$AH$169,54,MATCH(B99,March!$D$3:$AH$3)+1)+INDEX(March!$C$3:$AH$169,59,MATCH(B99,March!$D$3:$AH$3)+1)+INDEX(March!$C$3:$AH$169,64,MATCH(B99,March!$D$3:$AH$3)+1)+INDEX(March!$C$3:$AH$169,69,MATCH(B99,March!$D$3:$AH$3)+1)+INDEX(March!$C$3:$AH$169,74,MATCH(B99,March!$D$3:$AH$3)+1)+INDEX(March!$C$3:$AH$169,79,MATCH(B99,March!$D$3:$AH$3)+1)+INDEX(March!$C$3:$AH$169,84,MATCH(B99,March!$D$3:$AH$3)+1)+INDEX(March!$C$3:$AH$169,89,MATCH(B99,March!$D$3:$AH$3)+1)+INDEX(March!$C$3:$AH$169,94,MATCH(B99,March!$D$3:$AH$3)+1)+INDEX(March!$C$3:$AH$169,99,MATCH(B99,March!$D$3:$AH$3)+1)+INDEX(March!$C$3:$AH$169,104,MATCH(B99,March!$D$3:$AH$3)+1)+INDEX(March!$C$3:$AH$169,109,MATCH(B99,March!$D$3:$AH$3)+1)+INDEX(March!$C$3:$AH$169,114,MATCH(B99,March!$D$3:$AH$3)+1)+INDEX(March!$C$3:$AH$169,119,MATCH(B99,March!$D$3:$AH$3)+1)+INDEX(March!$C$3:$AH$169,124,MATCH(B99,March!$D$3:$AH$3)+1)+INDEX(March!$C$3:$AH$169,129,MATCH(B99,March!$D$3:$AH$3)+1)+INDEX(March!$C$3:$AH$169,134,MATCH(B99,March!$D$3:$AH$3)+1)+INDEX(March!$C$3:$AH$169,139,MATCH(B99,March!$D$3:$AH$3)+1)+INDEX(March!$C$3:$AH$169,144,MATCH(B99,March!$D$3:$AH$3)+1)+INDEX(March!$C$3:$AH$169,149,MATCH(B99,March!$D$3:$AH$3)+1)-INDEX(March!$B$5:$AH$169,MATCH("Patrick Janssen",March!$B$5:$B$169)+1,MATCH(B99,March!$D$3:$AH$3)+2)-INDEX(March!$B$5:$AH$169,MATCH("Patrick Ziesen",March!$B$5:$B$169)+1,MATCH(B99,March!$D$3:$AH$3)+2)-INDEX(March!$B$5:$AH$169,MATCH("Frido Meijer",March!$B$5:$B$169)+1,MATCH(B99,March!$D$3:$AH$3)+2)</f>
        <v>0</v>
      </c>
      <c r="I99" s="130">
        <v>0</v>
      </c>
      <c r="J99" s="130">
        <v>0</v>
      </c>
      <c r="L99" s="111"/>
      <c r="M99" s="111"/>
      <c r="N99" s="111">
        <f t="shared" si="24"/>
        <v>0</v>
      </c>
      <c r="P99" s="112" t="str">
        <f t="shared" si="25"/>
        <v/>
      </c>
      <c r="Q99" s="112" t="str">
        <f t="shared" si="26"/>
        <v/>
      </c>
    </row>
    <row r="100" spans="2:17" ht="15.75" x14ac:dyDescent="0.25">
      <c r="B100" s="146" t="s">
        <v>7</v>
      </c>
      <c r="C100" s="114">
        <f>SUM(C69:C99)</f>
        <v>521</v>
      </c>
      <c r="D100" s="107">
        <f t="shared" si="27"/>
        <v>3907.5</v>
      </c>
      <c r="E100" s="140">
        <f t="shared" si="28"/>
        <v>3318.5</v>
      </c>
      <c r="F100" s="114">
        <f>SUM(F69:F99)</f>
        <v>0</v>
      </c>
      <c r="G100" s="133">
        <f t="shared" ref="G100:J100" si="29">SUM(G69:G99)</f>
        <v>529.5</v>
      </c>
      <c r="H100" s="133">
        <f t="shared" si="29"/>
        <v>320</v>
      </c>
      <c r="I100" s="133">
        <f t="shared" si="29"/>
        <v>0</v>
      </c>
      <c r="J100" s="133">
        <f t="shared" si="29"/>
        <v>0</v>
      </c>
      <c r="K100" s="115"/>
      <c r="L100" s="114">
        <f>SUM(L69:L99)</f>
        <v>0</v>
      </c>
      <c r="M100" s="114">
        <f t="shared" ref="M100:N100" si="30">SUM(M69:M99)</f>
        <v>0</v>
      </c>
      <c r="N100" s="114">
        <f t="shared" si="30"/>
        <v>0</v>
      </c>
      <c r="O100" s="115"/>
      <c r="P100" s="116">
        <f t="shared" ref="P100" si="31">(L100+(M100/60)+N100)/(D100-F100-G100-H100-I100-J100)</f>
        <v>0</v>
      </c>
      <c r="Q100" s="116">
        <f t="shared" ref="Q100" si="32">(L100+(M100/60)+N100)/(D100-(G100+H100))</f>
        <v>0</v>
      </c>
    </row>
    <row r="101" spans="2:17" x14ac:dyDescent="0.25">
      <c r="B101"/>
      <c r="E101" s="127"/>
    </row>
    <row r="102" spans="2:17" x14ac:dyDescent="0.25">
      <c r="B102" s="110">
        <f>DATE(Title!$F$12,$S$8,S5)</f>
        <v>41365</v>
      </c>
      <c r="C102" s="111">
        <f>IF(WEEKDAY(B102)=1,0,IF(WEEKDAY(B102)=4,'Hours Scheduled'!$G$44-1,IF(WEEKDAY(B102)=7,0,'Hours Scheduled'!$G$44)))</f>
        <v>24</v>
      </c>
      <c r="D102" s="17">
        <f>C102*7.5</f>
        <v>180</v>
      </c>
      <c r="E102" s="127">
        <f>C102*8-G102-H102</f>
        <v>192</v>
      </c>
      <c r="F102" s="111"/>
      <c r="G102" s="130">
        <f>INDEX(April!$C$3:$AH$169,3,MATCH(B102,April!$D$3:$AH$3)+1)+INDEX(April!$C$3:$AH$169,8,MATCH(B102,April!$D$3:$AH$3)+1)+INDEX(April!$C$3:$AH$169,13,MATCH(B102,April!$D$3:$AH$3)+1)+INDEX(April!$C$3:$AH$169,18,MATCH(B102,April!$D$3:$AH$3)+1)+INDEX(April!$C$3:$AH$169,23,MATCH(B102,April!$D$3:$AH$3)+1)+INDEX(April!$C$3:$AH$169,28,MATCH(B102,April!$D$3:$AH$3)+1)+INDEX(April!$C$3:$AH$169,33,MATCH(B102,April!$D$3:$AH$3)+1)+INDEX(April!$C$3:$AH$169,38,MATCH(B102,April!$D$3:$AH$3)+1)+INDEX(April!$C$3:$AH$169,43,MATCH(B102,April!$D$3:$AH$3)+1)+INDEX(April!$C$3:$AH$169,48,MATCH(B102,April!$D$3:$AH$3)+1)+INDEX(April!$C$3:$AH$169,53,MATCH(B102,April!$D$3:$AH$3)+1)+INDEX(April!$C$3:$AH$169,58,MATCH(B102,April!$D$3:$AH$3)+1)+INDEX(April!$C$3:$AH$169,63,MATCH(B102,April!$D$3:$AH$3)+1)+INDEX(April!$C$3:$AH$169,68,MATCH(B102,April!$D$3:$AH$3)+1)+INDEX(April!$C$3:$AH$169,73,MATCH(B102,April!$D$3:$AH$3)+1)+INDEX(April!$C$3:$AH$169,78,MATCH(B102,April!$D$3:$AH$3)+1)+INDEX(April!$C$3:$AH$169,83,MATCH(B102,April!$D$3:$AH$3)+1)+INDEX(April!$C$3:$AH$169,88,MATCH(B102,April!$D$3:$AH$3)+1)+INDEX(April!$C$3:$AH$169,93,MATCH(B102,April!$D$3:$AH$3)+1)+INDEX(April!$C$3:$AH$169,98,MATCH(B102,April!$D$3:$AH$3)+1)+INDEX(April!$C$3:$AH$169,103,MATCH(B102,April!$D$3:$AH$3)+1)+INDEX(April!$C$3:$AH$169,108,MATCH(B102,April!$D$3:$AH$3)+1)+INDEX(April!$C$3:$AH$169,113,MATCH(B102,April!$D$3:$AH$3)+1)+INDEX(April!$C$3:$AH$169,118,MATCH(B102,April!$D$3:$AH$3)+1)+INDEX(April!$C$3:$AH$169,123,MATCH(B102,April!$D$3:$AH$3)+1)+INDEX(April!$C$3:$AH$169,128,MATCH(B102,April!$D$3:$AH$3)+1)+INDEX(April!$C$3:$AH$169,133,MATCH(B102,April!$D$3:$AH$3)+1)+INDEX(April!$C$3:$AH$169,138,MATCH(B102,April!$D$3:$AH$3)+1)+INDEX(April!$C$3:$AH$169,143,MATCH(B102,April!$D$3:$AH$3)+1)+INDEX(April!$C$3:$AH$169,148,MATCH(B102,April!$D$3:$AH$3)+1)-INDEX(April!$B$5:$AH$169,MATCH("Patrick Janssen",April!$B$5:$B$169),MATCH(B102,April!$D$3:$AH$3)+2)-INDEX(April!$B$5:$AH$169,MATCH("Patrick Ziesen",April!$B$5:$B$169),MATCH(B102,April!$D$3:$AH$3)+2)-INDEX(April!$B$5:$AH$169,MATCH("Frido Meijer",April!$B$5:$B$169),MATCH(B102,April!$D$3:$AH$3)+2)</f>
        <v>0</v>
      </c>
      <c r="H102" s="130">
        <f>INDEX(April!$C$3:$AH$169,4,MATCH(B102,April!$D$3:$AH$3)+1)+INDEX(April!$C$3:$AH$169,9,MATCH(B102,April!$D$3:$AH$3)+1)+INDEX(April!$C$3:$AH$169,14,MATCH(B102,April!$D$3:$AH$3)+1)+INDEX(April!$C$3:$AH$169,19,MATCH(B102,April!$D$3:$AH$3)+1)+INDEX(April!$C$3:$AH$169,24,MATCH(B102,April!$D$3:$AH$3)+1)+INDEX(April!$C$3:$AH$169,29,MATCH(B102,April!$D$3:$AH$3)+1)+INDEX(April!$C$3:$AH$169,34,MATCH(B102,April!$D$3:$AH$3)+1)+INDEX(April!$C$3:$AH$169,39,MATCH(B102,April!$D$3:$AH$3)+1)+INDEX(April!$C$3:$AH$169,44,MATCH(B102,April!$D$3:$AH$3)+1)+INDEX(April!$C$3:$AH$169,49,MATCH(B102,April!$D$3:$AH$3)+1)+INDEX(April!$C$3:$AH$169,54,MATCH(B102,April!$D$3:$AH$3)+1)+INDEX(April!$C$3:$AH$169,59,MATCH(B102,April!$D$3:$AH$3)+1)+INDEX(April!$C$3:$AH$169,64,MATCH(B102,April!$D$3:$AH$3)+1)+INDEX(April!$C$3:$AH$169,69,MATCH(B102,April!$D$3:$AH$3)+1)+INDEX(April!$C$3:$AH$169,74,MATCH(B102,April!$D$3:$AH$3)+1)+INDEX(April!$C$3:$AH$169,79,MATCH(B102,April!$D$3:$AH$3)+1)+INDEX(April!$C$3:$AH$169,84,MATCH(B102,April!$D$3:$AH$3)+1)+INDEX(April!$C$3:$AH$169,89,MATCH(B102,April!$D$3:$AH$3)+1)+INDEX(April!$C$3:$AH$169,94,MATCH(B102,April!$D$3:$AH$3)+1)+INDEX(April!$C$3:$AH$169,99,MATCH(B102,April!$D$3:$AH$3)+1)+INDEX(April!$C$3:$AH$169,104,MATCH(B102,April!$D$3:$AH$3)+1)+INDEX(April!$C$3:$AH$169,109,MATCH(B102,April!$D$3:$AH$3)+1)+INDEX(April!$C$3:$AH$169,114,MATCH(B102,April!$D$3:$AH$3)+1)+INDEX(April!$C$3:$AH$169,119,MATCH(B102,April!$D$3:$AH$3)+1)+INDEX(April!$C$3:$AH$169,124,MATCH(B102,April!$D$3:$AH$3)+1)+INDEX(April!$C$3:$AH$169,129,MATCH(B102,April!$D$3:$AH$3)+1)+INDEX(April!$C$3:$AH$169,134,MATCH(B102,April!$D$3:$AH$3)+1)+INDEX(April!$C$3:$AH$169,139,MATCH(B102,April!$D$3:$AH$3)+1)+INDEX(April!$C$3:$AH$169,144,MATCH(B102,April!$D$3:$AH$3)+1)+INDEX(April!$C$3:$AH$169,149,MATCH(B102,April!$D$3:$AH$3)+1)-INDEX(April!$B$5:$AH$169,MATCH("Patrick Janssen",April!$B$5:$B$169)+1,MATCH(B102,April!$D$3:$AH$3)+2)-INDEX(April!$B$5:$AH$169,MATCH("Patrick Ziesen",April!$B$5:$B$169)+1,MATCH(B102,April!$D$3:$AH$3)+2)-INDEX(April!$B$5:$AH$169,MATCH("Frido Meijer",April!$B$5:$B$169)+1,MATCH(B102,April!$D$3:$AH$3)+2)</f>
        <v>0</v>
      </c>
      <c r="I102" s="130">
        <v>0</v>
      </c>
      <c r="J102" s="130">
        <v>0</v>
      </c>
      <c r="L102" s="124"/>
      <c r="M102" s="111"/>
      <c r="N102" s="111">
        <f t="shared" ref="N102:N131" si="33">IF(L102="",0,6*7.5)</f>
        <v>0</v>
      </c>
      <c r="P102" s="112">
        <f t="shared" ref="P102:P131" si="34">IFERROR((L102+(M102/60)+N102)/(D102-F102-G102-H102-I102-J102),"")</f>
        <v>0</v>
      </c>
      <c r="Q102" s="112">
        <f t="shared" ref="Q102:Q131" si="35">IFERROR((L102+(M102/60)+N102)/(D102-(G102+H102)),"")</f>
        <v>0</v>
      </c>
    </row>
    <row r="103" spans="2:17" x14ac:dyDescent="0.25">
      <c r="B103" s="110">
        <f>DATE(Title!$F$12,$S$8,S6)</f>
        <v>41366</v>
      </c>
      <c r="C103" s="111">
        <f>IF(WEEKDAY(B103)=1,0,IF(WEEKDAY(B103)=4,'Hours Scheduled'!$G$44-1,IF(WEEKDAY(B103)=7,0,'Hours Scheduled'!$G$44)))</f>
        <v>24</v>
      </c>
      <c r="D103" s="17">
        <f t="shared" ref="D103:D132" si="36">C103*7.5</f>
        <v>180</v>
      </c>
      <c r="E103" s="127">
        <f t="shared" ref="E103:E132" si="37">C103*8-G103-H103</f>
        <v>169</v>
      </c>
      <c r="F103" s="111"/>
      <c r="G103" s="130">
        <f>INDEX(April!$C$3:$AH$169,3,MATCH(B103,April!$D$3:$AH$3)+1)+INDEX(April!$C$3:$AH$169,8,MATCH(B103,April!$D$3:$AH$3)+1)+INDEX(April!$C$3:$AH$169,13,MATCH(B103,April!$D$3:$AH$3)+1)+INDEX(April!$C$3:$AH$169,18,MATCH(B103,April!$D$3:$AH$3)+1)+INDEX(April!$C$3:$AH$169,23,MATCH(B103,April!$D$3:$AH$3)+1)+INDEX(April!$C$3:$AH$169,28,MATCH(B103,April!$D$3:$AH$3)+1)+INDEX(April!$C$3:$AH$169,33,MATCH(B103,April!$D$3:$AH$3)+1)+INDEX(April!$C$3:$AH$169,38,MATCH(B103,April!$D$3:$AH$3)+1)+INDEX(April!$C$3:$AH$169,43,MATCH(B103,April!$D$3:$AH$3)+1)+INDEX(April!$C$3:$AH$169,48,MATCH(B103,April!$D$3:$AH$3)+1)+INDEX(April!$C$3:$AH$169,53,MATCH(B103,April!$D$3:$AH$3)+1)+INDEX(April!$C$3:$AH$169,58,MATCH(B103,April!$D$3:$AH$3)+1)+INDEX(April!$C$3:$AH$169,63,MATCH(B103,April!$D$3:$AH$3)+1)+INDEX(April!$C$3:$AH$169,68,MATCH(B103,April!$D$3:$AH$3)+1)+INDEX(April!$C$3:$AH$169,73,MATCH(B103,April!$D$3:$AH$3)+1)+INDEX(April!$C$3:$AH$169,78,MATCH(B103,April!$D$3:$AH$3)+1)+INDEX(April!$C$3:$AH$169,83,MATCH(B103,April!$D$3:$AH$3)+1)+INDEX(April!$C$3:$AH$169,88,MATCH(B103,April!$D$3:$AH$3)+1)+INDEX(April!$C$3:$AH$169,93,MATCH(B103,April!$D$3:$AH$3)+1)+INDEX(April!$C$3:$AH$169,98,MATCH(B103,April!$D$3:$AH$3)+1)+INDEX(April!$C$3:$AH$169,103,MATCH(B103,April!$D$3:$AH$3)+1)+INDEX(April!$C$3:$AH$169,108,MATCH(B103,April!$D$3:$AH$3)+1)+INDEX(April!$C$3:$AH$169,113,MATCH(B103,April!$D$3:$AH$3)+1)+INDEX(April!$C$3:$AH$169,118,MATCH(B103,April!$D$3:$AH$3)+1)+INDEX(April!$C$3:$AH$169,123,MATCH(B103,April!$D$3:$AH$3)+1)+INDEX(April!$C$3:$AH$169,128,MATCH(B103,April!$D$3:$AH$3)+1)+INDEX(April!$C$3:$AH$169,133,MATCH(B103,April!$D$3:$AH$3)+1)+INDEX(April!$C$3:$AH$169,138,MATCH(B103,April!$D$3:$AH$3)+1)+INDEX(April!$C$3:$AH$169,143,MATCH(B103,April!$D$3:$AH$3)+1)+INDEX(April!$C$3:$AH$169,148,MATCH(B103,April!$D$3:$AH$3)+1)-INDEX(April!$B$5:$AH$169,MATCH("Patrick Janssen",April!$B$5:$B$169),MATCH(B103,April!$D$3:$AH$3)+2)-INDEX(April!$B$5:$AH$169,MATCH("Patrick Ziesen",April!$B$5:$B$169),MATCH(B103,April!$D$3:$AH$3)+2)-INDEX(April!$B$5:$AH$169,MATCH("Frido Meijer",April!$B$5:$B$169),MATCH(B103,April!$D$3:$AH$3)+2)</f>
        <v>20</v>
      </c>
      <c r="H103" s="130">
        <f>INDEX(April!$C$3:$AH$169,4,MATCH(B103,April!$D$3:$AH$3)+1)+INDEX(April!$C$3:$AH$169,9,MATCH(B103,April!$D$3:$AH$3)+1)+INDEX(April!$C$3:$AH$169,14,MATCH(B103,April!$D$3:$AH$3)+1)+INDEX(April!$C$3:$AH$169,19,MATCH(B103,April!$D$3:$AH$3)+1)+INDEX(April!$C$3:$AH$169,24,MATCH(B103,April!$D$3:$AH$3)+1)+INDEX(April!$C$3:$AH$169,29,MATCH(B103,April!$D$3:$AH$3)+1)+INDEX(April!$C$3:$AH$169,34,MATCH(B103,April!$D$3:$AH$3)+1)+INDEX(April!$C$3:$AH$169,39,MATCH(B103,April!$D$3:$AH$3)+1)+INDEX(April!$C$3:$AH$169,44,MATCH(B103,April!$D$3:$AH$3)+1)+INDEX(April!$C$3:$AH$169,49,MATCH(B103,April!$D$3:$AH$3)+1)+INDEX(April!$C$3:$AH$169,54,MATCH(B103,April!$D$3:$AH$3)+1)+INDEX(April!$C$3:$AH$169,59,MATCH(B103,April!$D$3:$AH$3)+1)+INDEX(April!$C$3:$AH$169,64,MATCH(B103,April!$D$3:$AH$3)+1)+INDEX(April!$C$3:$AH$169,69,MATCH(B103,April!$D$3:$AH$3)+1)+INDEX(April!$C$3:$AH$169,74,MATCH(B103,April!$D$3:$AH$3)+1)+INDEX(April!$C$3:$AH$169,79,MATCH(B103,April!$D$3:$AH$3)+1)+INDEX(April!$C$3:$AH$169,84,MATCH(B103,April!$D$3:$AH$3)+1)+INDEX(April!$C$3:$AH$169,89,MATCH(B103,April!$D$3:$AH$3)+1)+INDEX(April!$C$3:$AH$169,94,MATCH(B103,April!$D$3:$AH$3)+1)+INDEX(April!$C$3:$AH$169,99,MATCH(B103,April!$D$3:$AH$3)+1)+INDEX(April!$C$3:$AH$169,104,MATCH(B103,April!$D$3:$AH$3)+1)+INDEX(April!$C$3:$AH$169,109,MATCH(B103,April!$D$3:$AH$3)+1)+INDEX(April!$C$3:$AH$169,114,MATCH(B103,April!$D$3:$AH$3)+1)+INDEX(April!$C$3:$AH$169,119,MATCH(B103,April!$D$3:$AH$3)+1)+INDEX(April!$C$3:$AH$169,124,MATCH(B103,April!$D$3:$AH$3)+1)+INDEX(April!$C$3:$AH$169,129,MATCH(B103,April!$D$3:$AH$3)+1)+INDEX(April!$C$3:$AH$169,134,MATCH(B103,April!$D$3:$AH$3)+1)+INDEX(April!$C$3:$AH$169,139,MATCH(B103,April!$D$3:$AH$3)+1)+INDEX(April!$C$3:$AH$169,144,MATCH(B103,April!$D$3:$AH$3)+1)+INDEX(April!$C$3:$AH$169,149,MATCH(B103,April!$D$3:$AH$3)+1)-INDEX(April!$B$5:$AH$169,MATCH("Patrick Janssen",April!$B$5:$B$169)+1,MATCH(B103,April!$D$3:$AH$3)+2)-INDEX(April!$B$5:$AH$169,MATCH("Patrick Ziesen",April!$B$5:$B$169)+1,MATCH(B103,April!$D$3:$AH$3)+2)-INDEX(April!$B$5:$AH$169,MATCH("Frido Meijer",April!$B$5:$B$169)+1,MATCH(B103,April!$D$3:$AH$3)+2)</f>
        <v>3</v>
      </c>
      <c r="I103" s="130">
        <v>0</v>
      </c>
      <c r="J103" s="130">
        <v>0</v>
      </c>
      <c r="L103" s="165"/>
      <c r="M103" s="111"/>
      <c r="N103" s="111">
        <f t="shared" si="33"/>
        <v>0</v>
      </c>
      <c r="P103" s="112">
        <f t="shared" si="34"/>
        <v>0</v>
      </c>
      <c r="Q103" s="112">
        <f t="shared" si="35"/>
        <v>0</v>
      </c>
    </row>
    <row r="104" spans="2:17" x14ac:dyDescent="0.25">
      <c r="B104" s="110">
        <f>DATE(Title!$F$12,$S$8,S7)</f>
        <v>41367</v>
      </c>
      <c r="C104" s="111">
        <f>IF(WEEKDAY(B104)=1,0,IF(WEEKDAY(B104)=4,'Hours Scheduled'!$G$44-1,IF(WEEKDAY(B104)=7,0,'Hours Scheduled'!$G$44)))</f>
        <v>23</v>
      </c>
      <c r="D104" s="17">
        <f t="shared" si="36"/>
        <v>172.5</v>
      </c>
      <c r="E104" s="127">
        <f t="shared" si="37"/>
        <v>144</v>
      </c>
      <c r="F104" s="111"/>
      <c r="G104" s="130">
        <f>INDEX(April!$C$3:$AH$169,3,MATCH(B104,April!$D$3:$AH$3)+1)+INDEX(April!$C$3:$AH$169,8,MATCH(B104,April!$D$3:$AH$3)+1)+INDEX(April!$C$3:$AH$169,13,MATCH(B104,April!$D$3:$AH$3)+1)+INDEX(April!$C$3:$AH$169,18,MATCH(B104,April!$D$3:$AH$3)+1)+INDEX(April!$C$3:$AH$169,23,MATCH(B104,April!$D$3:$AH$3)+1)+INDEX(April!$C$3:$AH$169,28,MATCH(B104,April!$D$3:$AH$3)+1)+INDEX(April!$C$3:$AH$169,33,MATCH(B104,April!$D$3:$AH$3)+1)+INDEX(April!$C$3:$AH$169,38,MATCH(B104,April!$D$3:$AH$3)+1)+INDEX(April!$C$3:$AH$169,43,MATCH(B104,April!$D$3:$AH$3)+1)+INDEX(April!$C$3:$AH$169,48,MATCH(B104,April!$D$3:$AH$3)+1)+INDEX(April!$C$3:$AH$169,53,MATCH(B104,April!$D$3:$AH$3)+1)+INDEX(April!$C$3:$AH$169,58,MATCH(B104,April!$D$3:$AH$3)+1)+INDEX(April!$C$3:$AH$169,63,MATCH(B104,April!$D$3:$AH$3)+1)+INDEX(April!$C$3:$AH$169,68,MATCH(B104,April!$D$3:$AH$3)+1)+INDEX(April!$C$3:$AH$169,73,MATCH(B104,April!$D$3:$AH$3)+1)+INDEX(April!$C$3:$AH$169,78,MATCH(B104,April!$D$3:$AH$3)+1)+INDEX(April!$C$3:$AH$169,83,MATCH(B104,April!$D$3:$AH$3)+1)+INDEX(April!$C$3:$AH$169,88,MATCH(B104,April!$D$3:$AH$3)+1)+INDEX(April!$C$3:$AH$169,93,MATCH(B104,April!$D$3:$AH$3)+1)+INDEX(April!$C$3:$AH$169,98,MATCH(B104,April!$D$3:$AH$3)+1)+INDEX(April!$C$3:$AH$169,103,MATCH(B104,April!$D$3:$AH$3)+1)+INDEX(April!$C$3:$AH$169,108,MATCH(B104,April!$D$3:$AH$3)+1)+INDEX(April!$C$3:$AH$169,113,MATCH(B104,April!$D$3:$AH$3)+1)+INDEX(April!$C$3:$AH$169,118,MATCH(B104,April!$D$3:$AH$3)+1)+INDEX(April!$C$3:$AH$169,123,MATCH(B104,April!$D$3:$AH$3)+1)+INDEX(April!$C$3:$AH$169,128,MATCH(B104,April!$D$3:$AH$3)+1)+INDEX(April!$C$3:$AH$169,133,MATCH(B104,April!$D$3:$AH$3)+1)+INDEX(April!$C$3:$AH$169,138,MATCH(B104,April!$D$3:$AH$3)+1)+INDEX(April!$C$3:$AH$169,143,MATCH(B104,April!$D$3:$AH$3)+1)+INDEX(April!$C$3:$AH$169,148,MATCH(B104,April!$D$3:$AH$3)+1)-INDEX(April!$B$5:$AH$169,MATCH("Patrick Janssen",April!$B$5:$B$169),MATCH(B104,April!$D$3:$AH$3)+2)-INDEX(April!$B$5:$AH$169,MATCH("Patrick Ziesen",April!$B$5:$B$169),MATCH(B104,April!$D$3:$AH$3)+2)-INDEX(April!$B$5:$AH$169,MATCH("Frido Meijer",April!$B$5:$B$169),MATCH(B104,April!$D$3:$AH$3)+2)</f>
        <v>24</v>
      </c>
      <c r="H104" s="130">
        <f>INDEX(April!$C$3:$AH$169,4,MATCH(B104,April!$D$3:$AH$3)+1)+INDEX(April!$C$3:$AH$169,9,MATCH(B104,April!$D$3:$AH$3)+1)+INDEX(April!$C$3:$AH$169,14,MATCH(B104,April!$D$3:$AH$3)+1)+INDEX(April!$C$3:$AH$169,19,MATCH(B104,April!$D$3:$AH$3)+1)+INDEX(April!$C$3:$AH$169,24,MATCH(B104,April!$D$3:$AH$3)+1)+INDEX(April!$C$3:$AH$169,29,MATCH(B104,April!$D$3:$AH$3)+1)+INDEX(April!$C$3:$AH$169,34,MATCH(B104,April!$D$3:$AH$3)+1)+INDEX(April!$C$3:$AH$169,39,MATCH(B104,April!$D$3:$AH$3)+1)+INDEX(April!$C$3:$AH$169,44,MATCH(B104,April!$D$3:$AH$3)+1)+INDEX(April!$C$3:$AH$169,49,MATCH(B104,April!$D$3:$AH$3)+1)+INDEX(April!$C$3:$AH$169,54,MATCH(B104,April!$D$3:$AH$3)+1)+INDEX(April!$C$3:$AH$169,59,MATCH(B104,April!$D$3:$AH$3)+1)+INDEX(April!$C$3:$AH$169,64,MATCH(B104,April!$D$3:$AH$3)+1)+INDEX(April!$C$3:$AH$169,69,MATCH(B104,April!$D$3:$AH$3)+1)+INDEX(April!$C$3:$AH$169,74,MATCH(B104,April!$D$3:$AH$3)+1)+INDEX(April!$C$3:$AH$169,79,MATCH(B104,April!$D$3:$AH$3)+1)+INDEX(April!$C$3:$AH$169,84,MATCH(B104,April!$D$3:$AH$3)+1)+INDEX(April!$C$3:$AH$169,89,MATCH(B104,April!$D$3:$AH$3)+1)+INDEX(April!$C$3:$AH$169,94,MATCH(B104,April!$D$3:$AH$3)+1)+INDEX(April!$C$3:$AH$169,99,MATCH(B104,April!$D$3:$AH$3)+1)+INDEX(April!$C$3:$AH$169,104,MATCH(B104,April!$D$3:$AH$3)+1)+INDEX(April!$C$3:$AH$169,109,MATCH(B104,April!$D$3:$AH$3)+1)+INDEX(April!$C$3:$AH$169,114,MATCH(B104,April!$D$3:$AH$3)+1)+INDEX(April!$C$3:$AH$169,119,MATCH(B104,April!$D$3:$AH$3)+1)+INDEX(April!$C$3:$AH$169,124,MATCH(B104,April!$D$3:$AH$3)+1)+INDEX(April!$C$3:$AH$169,129,MATCH(B104,April!$D$3:$AH$3)+1)+INDEX(April!$C$3:$AH$169,134,MATCH(B104,April!$D$3:$AH$3)+1)+INDEX(April!$C$3:$AH$169,139,MATCH(B104,April!$D$3:$AH$3)+1)+INDEX(April!$C$3:$AH$169,144,MATCH(B104,April!$D$3:$AH$3)+1)+INDEX(April!$C$3:$AH$169,149,MATCH(B104,April!$D$3:$AH$3)+1)-INDEX(April!$B$5:$AH$169,MATCH("Patrick Janssen",April!$B$5:$B$169)+1,MATCH(B104,April!$D$3:$AH$3)+2)-INDEX(April!$B$5:$AH$169,MATCH("Patrick Ziesen",April!$B$5:$B$169)+1,MATCH(B104,April!$D$3:$AH$3)+2)-INDEX(April!$B$5:$AH$169,MATCH("Frido Meijer",April!$B$5:$B$169)+1,MATCH(B104,April!$D$3:$AH$3)+2)</f>
        <v>16</v>
      </c>
      <c r="I104" s="130">
        <v>0</v>
      </c>
      <c r="J104" s="130">
        <v>0</v>
      </c>
      <c r="L104" s="165"/>
      <c r="M104" s="111"/>
      <c r="N104" s="111">
        <f t="shared" si="33"/>
        <v>0</v>
      </c>
      <c r="P104" s="112">
        <f t="shared" si="34"/>
        <v>0</v>
      </c>
      <c r="Q104" s="112">
        <f t="shared" si="35"/>
        <v>0</v>
      </c>
    </row>
    <row r="105" spans="2:17" x14ac:dyDescent="0.25">
      <c r="B105" s="110">
        <f>DATE(Title!$F$12,$S$8,S8)</f>
        <v>41368</v>
      </c>
      <c r="C105" s="111">
        <f>IF(WEEKDAY(B105)=1,0,IF(WEEKDAY(B105)=4,'Hours Scheduled'!$G$44-1,IF(WEEKDAY(B105)=7,0,'Hours Scheduled'!$G$44)))</f>
        <v>24</v>
      </c>
      <c r="D105" s="17">
        <f t="shared" si="36"/>
        <v>180</v>
      </c>
      <c r="E105" s="127">
        <f t="shared" si="37"/>
        <v>163</v>
      </c>
      <c r="F105" s="111"/>
      <c r="G105" s="130">
        <f>INDEX(April!$C$3:$AH$169,3,MATCH(B105,April!$D$3:$AH$3)+1)+INDEX(April!$C$3:$AH$169,8,MATCH(B105,April!$D$3:$AH$3)+1)+INDEX(April!$C$3:$AH$169,13,MATCH(B105,April!$D$3:$AH$3)+1)+INDEX(April!$C$3:$AH$169,18,MATCH(B105,April!$D$3:$AH$3)+1)+INDEX(April!$C$3:$AH$169,23,MATCH(B105,April!$D$3:$AH$3)+1)+INDEX(April!$C$3:$AH$169,28,MATCH(B105,April!$D$3:$AH$3)+1)+INDEX(April!$C$3:$AH$169,33,MATCH(B105,April!$D$3:$AH$3)+1)+INDEX(April!$C$3:$AH$169,38,MATCH(B105,April!$D$3:$AH$3)+1)+INDEX(April!$C$3:$AH$169,43,MATCH(B105,April!$D$3:$AH$3)+1)+INDEX(April!$C$3:$AH$169,48,MATCH(B105,April!$D$3:$AH$3)+1)+INDEX(April!$C$3:$AH$169,53,MATCH(B105,April!$D$3:$AH$3)+1)+INDEX(April!$C$3:$AH$169,58,MATCH(B105,April!$D$3:$AH$3)+1)+INDEX(April!$C$3:$AH$169,63,MATCH(B105,April!$D$3:$AH$3)+1)+INDEX(April!$C$3:$AH$169,68,MATCH(B105,April!$D$3:$AH$3)+1)+INDEX(April!$C$3:$AH$169,73,MATCH(B105,April!$D$3:$AH$3)+1)+INDEX(April!$C$3:$AH$169,78,MATCH(B105,April!$D$3:$AH$3)+1)+INDEX(April!$C$3:$AH$169,83,MATCH(B105,April!$D$3:$AH$3)+1)+INDEX(April!$C$3:$AH$169,88,MATCH(B105,April!$D$3:$AH$3)+1)+INDEX(April!$C$3:$AH$169,93,MATCH(B105,April!$D$3:$AH$3)+1)+INDEX(April!$C$3:$AH$169,98,MATCH(B105,April!$D$3:$AH$3)+1)+INDEX(April!$C$3:$AH$169,103,MATCH(B105,April!$D$3:$AH$3)+1)+INDEX(April!$C$3:$AH$169,108,MATCH(B105,April!$D$3:$AH$3)+1)+INDEX(April!$C$3:$AH$169,113,MATCH(B105,April!$D$3:$AH$3)+1)+INDEX(April!$C$3:$AH$169,118,MATCH(B105,April!$D$3:$AH$3)+1)+INDEX(April!$C$3:$AH$169,123,MATCH(B105,April!$D$3:$AH$3)+1)+INDEX(April!$C$3:$AH$169,128,MATCH(B105,April!$D$3:$AH$3)+1)+INDEX(April!$C$3:$AH$169,133,MATCH(B105,April!$D$3:$AH$3)+1)+INDEX(April!$C$3:$AH$169,138,MATCH(B105,April!$D$3:$AH$3)+1)+INDEX(April!$C$3:$AH$169,143,MATCH(B105,April!$D$3:$AH$3)+1)+INDEX(April!$C$3:$AH$169,148,MATCH(B105,April!$D$3:$AH$3)+1)-INDEX(April!$B$5:$AH$169,MATCH("Patrick Janssen",April!$B$5:$B$169),MATCH(B105,April!$D$3:$AH$3)+2)-INDEX(April!$B$5:$AH$169,MATCH("Patrick Ziesen",April!$B$5:$B$169),MATCH(B105,April!$D$3:$AH$3)+2)-INDEX(April!$B$5:$AH$169,MATCH("Frido Meijer",April!$B$5:$B$169),MATCH(B105,April!$D$3:$AH$3)+2)</f>
        <v>18</v>
      </c>
      <c r="H105" s="130">
        <f>INDEX(April!$C$3:$AH$169,4,MATCH(B105,April!$D$3:$AH$3)+1)+INDEX(April!$C$3:$AH$169,9,MATCH(B105,April!$D$3:$AH$3)+1)+INDEX(April!$C$3:$AH$169,14,MATCH(B105,April!$D$3:$AH$3)+1)+INDEX(April!$C$3:$AH$169,19,MATCH(B105,April!$D$3:$AH$3)+1)+INDEX(April!$C$3:$AH$169,24,MATCH(B105,April!$D$3:$AH$3)+1)+INDEX(April!$C$3:$AH$169,29,MATCH(B105,April!$D$3:$AH$3)+1)+INDEX(April!$C$3:$AH$169,34,MATCH(B105,April!$D$3:$AH$3)+1)+INDEX(April!$C$3:$AH$169,39,MATCH(B105,April!$D$3:$AH$3)+1)+INDEX(April!$C$3:$AH$169,44,MATCH(B105,April!$D$3:$AH$3)+1)+INDEX(April!$C$3:$AH$169,49,MATCH(B105,April!$D$3:$AH$3)+1)+INDEX(April!$C$3:$AH$169,54,MATCH(B105,April!$D$3:$AH$3)+1)+INDEX(April!$C$3:$AH$169,59,MATCH(B105,April!$D$3:$AH$3)+1)+INDEX(April!$C$3:$AH$169,64,MATCH(B105,April!$D$3:$AH$3)+1)+INDEX(April!$C$3:$AH$169,69,MATCH(B105,April!$D$3:$AH$3)+1)+INDEX(April!$C$3:$AH$169,74,MATCH(B105,April!$D$3:$AH$3)+1)+INDEX(April!$C$3:$AH$169,79,MATCH(B105,April!$D$3:$AH$3)+1)+INDEX(April!$C$3:$AH$169,84,MATCH(B105,April!$D$3:$AH$3)+1)+INDEX(April!$C$3:$AH$169,89,MATCH(B105,April!$D$3:$AH$3)+1)+INDEX(April!$C$3:$AH$169,94,MATCH(B105,April!$D$3:$AH$3)+1)+INDEX(April!$C$3:$AH$169,99,MATCH(B105,April!$D$3:$AH$3)+1)+INDEX(April!$C$3:$AH$169,104,MATCH(B105,April!$D$3:$AH$3)+1)+INDEX(April!$C$3:$AH$169,109,MATCH(B105,April!$D$3:$AH$3)+1)+INDEX(April!$C$3:$AH$169,114,MATCH(B105,April!$D$3:$AH$3)+1)+INDEX(April!$C$3:$AH$169,119,MATCH(B105,April!$D$3:$AH$3)+1)+INDEX(April!$C$3:$AH$169,124,MATCH(B105,April!$D$3:$AH$3)+1)+INDEX(April!$C$3:$AH$169,129,MATCH(B105,April!$D$3:$AH$3)+1)+INDEX(April!$C$3:$AH$169,134,MATCH(B105,April!$D$3:$AH$3)+1)+INDEX(April!$C$3:$AH$169,139,MATCH(B105,April!$D$3:$AH$3)+1)+INDEX(April!$C$3:$AH$169,144,MATCH(B105,April!$D$3:$AH$3)+1)+INDEX(April!$C$3:$AH$169,149,MATCH(B105,April!$D$3:$AH$3)+1)-INDEX(April!$B$5:$AH$169,MATCH("Patrick Janssen",April!$B$5:$B$169)+1,MATCH(B105,April!$D$3:$AH$3)+2)-INDEX(April!$B$5:$AH$169,MATCH("Patrick Ziesen",April!$B$5:$B$169)+1,MATCH(B105,April!$D$3:$AH$3)+2)-INDEX(April!$B$5:$AH$169,MATCH("Frido Meijer",April!$B$5:$B$169)+1,MATCH(B105,April!$D$3:$AH$3)+2)</f>
        <v>11</v>
      </c>
      <c r="I105" s="130">
        <v>0</v>
      </c>
      <c r="J105" s="130">
        <v>0</v>
      </c>
      <c r="L105" s="165"/>
      <c r="M105" s="111"/>
      <c r="N105" s="111">
        <f t="shared" si="33"/>
        <v>0</v>
      </c>
      <c r="P105" s="112">
        <f t="shared" si="34"/>
        <v>0</v>
      </c>
      <c r="Q105" s="112">
        <f t="shared" si="35"/>
        <v>0</v>
      </c>
    </row>
    <row r="106" spans="2:17" x14ac:dyDescent="0.25">
      <c r="B106" s="110">
        <f>DATE(Title!$F$12,$S$8,S9)</f>
        <v>41369</v>
      </c>
      <c r="C106" s="111">
        <f>IF(WEEKDAY(B106)=1,0,IF(WEEKDAY(B106)=4,'Hours Scheduled'!$G$44-1,IF(WEEKDAY(B106)=7,0,'Hours Scheduled'!$G$44)))</f>
        <v>24</v>
      </c>
      <c r="D106" s="17">
        <f t="shared" si="36"/>
        <v>180</v>
      </c>
      <c r="E106" s="127">
        <f t="shared" si="37"/>
        <v>171</v>
      </c>
      <c r="F106" s="111"/>
      <c r="G106" s="130">
        <f>INDEX(April!$C$3:$AH$169,3,MATCH(B106,April!$D$3:$AH$3)+1)+INDEX(April!$C$3:$AH$169,8,MATCH(B106,April!$D$3:$AH$3)+1)+INDEX(April!$C$3:$AH$169,13,MATCH(B106,April!$D$3:$AH$3)+1)+INDEX(April!$C$3:$AH$169,18,MATCH(B106,April!$D$3:$AH$3)+1)+INDEX(April!$C$3:$AH$169,23,MATCH(B106,April!$D$3:$AH$3)+1)+INDEX(April!$C$3:$AH$169,28,MATCH(B106,April!$D$3:$AH$3)+1)+INDEX(April!$C$3:$AH$169,33,MATCH(B106,April!$D$3:$AH$3)+1)+INDEX(April!$C$3:$AH$169,38,MATCH(B106,April!$D$3:$AH$3)+1)+INDEX(April!$C$3:$AH$169,43,MATCH(B106,April!$D$3:$AH$3)+1)+INDEX(April!$C$3:$AH$169,48,MATCH(B106,April!$D$3:$AH$3)+1)+INDEX(April!$C$3:$AH$169,53,MATCH(B106,April!$D$3:$AH$3)+1)+INDEX(April!$C$3:$AH$169,58,MATCH(B106,April!$D$3:$AH$3)+1)+INDEX(April!$C$3:$AH$169,63,MATCH(B106,April!$D$3:$AH$3)+1)+INDEX(April!$C$3:$AH$169,68,MATCH(B106,April!$D$3:$AH$3)+1)+INDEX(April!$C$3:$AH$169,73,MATCH(B106,April!$D$3:$AH$3)+1)+INDEX(April!$C$3:$AH$169,78,MATCH(B106,April!$D$3:$AH$3)+1)+INDEX(April!$C$3:$AH$169,83,MATCH(B106,April!$D$3:$AH$3)+1)+INDEX(April!$C$3:$AH$169,88,MATCH(B106,April!$D$3:$AH$3)+1)+INDEX(April!$C$3:$AH$169,93,MATCH(B106,April!$D$3:$AH$3)+1)+INDEX(April!$C$3:$AH$169,98,MATCH(B106,April!$D$3:$AH$3)+1)+INDEX(April!$C$3:$AH$169,103,MATCH(B106,April!$D$3:$AH$3)+1)+INDEX(April!$C$3:$AH$169,108,MATCH(B106,April!$D$3:$AH$3)+1)+INDEX(April!$C$3:$AH$169,113,MATCH(B106,April!$D$3:$AH$3)+1)+INDEX(April!$C$3:$AH$169,118,MATCH(B106,April!$D$3:$AH$3)+1)+INDEX(April!$C$3:$AH$169,123,MATCH(B106,April!$D$3:$AH$3)+1)+INDEX(April!$C$3:$AH$169,128,MATCH(B106,April!$D$3:$AH$3)+1)+INDEX(April!$C$3:$AH$169,133,MATCH(B106,April!$D$3:$AH$3)+1)+INDEX(April!$C$3:$AH$169,138,MATCH(B106,April!$D$3:$AH$3)+1)+INDEX(April!$C$3:$AH$169,143,MATCH(B106,April!$D$3:$AH$3)+1)+INDEX(April!$C$3:$AH$169,148,MATCH(B106,April!$D$3:$AH$3)+1)-INDEX(April!$B$5:$AH$169,MATCH("Patrick Janssen",April!$B$5:$B$169),MATCH(B106,April!$D$3:$AH$3)+2)-INDEX(April!$B$5:$AH$169,MATCH("Patrick Ziesen",April!$B$5:$B$169),MATCH(B106,April!$D$3:$AH$3)+2)-INDEX(April!$B$5:$AH$169,MATCH("Frido Meijer",April!$B$5:$B$169),MATCH(B106,April!$D$3:$AH$3)+2)</f>
        <v>18</v>
      </c>
      <c r="H106" s="130">
        <f>INDEX(April!$C$3:$AH$169,4,MATCH(B106,April!$D$3:$AH$3)+1)+INDEX(April!$C$3:$AH$169,9,MATCH(B106,April!$D$3:$AH$3)+1)+INDEX(April!$C$3:$AH$169,14,MATCH(B106,April!$D$3:$AH$3)+1)+INDEX(April!$C$3:$AH$169,19,MATCH(B106,April!$D$3:$AH$3)+1)+INDEX(April!$C$3:$AH$169,24,MATCH(B106,April!$D$3:$AH$3)+1)+INDEX(April!$C$3:$AH$169,29,MATCH(B106,April!$D$3:$AH$3)+1)+INDEX(April!$C$3:$AH$169,34,MATCH(B106,April!$D$3:$AH$3)+1)+INDEX(April!$C$3:$AH$169,39,MATCH(B106,April!$D$3:$AH$3)+1)+INDEX(April!$C$3:$AH$169,44,MATCH(B106,April!$D$3:$AH$3)+1)+INDEX(April!$C$3:$AH$169,49,MATCH(B106,April!$D$3:$AH$3)+1)+INDEX(April!$C$3:$AH$169,54,MATCH(B106,April!$D$3:$AH$3)+1)+INDEX(April!$C$3:$AH$169,59,MATCH(B106,April!$D$3:$AH$3)+1)+INDEX(April!$C$3:$AH$169,64,MATCH(B106,April!$D$3:$AH$3)+1)+INDEX(April!$C$3:$AH$169,69,MATCH(B106,April!$D$3:$AH$3)+1)+INDEX(April!$C$3:$AH$169,74,MATCH(B106,April!$D$3:$AH$3)+1)+INDEX(April!$C$3:$AH$169,79,MATCH(B106,April!$D$3:$AH$3)+1)+INDEX(April!$C$3:$AH$169,84,MATCH(B106,April!$D$3:$AH$3)+1)+INDEX(April!$C$3:$AH$169,89,MATCH(B106,April!$D$3:$AH$3)+1)+INDEX(April!$C$3:$AH$169,94,MATCH(B106,April!$D$3:$AH$3)+1)+INDEX(April!$C$3:$AH$169,99,MATCH(B106,April!$D$3:$AH$3)+1)+INDEX(April!$C$3:$AH$169,104,MATCH(B106,April!$D$3:$AH$3)+1)+INDEX(April!$C$3:$AH$169,109,MATCH(B106,April!$D$3:$AH$3)+1)+INDEX(April!$C$3:$AH$169,114,MATCH(B106,April!$D$3:$AH$3)+1)+INDEX(April!$C$3:$AH$169,119,MATCH(B106,April!$D$3:$AH$3)+1)+INDEX(April!$C$3:$AH$169,124,MATCH(B106,April!$D$3:$AH$3)+1)+INDEX(April!$C$3:$AH$169,129,MATCH(B106,April!$D$3:$AH$3)+1)+INDEX(April!$C$3:$AH$169,134,MATCH(B106,April!$D$3:$AH$3)+1)+INDEX(April!$C$3:$AH$169,139,MATCH(B106,April!$D$3:$AH$3)+1)+INDEX(April!$C$3:$AH$169,144,MATCH(B106,April!$D$3:$AH$3)+1)+INDEX(April!$C$3:$AH$169,149,MATCH(B106,April!$D$3:$AH$3)+1)-INDEX(April!$B$5:$AH$169,MATCH("Patrick Janssen",April!$B$5:$B$169)+1,MATCH(B106,April!$D$3:$AH$3)+2)-INDEX(April!$B$5:$AH$169,MATCH("Patrick Ziesen",April!$B$5:$B$169)+1,MATCH(B106,April!$D$3:$AH$3)+2)-INDEX(April!$B$5:$AH$169,MATCH("Frido Meijer",April!$B$5:$B$169)+1,MATCH(B106,April!$D$3:$AH$3)+2)</f>
        <v>3</v>
      </c>
      <c r="I106" s="130">
        <v>0</v>
      </c>
      <c r="J106" s="130">
        <v>0</v>
      </c>
      <c r="L106" s="165"/>
      <c r="M106" s="111"/>
      <c r="N106" s="111">
        <f t="shared" si="33"/>
        <v>0</v>
      </c>
      <c r="P106" s="112">
        <f t="shared" si="34"/>
        <v>0</v>
      </c>
      <c r="Q106" s="112">
        <f t="shared" si="35"/>
        <v>0</v>
      </c>
    </row>
    <row r="107" spans="2:17" x14ac:dyDescent="0.25">
      <c r="B107" s="110">
        <f>DATE(Title!$F$12,$S$8,S10)</f>
        <v>41370</v>
      </c>
      <c r="C107" s="111">
        <f>IF(WEEKDAY(B107)=1,0,IF(WEEKDAY(B107)=4,'Hours Scheduled'!$G$44-1,IF(WEEKDAY(B107)=7,0,'Hours Scheduled'!$G$44)))</f>
        <v>0</v>
      </c>
      <c r="D107" s="17">
        <f t="shared" si="36"/>
        <v>0</v>
      </c>
      <c r="E107" s="127">
        <f t="shared" si="37"/>
        <v>0</v>
      </c>
      <c r="F107" s="111"/>
      <c r="G107" s="130">
        <f>INDEX(April!$C$3:$AH$169,3,MATCH(B107,April!$D$3:$AH$3)+1)+INDEX(April!$C$3:$AH$169,8,MATCH(B107,April!$D$3:$AH$3)+1)+INDEX(April!$C$3:$AH$169,13,MATCH(B107,April!$D$3:$AH$3)+1)+INDEX(April!$C$3:$AH$169,18,MATCH(B107,April!$D$3:$AH$3)+1)+INDEX(April!$C$3:$AH$169,23,MATCH(B107,April!$D$3:$AH$3)+1)+INDEX(April!$C$3:$AH$169,28,MATCH(B107,April!$D$3:$AH$3)+1)+INDEX(April!$C$3:$AH$169,33,MATCH(B107,April!$D$3:$AH$3)+1)+INDEX(April!$C$3:$AH$169,38,MATCH(B107,April!$D$3:$AH$3)+1)+INDEX(April!$C$3:$AH$169,43,MATCH(B107,April!$D$3:$AH$3)+1)+INDEX(April!$C$3:$AH$169,48,MATCH(B107,April!$D$3:$AH$3)+1)+INDEX(April!$C$3:$AH$169,53,MATCH(B107,April!$D$3:$AH$3)+1)+INDEX(April!$C$3:$AH$169,58,MATCH(B107,April!$D$3:$AH$3)+1)+INDEX(April!$C$3:$AH$169,63,MATCH(B107,April!$D$3:$AH$3)+1)+INDEX(April!$C$3:$AH$169,68,MATCH(B107,April!$D$3:$AH$3)+1)+INDEX(April!$C$3:$AH$169,73,MATCH(B107,April!$D$3:$AH$3)+1)+INDEX(April!$C$3:$AH$169,78,MATCH(B107,April!$D$3:$AH$3)+1)+INDEX(April!$C$3:$AH$169,83,MATCH(B107,April!$D$3:$AH$3)+1)+INDEX(April!$C$3:$AH$169,88,MATCH(B107,April!$D$3:$AH$3)+1)+INDEX(April!$C$3:$AH$169,93,MATCH(B107,April!$D$3:$AH$3)+1)+INDEX(April!$C$3:$AH$169,98,MATCH(B107,April!$D$3:$AH$3)+1)+INDEX(April!$C$3:$AH$169,103,MATCH(B107,April!$D$3:$AH$3)+1)+INDEX(April!$C$3:$AH$169,108,MATCH(B107,April!$D$3:$AH$3)+1)+INDEX(April!$C$3:$AH$169,113,MATCH(B107,April!$D$3:$AH$3)+1)+INDEX(April!$C$3:$AH$169,118,MATCH(B107,April!$D$3:$AH$3)+1)+INDEX(April!$C$3:$AH$169,123,MATCH(B107,April!$D$3:$AH$3)+1)+INDEX(April!$C$3:$AH$169,128,MATCH(B107,April!$D$3:$AH$3)+1)+INDEX(April!$C$3:$AH$169,133,MATCH(B107,April!$D$3:$AH$3)+1)+INDEX(April!$C$3:$AH$169,138,MATCH(B107,April!$D$3:$AH$3)+1)+INDEX(April!$C$3:$AH$169,143,MATCH(B107,April!$D$3:$AH$3)+1)+INDEX(April!$C$3:$AH$169,148,MATCH(B107,April!$D$3:$AH$3)+1)-INDEX(April!$B$5:$AH$169,MATCH("Patrick Janssen",April!$B$5:$B$169),MATCH(B107,April!$D$3:$AH$3)+2)-INDEX(April!$B$5:$AH$169,MATCH("Patrick Ziesen",April!$B$5:$B$169),MATCH(B107,April!$D$3:$AH$3)+2)-INDEX(April!$B$5:$AH$169,MATCH("Frido Meijer",April!$B$5:$B$169),MATCH(B107,April!$D$3:$AH$3)+2)</f>
        <v>0</v>
      </c>
      <c r="H107" s="130">
        <f>INDEX(April!$C$3:$AH$169,4,MATCH(B107,April!$D$3:$AH$3)+1)+INDEX(April!$C$3:$AH$169,9,MATCH(B107,April!$D$3:$AH$3)+1)+INDEX(April!$C$3:$AH$169,14,MATCH(B107,April!$D$3:$AH$3)+1)+INDEX(April!$C$3:$AH$169,19,MATCH(B107,April!$D$3:$AH$3)+1)+INDEX(April!$C$3:$AH$169,24,MATCH(B107,April!$D$3:$AH$3)+1)+INDEX(April!$C$3:$AH$169,29,MATCH(B107,April!$D$3:$AH$3)+1)+INDEX(April!$C$3:$AH$169,34,MATCH(B107,April!$D$3:$AH$3)+1)+INDEX(April!$C$3:$AH$169,39,MATCH(B107,April!$D$3:$AH$3)+1)+INDEX(April!$C$3:$AH$169,44,MATCH(B107,April!$D$3:$AH$3)+1)+INDEX(April!$C$3:$AH$169,49,MATCH(B107,April!$D$3:$AH$3)+1)+INDEX(April!$C$3:$AH$169,54,MATCH(B107,April!$D$3:$AH$3)+1)+INDEX(April!$C$3:$AH$169,59,MATCH(B107,April!$D$3:$AH$3)+1)+INDEX(April!$C$3:$AH$169,64,MATCH(B107,April!$D$3:$AH$3)+1)+INDEX(April!$C$3:$AH$169,69,MATCH(B107,April!$D$3:$AH$3)+1)+INDEX(April!$C$3:$AH$169,74,MATCH(B107,April!$D$3:$AH$3)+1)+INDEX(April!$C$3:$AH$169,79,MATCH(B107,April!$D$3:$AH$3)+1)+INDEX(April!$C$3:$AH$169,84,MATCH(B107,April!$D$3:$AH$3)+1)+INDEX(April!$C$3:$AH$169,89,MATCH(B107,April!$D$3:$AH$3)+1)+INDEX(April!$C$3:$AH$169,94,MATCH(B107,April!$D$3:$AH$3)+1)+INDEX(April!$C$3:$AH$169,99,MATCH(B107,April!$D$3:$AH$3)+1)+INDEX(April!$C$3:$AH$169,104,MATCH(B107,April!$D$3:$AH$3)+1)+INDEX(April!$C$3:$AH$169,109,MATCH(B107,April!$D$3:$AH$3)+1)+INDEX(April!$C$3:$AH$169,114,MATCH(B107,April!$D$3:$AH$3)+1)+INDEX(April!$C$3:$AH$169,119,MATCH(B107,April!$D$3:$AH$3)+1)+INDEX(April!$C$3:$AH$169,124,MATCH(B107,April!$D$3:$AH$3)+1)+INDEX(April!$C$3:$AH$169,129,MATCH(B107,April!$D$3:$AH$3)+1)+INDEX(April!$C$3:$AH$169,134,MATCH(B107,April!$D$3:$AH$3)+1)+INDEX(April!$C$3:$AH$169,139,MATCH(B107,April!$D$3:$AH$3)+1)+INDEX(April!$C$3:$AH$169,144,MATCH(B107,April!$D$3:$AH$3)+1)+INDEX(April!$C$3:$AH$169,149,MATCH(B107,April!$D$3:$AH$3)+1)-INDEX(April!$B$5:$AH$169,MATCH("Patrick Janssen",April!$B$5:$B$169)+1,MATCH(B107,April!$D$3:$AH$3)+2)-INDEX(April!$B$5:$AH$169,MATCH("Patrick Ziesen",April!$B$5:$B$169)+1,MATCH(B107,April!$D$3:$AH$3)+2)-INDEX(April!$B$5:$AH$169,MATCH("Frido Meijer",April!$B$5:$B$169)+1,MATCH(B107,April!$D$3:$AH$3)+2)</f>
        <v>0</v>
      </c>
      <c r="I107" s="130">
        <v>0</v>
      </c>
      <c r="J107" s="130">
        <v>0</v>
      </c>
      <c r="L107" s="165"/>
      <c r="M107" s="111"/>
      <c r="N107" s="111">
        <f t="shared" si="33"/>
        <v>0</v>
      </c>
      <c r="P107" s="112" t="str">
        <f t="shared" si="34"/>
        <v/>
      </c>
      <c r="Q107" s="112" t="str">
        <f t="shared" si="35"/>
        <v/>
      </c>
    </row>
    <row r="108" spans="2:17" x14ac:dyDescent="0.25">
      <c r="B108" s="110">
        <f>DATE(Title!$F$12,$S$8,S11)</f>
        <v>41371</v>
      </c>
      <c r="C108" s="111">
        <f>IF(WEEKDAY(B108)=1,0,IF(WEEKDAY(B108)=4,'Hours Scheduled'!$G$44-1,IF(WEEKDAY(B108)=7,0,'Hours Scheduled'!$G$44)))</f>
        <v>0</v>
      </c>
      <c r="D108" s="17">
        <f t="shared" si="36"/>
        <v>0</v>
      </c>
      <c r="E108" s="127">
        <f t="shared" si="37"/>
        <v>0</v>
      </c>
      <c r="F108" s="111"/>
      <c r="G108" s="130">
        <f>INDEX(April!$C$3:$AH$169,3,MATCH(B108,April!$D$3:$AH$3)+1)+INDEX(April!$C$3:$AH$169,8,MATCH(B108,April!$D$3:$AH$3)+1)+INDEX(April!$C$3:$AH$169,13,MATCH(B108,April!$D$3:$AH$3)+1)+INDEX(April!$C$3:$AH$169,18,MATCH(B108,April!$D$3:$AH$3)+1)+INDEX(April!$C$3:$AH$169,23,MATCH(B108,April!$D$3:$AH$3)+1)+INDEX(April!$C$3:$AH$169,28,MATCH(B108,April!$D$3:$AH$3)+1)+INDEX(April!$C$3:$AH$169,33,MATCH(B108,April!$D$3:$AH$3)+1)+INDEX(April!$C$3:$AH$169,38,MATCH(B108,April!$D$3:$AH$3)+1)+INDEX(April!$C$3:$AH$169,43,MATCH(B108,April!$D$3:$AH$3)+1)+INDEX(April!$C$3:$AH$169,48,MATCH(B108,April!$D$3:$AH$3)+1)+INDEX(April!$C$3:$AH$169,53,MATCH(B108,April!$D$3:$AH$3)+1)+INDEX(April!$C$3:$AH$169,58,MATCH(B108,April!$D$3:$AH$3)+1)+INDEX(April!$C$3:$AH$169,63,MATCH(B108,April!$D$3:$AH$3)+1)+INDEX(April!$C$3:$AH$169,68,MATCH(B108,April!$D$3:$AH$3)+1)+INDEX(April!$C$3:$AH$169,73,MATCH(B108,April!$D$3:$AH$3)+1)+INDEX(April!$C$3:$AH$169,78,MATCH(B108,April!$D$3:$AH$3)+1)+INDEX(April!$C$3:$AH$169,83,MATCH(B108,April!$D$3:$AH$3)+1)+INDEX(April!$C$3:$AH$169,88,MATCH(B108,April!$D$3:$AH$3)+1)+INDEX(April!$C$3:$AH$169,93,MATCH(B108,April!$D$3:$AH$3)+1)+INDEX(April!$C$3:$AH$169,98,MATCH(B108,April!$D$3:$AH$3)+1)+INDEX(April!$C$3:$AH$169,103,MATCH(B108,April!$D$3:$AH$3)+1)+INDEX(April!$C$3:$AH$169,108,MATCH(B108,April!$D$3:$AH$3)+1)+INDEX(April!$C$3:$AH$169,113,MATCH(B108,April!$D$3:$AH$3)+1)+INDEX(April!$C$3:$AH$169,118,MATCH(B108,April!$D$3:$AH$3)+1)+INDEX(April!$C$3:$AH$169,123,MATCH(B108,April!$D$3:$AH$3)+1)+INDEX(April!$C$3:$AH$169,128,MATCH(B108,April!$D$3:$AH$3)+1)+INDEX(April!$C$3:$AH$169,133,MATCH(B108,April!$D$3:$AH$3)+1)+INDEX(April!$C$3:$AH$169,138,MATCH(B108,April!$D$3:$AH$3)+1)+INDEX(April!$C$3:$AH$169,143,MATCH(B108,April!$D$3:$AH$3)+1)+INDEX(April!$C$3:$AH$169,148,MATCH(B108,April!$D$3:$AH$3)+1)-INDEX(April!$B$5:$AH$169,MATCH("Patrick Janssen",April!$B$5:$B$169),MATCH(B108,April!$D$3:$AH$3)+2)-INDEX(April!$B$5:$AH$169,MATCH("Patrick Ziesen",April!$B$5:$B$169),MATCH(B108,April!$D$3:$AH$3)+2)-INDEX(April!$B$5:$AH$169,MATCH("Frido Meijer",April!$B$5:$B$169),MATCH(B108,April!$D$3:$AH$3)+2)</f>
        <v>0</v>
      </c>
      <c r="H108" s="130">
        <f>INDEX(April!$C$3:$AH$169,4,MATCH(B108,April!$D$3:$AH$3)+1)+INDEX(April!$C$3:$AH$169,9,MATCH(B108,April!$D$3:$AH$3)+1)+INDEX(April!$C$3:$AH$169,14,MATCH(B108,April!$D$3:$AH$3)+1)+INDEX(April!$C$3:$AH$169,19,MATCH(B108,April!$D$3:$AH$3)+1)+INDEX(April!$C$3:$AH$169,24,MATCH(B108,April!$D$3:$AH$3)+1)+INDEX(April!$C$3:$AH$169,29,MATCH(B108,April!$D$3:$AH$3)+1)+INDEX(April!$C$3:$AH$169,34,MATCH(B108,April!$D$3:$AH$3)+1)+INDEX(April!$C$3:$AH$169,39,MATCH(B108,April!$D$3:$AH$3)+1)+INDEX(April!$C$3:$AH$169,44,MATCH(B108,April!$D$3:$AH$3)+1)+INDEX(April!$C$3:$AH$169,49,MATCH(B108,April!$D$3:$AH$3)+1)+INDEX(April!$C$3:$AH$169,54,MATCH(B108,April!$D$3:$AH$3)+1)+INDEX(April!$C$3:$AH$169,59,MATCH(B108,April!$D$3:$AH$3)+1)+INDEX(April!$C$3:$AH$169,64,MATCH(B108,April!$D$3:$AH$3)+1)+INDEX(April!$C$3:$AH$169,69,MATCH(B108,April!$D$3:$AH$3)+1)+INDEX(April!$C$3:$AH$169,74,MATCH(B108,April!$D$3:$AH$3)+1)+INDEX(April!$C$3:$AH$169,79,MATCH(B108,April!$D$3:$AH$3)+1)+INDEX(April!$C$3:$AH$169,84,MATCH(B108,April!$D$3:$AH$3)+1)+INDEX(April!$C$3:$AH$169,89,MATCH(B108,April!$D$3:$AH$3)+1)+INDEX(April!$C$3:$AH$169,94,MATCH(B108,April!$D$3:$AH$3)+1)+INDEX(April!$C$3:$AH$169,99,MATCH(B108,April!$D$3:$AH$3)+1)+INDEX(April!$C$3:$AH$169,104,MATCH(B108,April!$D$3:$AH$3)+1)+INDEX(April!$C$3:$AH$169,109,MATCH(B108,April!$D$3:$AH$3)+1)+INDEX(April!$C$3:$AH$169,114,MATCH(B108,April!$D$3:$AH$3)+1)+INDEX(April!$C$3:$AH$169,119,MATCH(B108,April!$D$3:$AH$3)+1)+INDEX(April!$C$3:$AH$169,124,MATCH(B108,April!$D$3:$AH$3)+1)+INDEX(April!$C$3:$AH$169,129,MATCH(B108,April!$D$3:$AH$3)+1)+INDEX(April!$C$3:$AH$169,134,MATCH(B108,April!$D$3:$AH$3)+1)+INDEX(April!$C$3:$AH$169,139,MATCH(B108,April!$D$3:$AH$3)+1)+INDEX(April!$C$3:$AH$169,144,MATCH(B108,April!$D$3:$AH$3)+1)+INDEX(April!$C$3:$AH$169,149,MATCH(B108,April!$D$3:$AH$3)+1)-INDEX(April!$B$5:$AH$169,MATCH("Patrick Janssen",April!$B$5:$B$169)+1,MATCH(B108,April!$D$3:$AH$3)+2)-INDEX(April!$B$5:$AH$169,MATCH("Patrick Ziesen",April!$B$5:$B$169)+1,MATCH(B108,April!$D$3:$AH$3)+2)-INDEX(April!$B$5:$AH$169,MATCH("Frido Meijer",April!$B$5:$B$169)+1,MATCH(B108,April!$D$3:$AH$3)+2)</f>
        <v>0</v>
      </c>
      <c r="I108" s="130">
        <v>0</v>
      </c>
      <c r="J108" s="130">
        <v>0</v>
      </c>
      <c r="L108" s="111"/>
      <c r="M108" s="111"/>
      <c r="N108" s="111">
        <f t="shared" si="33"/>
        <v>0</v>
      </c>
      <c r="P108" s="112" t="str">
        <f t="shared" si="34"/>
        <v/>
      </c>
      <c r="Q108" s="112" t="str">
        <f t="shared" si="35"/>
        <v/>
      </c>
    </row>
    <row r="109" spans="2:17" x14ac:dyDescent="0.25">
      <c r="B109" s="110">
        <f>DATE(Title!$F$12,$S$8,S12)</f>
        <v>41372</v>
      </c>
      <c r="C109" s="111">
        <f>IF(WEEKDAY(B109)=1,0,IF(WEEKDAY(B109)=4,'Hours Scheduled'!$G$44-1,IF(WEEKDAY(B109)=7,0,'Hours Scheduled'!$G$44)))</f>
        <v>24</v>
      </c>
      <c r="D109" s="17">
        <f t="shared" si="36"/>
        <v>180</v>
      </c>
      <c r="E109" s="127">
        <f t="shared" si="37"/>
        <v>180</v>
      </c>
      <c r="F109" s="111"/>
      <c r="G109" s="130">
        <f>INDEX(April!$C$3:$AH$169,3,MATCH(B109,April!$D$3:$AH$3)+1)+INDEX(April!$C$3:$AH$169,8,MATCH(B109,April!$D$3:$AH$3)+1)+INDEX(April!$C$3:$AH$169,13,MATCH(B109,April!$D$3:$AH$3)+1)+INDEX(April!$C$3:$AH$169,18,MATCH(B109,April!$D$3:$AH$3)+1)+INDEX(April!$C$3:$AH$169,23,MATCH(B109,April!$D$3:$AH$3)+1)+INDEX(April!$C$3:$AH$169,28,MATCH(B109,April!$D$3:$AH$3)+1)+INDEX(April!$C$3:$AH$169,33,MATCH(B109,April!$D$3:$AH$3)+1)+INDEX(April!$C$3:$AH$169,38,MATCH(B109,April!$D$3:$AH$3)+1)+INDEX(April!$C$3:$AH$169,43,MATCH(B109,April!$D$3:$AH$3)+1)+INDEX(April!$C$3:$AH$169,48,MATCH(B109,April!$D$3:$AH$3)+1)+INDEX(April!$C$3:$AH$169,53,MATCH(B109,April!$D$3:$AH$3)+1)+INDEX(April!$C$3:$AH$169,58,MATCH(B109,April!$D$3:$AH$3)+1)+INDEX(April!$C$3:$AH$169,63,MATCH(B109,April!$D$3:$AH$3)+1)+INDEX(April!$C$3:$AH$169,68,MATCH(B109,April!$D$3:$AH$3)+1)+INDEX(April!$C$3:$AH$169,73,MATCH(B109,April!$D$3:$AH$3)+1)+INDEX(April!$C$3:$AH$169,78,MATCH(B109,April!$D$3:$AH$3)+1)+INDEX(April!$C$3:$AH$169,83,MATCH(B109,April!$D$3:$AH$3)+1)+INDEX(April!$C$3:$AH$169,88,MATCH(B109,April!$D$3:$AH$3)+1)+INDEX(April!$C$3:$AH$169,93,MATCH(B109,April!$D$3:$AH$3)+1)+INDEX(April!$C$3:$AH$169,98,MATCH(B109,April!$D$3:$AH$3)+1)+INDEX(April!$C$3:$AH$169,103,MATCH(B109,April!$D$3:$AH$3)+1)+INDEX(April!$C$3:$AH$169,108,MATCH(B109,April!$D$3:$AH$3)+1)+INDEX(April!$C$3:$AH$169,113,MATCH(B109,April!$D$3:$AH$3)+1)+INDEX(April!$C$3:$AH$169,118,MATCH(B109,April!$D$3:$AH$3)+1)+INDEX(April!$C$3:$AH$169,123,MATCH(B109,April!$D$3:$AH$3)+1)+INDEX(April!$C$3:$AH$169,128,MATCH(B109,April!$D$3:$AH$3)+1)+INDEX(April!$C$3:$AH$169,133,MATCH(B109,April!$D$3:$AH$3)+1)+INDEX(April!$C$3:$AH$169,138,MATCH(B109,April!$D$3:$AH$3)+1)+INDEX(April!$C$3:$AH$169,143,MATCH(B109,April!$D$3:$AH$3)+1)+INDEX(April!$C$3:$AH$169,148,MATCH(B109,April!$D$3:$AH$3)+1)-INDEX(April!$B$5:$AH$169,MATCH("Patrick Janssen",April!$B$5:$B$169),MATCH(B109,April!$D$3:$AH$3)+2)-INDEX(April!$B$5:$AH$169,MATCH("Patrick Ziesen",April!$B$5:$B$169),MATCH(B109,April!$D$3:$AH$3)+2)-INDEX(April!$B$5:$AH$169,MATCH("Frido Meijer",April!$B$5:$B$169),MATCH(B109,April!$D$3:$AH$3)+2)</f>
        <v>8</v>
      </c>
      <c r="H109" s="130">
        <f>INDEX(April!$C$3:$AH$169,4,MATCH(B109,April!$D$3:$AH$3)+1)+INDEX(April!$C$3:$AH$169,9,MATCH(B109,April!$D$3:$AH$3)+1)+INDEX(April!$C$3:$AH$169,14,MATCH(B109,April!$D$3:$AH$3)+1)+INDEX(April!$C$3:$AH$169,19,MATCH(B109,April!$D$3:$AH$3)+1)+INDEX(April!$C$3:$AH$169,24,MATCH(B109,April!$D$3:$AH$3)+1)+INDEX(April!$C$3:$AH$169,29,MATCH(B109,April!$D$3:$AH$3)+1)+INDEX(April!$C$3:$AH$169,34,MATCH(B109,April!$D$3:$AH$3)+1)+INDEX(April!$C$3:$AH$169,39,MATCH(B109,April!$D$3:$AH$3)+1)+INDEX(April!$C$3:$AH$169,44,MATCH(B109,April!$D$3:$AH$3)+1)+INDEX(April!$C$3:$AH$169,49,MATCH(B109,April!$D$3:$AH$3)+1)+INDEX(April!$C$3:$AH$169,54,MATCH(B109,April!$D$3:$AH$3)+1)+INDEX(April!$C$3:$AH$169,59,MATCH(B109,April!$D$3:$AH$3)+1)+INDEX(April!$C$3:$AH$169,64,MATCH(B109,April!$D$3:$AH$3)+1)+INDEX(April!$C$3:$AH$169,69,MATCH(B109,April!$D$3:$AH$3)+1)+INDEX(April!$C$3:$AH$169,74,MATCH(B109,April!$D$3:$AH$3)+1)+INDEX(April!$C$3:$AH$169,79,MATCH(B109,April!$D$3:$AH$3)+1)+INDEX(April!$C$3:$AH$169,84,MATCH(B109,April!$D$3:$AH$3)+1)+INDEX(April!$C$3:$AH$169,89,MATCH(B109,April!$D$3:$AH$3)+1)+INDEX(April!$C$3:$AH$169,94,MATCH(B109,April!$D$3:$AH$3)+1)+INDEX(April!$C$3:$AH$169,99,MATCH(B109,April!$D$3:$AH$3)+1)+INDEX(April!$C$3:$AH$169,104,MATCH(B109,April!$D$3:$AH$3)+1)+INDEX(April!$C$3:$AH$169,109,MATCH(B109,April!$D$3:$AH$3)+1)+INDEX(April!$C$3:$AH$169,114,MATCH(B109,April!$D$3:$AH$3)+1)+INDEX(April!$C$3:$AH$169,119,MATCH(B109,April!$D$3:$AH$3)+1)+INDEX(April!$C$3:$AH$169,124,MATCH(B109,April!$D$3:$AH$3)+1)+INDEX(April!$C$3:$AH$169,129,MATCH(B109,April!$D$3:$AH$3)+1)+INDEX(April!$C$3:$AH$169,134,MATCH(B109,April!$D$3:$AH$3)+1)+INDEX(April!$C$3:$AH$169,139,MATCH(B109,April!$D$3:$AH$3)+1)+INDEX(April!$C$3:$AH$169,144,MATCH(B109,April!$D$3:$AH$3)+1)+INDEX(April!$C$3:$AH$169,149,MATCH(B109,April!$D$3:$AH$3)+1)-INDEX(April!$B$5:$AH$169,MATCH("Patrick Janssen",April!$B$5:$B$169)+1,MATCH(B109,April!$D$3:$AH$3)+2)-INDEX(April!$B$5:$AH$169,MATCH("Patrick Ziesen",April!$B$5:$B$169)+1,MATCH(B109,April!$D$3:$AH$3)+2)-INDEX(April!$B$5:$AH$169,MATCH("Frido Meijer",April!$B$5:$B$169)+1,MATCH(B109,April!$D$3:$AH$3)+2)</f>
        <v>4</v>
      </c>
      <c r="I109" s="130">
        <v>0</v>
      </c>
      <c r="J109" s="130">
        <v>0</v>
      </c>
      <c r="L109" s="111"/>
      <c r="M109" s="111"/>
      <c r="N109" s="111">
        <f t="shared" si="33"/>
        <v>0</v>
      </c>
      <c r="P109" s="112">
        <f t="shared" si="34"/>
        <v>0</v>
      </c>
      <c r="Q109" s="112">
        <f t="shared" si="35"/>
        <v>0</v>
      </c>
    </row>
    <row r="110" spans="2:17" x14ac:dyDescent="0.25">
      <c r="B110" s="110">
        <f>DATE(Title!$F$12,$S$8,S13)</f>
        <v>41373</v>
      </c>
      <c r="C110" s="111">
        <f>IF(WEEKDAY(B110)=1,0,IF(WEEKDAY(B110)=4,'Hours Scheduled'!$G$44-1,IF(WEEKDAY(B110)=7,0,'Hours Scheduled'!$G$44)))</f>
        <v>24</v>
      </c>
      <c r="D110" s="17">
        <f t="shared" si="36"/>
        <v>180</v>
      </c>
      <c r="E110" s="127">
        <f t="shared" si="37"/>
        <v>184</v>
      </c>
      <c r="F110" s="111"/>
      <c r="G110" s="130">
        <f>INDEX(April!$C$3:$AH$169,3,MATCH(B110,April!$D$3:$AH$3)+1)+INDEX(April!$C$3:$AH$169,8,MATCH(B110,April!$D$3:$AH$3)+1)+INDEX(April!$C$3:$AH$169,13,MATCH(B110,April!$D$3:$AH$3)+1)+INDEX(April!$C$3:$AH$169,18,MATCH(B110,April!$D$3:$AH$3)+1)+INDEX(April!$C$3:$AH$169,23,MATCH(B110,April!$D$3:$AH$3)+1)+INDEX(April!$C$3:$AH$169,28,MATCH(B110,April!$D$3:$AH$3)+1)+INDEX(April!$C$3:$AH$169,33,MATCH(B110,April!$D$3:$AH$3)+1)+INDEX(April!$C$3:$AH$169,38,MATCH(B110,April!$D$3:$AH$3)+1)+INDEX(April!$C$3:$AH$169,43,MATCH(B110,April!$D$3:$AH$3)+1)+INDEX(April!$C$3:$AH$169,48,MATCH(B110,April!$D$3:$AH$3)+1)+INDEX(April!$C$3:$AH$169,53,MATCH(B110,April!$D$3:$AH$3)+1)+INDEX(April!$C$3:$AH$169,58,MATCH(B110,April!$D$3:$AH$3)+1)+INDEX(April!$C$3:$AH$169,63,MATCH(B110,April!$D$3:$AH$3)+1)+INDEX(April!$C$3:$AH$169,68,MATCH(B110,April!$D$3:$AH$3)+1)+INDEX(April!$C$3:$AH$169,73,MATCH(B110,April!$D$3:$AH$3)+1)+INDEX(April!$C$3:$AH$169,78,MATCH(B110,April!$D$3:$AH$3)+1)+INDEX(April!$C$3:$AH$169,83,MATCH(B110,April!$D$3:$AH$3)+1)+INDEX(April!$C$3:$AH$169,88,MATCH(B110,April!$D$3:$AH$3)+1)+INDEX(April!$C$3:$AH$169,93,MATCH(B110,April!$D$3:$AH$3)+1)+INDEX(April!$C$3:$AH$169,98,MATCH(B110,April!$D$3:$AH$3)+1)+INDEX(April!$C$3:$AH$169,103,MATCH(B110,April!$D$3:$AH$3)+1)+INDEX(April!$C$3:$AH$169,108,MATCH(B110,April!$D$3:$AH$3)+1)+INDEX(April!$C$3:$AH$169,113,MATCH(B110,April!$D$3:$AH$3)+1)+INDEX(April!$C$3:$AH$169,118,MATCH(B110,April!$D$3:$AH$3)+1)+INDEX(April!$C$3:$AH$169,123,MATCH(B110,April!$D$3:$AH$3)+1)+INDEX(April!$C$3:$AH$169,128,MATCH(B110,April!$D$3:$AH$3)+1)+INDEX(April!$C$3:$AH$169,133,MATCH(B110,April!$D$3:$AH$3)+1)+INDEX(April!$C$3:$AH$169,138,MATCH(B110,April!$D$3:$AH$3)+1)+INDEX(April!$C$3:$AH$169,143,MATCH(B110,April!$D$3:$AH$3)+1)+INDEX(April!$C$3:$AH$169,148,MATCH(B110,April!$D$3:$AH$3)+1)-INDEX(April!$B$5:$AH$169,MATCH("Patrick Janssen",April!$B$5:$B$169),MATCH(B110,April!$D$3:$AH$3)+2)-INDEX(April!$B$5:$AH$169,MATCH("Patrick Ziesen",April!$B$5:$B$169),MATCH(B110,April!$D$3:$AH$3)+2)-INDEX(April!$B$5:$AH$169,MATCH("Frido Meijer",April!$B$5:$B$169),MATCH(B110,April!$D$3:$AH$3)+2)</f>
        <v>4</v>
      </c>
      <c r="H110" s="130">
        <f>INDEX(April!$C$3:$AH$169,4,MATCH(B110,April!$D$3:$AH$3)+1)+INDEX(April!$C$3:$AH$169,9,MATCH(B110,April!$D$3:$AH$3)+1)+INDEX(April!$C$3:$AH$169,14,MATCH(B110,April!$D$3:$AH$3)+1)+INDEX(April!$C$3:$AH$169,19,MATCH(B110,April!$D$3:$AH$3)+1)+INDEX(April!$C$3:$AH$169,24,MATCH(B110,April!$D$3:$AH$3)+1)+INDEX(April!$C$3:$AH$169,29,MATCH(B110,April!$D$3:$AH$3)+1)+INDEX(April!$C$3:$AH$169,34,MATCH(B110,April!$D$3:$AH$3)+1)+INDEX(April!$C$3:$AH$169,39,MATCH(B110,April!$D$3:$AH$3)+1)+INDEX(April!$C$3:$AH$169,44,MATCH(B110,April!$D$3:$AH$3)+1)+INDEX(April!$C$3:$AH$169,49,MATCH(B110,April!$D$3:$AH$3)+1)+INDEX(April!$C$3:$AH$169,54,MATCH(B110,April!$D$3:$AH$3)+1)+INDEX(April!$C$3:$AH$169,59,MATCH(B110,April!$D$3:$AH$3)+1)+INDEX(April!$C$3:$AH$169,64,MATCH(B110,April!$D$3:$AH$3)+1)+INDEX(April!$C$3:$AH$169,69,MATCH(B110,April!$D$3:$AH$3)+1)+INDEX(April!$C$3:$AH$169,74,MATCH(B110,April!$D$3:$AH$3)+1)+INDEX(April!$C$3:$AH$169,79,MATCH(B110,April!$D$3:$AH$3)+1)+INDEX(April!$C$3:$AH$169,84,MATCH(B110,April!$D$3:$AH$3)+1)+INDEX(April!$C$3:$AH$169,89,MATCH(B110,April!$D$3:$AH$3)+1)+INDEX(April!$C$3:$AH$169,94,MATCH(B110,April!$D$3:$AH$3)+1)+INDEX(April!$C$3:$AH$169,99,MATCH(B110,April!$D$3:$AH$3)+1)+INDEX(April!$C$3:$AH$169,104,MATCH(B110,April!$D$3:$AH$3)+1)+INDEX(April!$C$3:$AH$169,109,MATCH(B110,April!$D$3:$AH$3)+1)+INDEX(April!$C$3:$AH$169,114,MATCH(B110,April!$D$3:$AH$3)+1)+INDEX(April!$C$3:$AH$169,119,MATCH(B110,April!$D$3:$AH$3)+1)+INDEX(April!$C$3:$AH$169,124,MATCH(B110,April!$D$3:$AH$3)+1)+INDEX(April!$C$3:$AH$169,129,MATCH(B110,April!$D$3:$AH$3)+1)+INDEX(April!$C$3:$AH$169,134,MATCH(B110,April!$D$3:$AH$3)+1)+INDEX(April!$C$3:$AH$169,139,MATCH(B110,April!$D$3:$AH$3)+1)+INDEX(April!$C$3:$AH$169,144,MATCH(B110,April!$D$3:$AH$3)+1)+INDEX(April!$C$3:$AH$169,149,MATCH(B110,April!$D$3:$AH$3)+1)-INDEX(April!$B$5:$AH$169,MATCH("Patrick Janssen",April!$B$5:$B$169)+1,MATCH(B110,April!$D$3:$AH$3)+2)-INDEX(April!$B$5:$AH$169,MATCH("Patrick Ziesen",April!$B$5:$B$169)+1,MATCH(B110,April!$D$3:$AH$3)+2)-INDEX(April!$B$5:$AH$169,MATCH("Frido Meijer",April!$B$5:$B$169)+1,MATCH(B110,April!$D$3:$AH$3)+2)</f>
        <v>4</v>
      </c>
      <c r="I110" s="130">
        <v>0</v>
      </c>
      <c r="J110" s="130">
        <v>0</v>
      </c>
      <c r="L110" s="111"/>
      <c r="M110" s="111"/>
      <c r="N110" s="111">
        <f t="shared" si="33"/>
        <v>0</v>
      </c>
      <c r="P110" s="112">
        <f t="shared" si="34"/>
        <v>0</v>
      </c>
      <c r="Q110" s="112">
        <f t="shared" si="35"/>
        <v>0</v>
      </c>
    </row>
    <row r="111" spans="2:17" x14ac:dyDescent="0.25">
      <c r="B111" s="110">
        <f>DATE(Title!$F$12,$S$8,S14)</f>
        <v>41374</v>
      </c>
      <c r="C111" s="111">
        <f>IF(WEEKDAY(B111)=1,0,IF(WEEKDAY(B111)=4,'Hours Scheduled'!$G$44-1,IF(WEEKDAY(B111)=7,0,'Hours Scheduled'!$G$44)))</f>
        <v>23</v>
      </c>
      <c r="D111" s="17">
        <f t="shared" si="36"/>
        <v>172.5</v>
      </c>
      <c r="E111" s="127">
        <f t="shared" si="37"/>
        <v>164</v>
      </c>
      <c r="F111" s="111"/>
      <c r="G111" s="130">
        <f>INDEX(April!$C$3:$AH$169,3,MATCH(B111,April!$D$3:$AH$3)+1)+INDEX(April!$C$3:$AH$169,8,MATCH(B111,April!$D$3:$AH$3)+1)+INDEX(April!$C$3:$AH$169,13,MATCH(B111,April!$D$3:$AH$3)+1)+INDEX(April!$C$3:$AH$169,18,MATCH(B111,April!$D$3:$AH$3)+1)+INDEX(April!$C$3:$AH$169,23,MATCH(B111,April!$D$3:$AH$3)+1)+INDEX(April!$C$3:$AH$169,28,MATCH(B111,April!$D$3:$AH$3)+1)+INDEX(April!$C$3:$AH$169,33,MATCH(B111,April!$D$3:$AH$3)+1)+INDEX(April!$C$3:$AH$169,38,MATCH(B111,April!$D$3:$AH$3)+1)+INDEX(April!$C$3:$AH$169,43,MATCH(B111,April!$D$3:$AH$3)+1)+INDEX(April!$C$3:$AH$169,48,MATCH(B111,April!$D$3:$AH$3)+1)+INDEX(April!$C$3:$AH$169,53,MATCH(B111,April!$D$3:$AH$3)+1)+INDEX(April!$C$3:$AH$169,58,MATCH(B111,April!$D$3:$AH$3)+1)+INDEX(April!$C$3:$AH$169,63,MATCH(B111,April!$D$3:$AH$3)+1)+INDEX(April!$C$3:$AH$169,68,MATCH(B111,April!$D$3:$AH$3)+1)+INDEX(April!$C$3:$AH$169,73,MATCH(B111,April!$D$3:$AH$3)+1)+INDEX(April!$C$3:$AH$169,78,MATCH(B111,April!$D$3:$AH$3)+1)+INDEX(April!$C$3:$AH$169,83,MATCH(B111,April!$D$3:$AH$3)+1)+INDEX(April!$C$3:$AH$169,88,MATCH(B111,April!$D$3:$AH$3)+1)+INDEX(April!$C$3:$AH$169,93,MATCH(B111,April!$D$3:$AH$3)+1)+INDEX(April!$C$3:$AH$169,98,MATCH(B111,April!$D$3:$AH$3)+1)+INDEX(April!$C$3:$AH$169,103,MATCH(B111,April!$D$3:$AH$3)+1)+INDEX(April!$C$3:$AH$169,108,MATCH(B111,April!$D$3:$AH$3)+1)+INDEX(April!$C$3:$AH$169,113,MATCH(B111,April!$D$3:$AH$3)+1)+INDEX(April!$C$3:$AH$169,118,MATCH(B111,April!$D$3:$AH$3)+1)+INDEX(April!$C$3:$AH$169,123,MATCH(B111,April!$D$3:$AH$3)+1)+INDEX(April!$C$3:$AH$169,128,MATCH(B111,April!$D$3:$AH$3)+1)+INDEX(April!$C$3:$AH$169,133,MATCH(B111,April!$D$3:$AH$3)+1)+INDEX(April!$C$3:$AH$169,138,MATCH(B111,April!$D$3:$AH$3)+1)+INDEX(April!$C$3:$AH$169,143,MATCH(B111,April!$D$3:$AH$3)+1)+INDEX(April!$C$3:$AH$169,148,MATCH(B111,April!$D$3:$AH$3)+1)-INDEX(April!$B$5:$AH$169,MATCH("Patrick Janssen",April!$B$5:$B$169),MATCH(B111,April!$D$3:$AH$3)+2)-INDEX(April!$B$5:$AH$169,MATCH("Patrick Ziesen",April!$B$5:$B$169),MATCH(B111,April!$D$3:$AH$3)+2)-INDEX(April!$B$5:$AH$169,MATCH("Frido Meijer",April!$B$5:$B$169),MATCH(B111,April!$D$3:$AH$3)+2)</f>
        <v>16</v>
      </c>
      <c r="H111" s="130">
        <f>INDEX(April!$C$3:$AH$169,4,MATCH(B111,April!$D$3:$AH$3)+1)+INDEX(April!$C$3:$AH$169,9,MATCH(B111,April!$D$3:$AH$3)+1)+INDEX(April!$C$3:$AH$169,14,MATCH(B111,April!$D$3:$AH$3)+1)+INDEX(April!$C$3:$AH$169,19,MATCH(B111,April!$D$3:$AH$3)+1)+INDEX(April!$C$3:$AH$169,24,MATCH(B111,April!$D$3:$AH$3)+1)+INDEX(April!$C$3:$AH$169,29,MATCH(B111,April!$D$3:$AH$3)+1)+INDEX(April!$C$3:$AH$169,34,MATCH(B111,April!$D$3:$AH$3)+1)+INDEX(April!$C$3:$AH$169,39,MATCH(B111,April!$D$3:$AH$3)+1)+INDEX(April!$C$3:$AH$169,44,MATCH(B111,April!$D$3:$AH$3)+1)+INDEX(April!$C$3:$AH$169,49,MATCH(B111,April!$D$3:$AH$3)+1)+INDEX(April!$C$3:$AH$169,54,MATCH(B111,April!$D$3:$AH$3)+1)+INDEX(April!$C$3:$AH$169,59,MATCH(B111,April!$D$3:$AH$3)+1)+INDEX(April!$C$3:$AH$169,64,MATCH(B111,April!$D$3:$AH$3)+1)+INDEX(April!$C$3:$AH$169,69,MATCH(B111,April!$D$3:$AH$3)+1)+INDEX(April!$C$3:$AH$169,74,MATCH(B111,April!$D$3:$AH$3)+1)+INDEX(April!$C$3:$AH$169,79,MATCH(B111,April!$D$3:$AH$3)+1)+INDEX(April!$C$3:$AH$169,84,MATCH(B111,April!$D$3:$AH$3)+1)+INDEX(April!$C$3:$AH$169,89,MATCH(B111,April!$D$3:$AH$3)+1)+INDEX(April!$C$3:$AH$169,94,MATCH(B111,April!$D$3:$AH$3)+1)+INDEX(April!$C$3:$AH$169,99,MATCH(B111,April!$D$3:$AH$3)+1)+INDEX(April!$C$3:$AH$169,104,MATCH(B111,April!$D$3:$AH$3)+1)+INDEX(April!$C$3:$AH$169,109,MATCH(B111,April!$D$3:$AH$3)+1)+INDEX(April!$C$3:$AH$169,114,MATCH(B111,April!$D$3:$AH$3)+1)+INDEX(April!$C$3:$AH$169,119,MATCH(B111,April!$D$3:$AH$3)+1)+INDEX(April!$C$3:$AH$169,124,MATCH(B111,April!$D$3:$AH$3)+1)+INDEX(April!$C$3:$AH$169,129,MATCH(B111,April!$D$3:$AH$3)+1)+INDEX(April!$C$3:$AH$169,134,MATCH(B111,April!$D$3:$AH$3)+1)+INDEX(April!$C$3:$AH$169,139,MATCH(B111,April!$D$3:$AH$3)+1)+INDEX(April!$C$3:$AH$169,144,MATCH(B111,April!$D$3:$AH$3)+1)+INDEX(April!$C$3:$AH$169,149,MATCH(B111,April!$D$3:$AH$3)+1)-INDEX(April!$B$5:$AH$169,MATCH("Patrick Janssen",April!$B$5:$B$169)+1,MATCH(B111,April!$D$3:$AH$3)+2)-INDEX(April!$B$5:$AH$169,MATCH("Patrick Ziesen",April!$B$5:$B$169)+1,MATCH(B111,April!$D$3:$AH$3)+2)-INDEX(April!$B$5:$AH$169,MATCH("Frido Meijer",April!$B$5:$B$169)+1,MATCH(B111,April!$D$3:$AH$3)+2)</f>
        <v>4</v>
      </c>
      <c r="I111" s="130">
        <v>0</v>
      </c>
      <c r="J111" s="130">
        <v>0</v>
      </c>
      <c r="L111" s="165"/>
      <c r="M111" s="111"/>
      <c r="N111" s="111">
        <f t="shared" si="33"/>
        <v>0</v>
      </c>
      <c r="P111" s="112">
        <f t="shared" si="34"/>
        <v>0</v>
      </c>
      <c r="Q111" s="112">
        <f t="shared" si="35"/>
        <v>0</v>
      </c>
    </row>
    <row r="112" spans="2:17" x14ac:dyDescent="0.25">
      <c r="B112" s="110">
        <f>DATE(Title!$F$12,$S$8,S15)</f>
        <v>41375</v>
      </c>
      <c r="C112" s="111">
        <f>IF(WEEKDAY(B112)=1,0,IF(WEEKDAY(B112)=4,'Hours Scheduled'!$G$44-1,IF(WEEKDAY(B112)=7,0,'Hours Scheduled'!$G$44)))</f>
        <v>24</v>
      </c>
      <c r="D112" s="17">
        <f t="shared" si="36"/>
        <v>180</v>
      </c>
      <c r="E112" s="127">
        <f t="shared" si="37"/>
        <v>188</v>
      </c>
      <c r="F112" s="111"/>
      <c r="G112" s="130">
        <f>INDEX(April!$C$3:$AH$169,3,MATCH(B112,April!$D$3:$AH$3)+1)+INDEX(April!$C$3:$AH$169,8,MATCH(B112,April!$D$3:$AH$3)+1)+INDEX(April!$C$3:$AH$169,13,MATCH(B112,April!$D$3:$AH$3)+1)+INDEX(April!$C$3:$AH$169,18,MATCH(B112,April!$D$3:$AH$3)+1)+INDEX(April!$C$3:$AH$169,23,MATCH(B112,April!$D$3:$AH$3)+1)+INDEX(April!$C$3:$AH$169,28,MATCH(B112,April!$D$3:$AH$3)+1)+INDEX(April!$C$3:$AH$169,33,MATCH(B112,April!$D$3:$AH$3)+1)+INDEX(April!$C$3:$AH$169,38,MATCH(B112,April!$D$3:$AH$3)+1)+INDEX(April!$C$3:$AH$169,43,MATCH(B112,April!$D$3:$AH$3)+1)+INDEX(April!$C$3:$AH$169,48,MATCH(B112,April!$D$3:$AH$3)+1)+INDEX(April!$C$3:$AH$169,53,MATCH(B112,April!$D$3:$AH$3)+1)+INDEX(April!$C$3:$AH$169,58,MATCH(B112,April!$D$3:$AH$3)+1)+INDEX(April!$C$3:$AH$169,63,MATCH(B112,April!$D$3:$AH$3)+1)+INDEX(April!$C$3:$AH$169,68,MATCH(B112,April!$D$3:$AH$3)+1)+INDEX(April!$C$3:$AH$169,73,MATCH(B112,April!$D$3:$AH$3)+1)+INDEX(April!$C$3:$AH$169,78,MATCH(B112,April!$D$3:$AH$3)+1)+INDEX(April!$C$3:$AH$169,83,MATCH(B112,April!$D$3:$AH$3)+1)+INDEX(April!$C$3:$AH$169,88,MATCH(B112,April!$D$3:$AH$3)+1)+INDEX(April!$C$3:$AH$169,93,MATCH(B112,April!$D$3:$AH$3)+1)+INDEX(April!$C$3:$AH$169,98,MATCH(B112,April!$D$3:$AH$3)+1)+INDEX(April!$C$3:$AH$169,103,MATCH(B112,April!$D$3:$AH$3)+1)+INDEX(April!$C$3:$AH$169,108,MATCH(B112,April!$D$3:$AH$3)+1)+INDEX(April!$C$3:$AH$169,113,MATCH(B112,April!$D$3:$AH$3)+1)+INDEX(April!$C$3:$AH$169,118,MATCH(B112,April!$D$3:$AH$3)+1)+INDEX(April!$C$3:$AH$169,123,MATCH(B112,April!$D$3:$AH$3)+1)+INDEX(April!$C$3:$AH$169,128,MATCH(B112,April!$D$3:$AH$3)+1)+INDEX(April!$C$3:$AH$169,133,MATCH(B112,April!$D$3:$AH$3)+1)+INDEX(April!$C$3:$AH$169,138,MATCH(B112,April!$D$3:$AH$3)+1)+INDEX(April!$C$3:$AH$169,143,MATCH(B112,April!$D$3:$AH$3)+1)+INDEX(April!$C$3:$AH$169,148,MATCH(B112,April!$D$3:$AH$3)+1)-INDEX(April!$B$5:$AH$169,MATCH("Patrick Janssen",April!$B$5:$B$169),MATCH(B112,April!$D$3:$AH$3)+2)-INDEX(April!$B$5:$AH$169,MATCH("Patrick Ziesen",April!$B$5:$B$169),MATCH(B112,April!$D$3:$AH$3)+2)-INDEX(April!$B$5:$AH$169,MATCH("Frido Meijer",April!$B$5:$B$169),MATCH(B112,April!$D$3:$AH$3)+2)</f>
        <v>0</v>
      </c>
      <c r="H112" s="130">
        <f>INDEX(April!$C$3:$AH$169,4,MATCH(B112,April!$D$3:$AH$3)+1)+INDEX(April!$C$3:$AH$169,9,MATCH(B112,April!$D$3:$AH$3)+1)+INDEX(April!$C$3:$AH$169,14,MATCH(B112,April!$D$3:$AH$3)+1)+INDEX(April!$C$3:$AH$169,19,MATCH(B112,April!$D$3:$AH$3)+1)+INDEX(April!$C$3:$AH$169,24,MATCH(B112,April!$D$3:$AH$3)+1)+INDEX(April!$C$3:$AH$169,29,MATCH(B112,April!$D$3:$AH$3)+1)+INDEX(April!$C$3:$AH$169,34,MATCH(B112,April!$D$3:$AH$3)+1)+INDEX(April!$C$3:$AH$169,39,MATCH(B112,April!$D$3:$AH$3)+1)+INDEX(April!$C$3:$AH$169,44,MATCH(B112,April!$D$3:$AH$3)+1)+INDEX(April!$C$3:$AH$169,49,MATCH(B112,April!$D$3:$AH$3)+1)+INDEX(April!$C$3:$AH$169,54,MATCH(B112,April!$D$3:$AH$3)+1)+INDEX(April!$C$3:$AH$169,59,MATCH(B112,April!$D$3:$AH$3)+1)+INDEX(April!$C$3:$AH$169,64,MATCH(B112,April!$D$3:$AH$3)+1)+INDEX(April!$C$3:$AH$169,69,MATCH(B112,April!$D$3:$AH$3)+1)+INDEX(April!$C$3:$AH$169,74,MATCH(B112,April!$D$3:$AH$3)+1)+INDEX(April!$C$3:$AH$169,79,MATCH(B112,April!$D$3:$AH$3)+1)+INDEX(April!$C$3:$AH$169,84,MATCH(B112,April!$D$3:$AH$3)+1)+INDEX(April!$C$3:$AH$169,89,MATCH(B112,April!$D$3:$AH$3)+1)+INDEX(April!$C$3:$AH$169,94,MATCH(B112,April!$D$3:$AH$3)+1)+INDEX(April!$C$3:$AH$169,99,MATCH(B112,April!$D$3:$AH$3)+1)+INDEX(April!$C$3:$AH$169,104,MATCH(B112,April!$D$3:$AH$3)+1)+INDEX(April!$C$3:$AH$169,109,MATCH(B112,April!$D$3:$AH$3)+1)+INDEX(April!$C$3:$AH$169,114,MATCH(B112,April!$D$3:$AH$3)+1)+INDEX(April!$C$3:$AH$169,119,MATCH(B112,April!$D$3:$AH$3)+1)+INDEX(April!$C$3:$AH$169,124,MATCH(B112,April!$D$3:$AH$3)+1)+INDEX(April!$C$3:$AH$169,129,MATCH(B112,April!$D$3:$AH$3)+1)+INDEX(April!$C$3:$AH$169,134,MATCH(B112,April!$D$3:$AH$3)+1)+INDEX(April!$C$3:$AH$169,139,MATCH(B112,April!$D$3:$AH$3)+1)+INDEX(April!$C$3:$AH$169,144,MATCH(B112,April!$D$3:$AH$3)+1)+INDEX(April!$C$3:$AH$169,149,MATCH(B112,April!$D$3:$AH$3)+1)-INDEX(April!$B$5:$AH$169,MATCH("Patrick Janssen",April!$B$5:$B$169)+1,MATCH(B112,April!$D$3:$AH$3)+2)-INDEX(April!$B$5:$AH$169,MATCH("Patrick Ziesen",April!$B$5:$B$169)+1,MATCH(B112,April!$D$3:$AH$3)+2)-INDEX(April!$B$5:$AH$169,MATCH("Frido Meijer",April!$B$5:$B$169)+1,MATCH(B112,April!$D$3:$AH$3)+2)</f>
        <v>4</v>
      </c>
      <c r="I112" s="130">
        <v>0</v>
      </c>
      <c r="J112" s="130">
        <v>0</v>
      </c>
      <c r="L112" s="165"/>
      <c r="M112" s="111"/>
      <c r="N112" s="111">
        <f t="shared" si="33"/>
        <v>0</v>
      </c>
      <c r="P112" s="112">
        <f t="shared" si="34"/>
        <v>0</v>
      </c>
      <c r="Q112" s="112">
        <f t="shared" si="35"/>
        <v>0</v>
      </c>
    </row>
    <row r="113" spans="2:17" x14ac:dyDescent="0.25">
      <c r="B113" s="110">
        <f>DATE(Title!$F$12,$S$8,S16)</f>
        <v>41376</v>
      </c>
      <c r="C113" s="111">
        <f>IF(WEEKDAY(B113)=1,0,IF(WEEKDAY(B113)=4,'Hours Scheduled'!$G$44-1,IF(WEEKDAY(B113)=7,0,'Hours Scheduled'!$G$44)))</f>
        <v>24</v>
      </c>
      <c r="D113" s="17">
        <f t="shared" si="36"/>
        <v>180</v>
      </c>
      <c r="E113" s="127">
        <f t="shared" si="37"/>
        <v>180</v>
      </c>
      <c r="F113" s="111"/>
      <c r="G113" s="130">
        <f>INDEX(April!$C$3:$AH$169,3,MATCH(B113,April!$D$3:$AH$3)+1)+INDEX(April!$C$3:$AH$169,8,MATCH(B113,April!$D$3:$AH$3)+1)+INDEX(April!$C$3:$AH$169,13,MATCH(B113,April!$D$3:$AH$3)+1)+INDEX(April!$C$3:$AH$169,18,MATCH(B113,April!$D$3:$AH$3)+1)+INDEX(April!$C$3:$AH$169,23,MATCH(B113,April!$D$3:$AH$3)+1)+INDEX(April!$C$3:$AH$169,28,MATCH(B113,April!$D$3:$AH$3)+1)+INDEX(April!$C$3:$AH$169,33,MATCH(B113,April!$D$3:$AH$3)+1)+INDEX(April!$C$3:$AH$169,38,MATCH(B113,April!$D$3:$AH$3)+1)+INDEX(April!$C$3:$AH$169,43,MATCH(B113,April!$D$3:$AH$3)+1)+INDEX(April!$C$3:$AH$169,48,MATCH(B113,April!$D$3:$AH$3)+1)+INDEX(April!$C$3:$AH$169,53,MATCH(B113,April!$D$3:$AH$3)+1)+INDEX(April!$C$3:$AH$169,58,MATCH(B113,April!$D$3:$AH$3)+1)+INDEX(April!$C$3:$AH$169,63,MATCH(B113,April!$D$3:$AH$3)+1)+INDEX(April!$C$3:$AH$169,68,MATCH(B113,April!$D$3:$AH$3)+1)+INDEX(April!$C$3:$AH$169,73,MATCH(B113,April!$D$3:$AH$3)+1)+INDEX(April!$C$3:$AH$169,78,MATCH(B113,April!$D$3:$AH$3)+1)+INDEX(April!$C$3:$AH$169,83,MATCH(B113,April!$D$3:$AH$3)+1)+INDEX(April!$C$3:$AH$169,88,MATCH(B113,April!$D$3:$AH$3)+1)+INDEX(April!$C$3:$AH$169,93,MATCH(B113,April!$D$3:$AH$3)+1)+INDEX(April!$C$3:$AH$169,98,MATCH(B113,April!$D$3:$AH$3)+1)+INDEX(April!$C$3:$AH$169,103,MATCH(B113,April!$D$3:$AH$3)+1)+INDEX(April!$C$3:$AH$169,108,MATCH(B113,April!$D$3:$AH$3)+1)+INDEX(April!$C$3:$AH$169,113,MATCH(B113,April!$D$3:$AH$3)+1)+INDEX(April!$C$3:$AH$169,118,MATCH(B113,April!$D$3:$AH$3)+1)+INDEX(April!$C$3:$AH$169,123,MATCH(B113,April!$D$3:$AH$3)+1)+INDEX(April!$C$3:$AH$169,128,MATCH(B113,April!$D$3:$AH$3)+1)+INDEX(April!$C$3:$AH$169,133,MATCH(B113,April!$D$3:$AH$3)+1)+INDEX(April!$C$3:$AH$169,138,MATCH(B113,April!$D$3:$AH$3)+1)+INDEX(April!$C$3:$AH$169,143,MATCH(B113,April!$D$3:$AH$3)+1)+INDEX(April!$C$3:$AH$169,148,MATCH(B113,April!$D$3:$AH$3)+1)-INDEX(April!$B$5:$AH$169,MATCH("Patrick Janssen",April!$B$5:$B$169),MATCH(B113,April!$D$3:$AH$3)+2)-INDEX(April!$B$5:$AH$169,MATCH("Patrick Ziesen",April!$B$5:$B$169),MATCH(B113,April!$D$3:$AH$3)+2)-INDEX(April!$B$5:$AH$169,MATCH("Frido Meijer",April!$B$5:$B$169),MATCH(B113,April!$D$3:$AH$3)+2)</f>
        <v>8</v>
      </c>
      <c r="H113" s="130">
        <f>INDEX(April!$C$3:$AH$169,4,MATCH(B113,April!$D$3:$AH$3)+1)+INDEX(April!$C$3:$AH$169,9,MATCH(B113,April!$D$3:$AH$3)+1)+INDEX(April!$C$3:$AH$169,14,MATCH(B113,April!$D$3:$AH$3)+1)+INDEX(April!$C$3:$AH$169,19,MATCH(B113,April!$D$3:$AH$3)+1)+INDEX(April!$C$3:$AH$169,24,MATCH(B113,April!$D$3:$AH$3)+1)+INDEX(April!$C$3:$AH$169,29,MATCH(B113,April!$D$3:$AH$3)+1)+INDEX(April!$C$3:$AH$169,34,MATCH(B113,April!$D$3:$AH$3)+1)+INDEX(April!$C$3:$AH$169,39,MATCH(B113,April!$D$3:$AH$3)+1)+INDEX(April!$C$3:$AH$169,44,MATCH(B113,April!$D$3:$AH$3)+1)+INDEX(April!$C$3:$AH$169,49,MATCH(B113,April!$D$3:$AH$3)+1)+INDEX(April!$C$3:$AH$169,54,MATCH(B113,April!$D$3:$AH$3)+1)+INDEX(April!$C$3:$AH$169,59,MATCH(B113,April!$D$3:$AH$3)+1)+INDEX(April!$C$3:$AH$169,64,MATCH(B113,April!$D$3:$AH$3)+1)+INDEX(April!$C$3:$AH$169,69,MATCH(B113,April!$D$3:$AH$3)+1)+INDEX(April!$C$3:$AH$169,74,MATCH(B113,April!$D$3:$AH$3)+1)+INDEX(April!$C$3:$AH$169,79,MATCH(B113,April!$D$3:$AH$3)+1)+INDEX(April!$C$3:$AH$169,84,MATCH(B113,April!$D$3:$AH$3)+1)+INDEX(April!$C$3:$AH$169,89,MATCH(B113,April!$D$3:$AH$3)+1)+INDEX(April!$C$3:$AH$169,94,MATCH(B113,April!$D$3:$AH$3)+1)+INDEX(April!$C$3:$AH$169,99,MATCH(B113,April!$D$3:$AH$3)+1)+INDEX(April!$C$3:$AH$169,104,MATCH(B113,April!$D$3:$AH$3)+1)+INDEX(April!$C$3:$AH$169,109,MATCH(B113,April!$D$3:$AH$3)+1)+INDEX(April!$C$3:$AH$169,114,MATCH(B113,April!$D$3:$AH$3)+1)+INDEX(April!$C$3:$AH$169,119,MATCH(B113,April!$D$3:$AH$3)+1)+INDEX(April!$C$3:$AH$169,124,MATCH(B113,April!$D$3:$AH$3)+1)+INDEX(April!$C$3:$AH$169,129,MATCH(B113,April!$D$3:$AH$3)+1)+INDEX(April!$C$3:$AH$169,134,MATCH(B113,April!$D$3:$AH$3)+1)+INDEX(April!$C$3:$AH$169,139,MATCH(B113,April!$D$3:$AH$3)+1)+INDEX(April!$C$3:$AH$169,144,MATCH(B113,April!$D$3:$AH$3)+1)+INDEX(April!$C$3:$AH$169,149,MATCH(B113,April!$D$3:$AH$3)+1)-INDEX(April!$B$5:$AH$169,MATCH("Patrick Janssen",April!$B$5:$B$169)+1,MATCH(B113,April!$D$3:$AH$3)+2)-INDEX(April!$B$5:$AH$169,MATCH("Patrick Ziesen",April!$B$5:$B$169)+1,MATCH(B113,April!$D$3:$AH$3)+2)-INDEX(April!$B$5:$AH$169,MATCH("Frido Meijer",April!$B$5:$B$169)+1,MATCH(B113,April!$D$3:$AH$3)+2)</f>
        <v>4</v>
      </c>
      <c r="I113" s="130">
        <v>0</v>
      </c>
      <c r="J113" s="130">
        <v>0</v>
      </c>
      <c r="L113" s="165"/>
      <c r="M113" s="111"/>
      <c r="N113" s="111">
        <f t="shared" si="33"/>
        <v>0</v>
      </c>
      <c r="P113" s="112">
        <f t="shared" si="34"/>
        <v>0</v>
      </c>
      <c r="Q113" s="112">
        <f t="shared" si="35"/>
        <v>0</v>
      </c>
    </row>
    <row r="114" spans="2:17" x14ac:dyDescent="0.25">
      <c r="B114" s="110">
        <f>DATE(Title!$F$12,$S$8,S17)</f>
        <v>41377</v>
      </c>
      <c r="C114" s="111">
        <f>IF(WEEKDAY(B114)=1,0,IF(WEEKDAY(B114)=4,'Hours Scheduled'!$G$44-1,IF(WEEKDAY(B114)=7,0,'Hours Scheduled'!$G$44)))</f>
        <v>0</v>
      </c>
      <c r="D114" s="17">
        <f t="shared" si="36"/>
        <v>0</v>
      </c>
      <c r="E114" s="127">
        <f t="shared" si="37"/>
        <v>0</v>
      </c>
      <c r="F114" s="111"/>
      <c r="G114" s="130">
        <f>INDEX(April!$C$3:$AH$169,3,MATCH(B114,April!$D$3:$AH$3)+1)+INDEX(April!$C$3:$AH$169,8,MATCH(B114,April!$D$3:$AH$3)+1)+INDEX(April!$C$3:$AH$169,13,MATCH(B114,April!$D$3:$AH$3)+1)+INDEX(April!$C$3:$AH$169,18,MATCH(B114,April!$D$3:$AH$3)+1)+INDEX(April!$C$3:$AH$169,23,MATCH(B114,April!$D$3:$AH$3)+1)+INDEX(April!$C$3:$AH$169,28,MATCH(B114,April!$D$3:$AH$3)+1)+INDEX(April!$C$3:$AH$169,33,MATCH(B114,April!$D$3:$AH$3)+1)+INDEX(April!$C$3:$AH$169,38,MATCH(B114,April!$D$3:$AH$3)+1)+INDEX(April!$C$3:$AH$169,43,MATCH(B114,April!$D$3:$AH$3)+1)+INDEX(April!$C$3:$AH$169,48,MATCH(B114,April!$D$3:$AH$3)+1)+INDEX(April!$C$3:$AH$169,53,MATCH(B114,April!$D$3:$AH$3)+1)+INDEX(April!$C$3:$AH$169,58,MATCH(B114,April!$D$3:$AH$3)+1)+INDEX(April!$C$3:$AH$169,63,MATCH(B114,April!$D$3:$AH$3)+1)+INDEX(April!$C$3:$AH$169,68,MATCH(B114,April!$D$3:$AH$3)+1)+INDEX(April!$C$3:$AH$169,73,MATCH(B114,April!$D$3:$AH$3)+1)+INDEX(April!$C$3:$AH$169,78,MATCH(B114,April!$D$3:$AH$3)+1)+INDEX(April!$C$3:$AH$169,83,MATCH(B114,April!$D$3:$AH$3)+1)+INDEX(April!$C$3:$AH$169,88,MATCH(B114,April!$D$3:$AH$3)+1)+INDEX(April!$C$3:$AH$169,93,MATCH(B114,April!$D$3:$AH$3)+1)+INDEX(April!$C$3:$AH$169,98,MATCH(B114,April!$D$3:$AH$3)+1)+INDEX(April!$C$3:$AH$169,103,MATCH(B114,April!$D$3:$AH$3)+1)+INDEX(April!$C$3:$AH$169,108,MATCH(B114,April!$D$3:$AH$3)+1)+INDEX(April!$C$3:$AH$169,113,MATCH(B114,April!$D$3:$AH$3)+1)+INDEX(April!$C$3:$AH$169,118,MATCH(B114,April!$D$3:$AH$3)+1)+INDEX(April!$C$3:$AH$169,123,MATCH(B114,April!$D$3:$AH$3)+1)+INDEX(April!$C$3:$AH$169,128,MATCH(B114,April!$D$3:$AH$3)+1)+INDEX(April!$C$3:$AH$169,133,MATCH(B114,April!$D$3:$AH$3)+1)+INDEX(April!$C$3:$AH$169,138,MATCH(B114,April!$D$3:$AH$3)+1)+INDEX(April!$C$3:$AH$169,143,MATCH(B114,April!$D$3:$AH$3)+1)+INDEX(April!$C$3:$AH$169,148,MATCH(B114,April!$D$3:$AH$3)+1)-INDEX(April!$B$5:$AH$169,MATCH("Patrick Janssen",April!$B$5:$B$169),MATCH(B114,April!$D$3:$AH$3)+2)-INDEX(April!$B$5:$AH$169,MATCH("Patrick Ziesen",April!$B$5:$B$169),MATCH(B114,April!$D$3:$AH$3)+2)-INDEX(April!$B$5:$AH$169,MATCH("Frido Meijer",April!$B$5:$B$169),MATCH(B114,April!$D$3:$AH$3)+2)</f>
        <v>0</v>
      </c>
      <c r="H114" s="130">
        <f>INDEX(April!$C$3:$AH$169,4,MATCH(B114,April!$D$3:$AH$3)+1)+INDEX(April!$C$3:$AH$169,9,MATCH(B114,April!$D$3:$AH$3)+1)+INDEX(April!$C$3:$AH$169,14,MATCH(B114,April!$D$3:$AH$3)+1)+INDEX(April!$C$3:$AH$169,19,MATCH(B114,April!$D$3:$AH$3)+1)+INDEX(April!$C$3:$AH$169,24,MATCH(B114,April!$D$3:$AH$3)+1)+INDEX(April!$C$3:$AH$169,29,MATCH(B114,April!$D$3:$AH$3)+1)+INDEX(April!$C$3:$AH$169,34,MATCH(B114,April!$D$3:$AH$3)+1)+INDEX(April!$C$3:$AH$169,39,MATCH(B114,April!$D$3:$AH$3)+1)+INDEX(April!$C$3:$AH$169,44,MATCH(B114,April!$D$3:$AH$3)+1)+INDEX(April!$C$3:$AH$169,49,MATCH(B114,April!$D$3:$AH$3)+1)+INDEX(April!$C$3:$AH$169,54,MATCH(B114,April!$D$3:$AH$3)+1)+INDEX(April!$C$3:$AH$169,59,MATCH(B114,April!$D$3:$AH$3)+1)+INDEX(April!$C$3:$AH$169,64,MATCH(B114,April!$D$3:$AH$3)+1)+INDEX(April!$C$3:$AH$169,69,MATCH(B114,April!$D$3:$AH$3)+1)+INDEX(April!$C$3:$AH$169,74,MATCH(B114,April!$D$3:$AH$3)+1)+INDEX(April!$C$3:$AH$169,79,MATCH(B114,April!$D$3:$AH$3)+1)+INDEX(April!$C$3:$AH$169,84,MATCH(B114,April!$D$3:$AH$3)+1)+INDEX(April!$C$3:$AH$169,89,MATCH(B114,April!$D$3:$AH$3)+1)+INDEX(April!$C$3:$AH$169,94,MATCH(B114,April!$D$3:$AH$3)+1)+INDEX(April!$C$3:$AH$169,99,MATCH(B114,April!$D$3:$AH$3)+1)+INDEX(April!$C$3:$AH$169,104,MATCH(B114,April!$D$3:$AH$3)+1)+INDEX(April!$C$3:$AH$169,109,MATCH(B114,April!$D$3:$AH$3)+1)+INDEX(April!$C$3:$AH$169,114,MATCH(B114,April!$D$3:$AH$3)+1)+INDEX(April!$C$3:$AH$169,119,MATCH(B114,April!$D$3:$AH$3)+1)+INDEX(April!$C$3:$AH$169,124,MATCH(B114,April!$D$3:$AH$3)+1)+INDEX(April!$C$3:$AH$169,129,MATCH(B114,April!$D$3:$AH$3)+1)+INDEX(April!$C$3:$AH$169,134,MATCH(B114,April!$D$3:$AH$3)+1)+INDEX(April!$C$3:$AH$169,139,MATCH(B114,April!$D$3:$AH$3)+1)+INDEX(April!$C$3:$AH$169,144,MATCH(B114,April!$D$3:$AH$3)+1)+INDEX(April!$C$3:$AH$169,149,MATCH(B114,April!$D$3:$AH$3)+1)-INDEX(April!$B$5:$AH$169,MATCH("Patrick Janssen",April!$B$5:$B$169)+1,MATCH(B114,April!$D$3:$AH$3)+2)-INDEX(April!$B$5:$AH$169,MATCH("Patrick Ziesen",April!$B$5:$B$169)+1,MATCH(B114,April!$D$3:$AH$3)+2)-INDEX(April!$B$5:$AH$169,MATCH("Frido Meijer",April!$B$5:$B$169)+1,MATCH(B114,April!$D$3:$AH$3)+2)</f>
        <v>0</v>
      </c>
      <c r="I114" s="130">
        <v>0</v>
      </c>
      <c r="J114" s="130">
        <v>0</v>
      </c>
      <c r="L114" s="165"/>
      <c r="M114" s="111"/>
      <c r="N114" s="111">
        <f t="shared" si="33"/>
        <v>0</v>
      </c>
      <c r="P114" s="112" t="str">
        <f t="shared" si="34"/>
        <v/>
      </c>
      <c r="Q114" s="112" t="str">
        <f t="shared" si="35"/>
        <v/>
      </c>
    </row>
    <row r="115" spans="2:17" x14ac:dyDescent="0.25">
      <c r="B115" s="110">
        <f>DATE(Title!$F$12,$S$8,S18)</f>
        <v>41378</v>
      </c>
      <c r="C115" s="111">
        <f>IF(WEEKDAY(B115)=1,0,IF(WEEKDAY(B115)=4,'Hours Scheduled'!$G$44-1,IF(WEEKDAY(B115)=7,0,'Hours Scheduled'!$G$44)))</f>
        <v>0</v>
      </c>
      <c r="D115" s="17">
        <f t="shared" si="36"/>
        <v>0</v>
      </c>
      <c r="E115" s="127">
        <f t="shared" si="37"/>
        <v>0</v>
      </c>
      <c r="F115" s="111"/>
      <c r="G115" s="130">
        <f>INDEX(April!$C$3:$AH$169,3,MATCH(B115,April!$D$3:$AH$3)+1)+INDEX(April!$C$3:$AH$169,8,MATCH(B115,April!$D$3:$AH$3)+1)+INDEX(April!$C$3:$AH$169,13,MATCH(B115,April!$D$3:$AH$3)+1)+INDEX(April!$C$3:$AH$169,18,MATCH(B115,April!$D$3:$AH$3)+1)+INDEX(April!$C$3:$AH$169,23,MATCH(B115,April!$D$3:$AH$3)+1)+INDEX(April!$C$3:$AH$169,28,MATCH(B115,April!$D$3:$AH$3)+1)+INDEX(April!$C$3:$AH$169,33,MATCH(B115,April!$D$3:$AH$3)+1)+INDEX(April!$C$3:$AH$169,38,MATCH(B115,April!$D$3:$AH$3)+1)+INDEX(April!$C$3:$AH$169,43,MATCH(B115,April!$D$3:$AH$3)+1)+INDEX(April!$C$3:$AH$169,48,MATCH(B115,April!$D$3:$AH$3)+1)+INDEX(April!$C$3:$AH$169,53,MATCH(B115,April!$D$3:$AH$3)+1)+INDEX(April!$C$3:$AH$169,58,MATCH(B115,April!$D$3:$AH$3)+1)+INDEX(April!$C$3:$AH$169,63,MATCH(B115,April!$D$3:$AH$3)+1)+INDEX(April!$C$3:$AH$169,68,MATCH(B115,April!$D$3:$AH$3)+1)+INDEX(April!$C$3:$AH$169,73,MATCH(B115,April!$D$3:$AH$3)+1)+INDEX(April!$C$3:$AH$169,78,MATCH(B115,April!$D$3:$AH$3)+1)+INDEX(April!$C$3:$AH$169,83,MATCH(B115,April!$D$3:$AH$3)+1)+INDEX(April!$C$3:$AH$169,88,MATCH(B115,April!$D$3:$AH$3)+1)+INDEX(April!$C$3:$AH$169,93,MATCH(B115,April!$D$3:$AH$3)+1)+INDEX(April!$C$3:$AH$169,98,MATCH(B115,April!$D$3:$AH$3)+1)+INDEX(April!$C$3:$AH$169,103,MATCH(B115,April!$D$3:$AH$3)+1)+INDEX(April!$C$3:$AH$169,108,MATCH(B115,April!$D$3:$AH$3)+1)+INDEX(April!$C$3:$AH$169,113,MATCH(B115,April!$D$3:$AH$3)+1)+INDEX(April!$C$3:$AH$169,118,MATCH(B115,April!$D$3:$AH$3)+1)+INDEX(April!$C$3:$AH$169,123,MATCH(B115,April!$D$3:$AH$3)+1)+INDEX(April!$C$3:$AH$169,128,MATCH(B115,April!$D$3:$AH$3)+1)+INDEX(April!$C$3:$AH$169,133,MATCH(B115,April!$D$3:$AH$3)+1)+INDEX(April!$C$3:$AH$169,138,MATCH(B115,April!$D$3:$AH$3)+1)+INDEX(April!$C$3:$AH$169,143,MATCH(B115,April!$D$3:$AH$3)+1)+INDEX(April!$C$3:$AH$169,148,MATCH(B115,April!$D$3:$AH$3)+1)-INDEX(April!$B$5:$AH$169,MATCH("Patrick Janssen",April!$B$5:$B$169),MATCH(B115,April!$D$3:$AH$3)+2)-INDEX(April!$B$5:$AH$169,MATCH("Patrick Ziesen",April!$B$5:$B$169),MATCH(B115,April!$D$3:$AH$3)+2)-INDEX(April!$B$5:$AH$169,MATCH("Frido Meijer",April!$B$5:$B$169),MATCH(B115,April!$D$3:$AH$3)+2)</f>
        <v>0</v>
      </c>
      <c r="H115" s="130">
        <f>INDEX(April!$C$3:$AH$169,4,MATCH(B115,April!$D$3:$AH$3)+1)+INDEX(April!$C$3:$AH$169,9,MATCH(B115,April!$D$3:$AH$3)+1)+INDEX(April!$C$3:$AH$169,14,MATCH(B115,April!$D$3:$AH$3)+1)+INDEX(April!$C$3:$AH$169,19,MATCH(B115,April!$D$3:$AH$3)+1)+INDEX(April!$C$3:$AH$169,24,MATCH(B115,April!$D$3:$AH$3)+1)+INDEX(April!$C$3:$AH$169,29,MATCH(B115,April!$D$3:$AH$3)+1)+INDEX(April!$C$3:$AH$169,34,MATCH(B115,April!$D$3:$AH$3)+1)+INDEX(April!$C$3:$AH$169,39,MATCH(B115,April!$D$3:$AH$3)+1)+INDEX(April!$C$3:$AH$169,44,MATCH(B115,April!$D$3:$AH$3)+1)+INDEX(April!$C$3:$AH$169,49,MATCH(B115,April!$D$3:$AH$3)+1)+INDEX(April!$C$3:$AH$169,54,MATCH(B115,April!$D$3:$AH$3)+1)+INDEX(April!$C$3:$AH$169,59,MATCH(B115,April!$D$3:$AH$3)+1)+INDEX(April!$C$3:$AH$169,64,MATCH(B115,April!$D$3:$AH$3)+1)+INDEX(April!$C$3:$AH$169,69,MATCH(B115,April!$D$3:$AH$3)+1)+INDEX(April!$C$3:$AH$169,74,MATCH(B115,April!$D$3:$AH$3)+1)+INDEX(April!$C$3:$AH$169,79,MATCH(B115,April!$D$3:$AH$3)+1)+INDEX(April!$C$3:$AH$169,84,MATCH(B115,April!$D$3:$AH$3)+1)+INDEX(April!$C$3:$AH$169,89,MATCH(B115,April!$D$3:$AH$3)+1)+INDEX(April!$C$3:$AH$169,94,MATCH(B115,April!$D$3:$AH$3)+1)+INDEX(April!$C$3:$AH$169,99,MATCH(B115,April!$D$3:$AH$3)+1)+INDEX(April!$C$3:$AH$169,104,MATCH(B115,April!$D$3:$AH$3)+1)+INDEX(April!$C$3:$AH$169,109,MATCH(B115,April!$D$3:$AH$3)+1)+INDEX(April!$C$3:$AH$169,114,MATCH(B115,April!$D$3:$AH$3)+1)+INDEX(April!$C$3:$AH$169,119,MATCH(B115,April!$D$3:$AH$3)+1)+INDEX(April!$C$3:$AH$169,124,MATCH(B115,April!$D$3:$AH$3)+1)+INDEX(April!$C$3:$AH$169,129,MATCH(B115,April!$D$3:$AH$3)+1)+INDEX(April!$C$3:$AH$169,134,MATCH(B115,April!$D$3:$AH$3)+1)+INDEX(April!$C$3:$AH$169,139,MATCH(B115,April!$D$3:$AH$3)+1)+INDEX(April!$C$3:$AH$169,144,MATCH(B115,April!$D$3:$AH$3)+1)+INDEX(April!$C$3:$AH$169,149,MATCH(B115,April!$D$3:$AH$3)+1)-INDEX(April!$B$5:$AH$169,MATCH("Patrick Janssen",April!$B$5:$B$169)+1,MATCH(B115,April!$D$3:$AH$3)+2)-INDEX(April!$B$5:$AH$169,MATCH("Patrick Ziesen",April!$B$5:$B$169)+1,MATCH(B115,April!$D$3:$AH$3)+2)-INDEX(April!$B$5:$AH$169,MATCH("Frido Meijer",April!$B$5:$B$169)+1,MATCH(B115,April!$D$3:$AH$3)+2)</f>
        <v>0</v>
      </c>
      <c r="I115" s="130">
        <v>0</v>
      </c>
      <c r="J115" s="130">
        <v>0</v>
      </c>
      <c r="L115" s="111"/>
      <c r="M115" s="111"/>
      <c r="N115" s="111">
        <f t="shared" si="33"/>
        <v>0</v>
      </c>
      <c r="P115" s="112" t="str">
        <f t="shared" si="34"/>
        <v/>
      </c>
      <c r="Q115" s="112" t="str">
        <f t="shared" si="35"/>
        <v/>
      </c>
    </row>
    <row r="116" spans="2:17" x14ac:dyDescent="0.25">
      <c r="B116" s="110">
        <f>DATE(Title!$F$12,$S$8,S19)</f>
        <v>41379</v>
      </c>
      <c r="C116" s="111">
        <f>IF(WEEKDAY(B116)=1,0,IF(WEEKDAY(B116)=4,'Hours Scheduled'!$G$44-1,IF(WEEKDAY(B116)=7,0,'Hours Scheduled'!$G$44)))</f>
        <v>24</v>
      </c>
      <c r="D116" s="17">
        <f t="shared" si="36"/>
        <v>180</v>
      </c>
      <c r="E116" s="127">
        <f t="shared" si="37"/>
        <v>173</v>
      </c>
      <c r="F116" s="111"/>
      <c r="G116" s="130">
        <f>INDEX(April!$C$3:$AH$169,3,MATCH(B116,April!$D$3:$AH$3)+1)+INDEX(April!$C$3:$AH$169,8,MATCH(B116,April!$D$3:$AH$3)+1)+INDEX(April!$C$3:$AH$169,13,MATCH(B116,April!$D$3:$AH$3)+1)+INDEX(April!$C$3:$AH$169,18,MATCH(B116,April!$D$3:$AH$3)+1)+INDEX(April!$C$3:$AH$169,23,MATCH(B116,April!$D$3:$AH$3)+1)+INDEX(April!$C$3:$AH$169,28,MATCH(B116,April!$D$3:$AH$3)+1)+INDEX(April!$C$3:$AH$169,33,MATCH(B116,April!$D$3:$AH$3)+1)+INDEX(April!$C$3:$AH$169,38,MATCH(B116,April!$D$3:$AH$3)+1)+INDEX(April!$C$3:$AH$169,43,MATCH(B116,April!$D$3:$AH$3)+1)+INDEX(April!$C$3:$AH$169,48,MATCH(B116,April!$D$3:$AH$3)+1)+INDEX(April!$C$3:$AH$169,53,MATCH(B116,April!$D$3:$AH$3)+1)+INDEX(April!$C$3:$AH$169,58,MATCH(B116,April!$D$3:$AH$3)+1)+INDEX(April!$C$3:$AH$169,63,MATCH(B116,April!$D$3:$AH$3)+1)+INDEX(April!$C$3:$AH$169,68,MATCH(B116,April!$D$3:$AH$3)+1)+INDEX(April!$C$3:$AH$169,73,MATCH(B116,April!$D$3:$AH$3)+1)+INDEX(April!$C$3:$AH$169,78,MATCH(B116,April!$D$3:$AH$3)+1)+INDEX(April!$C$3:$AH$169,83,MATCH(B116,April!$D$3:$AH$3)+1)+INDEX(April!$C$3:$AH$169,88,MATCH(B116,April!$D$3:$AH$3)+1)+INDEX(April!$C$3:$AH$169,93,MATCH(B116,April!$D$3:$AH$3)+1)+INDEX(April!$C$3:$AH$169,98,MATCH(B116,April!$D$3:$AH$3)+1)+INDEX(April!$C$3:$AH$169,103,MATCH(B116,April!$D$3:$AH$3)+1)+INDEX(April!$C$3:$AH$169,108,MATCH(B116,April!$D$3:$AH$3)+1)+INDEX(April!$C$3:$AH$169,113,MATCH(B116,April!$D$3:$AH$3)+1)+INDEX(April!$C$3:$AH$169,118,MATCH(B116,April!$D$3:$AH$3)+1)+INDEX(April!$C$3:$AH$169,123,MATCH(B116,April!$D$3:$AH$3)+1)+INDEX(April!$C$3:$AH$169,128,MATCH(B116,April!$D$3:$AH$3)+1)+INDEX(April!$C$3:$AH$169,133,MATCH(B116,April!$D$3:$AH$3)+1)+INDEX(April!$C$3:$AH$169,138,MATCH(B116,April!$D$3:$AH$3)+1)+INDEX(April!$C$3:$AH$169,143,MATCH(B116,April!$D$3:$AH$3)+1)+INDEX(April!$C$3:$AH$169,148,MATCH(B116,April!$D$3:$AH$3)+1)-INDEX(April!$B$5:$AH$169,MATCH("Patrick Janssen",April!$B$5:$B$169),MATCH(B116,April!$D$3:$AH$3)+2)-INDEX(April!$B$5:$AH$169,MATCH("Patrick Ziesen",April!$B$5:$B$169),MATCH(B116,April!$D$3:$AH$3)+2)-INDEX(April!$B$5:$AH$169,MATCH("Frido Meijer",April!$B$5:$B$169),MATCH(B116,April!$D$3:$AH$3)+2)</f>
        <v>16</v>
      </c>
      <c r="H116" s="130">
        <f>INDEX(April!$C$3:$AH$169,4,MATCH(B116,April!$D$3:$AH$3)+1)+INDEX(April!$C$3:$AH$169,9,MATCH(B116,April!$D$3:$AH$3)+1)+INDEX(April!$C$3:$AH$169,14,MATCH(B116,April!$D$3:$AH$3)+1)+INDEX(April!$C$3:$AH$169,19,MATCH(B116,April!$D$3:$AH$3)+1)+INDEX(April!$C$3:$AH$169,24,MATCH(B116,April!$D$3:$AH$3)+1)+INDEX(April!$C$3:$AH$169,29,MATCH(B116,April!$D$3:$AH$3)+1)+INDEX(April!$C$3:$AH$169,34,MATCH(B116,April!$D$3:$AH$3)+1)+INDEX(April!$C$3:$AH$169,39,MATCH(B116,April!$D$3:$AH$3)+1)+INDEX(April!$C$3:$AH$169,44,MATCH(B116,April!$D$3:$AH$3)+1)+INDEX(April!$C$3:$AH$169,49,MATCH(B116,April!$D$3:$AH$3)+1)+INDEX(April!$C$3:$AH$169,54,MATCH(B116,April!$D$3:$AH$3)+1)+INDEX(April!$C$3:$AH$169,59,MATCH(B116,April!$D$3:$AH$3)+1)+INDEX(April!$C$3:$AH$169,64,MATCH(B116,April!$D$3:$AH$3)+1)+INDEX(April!$C$3:$AH$169,69,MATCH(B116,April!$D$3:$AH$3)+1)+INDEX(April!$C$3:$AH$169,74,MATCH(B116,April!$D$3:$AH$3)+1)+INDEX(April!$C$3:$AH$169,79,MATCH(B116,April!$D$3:$AH$3)+1)+INDEX(April!$C$3:$AH$169,84,MATCH(B116,April!$D$3:$AH$3)+1)+INDEX(April!$C$3:$AH$169,89,MATCH(B116,April!$D$3:$AH$3)+1)+INDEX(April!$C$3:$AH$169,94,MATCH(B116,April!$D$3:$AH$3)+1)+INDEX(April!$C$3:$AH$169,99,MATCH(B116,April!$D$3:$AH$3)+1)+INDEX(April!$C$3:$AH$169,104,MATCH(B116,April!$D$3:$AH$3)+1)+INDEX(April!$C$3:$AH$169,109,MATCH(B116,April!$D$3:$AH$3)+1)+INDEX(April!$C$3:$AH$169,114,MATCH(B116,April!$D$3:$AH$3)+1)+INDEX(April!$C$3:$AH$169,119,MATCH(B116,April!$D$3:$AH$3)+1)+INDEX(April!$C$3:$AH$169,124,MATCH(B116,April!$D$3:$AH$3)+1)+INDEX(April!$C$3:$AH$169,129,MATCH(B116,April!$D$3:$AH$3)+1)+INDEX(April!$C$3:$AH$169,134,MATCH(B116,April!$D$3:$AH$3)+1)+INDEX(April!$C$3:$AH$169,139,MATCH(B116,April!$D$3:$AH$3)+1)+INDEX(April!$C$3:$AH$169,144,MATCH(B116,April!$D$3:$AH$3)+1)+INDEX(April!$C$3:$AH$169,149,MATCH(B116,April!$D$3:$AH$3)+1)-INDEX(April!$B$5:$AH$169,MATCH("Patrick Janssen",April!$B$5:$B$169)+1,MATCH(B116,April!$D$3:$AH$3)+2)-INDEX(April!$B$5:$AH$169,MATCH("Patrick Ziesen",April!$B$5:$B$169)+1,MATCH(B116,April!$D$3:$AH$3)+2)-INDEX(April!$B$5:$AH$169,MATCH("Frido Meijer",April!$B$5:$B$169)+1,MATCH(B116,April!$D$3:$AH$3)+2)</f>
        <v>3</v>
      </c>
      <c r="I116" s="130">
        <v>0</v>
      </c>
      <c r="J116" s="130">
        <v>0</v>
      </c>
      <c r="L116" s="111"/>
      <c r="M116" s="111"/>
      <c r="N116" s="111">
        <f t="shared" si="33"/>
        <v>0</v>
      </c>
      <c r="P116" s="112">
        <f t="shared" si="34"/>
        <v>0</v>
      </c>
      <c r="Q116" s="112">
        <f t="shared" si="35"/>
        <v>0</v>
      </c>
    </row>
    <row r="117" spans="2:17" x14ac:dyDescent="0.25">
      <c r="B117" s="110">
        <f>DATE(Title!$F$12,$S$8,S20)</f>
        <v>41380</v>
      </c>
      <c r="C117" s="111">
        <f>IF(WEEKDAY(B117)=1,0,IF(WEEKDAY(B117)=4,'Hours Scheduled'!$G$44-1,IF(WEEKDAY(B117)=7,0,'Hours Scheduled'!$G$44)))</f>
        <v>24</v>
      </c>
      <c r="D117" s="17">
        <f t="shared" si="36"/>
        <v>180</v>
      </c>
      <c r="E117" s="127">
        <f t="shared" si="37"/>
        <v>181</v>
      </c>
      <c r="F117" s="111"/>
      <c r="G117" s="130">
        <f>INDEX(April!$C$3:$AH$169,3,MATCH(B117,April!$D$3:$AH$3)+1)+INDEX(April!$C$3:$AH$169,8,MATCH(B117,April!$D$3:$AH$3)+1)+INDEX(April!$C$3:$AH$169,13,MATCH(B117,April!$D$3:$AH$3)+1)+INDEX(April!$C$3:$AH$169,18,MATCH(B117,April!$D$3:$AH$3)+1)+INDEX(April!$C$3:$AH$169,23,MATCH(B117,April!$D$3:$AH$3)+1)+INDEX(April!$C$3:$AH$169,28,MATCH(B117,April!$D$3:$AH$3)+1)+INDEX(April!$C$3:$AH$169,33,MATCH(B117,April!$D$3:$AH$3)+1)+INDEX(April!$C$3:$AH$169,38,MATCH(B117,April!$D$3:$AH$3)+1)+INDEX(April!$C$3:$AH$169,43,MATCH(B117,April!$D$3:$AH$3)+1)+INDEX(April!$C$3:$AH$169,48,MATCH(B117,April!$D$3:$AH$3)+1)+INDEX(April!$C$3:$AH$169,53,MATCH(B117,April!$D$3:$AH$3)+1)+INDEX(April!$C$3:$AH$169,58,MATCH(B117,April!$D$3:$AH$3)+1)+INDEX(April!$C$3:$AH$169,63,MATCH(B117,April!$D$3:$AH$3)+1)+INDEX(April!$C$3:$AH$169,68,MATCH(B117,April!$D$3:$AH$3)+1)+INDEX(April!$C$3:$AH$169,73,MATCH(B117,April!$D$3:$AH$3)+1)+INDEX(April!$C$3:$AH$169,78,MATCH(B117,April!$D$3:$AH$3)+1)+INDEX(April!$C$3:$AH$169,83,MATCH(B117,April!$D$3:$AH$3)+1)+INDEX(April!$C$3:$AH$169,88,MATCH(B117,April!$D$3:$AH$3)+1)+INDEX(April!$C$3:$AH$169,93,MATCH(B117,April!$D$3:$AH$3)+1)+INDEX(April!$C$3:$AH$169,98,MATCH(B117,April!$D$3:$AH$3)+1)+INDEX(April!$C$3:$AH$169,103,MATCH(B117,April!$D$3:$AH$3)+1)+INDEX(April!$C$3:$AH$169,108,MATCH(B117,April!$D$3:$AH$3)+1)+INDEX(April!$C$3:$AH$169,113,MATCH(B117,April!$D$3:$AH$3)+1)+INDEX(April!$C$3:$AH$169,118,MATCH(B117,April!$D$3:$AH$3)+1)+INDEX(April!$C$3:$AH$169,123,MATCH(B117,April!$D$3:$AH$3)+1)+INDEX(April!$C$3:$AH$169,128,MATCH(B117,April!$D$3:$AH$3)+1)+INDEX(April!$C$3:$AH$169,133,MATCH(B117,April!$D$3:$AH$3)+1)+INDEX(April!$C$3:$AH$169,138,MATCH(B117,April!$D$3:$AH$3)+1)+INDEX(April!$C$3:$AH$169,143,MATCH(B117,April!$D$3:$AH$3)+1)+INDEX(April!$C$3:$AH$169,148,MATCH(B117,April!$D$3:$AH$3)+1)-INDEX(April!$B$5:$AH$169,MATCH("Patrick Janssen",April!$B$5:$B$169),MATCH(B117,April!$D$3:$AH$3)+2)-INDEX(April!$B$5:$AH$169,MATCH("Patrick Ziesen",April!$B$5:$B$169),MATCH(B117,April!$D$3:$AH$3)+2)-INDEX(April!$B$5:$AH$169,MATCH("Frido Meijer",April!$B$5:$B$169),MATCH(B117,April!$D$3:$AH$3)+2)</f>
        <v>8</v>
      </c>
      <c r="H117" s="130">
        <f>INDEX(April!$C$3:$AH$169,4,MATCH(B117,April!$D$3:$AH$3)+1)+INDEX(April!$C$3:$AH$169,9,MATCH(B117,April!$D$3:$AH$3)+1)+INDEX(April!$C$3:$AH$169,14,MATCH(B117,April!$D$3:$AH$3)+1)+INDEX(April!$C$3:$AH$169,19,MATCH(B117,April!$D$3:$AH$3)+1)+INDEX(April!$C$3:$AH$169,24,MATCH(B117,April!$D$3:$AH$3)+1)+INDEX(April!$C$3:$AH$169,29,MATCH(B117,April!$D$3:$AH$3)+1)+INDEX(April!$C$3:$AH$169,34,MATCH(B117,April!$D$3:$AH$3)+1)+INDEX(April!$C$3:$AH$169,39,MATCH(B117,April!$D$3:$AH$3)+1)+INDEX(April!$C$3:$AH$169,44,MATCH(B117,April!$D$3:$AH$3)+1)+INDEX(April!$C$3:$AH$169,49,MATCH(B117,April!$D$3:$AH$3)+1)+INDEX(April!$C$3:$AH$169,54,MATCH(B117,April!$D$3:$AH$3)+1)+INDEX(April!$C$3:$AH$169,59,MATCH(B117,April!$D$3:$AH$3)+1)+INDEX(April!$C$3:$AH$169,64,MATCH(B117,April!$D$3:$AH$3)+1)+INDEX(April!$C$3:$AH$169,69,MATCH(B117,April!$D$3:$AH$3)+1)+INDEX(April!$C$3:$AH$169,74,MATCH(B117,April!$D$3:$AH$3)+1)+INDEX(April!$C$3:$AH$169,79,MATCH(B117,April!$D$3:$AH$3)+1)+INDEX(April!$C$3:$AH$169,84,MATCH(B117,April!$D$3:$AH$3)+1)+INDEX(April!$C$3:$AH$169,89,MATCH(B117,April!$D$3:$AH$3)+1)+INDEX(April!$C$3:$AH$169,94,MATCH(B117,April!$D$3:$AH$3)+1)+INDEX(April!$C$3:$AH$169,99,MATCH(B117,April!$D$3:$AH$3)+1)+INDEX(April!$C$3:$AH$169,104,MATCH(B117,April!$D$3:$AH$3)+1)+INDEX(April!$C$3:$AH$169,109,MATCH(B117,April!$D$3:$AH$3)+1)+INDEX(April!$C$3:$AH$169,114,MATCH(B117,April!$D$3:$AH$3)+1)+INDEX(April!$C$3:$AH$169,119,MATCH(B117,April!$D$3:$AH$3)+1)+INDEX(April!$C$3:$AH$169,124,MATCH(B117,April!$D$3:$AH$3)+1)+INDEX(April!$C$3:$AH$169,129,MATCH(B117,April!$D$3:$AH$3)+1)+INDEX(April!$C$3:$AH$169,134,MATCH(B117,April!$D$3:$AH$3)+1)+INDEX(April!$C$3:$AH$169,139,MATCH(B117,April!$D$3:$AH$3)+1)+INDEX(April!$C$3:$AH$169,144,MATCH(B117,April!$D$3:$AH$3)+1)+INDEX(April!$C$3:$AH$169,149,MATCH(B117,April!$D$3:$AH$3)+1)-INDEX(April!$B$5:$AH$169,MATCH("Patrick Janssen",April!$B$5:$B$169)+1,MATCH(B117,April!$D$3:$AH$3)+2)-INDEX(April!$B$5:$AH$169,MATCH("Patrick Ziesen",April!$B$5:$B$169)+1,MATCH(B117,April!$D$3:$AH$3)+2)-INDEX(April!$B$5:$AH$169,MATCH("Frido Meijer",April!$B$5:$B$169)+1,MATCH(B117,April!$D$3:$AH$3)+2)</f>
        <v>3</v>
      </c>
      <c r="I117" s="130">
        <v>0</v>
      </c>
      <c r="J117" s="130">
        <v>0</v>
      </c>
      <c r="L117" s="165"/>
      <c r="M117" s="111"/>
      <c r="N117" s="111">
        <f t="shared" si="33"/>
        <v>0</v>
      </c>
      <c r="P117" s="112">
        <f t="shared" si="34"/>
        <v>0</v>
      </c>
      <c r="Q117" s="112">
        <f t="shared" si="35"/>
        <v>0</v>
      </c>
    </row>
    <row r="118" spans="2:17" x14ac:dyDescent="0.25">
      <c r="B118" s="110">
        <f>DATE(Title!$F$12,$S$8,S21)</f>
        <v>41381</v>
      </c>
      <c r="C118" s="111">
        <f>IF(WEEKDAY(B118)=1,0,IF(WEEKDAY(B118)=4,'Hours Scheduled'!$G$44-1,IF(WEEKDAY(B118)=7,0,'Hours Scheduled'!$G$44)))</f>
        <v>23</v>
      </c>
      <c r="D118" s="17">
        <f t="shared" si="36"/>
        <v>172.5</v>
      </c>
      <c r="E118" s="127">
        <f t="shared" si="37"/>
        <v>173</v>
      </c>
      <c r="F118" s="111"/>
      <c r="G118" s="130">
        <f>INDEX(April!$C$3:$AH$169,3,MATCH(B118,April!$D$3:$AH$3)+1)+INDEX(April!$C$3:$AH$169,8,MATCH(B118,April!$D$3:$AH$3)+1)+INDEX(April!$C$3:$AH$169,13,MATCH(B118,April!$D$3:$AH$3)+1)+INDEX(April!$C$3:$AH$169,18,MATCH(B118,April!$D$3:$AH$3)+1)+INDEX(April!$C$3:$AH$169,23,MATCH(B118,April!$D$3:$AH$3)+1)+INDEX(April!$C$3:$AH$169,28,MATCH(B118,April!$D$3:$AH$3)+1)+INDEX(April!$C$3:$AH$169,33,MATCH(B118,April!$D$3:$AH$3)+1)+INDEX(April!$C$3:$AH$169,38,MATCH(B118,April!$D$3:$AH$3)+1)+INDEX(April!$C$3:$AH$169,43,MATCH(B118,April!$D$3:$AH$3)+1)+INDEX(April!$C$3:$AH$169,48,MATCH(B118,April!$D$3:$AH$3)+1)+INDEX(April!$C$3:$AH$169,53,MATCH(B118,April!$D$3:$AH$3)+1)+INDEX(April!$C$3:$AH$169,58,MATCH(B118,April!$D$3:$AH$3)+1)+INDEX(April!$C$3:$AH$169,63,MATCH(B118,April!$D$3:$AH$3)+1)+INDEX(April!$C$3:$AH$169,68,MATCH(B118,April!$D$3:$AH$3)+1)+INDEX(April!$C$3:$AH$169,73,MATCH(B118,April!$D$3:$AH$3)+1)+INDEX(April!$C$3:$AH$169,78,MATCH(B118,April!$D$3:$AH$3)+1)+INDEX(April!$C$3:$AH$169,83,MATCH(B118,April!$D$3:$AH$3)+1)+INDEX(April!$C$3:$AH$169,88,MATCH(B118,April!$D$3:$AH$3)+1)+INDEX(April!$C$3:$AH$169,93,MATCH(B118,April!$D$3:$AH$3)+1)+INDEX(April!$C$3:$AH$169,98,MATCH(B118,April!$D$3:$AH$3)+1)+INDEX(April!$C$3:$AH$169,103,MATCH(B118,April!$D$3:$AH$3)+1)+INDEX(April!$C$3:$AH$169,108,MATCH(B118,April!$D$3:$AH$3)+1)+INDEX(April!$C$3:$AH$169,113,MATCH(B118,April!$D$3:$AH$3)+1)+INDEX(April!$C$3:$AH$169,118,MATCH(B118,April!$D$3:$AH$3)+1)+INDEX(April!$C$3:$AH$169,123,MATCH(B118,April!$D$3:$AH$3)+1)+INDEX(April!$C$3:$AH$169,128,MATCH(B118,April!$D$3:$AH$3)+1)+INDEX(April!$C$3:$AH$169,133,MATCH(B118,April!$D$3:$AH$3)+1)+INDEX(April!$C$3:$AH$169,138,MATCH(B118,April!$D$3:$AH$3)+1)+INDEX(April!$C$3:$AH$169,143,MATCH(B118,April!$D$3:$AH$3)+1)+INDEX(April!$C$3:$AH$169,148,MATCH(B118,April!$D$3:$AH$3)+1)-INDEX(April!$B$5:$AH$169,MATCH("Patrick Janssen",April!$B$5:$B$169),MATCH(B118,April!$D$3:$AH$3)+2)-INDEX(April!$B$5:$AH$169,MATCH("Patrick Ziesen",April!$B$5:$B$169),MATCH(B118,April!$D$3:$AH$3)+2)-INDEX(April!$B$5:$AH$169,MATCH("Frido Meijer",April!$B$5:$B$169),MATCH(B118,April!$D$3:$AH$3)+2)</f>
        <v>8</v>
      </c>
      <c r="H118" s="130">
        <f>INDEX(April!$C$3:$AH$169,4,MATCH(B118,April!$D$3:$AH$3)+1)+INDEX(April!$C$3:$AH$169,9,MATCH(B118,April!$D$3:$AH$3)+1)+INDEX(April!$C$3:$AH$169,14,MATCH(B118,April!$D$3:$AH$3)+1)+INDEX(April!$C$3:$AH$169,19,MATCH(B118,April!$D$3:$AH$3)+1)+INDEX(April!$C$3:$AH$169,24,MATCH(B118,April!$D$3:$AH$3)+1)+INDEX(April!$C$3:$AH$169,29,MATCH(B118,April!$D$3:$AH$3)+1)+INDEX(April!$C$3:$AH$169,34,MATCH(B118,April!$D$3:$AH$3)+1)+INDEX(April!$C$3:$AH$169,39,MATCH(B118,April!$D$3:$AH$3)+1)+INDEX(April!$C$3:$AH$169,44,MATCH(B118,April!$D$3:$AH$3)+1)+INDEX(April!$C$3:$AH$169,49,MATCH(B118,April!$D$3:$AH$3)+1)+INDEX(April!$C$3:$AH$169,54,MATCH(B118,April!$D$3:$AH$3)+1)+INDEX(April!$C$3:$AH$169,59,MATCH(B118,April!$D$3:$AH$3)+1)+INDEX(April!$C$3:$AH$169,64,MATCH(B118,April!$D$3:$AH$3)+1)+INDEX(April!$C$3:$AH$169,69,MATCH(B118,April!$D$3:$AH$3)+1)+INDEX(April!$C$3:$AH$169,74,MATCH(B118,April!$D$3:$AH$3)+1)+INDEX(April!$C$3:$AH$169,79,MATCH(B118,April!$D$3:$AH$3)+1)+INDEX(April!$C$3:$AH$169,84,MATCH(B118,April!$D$3:$AH$3)+1)+INDEX(April!$C$3:$AH$169,89,MATCH(B118,April!$D$3:$AH$3)+1)+INDEX(April!$C$3:$AH$169,94,MATCH(B118,April!$D$3:$AH$3)+1)+INDEX(April!$C$3:$AH$169,99,MATCH(B118,April!$D$3:$AH$3)+1)+INDEX(April!$C$3:$AH$169,104,MATCH(B118,April!$D$3:$AH$3)+1)+INDEX(April!$C$3:$AH$169,109,MATCH(B118,April!$D$3:$AH$3)+1)+INDEX(April!$C$3:$AH$169,114,MATCH(B118,April!$D$3:$AH$3)+1)+INDEX(April!$C$3:$AH$169,119,MATCH(B118,April!$D$3:$AH$3)+1)+INDEX(April!$C$3:$AH$169,124,MATCH(B118,April!$D$3:$AH$3)+1)+INDEX(April!$C$3:$AH$169,129,MATCH(B118,April!$D$3:$AH$3)+1)+INDEX(April!$C$3:$AH$169,134,MATCH(B118,April!$D$3:$AH$3)+1)+INDEX(April!$C$3:$AH$169,139,MATCH(B118,April!$D$3:$AH$3)+1)+INDEX(April!$C$3:$AH$169,144,MATCH(B118,April!$D$3:$AH$3)+1)+INDEX(April!$C$3:$AH$169,149,MATCH(B118,April!$D$3:$AH$3)+1)-INDEX(April!$B$5:$AH$169,MATCH("Patrick Janssen",April!$B$5:$B$169)+1,MATCH(B118,April!$D$3:$AH$3)+2)-INDEX(April!$B$5:$AH$169,MATCH("Patrick Ziesen",April!$B$5:$B$169)+1,MATCH(B118,April!$D$3:$AH$3)+2)-INDEX(April!$B$5:$AH$169,MATCH("Frido Meijer",April!$B$5:$B$169)+1,MATCH(B118,April!$D$3:$AH$3)+2)</f>
        <v>3</v>
      </c>
      <c r="I118" s="130">
        <v>0</v>
      </c>
      <c r="J118" s="130">
        <v>0</v>
      </c>
      <c r="L118" s="165"/>
      <c r="M118" s="111"/>
      <c r="N118" s="111">
        <f t="shared" si="33"/>
        <v>0</v>
      </c>
      <c r="P118" s="112">
        <f t="shared" si="34"/>
        <v>0</v>
      </c>
      <c r="Q118" s="112">
        <f t="shared" si="35"/>
        <v>0</v>
      </c>
    </row>
    <row r="119" spans="2:17" x14ac:dyDescent="0.25">
      <c r="B119" s="110">
        <f>DATE(Title!$F$12,$S$8,S22)</f>
        <v>41382</v>
      </c>
      <c r="C119" s="111">
        <f>IF(WEEKDAY(B119)=1,0,IF(WEEKDAY(B119)=4,'Hours Scheduled'!$G$44-1,IF(WEEKDAY(B119)=7,0,'Hours Scheduled'!$G$44)))</f>
        <v>24</v>
      </c>
      <c r="D119" s="17">
        <f t="shared" si="36"/>
        <v>180</v>
      </c>
      <c r="E119" s="127">
        <f t="shared" si="37"/>
        <v>172.75</v>
      </c>
      <c r="F119" s="111"/>
      <c r="G119" s="130">
        <f>INDEX(April!$C$3:$AH$169,3,MATCH(B119,April!$D$3:$AH$3)+1)+INDEX(April!$C$3:$AH$169,8,MATCH(B119,April!$D$3:$AH$3)+1)+INDEX(April!$C$3:$AH$169,13,MATCH(B119,April!$D$3:$AH$3)+1)+INDEX(April!$C$3:$AH$169,18,MATCH(B119,April!$D$3:$AH$3)+1)+INDEX(April!$C$3:$AH$169,23,MATCH(B119,April!$D$3:$AH$3)+1)+INDEX(April!$C$3:$AH$169,28,MATCH(B119,April!$D$3:$AH$3)+1)+INDEX(April!$C$3:$AH$169,33,MATCH(B119,April!$D$3:$AH$3)+1)+INDEX(April!$C$3:$AH$169,38,MATCH(B119,April!$D$3:$AH$3)+1)+INDEX(April!$C$3:$AH$169,43,MATCH(B119,April!$D$3:$AH$3)+1)+INDEX(April!$C$3:$AH$169,48,MATCH(B119,April!$D$3:$AH$3)+1)+INDEX(April!$C$3:$AH$169,53,MATCH(B119,April!$D$3:$AH$3)+1)+INDEX(April!$C$3:$AH$169,58,MATCH(B119,April!$D$3:$AH$3)+1)+INDEX(April!$C$3:$AH$169,63,MATCH(B119,April!$D$3:$AH$3)+1)+INDEX(April!$C$3:$AH$169,68,MATCH(B119,April!$D$3:$AH$3)+1)+INDEX(April!$C$3:$AH$169,73,MATCH(B119,April!$D$3:$AH$3)+1)+INDEX(April!$C$3:$AH$169,78,MATCH(B119,April!$D$3:$AH$3)+1)+INDEX(April!$C$3:$AH$169,83,MATCH(B119,April!$D$3:$AH$3)+1)+INDEX(April!$C$3:$AH$169,88,MATCH(B119,April!$D$3:$AH$3)+1)+INDEX(April!$C$3:$AH$169,93,MATCH(B119,April!$D$3:$AH$3)+1)+INDEX(April!$C$3:$AH$169,98,MATCH(B119,April!$D$3:$AH$3)+1)+INDEX(April!$C$3:$AH$169,103,MATCH(B119,April!$D$3:$AH$3)+1)+INDEX(April!$C$3:$AH$169,108,MATCH(B119,April!$D$3:$AH$3)+1)+INDEX(April!$C$3:$AH$169,113,MATCH(B119,April!$D$3:$AH$3)+1)+INDEX(April!$C$3:$AH$169,118,MATCH(B119,April!$D$3:$AH$3)+1)+INDEX(April!$C$3:$AH$169,123,MATCH(B119,April!$D$3:$AH$3)+1)+INDEX(April!$C$3:$AH$169,128,MATCH(B119,April!$D$3:$AH$3)+1)+INDEX(April!$C$3:$AH$169,133,MATCH(B119,April!$D$3:$AH$3)+1)+INDEX(April!$C$3:$AH$169,138,MATCH(B119,April!$D$3:$AH$3)+1)+INDEX(April!$C$3:$AH$169,143,MATCH(B119,April!$D$3:$AH$3)+1)+INDEX(April!$C$3:$AH$169,148,MATCH(B119,April!$D$3:$AH$3)+1)-INDEX(April!$B$5:$AH$169,MATCH("Patrick Janssen",April!$B$5:$B$169),MATCH(B119,April!$D$3:$AH$3)+2)-INDEX(April!$B$5:$AH$169,MATCH("Patrick Ziesen",April!$B$5:$B$169),MATCH(B119,April!$D$3:$AH$3)+2)-INDEX(April!$B$5:$AH$169,MATCH("Frido Meijer",April!$B$5:$B$169),MATCH(B119,April!$D$3:$AH$3)+2)</f>
        <v>19.25</v>
      </c>
      <c r="H119" s="130">
        <f>INDEX(April!$C$3:$AH$169,4,MATCH(B119,April!$D$3:$AH$3)+1)+INDEX(April!$C$3:$AH$169,9,MATCH(B119,April!$D$3:$AH$3)+1)+INDEX(April!$C$3:$AH$169,14,MATCH(B119,April!$D$3:$AH$3)+1)+INDEX(April!$C$3:$AH$169,19,MATCH(B119,April!$D$3:$AH$3)+1)+INDEX(April!$C$3:$AH$169,24,MATCH(B119,April!$D$3:$AH$3)+1)+INDEX(April!$C$3:$AH$169,29,MATCH(B119,April!$D$3:$AH$3)+1)+INDEX(April!$C$3:$AH$169,34,MATCH(B119,April!$D$3:$AH$3)+1)+INDEX(April!$C$3:$AH$169,39,MATCH(B119,April!$D$3:$AH$3)+1)+INDEX(April!$C$3:$AH$169,44,MATCH(B119,April!$D$3:$AH$3)+1)+INDEX(April!$C$3:$AH$169,49,MATCH(B119,April!$D$3:$AH$3)+1)+INDEX(April!$C$3:$AH$169,54,MATCH(B119,April!$D$3:$AH$3)+1)+INDEX(April!$C$3:$AH$169,59,MATCH(B119,April!$D$3:$AH$3)+1)+INDEX(April!$C$3:$AH$169,64,MATCH(B119,April!$D$3:$AH$3)+1)+INDEX(April!$C$3:$AH$169,69,MATCH(B119,April!$D$3:$AH$3)+1)+INDEX(April!$C$3:$AH$169,74,MATCH(B119,April!$D$3:$AH$3)+1)+INDEX(April!$C$3:$AH$169,79,MATCH(B119,April!$D$3:$AH$3)+1)+INDEX(April!$C$3:$AH$169,84,MATCH(B119,April!$D$3:$AH$3)+1)+INDEX(April!$C$3:$AH$169,89,MATCH(B119,April!$D$3:$AH$3)+1)+INDEX(April!$C$3:$AH$169,94,MATCH(B119,April!$D$3:$AH$3)+1)+INDEX(April!$C$3:$AH$169,99,MATCH(B119,April!$D$3:$AH$3)+1)+INDEX(April!$C$3:$AH$169,104,MATCH(B119,April!$D$3:$AH$3)+1)+INDEX(April!$C$3:$AH$169,109,MATCH(B119,April!$D$3:$AH$3)+1)+INDEX(April!$C$3:$AH$169,114,MATCH(B119,April!$D$3:$AH$3)+1)+INDEX(April!$C$3:$AH$169,119,MATCH(B119,April!$D$3:$AH$3)+1)+INDEX(April!$C$3:$AH$169,124,MATCH(B119,April!$D$3:$AH$3)+1)+INDEX(April!$C$3:$AH$169,129,MATCH(B119,April!$D$3:$AH$3)+1)+INDEX(April!$C$3:$AH$169,134,MATCH(B119,April!$D$3:$AH$3)+1)+INDEX(April!$C$3:$AH$169,139,MATCH(B119,April!$D$3:$AH$3)+1)+INDEX(April!$C$3:$AH$169,144,MATCH(B119,April!$D$3:$AH$3)+1)+INDEX(April!$C$3:$AH$169,149,MATCH(B119,April!$D$3:$AH$3)+1)-INDEX(April!$B$5:$AH$169,MATCH("Patrick Janssen",April!$B$5:$B$169)+1,MATCH(B119,April!$D$3:$AH$3)+2)-INDEX(April!$B$5:$AH$169,MATCH("Patrick Ziesen",April!$B$5:$B$169)+1,MATCH(B119,April!$D$3:$AH$3)+2)-INDEX(April!$B$5:$AH$169,MATCH("Frido Meijer",April!$B$5:$B$169)+1,MATCH(B119,April!$D$3:$AH$3)+2)</f>
        <v>0</v>
      </c>
      <c r="I119" s="130">
        <v>0</v>
      </c>
      <c r="J119" s="130">
        <v>0</v>
      </c>
      <c r="L119" s="165"/>
      <c r="M119" s="111"/>
      <c r="N119" s="111">
        <f t="shared" si="33"/>
        <v>0</v>
      </c>
      <c r="P119" s="112">
        <f t="shared" si="34"/>
        <v>0</v>
      </c>
      <c r="Q119" s="112">
        <f t="shared" si="35"/>
        <v>0</v>
      </c>
    </row>
    <row r="120" spans="2:17" x14ac:dyDescent="0.25">
      <c r="B120" s="110">
        <f>DATE(Title!$F$12,$S$8,S23)</f>
        <v>41383</v>
      </c>
      <c r="C120" s="111">
        <f>IF(WEEKDAY(B120)=1,0,IF(WEEKDAY(B120)=4,'Hours Scheduled'!$G$44-1,IF(WEEKDAY(B120)=7,0,'Hours Scheduled'!$G$44)))</f>
        <v>24</v>
      </c>
      <c r="D120" s="17">
        <f t="shared" si="36"/>
        <v>180</v>
      </c>
      <c r="E120" s="127">
        <f t="shared" si="37"/>
        <v>158.5</v>
      </c>
      <c r="F120" s="111"/>
      <c r="G120" s="130">
        <f>INDEX(April!$C$3:$AH$169,3,MATCH(B120,April!$D$3:$AH$3)+1)+INDEX(April!$C$3:$AH$169,8,MATCH(B120,April!$D$3:$AH$3)+1)+INDEX(April!$C$3:$AH$169,13,MATCH(B120,April!$D$3:$AH$3)+1)+INDEX(April!$C$3:$AH$169,18,MATCH(B120,April!$D$3:$AH$3)+1)+INDEX(April!$C$3:$AH$169,23,MATCH(B120,April!$D$3:$AH$3)+1)+INDEX(April!$C$3:$AH$169,28,MATCH(B120,April!$D$3:$AH$3)+1)+INDEX(April!$C$3:$AH$169,33,MATCH(B120,April!$D$3:$AH$3)+1)+INDEX(April!$C$3:$AH$169,38,MATCH(B120,April!$D$3:$AH$3)+1)+INDEX(April!$C$3:$AH$169,43,MATCH(B120,April!$D$3:$AH$3)+1)+INDEX(April!$C$3:$AH$169,48,MATCH(B120,April!$D$3:$AH$3)+1)+INDEX(April!$C$3:$AH$169,53,MATCH(B120,April!$D$3:$AH$3)+1)+INDEX(April!$C$3:$AH$169,58,MATCH(B120,April!$D$3:$AH$3)+1)+INDEX(April!$C$3:$AH$169,63,MATCH(B120,April!$D$3:$AH$3)+1)+INDEX(April!$C$3:$AH$169,68,MATCH(B120,April!$D$3:$AH$3)+1)+INDEX(April!$C$3:$AH$169,73,MATCH(B120,April!$D$3:$AH$3)+1)+INDEX(April!$C$3:$AH$169,78,MATCH(B120,April!$D$3:$AH$3)+1)+INDEX(April!$C$3:$AH$169,83,MATCH(B120,April!$D$3:$AH$3)+1)+INDEX(April!$C$3:$AH$169,88,MATCH(B120,April!$D$3:$AH$3)+1)+INDEX(April!$C$3:$AH$169,93,MATCH(B120,April!$D$3:$AH$3)+1)+INDEX(April!$C$3:$AH$169,98,MATCH(B120,April!$D$3:$AH$3)+1)+INDEX(April!$C$3:$AH$169,103,MATCH(B120,April!$D$3:$AH$3)+1)+INDEX(April!$C$3:$AH$169,108,MATCH(B120,April!$D$3:$AH$3)+1)+INDEX(April!$C$3:$AH$169,113,MATCH(B120,April!$D$3:$AH$3)+1)+INDEX(April!$C$3:$AH$169,118,MATCH(B120,April!$D$3:$AH$3)+1)+INDEX(April!$C$3:$AH$169,123,MATCH(B120,April!$D$3:$AH$3)+1)+INDEX(April!$C$3:$AH$169,128,MATCH(B120,April!$D$3:$AH$3)+1)+INDEX(April!$C$3:$AH$169,133,MATCH(B120,April!$D$3:$AH$3)+1)+INDEX(April!$C$3:$AH$169,138,MATCH(B120,April!$D$3:$AH$3)+1)+INDEX(April!$C$3:$AH$169,143,MATCH(B120,April!$D$3:$AH$3)+1)+INDEX(April!$C$3:$AH$169,148,MATCH(B120,April!$D$3:$AH$3)+1)-INDEX(April!$B$5:$AH$169,MATCH("Patrick Janssen",April!$B$5:$B$169),MATCH(B120,April!$D$3:$AH$3)+2)-INDEX(April!$B$5:$AH$169,MATCH("Patrick Ziesen",April!$B$5:$B$169),MATCH(B120,April!$D$3:$AH$3)+2)-INDEX(April!$B$5:$AH$169,MATCH("Frido Meijer",April!$B$5:$B$169),MATCH(B120,April!$D$3:$AH$3)+2)</f>
        <v>33.5</v>
      </c>
      <c r="H120" s="130">
        <f>INDEX(April!$C$3:$AH$169,4,MATCH(B120,April!$D$3:$AH$3)+1)+INDEX(April!$C$3:$AH$169,9,MATCH(B120,April!$D$3:$AH$3)+1)+INDEX(April!$C$3:$AH$169,14,MATCH(B120,April!$D$3:$AH$3)+1)+INDEX(April!$C$3:$AH$169,19,MATCH(B120,April!$D$3:$AH$3)+1)+INDEX(April!$C$3:$AH$169,24,MATCH(B120,April!$D$3:$AH$3)+1)+INDEX(April!$C$3:$AH$169,29,MATCH(B120,April!$D$3:$AH$3)+1)+INDEX(April!$C$3:$AH$169,34,MATCH(B120,April!$D$3:$AH$3)+1)+INDEX(April!$C$3:$AH$169,39,MATCH(B120,April!$D$3:$AH$3)+1)+INDEX(April!$C$3:$AH$169,44,MATCH(B120,April!$D$3:$AH$3)+1)+INDEX(April!$C$3:$AH$169,49,MATCH(B120,April!$D$3:$AH$3)+1)+INDEX(April!$C$3:$AH$169,54,MATCH(B120,April!$D$3:$AH$3)+1)+INDEX(April!$C$3:$AH$169,59,MATCH(B120,April!$D$3:$AH$3)+1)+INDEX(April!$C$3:$AH$169,64,MATCH(B120,April!$D$3:$AH$3)+1)+INDEX(April!$C$3:$AH$169,69,MATCH(B120,April!$D$3:$AH$3)+1)+INDEX(April!$C$3:$AH$169,74,MATCH(B120,April!$D$3:$AH$3)+1)+INDEX(April!$C$3:$AH$169,79,MATCH(B120,April!$D$3:$AH$3)+1)+INDEX(April!$C$3:$AH$169,84,MATCH(B120,April!$D$3:$AH$3)+1)+INDEX(April!$C$3:$AH$169,89,MATCH(B120,April!$D$3:$AH$3)+1)+INDEX(April!$C$3:$AH$169,94,MATCH(B120,April!$D$3:$AH$3)+1)+INDEX(April!$C$3:$AH$169,99,MATCH(B120,April!$D$3:$AH$3)+1)+INDEX(April!$C$3:$AH$169,104,MATCH(B120,April!$D$3:$AH$3)+1)+INDEX(April!$C$3:$AH$169,109,MATCH(B120,April!$D$3:$AH$3)+1)+INDEX(April!$C$3:$AH$169,114,MATCH(B120,April!$D$3:$AH$3)+1)+INDEX(April!$C$3:$AH$169,119,MATCH(B120,April!$D$3:$AH$3)+1)+INDEX(April!$C$3:$AH$169,124,MATCH(B120,April!$D$3:$AH$3)+1)+INDEX(April!$C$3:$AH$169,129,MATCH(B120,April!$D$3:$AH$3)+1)+INDEX(April!$C$3:$AH$169,134,MATCH(B120,April!$D$3:$AH$3)+1)+INDEX(April!$C$3:$AH$169,139,MATCH(B120,April!$D$3:$AH$3)+1)+INDEX(April!$C$3:$AH$169,144,MATCH(B120,April!$D$3:$AH$3)+1)+INDEX(April!$C$3:$AH$169,149,MATCH(B120,April!$D$3:$AH$3)+1)-INDEX(April!$B$5:$AH$169,MATCH("Patrick Janssen",April!$B$5:$B$169)+1,MATCH(B120,April!$D$3:$AH$3)+2)-INDEX(April!$B$5:$AH$169,MATCH("Patrick Ziesen",April!$B$5:$B$169)+1,MATCH(B120,April!$D$3:$AH$3)+2)-INDEX(April!$B$5:$AH$169,MATCH("Frido Meijer",April!$B$5:$B$169)+1,MATCH(B120,April!$D$3:$AH$3)+2)</f>
        <v>0</v>
      </c>
      <c r="I120" s="130">
        <v>0</v>
      </c>
      <c r="J120" s="130">
        <v>0</v>
      </c>
      <c r="L120" s="165"/>
      <c r="M120" s="111"/>
      <c r="N120" s="111">
        <f t="shared" si="33"/>
        <v>0</v>
      </c>
      <c r="P120" s="112">
        <f t="shared" si="34"/>
        <v>0</v>
      </c>
      <c r="Q120" s="112">
        <f t="shared" si="35"/>
        <v>0</v>
      </c>
    </row>
    <row r="121" spans="2:17" x14ac:dyDescent="0.25">
      <c r="B121" s="110">
        <f>DATE(Title!$F$12,$S$8,S24)</f>
        <v>41384</v>
      </c>
      <c r="C121" s="111">
        <f>IF(WEEKDAY(B121)=1,0,IF(WEEKDAY(B121)=4,'Hours Scheduled'!$G$44-1,IF(WEEKDAY(B121)=7,0,'Hours Scheduled'!$G$44)))</f>
        <v>0</v>
      </c>
      <c r="D121" s="17">
        <f t="shared" si="36"/>
        <v>0</v>
      </c>
      <c r="E121" s="127">
        <f t="shared" si="37"/>
        <v>0</v>
      </c>
      <c r="F121" s="111"/>
      <c r="G121" s="130">
        <f>INDEX(April!$C$3:$AH$169,3,MATCH(B121,April!$D$3:$AH$3)+1)+INDEX(April!$C$3:$AH$169,8,MATCH(B121,April!$D$3:$AH$3)+1)+INDEX(April!$C$3:$AH$169,13,MATCH(B121,April!$D$3:$AH$3)+1)+INDEX(April!$C$3:$AH$169,18,MATCH(B121,April!$D$3:$AH$3)+1)+INDEX(April!$C$3:$AH$169,23,MATCH(B121,April!$D$3:$AH$3)+1)+INDEX(April!$C$3:$AH$169,28,MATCH(B121,April!$D$3:$AH$3)+1)+INDEX(April!$C$3:$AH$169,33,MATCH(B121,April!$D$3:$AH$3)+1)+INDEX(April!$C$3:$AH$169,38,MATCH(B121,April!$D$3:$AH$3)+1)+INDEX(April!$C$3:$AH$169,43,MATCH(B121,April!$D$3:$AH$3)+1)+INDEX(April!$C$3:$AH$169,48,MATCH(B121,April!$D$3:$AH$3)+1)+INDEX(April!$C$3:$AH$169,53,MATCH(B121,April!$D$3:$AH$3)+1)+INDEX(April!$C$3:$AH$169,58,MATCH(B121,April!$D$3:$AH$3)+1)+INDEX(April!$C$3:$AH$169,63,MATCH(B121,April!$D$3:$AH$3)+1)+INDEX(April!$C$3:$AH$169,68,MATCH(B121,April!$D$3:$AH$3)+1)+INDEX(April!$C$3:$AH$169,73,MATCH(B121,April!$D$3:$AH$3)+1)+INDEX(April!$C$3:$AH$169,78,MATCH(B121,April!$D$3:$AH$3)+1)+INDEX(April!$C$3:$AH$169,83,MATCH(B121,April!$D$3:$AH$3)+1)+INDEX(April!$C$3:$AH$169,88,MATCH(B121,April!$D$3:$AH$3)+1)+INDEX(April!$C$3:$AH$169,93,MATCH(B121,April!$D$3:$AH$3)+1)+INDEX(April!$C$3:$AH$169,98,MATCH(B121,April!$D$3:$AH$3)+1)+INDEX(April!$C$3:$AH$169,103,MATCH(B121,April!$D$3:$AH$3)+1)+INDEX(April!$C$3:$AH$169,108,MATCH(B121,April!$D$3:$AH$3)+1)+INDEX(April!$C$3:$AH$169,113,MATCH(B121,April!$D$3:$AH$3)+1)+INDEX(April!$C$3:$AH$169,118,MATCH(B121,April!$D$3:$AH$3)+1)+INDEX(April!$C$3:$AH$169,123,MATCH(B121,April!$D$3:$AH$3)+1)+INDEX(April!$C$3:$AH$169,128,MATCH(B121,April!$D$3:$AH$3)+1)+INDEX(April!$C$3:$AH$169,133,MATCH(B121,April!$D$3:$AH$3)+1)+INDEX(April!$C$3:$AH$169,138,MATCH(B121,April!$D$3:$AH$3)+1)+INDEX(April!$C$3:$AH$169,143,MATCH(B121,April!$D$3:$AH$3)+1)+INDEX(April!$C$3:$AH$169,148,MATCH(B121,April!$D$3:$AH$3)+1)-INDEX(April!$B$5:$AH$169,MATCH("Patrick Janssen",April!$B$5:$B$169),MATCH(B121,April!$D$3:$AH$3)+2)-INDEX(April!$B$5:$AH$169,MATCH("Patrick Ziesen",April!$B$5:$B$169),MATCH(B121,April!$D$3:$AH$3)+2)-INDEX(April!$B$5:$AH$169,MATCH("Frido Meijer",April!$B$5:$B$169),MATCH(B121,April!$D$3:$AH$3)+2)</f>
        <v>0</v>
      </c>
      <c r="H121" s="130">
        <f>INDEX(April!$C$3:$AH$169,4,MATCH(B121,April!$D$3:$AH$3)+1)+INDEX(April!$C$3:$AH$169,9,MATCH(B121,April!$D$3:$AH$3)+1)+INDEX(April!$C$3:$AH$169,14,MATCH(B121,April!$D$3:$AH$3)+1)+INDEX(April!$C$3:$AH$169,19,MATCH(B121,April!$D$3:$AH$3)+1)+INDEX(April!$C$3:$AH$169,24,MATCH(B121,April!$D$3:$AH$3)+1)+INDEX(April!$C$3:$AH$169,29,MATCH(B121,April!$D$3:$AH$3)+1)+INDEX(April!$C$3:$AH$169,34,MATCH(B121,April!$D$3:$AH$3)+1)+INDEX(April!$C$3:$AH$169,39,MATCH(B121,April!$D$3:$AH$3)+1)+INDEX(April!$C$3:$AH$169,44,MATCH(B121,April!$D$3:$AH$3)+1)+INDEX(April!$C$3:$AH$169,49,MATCH(B121,April!$D$3:$AH$3)+1)+INDEX(April!$C$3:$AH$169,54,MATCH(B121,April!$D$3:$AH$3)+1)+INDEX(April!$C$3:$AH$169,59,MATCH(B121,April!$D$3:$AH$3)+1)+INDEX(April!$C$3:$AH$169,64,MATCH(B121,April!$D$3:$AH$3)+1)+INDEX(April!$C$3:$AH$169,69,MATCH(B121,April!$D$3:$AH$3)+1)+INDEX(April!$C$3:$AH$169,74,MATCH(B121,April!$D$3:$AH$3)+1)+INDEX(April!$C$3:$AH$169,79,MATCH(B121,April!$D$3:$AH$3)+1)+INDEX(April!$C$3:$AH$169,84,MATCH(B121,April!$D$3:$AH$3)+1)+INDEX(April!$C$3:$AH$169,89,MATCH(B121,April!$D$3:$AH$3)+1)+INDEX(April!$C$3:$AH$169,94,MATCH(B121,April!$D$3:$AH$3)+1)+INDEX(April!$C$3:$AH$169,99,MATCH(B121,April!$D$3:$AH$3)+1)+INDEX(April!$C$3:$AH$169,104,MATCH(B121,April!$D$3:$AH$3)+1)+INDEX(April!$C$3:$AH$169,109,MATCH(B121,April!$D$3:$AH$3)+1)+INDEX(April!$C$3:$AH$169,114,MATCH(B121,April!$D$3:$AH$3)+1)+INDEX(April!$C$3:$AH$169,119,MATCH(B121,April!$D$3:$AH$3)+1)+INDEX(April!$C$3:$AH$169,124,MATCH(B121,April!$D$3:$AH$3)+1)+INDEX(April!$C$3:$AH$169,129,MATCH(B121,April!$D$3:$AH$3)+1)+INDEX(April!$C$3:$AH$169,134,MATCH(B121,April!$D$3:$AH$3)+1)+INDEX(April!$C$3:$AH$169,139,MATCH(B121,April!$D$3:$AH$3)+1)+INDEX(April!$C$3:$AH$169,144,MATCH(B121,April!$D$3:$AH$3)+1)+INDEX(April!$C$3:$AH$169,149,MATCH(B121,April!$D$3:$AH$3)+1)-INDEX(April!$B$5:$AH$169,MATCH("Patrick Janssen",April!$B$5:$B$169)+1,MATCH(B121,April!$D$3:$AH$3)+2)-INDEX(April!$B$5:$AH$169,MATCH("Patrick Ziesen",April!$B$5:$B$169)+1,MATCH(B121,April!$D$3:$AH$3)+2)-INDEX(April!$B$5:$AH$169,MATCH("Frido Meijer",April!$B$5:$B$169)+1,MATCH(B121,April!$D$3:$AH$3)+2)</f>
        <v>0</v>
      </c>
      <c r="I121" s="130">
        <v>0</v>
      </c>
      <c r="J121" s="130">
        <v>0</v>
      </c>
      <c r="L121" s="165"/>
      <c r="M121" s="111"/>
      <c r="N121" s="111">
        <f t="shared" si="33"/>
        <v>0</v>
      </c>
      <c r="P121" s="112" t="str">
        <f t="shared" si="34"/>
        <v/>
      </c>
      <c r="Q121" s="112" t="str">
        <f t="shared" si="35"/>
        <v/>
      </c>
    </row>
    <row r="122" spans="2:17" x14ac:dyDescent="0.25">
      <c r="B122" s="110">
        <f>DATE(Title!$F$12,$S$8,S25)</f>
        <v>41385</v>
      </c>
      <c r="C122" s="111">
        <f>IF(WEEKDAY(B122)=1,0,IF(WEEKDAY(B122)=4,'Hours Scheduled'!$G$44-1,IF(WEEKDAY(B122)=7,0,'Hours Scheduled'!$G$44)))</f>
        <v>0</v>
      </c>
      <c r="D122" s="17">
        <f t="shared" si="36"/>
        <v>0</v>
      </c>
      <c r="E122" s="127">
        <f t="shared" si="37"/>
        <v>0</v>
      </c>
      <c r="F122" s="111"/>
      <c r="G122" s="130">
        <f>INDEX(April!$C$3:$AH$169,3,MATCH(B122,April!$D$3:$AH$3)+1)+INDEX(April!$C$3:$AH$169,8,MATCH(B122,April!$D$3:$AH$3)+1)+INDEX(April!$C$3:$AH$169,13,MATCH(B122,April!$D$3:$AH$3)+1)+INDEX(April!$C$3:$AH$169,18,MATCH(B122,April!$D$3:$AH$3)+1)+INDEX(April!$C$3:$AH$169,23,MATCH(B122,April!$D$3:$AH$3)+1)+INDEX(April!$C$3:$AH$169,28,MATCH(B122,April!$D$3:$AH$3)+1)+INDEX(April!$C$3:$AH$169,33,MATCH(B122,April!$D$3:$AH$3)+1)+INDEX(April!$C$3:$AH$169,38,MATCH(B122,April!$D$3:$AH$3)+1)+INDEX(April!$C$3:$AH$169,43,MATCH(B122,April!$D$3:$AH$3)+1)+INDEX(April!$C$3:$AH$169,48,MATCH(B122,April!$D$3:$AH$3)+1)+INDEX(April!$C$3:$AH$169,53,MATCH(B122,April!$D$3:$AH$3)+1)+INDEX(April!$C$3:$AH$169,58,MATCH(B122,April!$D$3:$AH$3)+1)+INDEX(April!$C$3:$AH$169,63,MATCH(B122,April!$D$3:$AH$3)+1)+INDEX(April!$C$3:$AH$169,68,MATCH(B122,April!$D$3:$AH$3)+1)+INDEX(April!$C$3:$AH$169,73,MATCH(B122,April!$D$3:$AH$3)+1)+INDEX(April!$C$3:$AH$169,78,MATCH(B122,April!$D$3:$AH$3)+1)+INDEX(April!$C$3:$AH$169,83,MATCH(B122,April!$D$3:$AH$3)+1)+INDEX(April!$C$3:$AH$169,88,MATCH(B122,April!$D$3:$AH$3)+1)+INDEX(April!$C$3:$AH$169,93,MATCH(B122,April!$D$3:$AH$3)+1)+INDEX(April!$C$3:$AH$169,98,MATCH(B122,April!$D$3:$AH$3)+1)+INDEX(April!$C$3:$AH$169,103,MATCH(B122,April!$D$3:$AH$3)+1)+INDEX(April!$C$3:$AH$169,108,MATCH(B122,April!$D$3:$AH$3)+1)+INDEX(April!$C$3:$AH$169,113,MATCH(B122,April!$D$3:$AH$3)+1)+INDEX(April!$C$3:$AH$169,118,MATCH(B122,April!$D$3:$AH$3)+1)+INDEX(April!$C$3:$AH$169,123,MATCH(B122,April!$D$3:$AH$3)+1)+INDEX(April!$C$3:$AH$169,128,MATCH(B122,April!$D$3:$AH$3)+1)+INDEX(April!$C$3:$AH$169,133,MATCH(B122,April!$D$3:$AH$3)+1)+INDEX(April!$C$3:$AH$169,138,MATCH(B122,April!$D$3:$AH$3)+1)+INDEX(April!$C$3:$AH$169,143,MATCH(B122,April!$D$3:$AH$3)+1)+INDEX(April!$C$3:$AH$169,148,MATCH(B122,April!$D$3:$AH$3)+1)-INDEX(April!$B$5:$AH$169,MATCH("Patrick Janssen",April!$B$5:$B$169),MATCH(B122,April!$D$3:$AH$3)+2)-INDEX(April!$B$5:$AH$169,MATCH("Patrick Ziesen",April!$B$5:$B$169),MATCH(B122,April!$D$3:$AH$3)+2)-INDEX(April!$B$5:$AH$169,MATCH("Frido Meijer",April!$B$5:$B$169),MATCH(B122,April!$D$3:$AH$3)+2)</f>
        <v>0</v>
      </c>
      <c r="H122" s="130">
        <f>INDEX(April!$C$3:$AH$169,4,MATCH(B122,April!$D$3:$AH$3)+1)+INDEX(April!$C$3:$AH$169,9,MATCH(B122,April!$D$3:$AH$3)+1)+INDEX(April!$C$3:$AH$169,14,MATCH(B122,April!$D$3:$AH$3)+1)+INDEX(April!$C$3:$AH$169,19,MATCH(B122,April!$D$3:$AH$3)+1)+INDEX(April!$C$3:$AH$169,24,MATCH(B122,April!$D$3:$AH$3)+1)+INDEX(April!$C$3:$AH$169,29,MATCH(B122,April!$D$3:$AH$3)+1)+INDEX(April!$C$3:$AH$169,34,MATCH(B122,April!$D$3:$AH$3)+1)+INDEX(April!$C$3:$AH$169,39,MATCH(B122,April!$D$3:$AH$3)+1)+INDEX(April!$C$3:$AH$169,44,MATCH(B122,April!$D$3:$AH$3)+1)+INDEX(April!$C$3:$AH$169,49,MATCH(B122,April!$D$3:$AH$3)+1)+INDEX(April!$C$3:$AH$169,54,MATCH(B122,April!$D$3:$AH$3)+1)+INDEX(April!$C$3:$AH$169,59,MATCH(B122,April!$D$3:$AH$3)+1)+INDEX(April!$C$3:$AH$169,64,MATCH(B122,April!$D$3:$AH$3)+1)+INDEX(April!$C$3:$AH$169,69,MATCH(B122,April!$D$3:$AH$3)+1)+INDEX(April!$C$3:$AH$169,74,MATCH(B122,April!$D$3:$AH$3)+1)+INDEX(April!$C$3:$AH$169,79,MATCH(B122,April!$D$3:$AH$3)+1)+INDEX(April!$C$3:$AH$169,84,MATCH(B122,April!$D$3:$AH$3)+1)+INDEX(April!$C$3:$AH$169,89,MATCH(B122,April!$D$3:$AH$3)+1)+INDEX(April!$C$3:$AH$169,94,MATCH(B122,April!$D$3:$AH$3)+1)+INDEX(April!$C$3:$AH$169,99,MATCH(B122,April!$D$3:$AH$3)+1)+INDEX(April!$C$3:$AH$169,104,MATCH(B122,April!$D$3:$AH$3)+1)+INDEX(April!$C$3:$AH$169,109,MATCH(B122,April!$D$3:$AH$3)+1)+INDEX(April!$C$3:$AH$169,114,MATCH(B122,April!$D$3:$AH$3)+1)+INDEX(April!$C$3:$AH$169,119,MATCH(B122,April!$D$3:$AH$3)+1)+INDEX(April!$C$3:$AH$169,124,MATCH(B122,April!$D$3:$AH$3)+1)+INDEX(April!$C$3:$AH$169,129,MATCH(B122,April!$D$3:$AH$3)+1)+INDEX(April!$C$3:$AH$169,134,MATCH(B122,April!$D$3:$AH$3)+1)+INDEX(April!$C$3:$AH$169,139,MATCH(B122,April!$D$3:$AH$3)+1)+INDEX(April!$C$3:$AH$169,144,MATCH(B122,April!$D$3:$AH$3)+1)+INDEX(April!$C$3:$AH$169,149,MATCH(B122,April!$D$3:$AH$3)+1)-INDEX(April!$B$5:$AH$169,MATCH("Patrick Janssen",April!$B$5:$B$169)+1,MATCH(B122,April!$D$3:$AH$3)+2)-INDEX(April!$B$5:$AH$169,MATCH("Patrick Ziesen",April!$B$5:$B$169)+1,MATCH(B122,April!$D$3:$AH$3)+2)-INDEX(April!$B$5:$AH$169,MATCH("Frido Meijer",April!$B$5:$B$169)+1,MATCH(B122,April!$D$3:$AH$3)+2)</f>
        <v>0</v>
      </c>
      <c r="I122" s="130">
        <v>0</v>
      </c>
      <c r="J122" s="130">
        <v>0</v>
      </c>
      <c r="L122" s="111"/>
      <c r="M122" s="111"/>
      <c r="N122" s="111">
        <f t="shared" si="33"/>
        <v>0</v>
      </c>
      <c r="P122" s="112" t="str">
        <f t="shared" si="34"/>
        <v/>
      </c>
      <c r="Q122" s="112" t="str">
        <f t="shared" si="35"/>
        <v/>
      </c>
    </row>
    <row r="123" spans="2:17" x14ac:dyDescent="0.25">
      <c r="B123" s="110">
        <f>DATE(Title!$F$12,$S$8,S26)</f>
        <v>41386</v>
      </c>
      <c r="C123" s="111">
        <f>IF(WEEKDAY(B123)=1,0,IF(WEEKDAY(B123)=4,'Hours Scheduled'!$G$44-1,IF(WEEKDAY(B123)=7,0,'Hours Scheduled'!$G$44)))</f>
        <v>24</v>
      </c>
      <c r="D123" s="17">
        <f t="shared" si="36"/>
        <v>180</v>
      </c>
      <c r="E123" s="127">
        <f t="shared" si="37"/>
        <v>168</v>
      </c>
      <c r="F123" s="111"/>
      <c r="G123" s="130">
        <f>INDEX(April!$C$3:$AH$169,3,MATCH(B123,April!$D$3:$AH$3)+1)+INDEX(April!$C$3:$AH$169,8,MATCH(B123,April!$D$3:$AH$3)+1)+INDEX(April!$C$3:$AH$169,13,MATCH(B123,April!$D$3:$AH$3)+1)+INDEX(April!$C$3:$AH$169,18,MATCH(B123,April!$D$3:$AH$3)+1)+INDEX(April!$C$3:$AH$169,23,MATCH(B123,April!$D$3:$AH$3)+1)+INDEX(April!$C$3:$AH$169,28,MATCH(B123,April!$D$3:$AH$3)+1)+INDEX(April!$C$3:$AH$169,33,MATCH(B123,April!$D$3:$AH$3)+1)+INDEX(April!$C$3:$AH$169,38,MATCH(B123,April!$D$3:$AH$3)+1)+INDEX(April!$C$3:$AH$169,43,MATCH(B123,April!$D$3:$AH$3)+1)+INDEX(April!$C$3:$AH$169,48,MATCH(B123,April!$D$3:$AH$3)+1)+INDEX(April!$C$3:$AH$169,53,MATCH(B123,April!$D$3:$AH$3)+1)+INDEX(April!$C$3:$AH$169,58,MATCH(B123,April!$D$3:$AH$3)+1)+INDEX(April!$C$3:$AH$169,63,MATCH(B123,April!$D$3:$AH$3)+1)+INDEX(April!$C$3:$AH$169,68,MATCH(B123,April!$D$3:$AH$3)+1)+INDEX(April!$C$3:$AH$169,73,MATCH(B123,April!$D$3:$AH$3)+1)+INDEX(April!$C$3:$AH$169,78,MATCH(B123,April!$D$3:$AH$3)+1)+INDEX(April!$C$3:$AH$169,83,MATCH(B123,April!$D$3:$AH$3)+1)+INDEX(April!$C$3:$AH$169,88,MATCH(B123,April!$D$3:$AH$3)+1)+INDEX(April!$C$3:$AH$169,93,MATCH(B123,April!$D$3:$AH$3)+1)+INDEX(April!$C$3:$AH$169,98,MATCH(B123,April!$D$3:$AH$3)+1)+INDEX(April!$C$3:$AH$169,103,MATCH(B123,April!$D$3:$AH$3)+1)+INDEX(April!$C$3:$AH$169,108,MATCH(B123,April!$D$3:$AH$3)+1)+INDEX(April!$C$3:$AH$169,113,MATCH(B123,April!$D$3:$AH$3)+1)+INDEX(April!$C$3:$AH$169,118,MATCH(B123,April!$D$3:$AH$3)+1)+INDEX(April!$C$3:$AH$169,123,MATCH(B123,April!$D$3:$AH$3)+1)+INDEX(April!$C$3:$AH$169,128,MATCH(B123,April!$D$3:$AH$3)+1)+INDEX(April!$C$3:$AH$169,133,MATCH(B123,April!$D$3:$AH$3)+1)+INDEX(April!$C$3:$AH$169,138,MATCH(B123,April!$D$3:$AH$3)+1)+INDEX(April!$C$3:$AH$169,143,MATCH(B123,April!$D$3:$AH$3)+1)+INDEX(April!$C$3:$AH$169,148,MATCH(B123,April!$D$3:$AH$3)+1)-INDEX(April!$B$5:$AH$169,MATCH("Patrick Janssen",April!$B$5:$B$169),MATCH(B123,April!$D$3:$AH$3)+2)-INDEX(April!$B$5:$AH$169,MATCH("Patrick Ziesen",April!$B$5:$B$169),MATCH(B123,April!$D$3:$AH$3)+2)-INDEX(April!$B$5:$AH$169,MATCH("Frido Meijer",April!$B$5:$B$169),MATCH(B123,April!$D$3:$AH$3)+2)</f>
        <v>24</v>
      </c>
      <c r="H123" s="130">
        <f>INDEX(April!$C$3:$AH$169,4,MATCH(B123,April!$D$3:$AH$3)+1)+INDEX(April!$C$3:$AH$169,9,MATCH(B123,April!$D$3:$AH$3)+1)+INDEX(April!$C$3:$AH$169,14,MATCH(B123,April!$D$3:$AH$3)+1)+INDEX(April!$C$3:$AH$169,19,MATCH(B123,April!$D$3:$AH$3)+1)+INDEX(April!$C$3:$AH$169,24,MATCH(B123,April!$D$3:$AH$3)+1)+INDEX(April!$C$3:$AH$169,29,MATCH(B123,April!$D$3:$AH$3)+1)+INDEX(April!$C$3:$AH$169,34,MATCH(B123,April!$D$3:$AH$3)+1)+INDEX(April!$C$3:$AH$169,39,MATCH(B123,April!$D$3:$AH$3)+1)+INDEX(April!$C$3:$AH$169,44,MATCH(B123,April!$D$3:$AH$3)+1)+INDEX(April!$C$3:$AH$169,49,MATCH(B123,April!$D$3:$AH$3)+1)+INDEX(April!$C$3:$AH$169,54,MATCH(B123,April!$D$3:$AH$3)+1)+INDEX(April!$C$3:$AH$169,59,MATCH(B123,April!$D$3:$AH$3)+1)+INDEX(April!$C$3:$AH$169,64,MATCH(B123,April!$D$3:$AH$3)+1)+INDEX(April!$C$3:$AH$169,69,MATCH(B123,April!$D$3:$AH$3)+1)+INDEX(April!$C$3:$AH$169,74,MATCH(B123,April!$D$3:$AH$3)+1)+INDEX(April!$C$3:$AH$169,79,MATCH(B123,April!$D$3:$AH$3)+1)+INDEX(April!$C$3:$AH$169,84,MATCH(B123,April!$D$3:$AH$3)+1)+INDEX(April!$C$3:$AH$169,89,MATCH(B123,April!$D$3:$AH$3)+1)+INDEX(April!$C$3:$AH$169,94,MATCH(B123,April!$D$3:$AH$3)+1)+INDEX(April!$C$3:$AH$169,99,MATCH(B123,April!$D$3:$AH$3)+1)+INDEX(April!$C$3:$AH$169,104,MATCH(B123,April!$D$3:$AH$3)+1)+INDEX(April!$C$3:$AH$169,109,MATCH(B123,April!$D$3:$AH$3)+1)+INDEX(April!$C$3:$AH$169,114,MATCH(B123,April!$D$3:$AH$3)+1)+INDEX(April!$C$3:$AH$169,119,MATCH(B123,April!$D$3:$AH$3)+1)+INDEX(April!$C$3:$AH$169,124,MATCH(B123,April!$D$3:$AH$3)+1)+INDEX(April!$C$3:$AH$169,129,MATCH(B123,April!$D$3:$AH$3)+1)+INDEX(April!$C$3:$AH$169,134,MATCH(B123,April!$D$3:$AH$3)+1)+INDEX(April!$C$3:$AH$169,139,MATCH(B123,April!$D$3:$AH$3)+1)+INDEX(April!$C$3:$AH$169,144,MATCH(B123,April!$D$3:$AH$3)+1)+INDEX(April!$C$3:$AH$169,149,MATCH(B123,April!$D$3:$AH$3)+1)-INDEX(April!$B$5:$AH$169,MATCH("Patrick Janssen",April!$B$5:$B$169)+1,MATCH(B123,April!$D$3:$AH$3)+2)-INDEX(April!$B$5:$AH$169,MATCH("Patrick Ziesen",April!$B$5:$B$169)+1,MATCH(B123,April!$D$3:$AH$3)+2)-INDEX(April!$B$5:$AH$169,MATCH("Frido Meijer",April!$B$5:$B$169)+1,MATCH(B123,April!$D$3:$AH$3)+2)</f>
        <v>0</v>
      </c>
      <c r="I123" s="130">
        <v>0</v>
      </c>
      <c r="J123" s="130">
        <v>0</v>
      </c>
      <c r="L123" s="111"/>
      <c r="M123" s="111"/>
      <c r="N123" s="111">
        <f t="shared" si="33"/>
        <v>0</v>
      </c>
      <c r="P123" s="112">
        <f t="shared" si="34"/>
        <v>0</v>
      </c>
      <c r="Q123" s="112">
        <f t="shared" si="35"/>
        <v>0</v>
      </c>
    </row>
    <row r="124" spans="2:17" x14ac:dyDescent="0.25">
      <c r="B124" s="110">
        <f>DATE(Title!$F$12,$S$8,S27)</f>
        <v>41387</v>
      </c>
      <c r="C124" s="111">
        <f>IF(WEEKDAY(B124)=1,0,IF(WEEKDAY(B124)=4,'Hours Scheduled'!$G$44-1,IF(WEEKDAY(B124)=7,0,'Hours Scheduled'!$G$44)))</f>
        <v>24</v>
      </c>
      <c r="D124" s="17">
        <f t="shared" si="36"/>
        <v>180</v>
      </c>
      <c r="E124" s="127">
        <f t="shared" si="37"/>
        <v>160</v>
      </c>
      <c r="F124" s="111"/>
      <c r="G124" s="130">
        <f>INDEX(April!$C$3:$AH$169,3,MATCH(B124,April!$D$3:$AH$3)+1)+INDEX(April!$C$3:$AH$169,8,MATCH(B124,April!$D$3:$AH$3)+1)+INDEX(April!$C$3:$AH$169,13,MATCH(B124,April!$D$3:$AH$3)+1)+INDEX(April!$C$3:$AH$169,18,MATCH(B124,April!$D$3:$AH$3)+1)+INDEX(April!$C$3:$AH$169,23,MATCH(B124,April!$D$3:$AH$3)+1)+INDEX(April!$C$3:$AH$169,28,MATCH(B124,April!$D$3:$AH$3)+1)+INDEX(April!$C$3:$AH$169,33,MATCH(B124,April!$D$3:$AH$3)+1)+INDEX(April!$C$3:$AH$169,38,MATCH(B124,April!$D$3:$AH$3)+1)+INDEX(April!$C$3:$AH$169,43,MATCH(B124,April!$D$3:$AH$3)+1)+INDEX(April!$C$3:$AH$169,48,MATCH(B124,April!$D$3:$AH$3)+1)+INDEX(April!$C$3:$AH$169,53,MATCH(B124,April!$D$3:$AH$3)+1)+INDEX(April!$C$3:$AH$169,58,MATCH(B124,April!$D$3:$AH$3)+1)+INDEX(April!$C$3:$AH$169,63,MATCH(B124,April!$D$3:$AH$3)+1)+INDEX(April!$C$3:$AH$169,68,MATCH(B124,April!$D$3:$AH$3)+1)+INDEX(April!$C$3:$AH$169,73,MATCH(B124,April!$D$3:$AH$3)+1)+INDEX(April!$C$3:$AH$169,78,MATCH(B124,April!$D$3:$AH$3)+1)+INDEX(April!$C$3:$AH$169,83,MATCH(B124,April!$D$3:$AH$3)+1)+INDEX(April!$C$3:$AH$169,88,MATCH(B124,April!$D$3:$AH$3)+1)+INDEX(April!$C$3:$AH$169,93,MATCH(B124,April!$D$3:$AH$3)+1)+INDEX(April!$C$3:$AH$169,98,MATCH(B124,April!$D$3:$AH$3)+1)+INDEX(April!$C$3:$AH$169,103,MATCH(B124,April!$D$3:$AH$3)+1)+INDEX(April!$C$3:$AH$169,108,MATCH(B124,April!$D$3:$AH$3)+1)+INDEX(April!$C$3:$AH$169,113,MATCH(B124,April!$D$3:$AH$3)+1)+INDEX(April!$C$3:$AH$169,118,MATCH(B124,April!$D$3:$AH$3)+1)+INDEX(April!$C$3:$AH$169,123,MATCH(B124,April!$D$3:$AH$3)+1)+INDEX(April!$C$3:$AH$169,128,MATCH(B124,April!$D$3:$AH$3)+1)+INDEX(April!$C$3:$AH$169,133,MATCH(B124,April!$D$3:$AH$3)+1)+INDEX(April!$C$3:$AH$169,138,MATCH(B124,April!$D$3:$AH$3)+1)+INDEX(April!$C$3:$AH$169,143,MATCH(B124,April!$D$3:$AH$3)+1)+INDEX(April!$C$3:$AH$169,148,MATCH(B124,April!$D$3:$AH$3)+1)-INDEX(April!$B$5:$AH$169,MATCH("Patrick Janssen",April!$B$5:$B$169),MATCH(B124,April!$D$3:$AH$3)+2)-INDEX(April!$B$5:$AH$169,MATCH("Patrick Ziesen",April!$B$5:$B$169),MATCH(B124,April!$D$3:$AH$3)+2)-INDEX(April!$B$5:$AH$169,MATCH("Frido Meijer",April!$B$5:$B$169),MATCH(B124,April!$D$3:$AH$3)+2)</f>
        <v>24</v>
      </c>
      <c r="H124" s="130">
        <f>INDEX(April!$C$3:$AH$169,4,MATCH(B124,April!$D$3:$AH$3)+1)+INDEX(April!$C$3:$AH$169,9,MATCH(B124,April!$D$3:$AH$3)+1)+INDEX(April!$C$3:$AH$169,14,MATCH(B124,April!$D$3:$AH$3)+1)+INDEX(April!$C$3:$AH$169,19,MATCH(B124,April!$D$3:$AH$3)+1)+INDEX(April!$C$3:$AH$169,24,MATCH(B124,April!$D$3:$AH$3)+1)+INDEX(April!$C$3:$AH$169,29,MATCH(B124,April!$D$3:$AH$3)+1)+INDEX(April!$C$3:$AH$169,34,MATCH(B124,April!$D$3:$AH$3)+1)+INDEX(April!$C$3:$AH$169,39,MATCH(B124,April!$D$3:$AH$3)+1)+INDEX(April!$C$3:$AH$169,44,MATCH(B124,April!$D$3:$AH$3)+1)+INDEX(April!$C$3:$AH$169,49,MATCH(B124,April!$D$3:$AH$3)+1)+INDEX(April!$C$3:$AH$169,54,MATCH(B124,April!$D$3:$AH$3)+1)+INDEX(April!$C$3:$AH$169,59,MATCH(B124,April!$D$3:$AH$3)+1)+INDEX(April!$C$3:$AH$169,64,MATCH(B124,April!$D$3:$AH$3)+1)+INDEX(April!$C$3:$AH$169,69,MATCH(B124,April!$D$3:$AH$3)+1)+INDEX(April!$C$3:$AH$169,74,MATCH(B124,April!$D$3:$AH$3)+1)+INDEX(April!$C$3:$AH$169,79,MATCH(B124,April!$D$3:$AH$3)+1)+INDEX(April!$C$3:$AH$169,84,MATCH(B124,April!$D$3:$AH$3)+1)+INDEX(April!$C$3:$AH$169,89,MATCH(B124,April!$D$3:$AH$3)+1)+INDEX(April!$C$3:$AH$169,94,MATCH(B124,April!$D$3:$AH$3)+1)+INDEX(April!$C$3:$AH$169,99,MATCH(B124,April!$D$3:$AH$3)+1)+INDEX(April!$C$3:$AH$169,104,MATCH(B124,April!$D$3:$AH$3)+1)+INDEX(April!$C$3:$AH$169,109,MATCH(B124,April!$D$3:$AH$3)+1)+INDEX(April!$C$3:$AH$169,114,MATCH(B124,April!$D$3:$AH$3)+1)+INDEX(April!$C$3:$AH$169,119,MATCH(B124,April!$D$3:$AH$3)+1)+INDEX(April!$C$3:$AH$169,124,MATCH(B124,April!$D$3:$AH$3)+1)+INDEX(April!$C$3:$AH$169,129,MATCH(B124,April!$D$3:$AH$3)+1)+INDEX(April!$C$3:$AH$169,134,MATCH(B124,April!$D$3:$AH$3)+1)+INDEX(April!$C$3:$AH$169,139,MATCH(B124,April!$D$3:$AH$3)+1)+INDEX(April!$C$3:$AH$169,144,MATCH(B124,April!$D$3:$AH$3)+1)+INDEX(April!$C$3:$AH$169,149,MATCH(B124,April!$D$3:$AH$3)+1)-INDEX(April!$B$5:$AH$169,MATCH("Patrick Janssen",April!$B$5:$B$169)+1,MATCH(B124,April!$D$3:$AH$3)+2)-INDEX(April!$B$5:$AH$169,MATCH("Patrick Ziesen",April!$B$5:$B$169)+1,MATCH(B124,April!$D$3:$AH$3)+2)-INDEX(April!$B$5:$AH$169,MATCH("Frido Meijer",April!$B$5:$B$169)+1,MATCH(B124,April!$D$3:$AH$3)+2)</f>
        <v>8</v>
      </c>
      <c r="I124" s="130">
        <v>0</v>
      </c>
      <c r="J124" s="130">
        <v>0</v>
      </c>
      <c r="L124" s="165"/>
      <c r="M124" s="111"/>
      <c r="N124" s="111">
        <f t="shared" si="33"/>
        <v>0</v>
      </c>
      <c r="P124" s="112">
        <f t="shared" si="34"/>
        <v>0</v>
      </c>
      <c r="Q124" s="112">
        <f t="shared" si="35"/>
        <v>0</v>
      </c>
    </row>
    <row r="125" spans="2:17" x14ac:dyDescent="0.25">
      <c r="B125" s="110">
        <f>DATE(Title!$F$12,$S$8,S28)</f>
        <v>41388</v>
      </c>
      <c r="C125" s="111">
        <f>IF(WEEKDAY(B125)=1,0,IF(WEEKDAY(B125)=4,'Hours Scheduled'!$G$44-1,IF(WEEKDAY(B125)=7,0,'Hours Scheduled'!$G$44)))</f>
        <v>23</v>
      </c>
      <c r="D125" s="17">
        <f t="shared" si="36"/>
        <v>172.5</v>
      </c>
      <c r="E125" s="127">
        <f t="shared" si="37"/>
        <v>147</v>
      </c>
      <c r="F125" s="111"/>
      <c r="G125" s="130">
        <f>INDEX(April!$C$3:$AH$169,3,MATCH(B125,April!$D$3:$AH$3)+1)+INDEX(April!$C$3:$AH$169,8,MATCH(B125,April!$D$3:$AH$3)+1)+INDEX(April!$C$3:$AH$169,13,MATCH(B125,April!$D$3:$AH$3)+1)+INDEX(April!$C$3:$AH$169,18,MATCH(B125,April!$D$3:$AH$3)+1)+INDEX(April!$C$3:$AH$169,23,MATCH(B125,April!$D$3:$AH$3)+1)+INDEX(April!$C$3:$AH$169,28,MATCH(B125,April!$D$3:$AH$3)+1)+INDEX(April!$C$3:$AH$169,33,MATCH(B125,April!$D$3:$AH$3)+1)+INDEX(April!$C$3:$AH$169,38,MATCH(B125,April!$D$3:$AH$3)+1)+INDEX(April!$C$3:$AH$169,43,MATCH(B125,April!$D$3:$AH$3)+1)+INDEX(April!$C$3:$AH$169,48,MATCH(B125,April!$D$3:$AH$3)+1)+INDEX(April!$C$3:$AH$169,53,MATCH(B125,April!$D$3:$AH$3)+1)+INDEX(April!$C$3:$AH$169,58,MATCH(B125,April!$D$3:$AH$3)+1)+INDEX(April!$C$3:$AH$169,63,MATCH(B125,April!$D$3:$AH$3)+1)+INDEX(April!$C$3:$AH$169,68,MATCH(B125,April!$D$3:$AH$3)+1)+INDEX(April!$C$3:$AH$169,73,MATCH(B125,April!$D$3:$AH$3)+1)+INDEX(April!$C$3:$AH$169,78,MATCH(B125,April!$D$3:$AH$3)+1)+INDEX(April!$C$3:$AH$169,83,MATCH(B125,April!$D$3:$AH$3)+1)+INDEX(April!$C$3:$AH$169,88,MATCH(B125,April!$D$3:$AH$3)+1)+INDEX(April!$C$3:$AH$169,93,MATCH(B125,April!$D$3:$AH$3)+1)+INDEX(April!$C$3:$AH$169,98,MATCH(B125,April!$D$3:$AH$3)+1)+INDEX(April!$C$3:$AH$169,103,MATCH(B125,April!$D$3:$AH$3)+1)+INDEX(April!$C$3:$AH$169,108,MATCH(B125,April!$D$3:$AH$3)+1)+INDEX(April!$C$3:$AH$169,113,MATCH(B125,April!$D$3:$AH$3)+1)+INDEX(April!$C$3:$AH$169,118,MATCH(B125,April!$D$3:$AH$3)+1)+INDEX(April!$C$3:$AH$169,123,MATCH(B125,April!$D$3:$AH$3)+1)+INDEX(April!$C$3:$AH$169,128,MATCH(B125,April!$D$3:$AH$3)+1)+INDEX(April!$C$3:$AH$169,133,MATCH(B125,April!$D$3:$AH$3)+1)+INDEX(April!$C$3:$AH$169,138,MATCH(B125,April!$D$3:$AH$3)+1)+INDEX(April!$C$3:$AH$169,143,MATCH(B125,April!$D$3:$AH$3)+1)+INDEX(April!$C$3:$AH$169,148,MATCH(B125,April!$D$3:$AH$3)+1)-INDEX(April!$B$5:$AH$169,MATCH("Patrick Janssen",April!$B$5:$B$169),MATCH(B125,April!$D$3:$AH$3)+2)-INDEX(April!$B$5:$AH$169,MATCH("Patrick Ziesen",April!$B$5:$B$169),MATCH(B125,April!$D$3:$AH$3)+2)-INDEX(April!$B$5:$AH$169,MATCH("Frido Meijer",April!$B$5:$B$169),MATCH(B125,April!$D$3:$AH$3)+2)</f>
        <v>29</v>
      </c>
      <c r="H125" s="130">
        <f>INDEX(April!$C$3:$AH$169,4,MATCH(B125,April!$D$3:$AH$3)+1)+INDEX(April!$C$3:$AH$169,9,MATCH(B125,April!$D$3:$AH$3)+1)+INDEX(April!$C$3:$AH$169,14,MATCH(B125,April!$D$3:$AH$3)+1)+INDEX(April!$C$3:$AH$169,19,MATCH(B125,April!$D$3:$AH$3)+1)+INDEX(April!$C$3:$AH$169,24,MATCH(B125,April!$D$3:$AH$3)+1)+INDEX(April!$C$3:$AH$169,29,MATCH(B125,April!$D$3:$AH$3)+1)+INDEX(April!$C$3:$AH$169,34,MATCH(B125,April!$D$3:$AH$3)+1)+INDEX(April!$C$3:$AH$169,39,MATCH(B125,April!$D$3:$AH$3)+1)+INDEX(April!$C$3:$AH$169,44,MATCH(B125,April!$D$3:$AH$3)+1)+INDEX(April!$C$3:$AH$169,49,MATCH(B125,April!$D$3:$AH$3)+1)+INDEX(April!$C$3:$AH$169,54,MATCH(B125,April!$D$3:$AH$3)+1)+INDEX(April!$C$3:$AH$169,59,MATCH(B125,April!$D$3:$AH$3)+1)+INDEX(April!$C$3:$AH$169,64,MATCH(B125,April!$D$3:$AH$3)+1)+INDEX(April!$C$3:$AH$169,69,MATCH(B125,April!$D$3:$AH$3)+1)+INDEX(April!$C$3:$AH$169,74,MATCH(B125,April!$D$3:$AH$3)+1)+INDEX(April!$C$3:$AH$169,79,MATCH(B125,April!$D$3:$AH$3)+1)+INDEX(April!$C$3:$AH$169,84,MATCH(B125,April!$D$3:$AH$3)+1)+INDEX(April!$C$3:$AH$169,89,MATCH(B125,April!$D$3:$AH$3)+1)+INDEX(April!$C$3:$AH$169,94,MATCH(B125,April!$D$3:$AH$3)+1)+INDEX(April!$C$3:$AH$169,99,MATCH(B125,April!$D$3:$AH$3)+1)+INDEX(April!$C$3:$AH$169,104,MATCH(B125,April!$D$3:$AH$3)+1)+INDEX(April!$C$3:$AH$169,109,MATCH(B125,April!$D$3:$AH$3)+1)+INDEX(April!$C$3:$AH$169,114,MATCH(B125,April!$D$3:$AH$3)+1)+INDEX(April!$C$3:$AH$169,119,MATCH(B125,April!$D$3:$AH$3)+1)+INDEX(April!$C$3:$AH$169,124,MATCH(B125,April!$D$3:$AH$3)+1)+INDEX(April!$C$3:$AH$169,129,MATCH(B125,April!$D$3:$AH$3)+1)+INDEX(April!$C$3:$AH$169,134,MATCH(B125,April!$D$3:$AH$3)+1)+INDEX(April!$C$3:$AH$169,139,MATCH(B125,April!$D$3:$AH$3)+1)+INDEX(April!$C$3:$AH$169,144,MATCH(B125,April!$D$3:$AH$3)+1)+INDEX(April!$C$3:$AH$169,149,MATCH(B125,April!$D$3:$AH$3)+1)-INDEX(April!$B$5:$AH$169,MATCH("Patrick Janssen",April!$B$5:$B$169)+1,MATCH(B125,April!$D$3:$AH$3)+2)-INDEX(April!$B$5:$AH$169,MATCH("Patrick Ziesen",April!$B$5:$B$169)+1,MATCH(B125,April!$D$3:$AH$3)+2)-INDEX(April!$B$5:$AH$169,MATCH("Frido Meijer",April!$B$5:$B$169)+1,MATCH(B125,April!$D$3:$AH$3)+2)</f>
        <v>8</v>
      </c>
      <c r="I125" s="130">
        <v>0</v>
      </c>
      <c r="J125" s="130">
        <v>0</v>
      </c>
      <c r="L125" s="165"/>
      <c r="M125" s="111"/>
      <c r="N125" s="111">
        <f t="shared" si="33"/>
        <v>0</v>
      </c>
      <c r="P125" s="112">
        <f t="shared" si="34"/>
        <v>0</v>
      </c>
      <c r="Q125" s="112">
        <f t="shared" si="35"/>
        <v>0</v>
      </c>
    </row>
    <row r="126" spans="2:17" x14ac:dyDescent="0.25">
      <c r="B126" s="110">
        <f>DATE(Title!$F$12,$S$8,S29)</f>
        <v>41389</v>
      </c>
      <c r="C126" s="111">
        <f>IF(WEEKDAY(B126)=1,0,IF(WEEKDAY(B126)=4,'Hours Scheduled'!$G$44-1,IF(WEEKDAY(B126)=7,0,'Hours Scheduled'!$G$44)))</f>
        <v>24</v>
      </c>
      <c r="D126" s="17">
        <f t="shared" si="36"/>
        <v>180</v>
      </c>
      <c r="E126" s="127">
        <f t="shared" si="37"/>
        <v>156</v>
      </c>
      <c r="F126" s="111"/>
      <c r="G126" s="130">
        <f>INDEX(April!$C$3:$AH$169,3,MATCH(B126,April!$D$3:$AH$3)+1)+INDEX(April!$C$3:$AH$169,8,MATCH(B126,April!$D$3:$AH$3)+1)+INDEX(April!$C$3:$AH$169,13,MATCH(B126,April!$D$3:$AH$3)+1)+INDEX(April!$C$3:$AH$169,18,MATCH(B126,April!$D$3:$AH$3)+1)+INDEX(April!$C$3:$AH$169,23,MATCH(B126,April!$D$3:$AH$3)+1)+INDEX(April!$C$3:$AH$169,28,MATCH(B126,April!$D$3:$AH$3)+1)+INDEX(April!$C$3:$AH$169,33,MATCH(B126,April!$D$3:$AH$3)+1)+INDEX(April!$C$3:$AH$169,38,MATCH(B126,April!$D$3:$AH$3)+1)+INDEX(April!$C$3:$AH$169,43,MATCH(B126,April!$D$3:$AH$3)+1)+INDEX(April!$C$3:$AH$169,48,MATCH(B126,April!$D$3:$AH$3)+1)+INDEX(April!$C$3:$AH$169,53,MATCH(B126,April!$D$3:$AH$3)+1)+INDEX(April!$C$3:$AH$169,58,MATCH(B126,April!$D$3:$AH$3)+1)+INDEX(April!$C$3:$AH$169,63,MATCH(B126,April!$D$3:$AH$3)+1)+INDEX(April!$C$3:$AH$169,68,MATCH(B126,April!$D$3:$AH$3)+1)+INDEX(April!$C$3:$AH$169,73,MATCH(B126,April!$D$3:$AH$3)+1)+INDEX(April!$C$3:$AH$169,78,MATCH(B126,April!$D$3:$AH$3)+1)+INDEX(April!$C$3:$AH$169,83,MATCH(B126,April!$D$3:$AH$3)+1)+INDEX(April!$C$3:$AH$169,88,MATCH(B126,April!$D$3:$AH$3)+1)+INDEX(April!$C$3:$AH$169,93,MATCH(B126,April!$D$3:$AH$3)+1)+INDEX(April!$C$3:$AH$169,98,MATCH(B126,April!$D$3:$AH$3)+1)+INDEX(April!$C$3:$AH$169,103,MATCH(B126,April!$D$3:$AH$3)+1)+INDEX(April!$C$3:$AH$169,108,MATCH(B126,April!$D$3:$AH$3)+1)+INDEX(April!$C$3:$AH$169,113,MATCH(B126,April!$D$3:$AH$3)+1)+INDEX(April!$C$3:$AH$169,118,MATCH(B126,April!$D$3:$AH$3)+1)+INDEX(April!$C$3:$AH$169,123,MATCH(B126,April!$D$3:$AH$3)+1)+INDEX(April!$C$3:$AH$169,128,MATCH(B126,April!$D$3:$AH$3)+1)+INDEX(April!$C$3:$AH$169,133,MATCH(B126,April!$D$3:$AH$3)+1)+INDEX(April!$C$3:$AH$169,138,MATCH(B126,April!$D$3:$AH$3)+1)+INDEX(April!$C$3:$AH$169,143,MATCH(B126,April!$D$3:$AH$3)+1)+INDEX(April!$C$3:$AH$169,148,MATCH(B126,April!$D$3:$AH$3)+1)-INDEX(April!$B$5:$AH$169,MATCH("Patrick Janssen",April!$B$5:$B$169),MATCH(B126,April!$D$3:$AH$3)+2)-INDEX(April!$B$5:$AH$169,MATCH("Patrick Ziesen",April!$B$5:$B$169),MATCH(B126,April!$D$3:$AH$3)+2)-INDEX(April!$B$5:$AH$169,MATCH("Frido Meijer",April!$B$5:$B$169),MATCH(B126,April!$D$3:$AH$3)+2)</f>
        <v>36</v>
      </c>
      <c r="H126" s="130">
        <f>INDEX(April!$C$3:$AH$169,4,MATCH(B126,April!$D$3:$AH$3)+1)+INDEX(April!$C$3:$AH$169,9,MATCH(B126,April!$D$3:$AH$3)+1)+INDEX(April!$C$3:$AH$169,14,MATCH(B126,April!$D$3:$AH$3)+1)+INDEX(April!$C$3:$AH$169,19,MATCH(B126,April!$D$3:$AH$3)+1)+INDEX(April!$C$3:$AH$169,24,MATCH(B126,April!$D$3:$AH$3)+1)+INDEX(April!$C$3:$AH$169,29,MATCH(B126,April!$D$3:$AH$3)+1)+INDEX(April!$C$3:$AH$169,34,MATCH(B126,April!$D$3:$AH$3)+1)+INDEX(April!$C$3:$AH$169,39,MATCH(B126,April!$D$3:$AH$3)+1)+INDEX(April!$C$3:$AH$169,44,MATCH(B126,April!$D$3:$AH$3)+1)+INDEX(April!$C$3:$AH$169,49,MATCH(B126,April!$D$3:$AH$3)+1)+INDEX(April!$C$3:$AH$169,54,MATCH(B126,April!$D$3:$AH$3)+1)+INDEX(April!$C$3:$AH$169,59,MATCH(B126,April!$D$3:$AH$3)+1)+INDEX(April!$C$3:$AH$169,64,MATCH(B126,April!$D$3:$AH$3)+1)+INDEX(April!$C$3:$AH$169,69,MATCH(B126,April!$D$3:$AH$3)+1)+INDEX(April!$C$3:$AH$169,74,MATCH(B126,April!$D$3:$AH$3)+1)+INDEX(April!$C$3:$AH$169,79,MATCH(B126,April!$D$3:$AH$3)+1)+INDEX(April!$C$3:$AH$169,84,MATCH(B126,April!$D$3:$AH$3)+1)+INDEX(April!$C$3:$AH$169,89,MATCH(B126,April!$D$3:$AH$3)+1)+INDEX(April!$C$3:$AH$169,94,MATCH(B126,April!$D$3:$AH$3)+1)+INDEX(April!$C$3:$AH$169,99,MATCH(B126,April!$D$3:$AH$3)+1)+INDEX(April!$C$3:$AH$169,104,MATCH(B126,April!$D$3:$AH$3)+1)+INDEX(April!$C$3:$AH$169,109,MATCH(B126,April!$D$3:$AH$3)+1)+INDEX(April!$C$3:$AH$169,114,MATCH(B126,April!$D$3:$AH$3)+1)+INDEX(April!$C$3:$AH$169,119,MATCH(B126,April!$D$3:$AH$3)+1)+INDEX(April!$C$3:$AH$169,124,MATCH(B126,April!$D$3:$AH$3)+1)+INDEX(April!$C$3:$AH$169,129,MATCH(B126,April!$D$3:$AH$3)+1)+INDEX(April!$C$3:$AH$169,134,MATCH(B126,April!$D$3:$AH$3)+1)+INDEX(April!$C$3:$AH$169,139,MATCH(B126,April!$D$3:$AH$3)+1)+INDEX(April!$C$3:$AH$169,144,MATCH(B126,April!$D$3:$AH$3)+1)+INDEX(April!$C$3:$AH$169,149,MATCH(B126,April!$D$3:$AH$3)+1)-INDEX(April!$B$5:$AH$169,MATCH("Patrick Janssen",April!$B$5:$B$169)+1,MATCH(B126,April!$D$3:$AH$3)+2)-INDEX(April!$B$5:$AH$169,MATCH("Patrick Ziesen",April!$B$5:$B$169)+1,MATCH(B126,April!$D$3:$AH$3)+2)-INDEX(April!$B$5:$AH$169,MATCH("Frido Meijer",April!$B$5:$B$169)+1,MATCH(B126,April!$D$3:$AH$3)+2)</f>
        <v>0</v>
      </c>
      <c r="I126" s="130">
        <v>0</v>
      </c>
      <c r="J126" s="130">
        <v>0</v>
      </c>
      <c r="L126" s="165"/>
      <c r="M126" s="111"/>
      <c r="N126" s="111">
        <f t="shared" si="33"/>
        <v>0</v>
      </c>
      <c r="P126" s="112">
        <f t="shared" si="34"/>
        <v>0</v>
      </c>
      <c r="Q126" s="112">
        <f t="shared" si="35"/>
        <v>0</v>
      </c>
    </row>
    <row r="127" spans="2:17" x14ac:dyDescent="0.25">
      <c r="B127" s="110">
        <f>DATE(Title!$F$12,$S$8,S30)</f>
        <v>41390</v>
      </c>
      <c r="C127" s="111">
        <f>IF(WEEKDAY(B127)=1,0,IF(WEEKDAY(B127)=4,'Hours Scheduled'!$G$44-1,IF(WEEKDAY(B127)=7,0,'Hours Scheduled'!$G$44)))</f>
        <v>24</v>
      </c>
      <c r="D127" s="17">
        <f t="shared" si="36"/>
        <v>180</v>
      </c>
      <c r="E127" s="127">
        <f t="shared" si="37"/>
        <v>152.5</v>
      </c>
      <c r="F127" s="111"/>
      <c r="G127" s="130">
        <f>INDEX(April!$C$3:$AH$169,3,MATCH(B127,April!$D$3:$AH$3)+1)+INDEX(April!$C$3:$AH$169,8,MATCH(B127,April!$D$3:$AH$3)+1)+INDEX(April!$C$3:$AH$169,13,MATCH(B127,April!$D$3:$AH$3)+1)+INDEX(April!$C$3:$AH$169,18,MATCH(B127,April!$D$3:$AH$3)+1)+INDEX(April!$C$3:$AH$169,23,MATCH(B127,April!$D$3:$AH$3)+1)+INDEX(April!$C$3:$AH$169,28,MATCH(B127,April!$D$3:$AH$3)+1)+INDEX(April!$C$3:$AH$169,33,MATCH(B127,April!$D$3:$AH$3)+1)+INDEX(April!$C$3:$AH$169,38,MATCH(B127,April!$D$3:$AH$3)+1)+INDEX(April!$C$3:$AH$169,43,MATCH(B127,April!$D$3:$AH$3)+1)+INDEX(April!$C$3:$AH$169,48,MATCH(B127,April!$D$3:$AH$3)+1)+INDEX(April!$C$3:$AH$169,53,MATCH(B127,April!$D$3:$AH$3)+1)+INDEX(April!$C$3:$AH$169,58,MATCH(B127,April!$D$3:$AH$3)+1)+INDEX(April!$C$3:$AH$169,63,MATCH(B127,April!$D$3:$AH$3)+1)+INDEX(April!$C$3:$AH$169,68,MATCH(B127,April!$D$3:$AH$3)+1)+INDEX(April!$C$3:$AH$169,73,MATCH(B127,April!$D$3:$AH$3)+1)+INDEX(April!$C$3:$AH$169,78,MATCH(B127,April!$D$3:$AH$3)+1)+INDEX(April!$C$3:$AH$169,83,MATCH(B127,April!$D$3:$AH$3)+1)+INDEX(April!$C$3:$AH$169,88,MATCH(B127,April!$D$3:$AH$3)+1)+INDEX(April!$C$3:$AH$169,93,MATCH(B127,April!$D$3:$AH$3)+1)+INDEX(April!$C$3:$AH$169,98,MATCH(B127,April!$D$3:$AH$3)+1)+INDEX(April!$C$3:$AH$169,103,MATCH(B127,April!$D$3:$AH$3)+1)+INDEX(April!$C$3:$AH$169,108,MATCH(B127,April!$D$3:$AH$3)+1)+INDEX(April!$C$3:$AH$169,113,MATCH(B127,April!$D$3:$AH$3)+1)+INDEX(April!$C$3:$AH$169,118,MATCH(B127,April!$D$3:$AH$3)+1)+INDEX(April!$C$3:$AH$169,123,MATCH(B127,April!$D$3:$AH$3)+1)+INDEX(April!$C$3:$AH$169,128,MATCH(B127,April!$D$3:$AH$3)+1)+INDEX(April!$C$3:$AH$169,133,MATCH(B127,April!$D$3:$AH$3)+1)+INDEX(April!$C$3:$AH$169,138,MATCH(B127,April!$D$3:$AH$3)+1)+INDEX(April!$C$3:$AH$169,143,MATCH(B127,April!$D$3:$AH$3)+1)+INDEX(April!$C$3:$AH$169,148,MATCH(B127,April!$D$3:$AH$3)+1)-INDEX(April!$B$5:$AH$169,MATCH("Patrick Janssen",April!$B$5:$B$169),MATCH(B127,April!$D$3:$AH$3)+2)-INDEX(April!$B$5:$AH$169,MATCH("Patrick Ziesen",April!$B$5:$B$169),MATCH(B127,April!$D$3:$AH$3)+2)-INDEX(April!$B$5:$AH$169,MATCH("Frido Meijer",April!$B$5:$B$169),MATCH(B127,April!$D$3:$AH$3)+2)</f>
        <v>39.5</v>
      </c>
      <c r="H127" s="130">
        <f>INDEX(April!$C$3:$AH$169,4,MATCH(B127,April!$D$3:$AH$3)+1)+INDEX(April!$C$3:$AH$169,9,MATCH(B127,April!$D$3:$AH$3)+1)+INDEX(April!$C$3:$AH$169,14,MATCH(B127,April!$D$3:$AH$3)+1)+INDEX(April!$C$3:$AH$169,19,MATCH(B127,April!$D$3:$AH$3)+1)+INDEX(April!$C$3:$AH$169,24,MATCH(B127,April!$D$3:$AH$3)+1)+INDEX(April!$C$3:$AH$169,29,MATCH(B127,April!$D$3:$AH$3)+1)+INDEX(April!$C$3:$AH$169,34,MATCH(B127,April!$D$3:$AH$3)+1)+INDEX(April!$C$3:$AH$169,39,MATCH(B127,April!$D$3:$AH$3)+1)+INDEX(April!$C$3:$AH$169,44,MATCH(B127,April!$D$3:$AH$3)+1)+INDEX(April!$C$3:$AH$169,49,MATCH(B127,April!$D$3:$AH$3)+1)+INDEX(April!$C$3:$AH$169,54,MATCH(B127,April!$D$3:$AH$3)+1)+INDEX(April!$C$3:$AH$169,59,MATCH(B127,April!$D$3:$AH$3)+1)+INDEX(April!$C$3:$AH$169,64,MATCH(B127,April!$D$3:$AH$3)+1)+INDEX(April!$C$3:$AH$169,69,MATCH(B127,April!$D$3:$AH$3)+1)+INDEX(April!$C$3:$AH$169,74,MATCH(B127,April!$D$3:$AH$3)+1)+INDEX(April!$C$3:$AH$169,79,MATCH(B127,April!$D$3:$AH$3)+1)+INDEX(April!$C$3:$AH$169,84,MATCH(B127,April!$D$3:$AH$3)+1)+INDEX(April!$C$3:$AH$169,89,MATCH(B127,April!$D$3:$AH$3)+1)+INDEX(April!$C$3:$AH$169,94,MATCH(B127,April!$D$3:$AH$3)+1)+INDEX(April!$C$3:$AH$169,99,MATCH(B127,April!$D$3:$AH$3)+1)+INDEX(April!$C$3:$AH$169,104,MATCH(B127,April!$D$3:$AH$3)+1)+INDEX(April!$C$3:$AH$169,109,MATCH(B127,April!$D$3:$AH$3)+1)+INDEX(April!$C$3:$AH$169,114,MATCH(B127,April!$D$3:$AH$3)+1)+INDEX(April!$C$3:$AH$169,119,MATCH(B127,April!$D$3:$AH$3)+1)+INDEX(April!$C$3:$AH$169,124,MATCH(B127,April!$D$3:$AH$3)+1)+INDEX(April!$C$3:$AH$169,129,MATCH(B127,April!$D$3:$AH$3)+1)+INDEX(April!$C$3:$AH$169,134,MATCH(B127,April!$D$3:$AH$3)+1)+INDEX(April!$C$3:$AH$169,139,MATCH(B127,April!$D$3:$AH$3)+1)+INDEX(April!$C$3:$AH$169,144,MATCH(B127,April!$D$3:$AH$3)+1)+INDEX(April!$C$3:$AH$169,149,MATCH(B127,April!$D$3:$AH$3)+1)-INDEX(April!$B$5:$AH$169,MATCH("Patrick Janssen",April!$B$5:$B$169)+1,MATCH(B127,April!$D$3:$AH$3)+2)-INDEX(April!$B$5:$AH$169,MATCH("Patrick Ziesen",April!$B$5:$B$169)+1,MATCH(B127,April!$D$3:$AH$3)+2)-INDEX(April!$B$5:$AH$169,MATCH("Frido Meijer",April!$B$5:$B$169)+1,MATCH(B127,April!$D$3:$AH$3)+2)</f>
        <v>0</v>
      </c>
      <c r="I127" s="130">
        <v>0</v>
      </c>
      <c r="J127" s="130">
        <v>0</v>
      </c>
      <c r="L127" s="165"/>
      <c r="M127" s="111"/>
      <c r="N127" s="111">
        <f t="shared" si="33"/>
        <v>0</v>
      </c>
      <c r="P127" s="112">
        <f t="shared" si="34"/>
        <v>0</v>
      </c>
      <c r="Q127" s="112">
        <f t="shared" si="35"/>
        <v>0</v>
      </c>
    </row>
    <row r="128" spans="2:17" x14ac:dyDescent="0.25">
      <c r="B128" s="110">
        <f>DATE(Title!$F$12,$S$8,S31)</f>
        <v>41391</v>
      </c>
      <c r="C128" s="111">
        <f>IF(WEEKDAY(B128)=1,0,IF(WEEKDAY(B128)=4,'Hours Scheduled'!$G$44-1,IF(WEEKDAY(B128)=7,0,'Hours Scheduled'!$G$44)))</f>
        <v>0</v>
      </c>
      <c r="D128" s="17">
        <f t="shared" si="36"/>
        <v>0</v>
      </c>
      <c r="E128" s="127">
        <f t="shared" si="37"/>
        <v>0</v>
      </c>
      <c r="F128" s="111"/>
      <c r="G128" s="130">
        <f>INDEX(April!$C$3:$AH$169,3,MATCH(B128,April!$D$3:$AH$3)+1)+INDEX(April!$C$3:$AH$169,8,MATCH(B128,April!$D$3:$AH$3)+1)+INDEX(April!$C$3:$AH$169,13,MATCH(B128,April!$D$3:$AH$3)+1)+INDEX(April!$C$3:$AH$169,18,MATCH(B128,April!$D$3:$AH$3)+1)+INDEX(April!$C$3:$AH$169,23,MATCH(B128,April!$D$3:$AH$3)+1)+INDEX(April!$C$3:$AH$169,28,MATCH(B128,April!$D$3:$AH$3)+1)+INDEX(April!$C$3:$AH$169,33,MATCH(B128,April!$D$3:$AH$3)+1)+INDEX(April!$C$3:$AH$169,38,MATCH(B128,April!$D$3:$AH$3)+1)+INDEX(April!$C$3:$AH$169,43,MATCH(B128,April!$D$3:$AH$3)+1)+INDEX(April!$C$3:$AH$169,48,MATCH(B128,April!$D$3:$AH$3)+1)+INDEX(April!$C$3:$AH$169,53,MATCH(B128,April!$D$3:$AH$3)+1)+INDEX(April!$C$3:$AH$169,58,MATCH(B128,April!$D$3:$AH$3)+1)+INDEX(April!$C$3:$AH$169,63,MATCH(B128,April!$D$3:$AH$3)+1)+INDEX(April!$C$3:$AH$169,68,MATCH(B128,April!$D$3:$AH$3)+1)+INDEX(April!$C$3:$AH$169,73,MATCH(B128,April!$D$3:$AH$3)+1)+INDEX(April!$C$3:$AH$169,78,MATCH(B128,April!$D$3:$AH$3)+1)+INDEX(April!$C$3:$AH$169,83,MATCH(B128,April!$D$3:$AH$3)+1)+INDEX(April!$C$3:$AH$169,88,MATCH(B128,April!$D$3:$AH$3)+1)+INDEX(April!$C$3:$AH$169,93,MATCH(B128,April!$D$3:$AH$3)+1)+INDEX(April!$C$3:$AH$169,98,MATCH(B128,April!$D$3:$AH$3)+1)+INDEX(April!$C$3:$AH$169,103,MATCH(B128,April!$D$3:$AH$3)+1)+INDEX(April!$C$3:$AH$169,108,MATCH(B128,April!$D$3:$AH$3)+1)+INDEX(April!$C$3:$AH$169,113,MATCH(B128,April!$D$3:$AH$3)+1)+INDEX(April!$C$3:$AH$169,118,MATCH(B128,April!$D$3:$AH$3)+1)+INDEX(April!$C$3:$AH$169,123,MATCH(B128,April!$D$3:$AH$3)+1)+INDEX(April!$C$3:$AH$169,128,MATCH(B128,April!$D$3:$AH$3)+1)+INDEX(April!$C$3:$AH$169,133,MATCH(B128,April!$D$3:$AH$3)+1)+INDEX(April!$C$3:$AH$169,138,MATCH(B128,April!$D$3:$AH$3)+1)+INDEX(April!$C$3:$AH$169,143,MATCH(B128,April!$D$3:$AH$3)+1)+INDEX(April!$C$3:$AH$169,148,MATCH(B128,April!$D$3:$AH$3)+1)-INDEX(April!$B$5:$AH$169,MATCH("Patrick Janssen",April!$B$5:$B$169),MATCH(B128,April!$D$3:$AH$3)+2)-INDEX(April!$B$5:$AH$169,MATCH("Patrick Ziesen",April!$B$5:$B$169),MATCH(B128,April!$D$3:$AH$3)+2)-INDEX(April!$B$5:$AH$169,MATCH("Frido Meijer",April!$B$5:$B$169),MATCH(B128,April!$D$3:$AH$3)+2)</f>
        <v>0</v>
      </c>
      <c r="H128" s="130">
        <f>INDEX(April!$C$3:$AH$169,4,MATCH(B128,April!$D$3:$AH$3)+1)+INDEX(April!$C$3:$AH$169,9,MATCH(B128,April!$D$3:$AH$3)+1)+INDEX(April!$C$3:$AH$169,14,MATCH(B128,April!$D$3:$AH$3)+1)+INDEX(April!$C$3:$AH$169,19,MATCH(B128,April!$D$3:$AH$3)+1)+INDEX(April!$C$3:$AH$169,24,MATCH(B128,April!$D$3:$AH$3)+1)+INDEX(April!$C$3:$AH$169,29,MATCH(B128,April!$D$3:$AH$3)+1)+INDEX(April!$C$3:$AH$169,34,MATCH(B128,April!$D$3:$AH$3)+1)+INDEX(April!$C$3:$AH$169,39,MATCH(B128,April!$D$3:$AH$3)+1)+INDEX(April!$C$3:$AH$169,44,MATCH(B128,April!$D$3:$AH$3)+1)+INDEX(April!$C$3:$AH$169,49,MATCH(B128,April!$D$3:$AH$3)+1)+INDEX(April!$C$3:$AH$169,54,MATCH(B128,April!$D$3:$AH$3)+1)+INDEX(April!$C$3:$AH$169,59,MATCH(B128,April!$D$3:$AH$3)+1)+INDEX(April!$C$3:$AH$169,64,MATCH(B128,April!$D$3:$AH$3)+1)+INDEX(April!$C$3:$AH$169,69,MATCH(B128,April!$D$3:$AH$3)+1)+INDEX(April!$C$3:$AH$169,74,MATCH(B128,April!$D$3:$AH$3)+1)+INDEX(April!$C$3:$AH$169,79,MATCH(B128,April!$D$3:$AH$3)+1)+INDEX(April!$C$3:$AH$169,84,MATCH(B128,April!$D$3:$AH$3)+1)+INDEX(April!$C$3:$AH$169,89,MATCH(B128,April!$D$3:$AH$3)+1)+INDEX(April!$C$3:$AH$169,94,MATCH(B128,April!$D$3:$AH$3)+1)+INDEX(April!$C$3:$AH$169,99,MATCH(B128,April!$D$3:$AH$3)+1)+INDEX(April!$C$3:$AH$169,104,MATCH(B128,April!$D$3:$AH$3)+1)+INDEX(April!$C$3:$AH$169,109,MATCH(B128,April!$D$3:$AH$3)+1)+INDEX(April!$C$3:$AH$169,114,MATCH(B128,April!$D$3:$AH$3)+1)+INDEX(April!$C$3:$AH$169,119,MATCH(B128,April!$D$3:$AH$3)+1)+INDEX(April!$C$3:$AH$169,124,MATCH(B128,April!$D$3:$AH$3)+1)+INDEX(April!$C$3:$AH$169,129,MATCH(B128,April!$D$3:$AH$3)+1)+INDEX(April!$C$3:$AH$169,134,MATCH(B128,April!$D$3:$AH$3)+1)+INDEX(April!$C$3:$AH$169,139,MATCH(B128,April!$D$3:$AH$3)+1)+INDEX(April!$C$3:$AH$169,144,MATCH(B128,April!$D$3:$AH$3)+1)+INDEX(April!$C$3:$AH$169,149,MATCH(B128,April!$D$3:$AH$3)+1)-INDEX(April!$B$5:$AH$169,MATCH("Patrick Janssen",April!$B$5:$B$169)+1,MATCH(B128,April!$D$3:$AH$3)+2)-INDEX(April!$B$5:$AH$169,MATCH("Patrick Ziesen",April!$B$5:$B$169)+1,MATCH(B128,April!$D$3:$AH$3)+2)-INDEX(April!$B$5:$AH$169,MATCH("Frido Meijer",April!$B$5:$B$169)+1,MATCH(B128,April!$D$3:$AH$3)+2)</f>
        <v>0</v>
      </c>
      <c r="I128" s="130">
        <v>0</v>
      </c>
      <c r="J128" s="130">
        <v>0</v>
      </c>
      <c r="L128" s="165"/>
      <c r="M128" s="111"/>
      <c r="N128" s="111">
        <f t="shared" si="33"/>
        <v>0</v>
      </c>
      <c r="P128" s="112" t="str">
        <f t="shared" si="34"/>
        <v/>
      </c>
      <c r="Q128" s="112" t="str">
        <f t="shared" si="35"/>
        <v/>
      </c>
    </row>
    <row r="129" spans="2:17" x14ac:dyDescent="0.25">
      <c r="B129" s="110">
        <f>DATE(Title!$F$12,$S$8,S32)</f>
        <v>41392</v>
      </c>
      <c r="C129" s="111">
        <f>IF(WEEKDAY(B129)=1,0,IF(WEEKDAY(B129)=4,'Hours Scheduled'!$G$44-1,IF(WEEKDAY(B129)=7,0,'Hours Scheduled'!$G$44)))</f>
        <v>0</v>
      </c>
      <c r="D129" s="17">
        <f t="shared" si="36"/>
        <v>0</v>
      </c>
      <c r="E129" s="127">
        <f t="shared" si="37"/>
        <v>0</v>
      </c>
      <c r="F129" s="111"/>
      <c r="G129" s="130">
        <f>INDEX(April!$C$3:$AH$169,3,MATCH(B129,April!$D$3:$AH$3)+1)+INDEX(April!$C$3:$AH$169,8,MATCH(B129,April!$D$3:$AH$3)+1)+INDEX(April!$C$3:$AH$169,13,MATCH(B129,April!$D$3:$AH$3)+1)+INDEX(April!$C$3:$AH$169,18,MATCH(B129,April!$D$3:$AH$3)+1)+INDEX(April!$C$3:$AH$169,23,MATCH(B129,April!$D$3:$AH$3)+1)+INDEX(April!$C$3:$AH$169,28,MATCH(B129,April!$D$3:$AH$3)+1)+INDEX(April!$C$3:$AH$169,33,MATCH(B129,April!$D$3:$AH$3)+1)+INDEX(April!$C$3:$AH$169,38,MATCH(B129,April!$D$3:$AH$3)+1)+INDEX(April!$C$3:$AH$169,43,MATCH(B129,April!$D$3:$AH$3)+1)+INDEX(April!$C$3:$AH$169,48,MATCH(B129,April!$D$3:$AH$3)+1)+INDEX(April!$C$3:$AH$169,53,MATCH(B129,April!$D$3:$AH$3)+1)+INDEX(April!$C$3:$AH$169,58,MATCH(B129,April!$D$3:$AH$3)+1)+INDEX(April!$C$3:$AH$169,63,MATCH(B129,April!$D$3:$AH$3)+1)+INDEX(April!$C$3:$AH$169,68,MATCH(B129,April!$D$3:$AH$3)+1)+INDEX(April!$C$3:$AH$169,73,MATCH(B129,April!$D$3:$AH$3)+1)+INDEX(April!$C$3:$AH$169,78,MATCH(B129,April!$D$3:$AH$3)+1)+INDEX(April!$C$3:$AH$169,83,MATCH(B129,April!$D$3:$AH$3)+1)+INDEX(April!$C$3:$AH$169,88,MATCH(B129,April!$D$3:$AH$3)+1)+INDEX(April!$C$3:$AH$169,93,MATCH(B129,April!$D$3:$AH$3)+1)+INDEX(April!$C$3:$AH$169,98,MATCH(B129,April!$D$3:$AH$3)+1)+INDEX(April!$C$3:$AH$169,103,MATCH(B129,April!$D$3:$AH$3)+1)+INDEX(April!$C$3:$AH$169,108,MATCH(B129,April!$D$3:$AH$3)+1)+INDEX(April!$C$3:$AH$169,113,MATCH(B129,April!$D$3:$AH$3)+1)+INDEX(April!$C$3:$AH$169,118,MATCH(B129,April!$D$3:$AH$3)+1)+INDEX(April!$C$3:$AH$169,123,MATCH(B129,April!$D$3:$AH$3)+1)+INDEX(April!$C$3:$AH$169,128,MATCH(B129,April!$D$3:$AH$3)+1)+INDEX(April!$C$3:$AH$169,133,MATCH(B129,April!$D$3:$AH$3)+1)+INDEX(April!$C$3:$AH$169,138,MATCH(B129,April!$D$3:$AH$3)+1)+INDEX(April!$C$3:$AH$169,143,MATCH(B129,April!$D$3:$AH$3)+1)+INDEX(April!$C$3:$AH$169,148,MATCH(B129,April!$D$3:$AH$3)+1)-INDEX(April!$B$5:$AH$169,MATCH("Patrick Janssen",April!$B$5:$B$169),MATCH(B129,April!$D$3:$AH$3)+2)-INDEX(April!$B$5:$AH$169,MATCH("Patrick Ziesen",April!$B$5:$B$169),MATCH(B129,April!$D$3:$AH$3)+2)-INDEX(April!$B$5:$AH$169,MATCH("Frido Meijer",April!$B$5:$B$169),MATCH(B129,April!$D$3:$AH$3)+2)</f>
        <v>0</v>
      </c>
      <c r="H129" s="130">
        <f>INDEX(April!$C$3:$AH$169,4,MATCH(B129,April!$D$3:$AH$3)+1)+INDEX(April!$C$3:$AH$169,9,MATCH(B129,April!$D$3:$AH$3)+1)+INDEX(April!$C$3:$AH$169,14,MATCH(B129,April!$D$3:$AH$3)+1)+INDEX(April!$C$3:$AH$169,19,MATCH(B129,April!$D$3:$AH$3)+1)+INDEX(April!$C$3:$AH$169,24,MATCH(B129,April!$D$3:$AH$3)+1)+INDEX(April!$C$3:$AH$169,29,MATCH(B129,April!$D$3:$AH$3)+1)+INDEX(April!$C$3:$AH$169,34,MATCH(B129,April!$D$3:$AH$3)+1)+INDEX(April!$C$3:$AH$169,39,MATCH(B129,April!$D$3:$AH$3)+1)+INDEX(April!$C$3:$AH$169,44,MATCH(B129,April!$D$3:$AH$3)+1)+INDEX(April!$C$3:$AH$169,49,MATCH(B129,April!$D$3:$AH$3)+1)+INDEX(April!$C$3:$AH$169,54,MATCH(B129,April!$D$3:$AH$3)+1)+INDEX(April!$C$3:$AH$169,59,MATCH(B129,April!$D$3:$AH$3)+1)+INDEX(April!$C$3:$AH$169,64,MATCH(B129,April!$D$3:$AH$3)+1)+INDEX(April!$C$3:$AH$169,69,MATCH(B129,April!$D$3:$AH$3)+1)+INDEX(April!$C$3:$AH$169,74,MATCH(B129,April!$D$3:$AH$3)+1)+INDEX(April!$C$3:$AH$169,79,MATCH(B129,April!$D$3:$AH$3)+1)+INDEX(April!$C$3:$AH$169,84,MATCH(B129,April!$D$3:$AH$3)+1)+INDEX(April!$C$3:$AH$169,89,MATCH(B129,April!$D$3:$AH$3)+1)+INDEX(April!$C$3:$AH$169,94,MATCH(B129,April!$D$3:$AH$3)+1)+INDEX(April!$C$3:$AH$169,99,MATCH(B129,April!$D$3:$AH$3)+1)+INDEX(April!$C$3:$AH$169,104,MATCH(B129,April!$D$3:$AH$3)+1)+INDEX(April!$C$3:$AH$169,109,MATCH(B129,April!$D$3:$AH$3)+1)+INDEX(April!$C$3:$AH$169,114,MATCH(B129,April!$D$3:$AH$3)+1)+INDEX(April!$C$3:$AH$169,119,MATCH(B129,April!$D$3:$AH$3)+1)+INDEX(April!$C$3:$AH$169,124,MATCH(B129,April!$D$3:$AH$3)+1)+INDEX(April!$C$3:$AH$169,129,MATCH(B129,April!$D$3:$AH$3)+1)+INDEX(April!$C$3:$AH$169,134,MATCH(B129,April!$D$3:$AH$3)+1)+INDEX(April!$C$3:$AH$169,139,MATCH(B129,April!$D$3:$AH$3)+1)+INDEX(April!$C$3:$AH$169,144,MATCH(B129,April!$D$3:$AH$3)+1)+INDEX(April!$C$3:$AH$169,149,MATCH(B129,April!$D$3:$AH$3)+1)-INDEX(April!$B$5:$AH$169,MATCH("Patrick Janssen",April!$B$5:$B$169)+1,MATCH(B129,April!$D$3:$AH$3)+2)-INDEX(April!$B$5:$AH$169,MATCH("Patrick Ziesen",April!$B$5:$B$169)+1,MATCH(B129,April!$D$3:$AH$3)+2)-INDEX(April!$B$5:$AH$169,MATCH("Frido Meijer",April!$B$5:$B$169)+1,MATCH(B129,April!$D$3:$AH$3)+2)</f>
        <v>0</v>
      </c>
      <c r="I129" s="130">
        <v>0</v>
      </c>
      <c r="J129" s="130">
        <v>0</v>
      </c>
      <c r="L129" s="111"/>
      <c r="M129" s="111"/>
      <c r="N129" s="111">
        <f t="shared" si="33"/>
        <v>0</v>
      </c>
      <c r="P129" s="112" t="str">
        <f t="shared" si="34"/>
        <v/>
      </c>
      <c r="Q129" s="112" t="str">
        <f t="shared" si="35"/>
        <v/>
      </c>
    </row>
    <row r="130" spans="2:17" x14ac:dyDescent="0.25">
      <c r="B130" s="110">
        <f>DATE(Title!$F$12,$S$8,S33)</f>
        <v>41393</v>
      </c>
      <c r="C130" s="111">
        <f>IF(WEEKDAY(B130)=1,0,IF(WEEKDAY(B130)=4,'Hours Scheduled'!$G$44-1,IF(WEEKDAY(B130)=7,0,'Hours Scheduled'!$G$44)))</f>
        <v>24</v>
      </c>
      <c r="D130" s="17">
        <f t="shared" si="36"/>
        <v>180</v>
      </c>
      <c r="E130" s="127">
        <f t="shared" si="37"/>
        <v>132</v>
      </c>
      <c r="F130" s="111"/>
      <c r="G130" s="130">
        <f>INDEX(April!$C$3:$AH$169,3,MATCH(B130,April!$D$3:$AH$3)+1)+INDEX(April!$C$3:$AH$169,8,MATCH(B130,April!$D$3:$AH$3)+1)+INDEX(April!$C$3:$AH$169,13,MATCH(B130,April!$D$3:$AH$3)+1)+INDEX(April!$C$3:$AH$169,18,MATCH(B130,April!$D$3:$AH$3)+1)+INDEX(April!$C$3:$AH$169,23,MATCH(B130,April!$D$3:$AH$3)+1)+INDEX(April!$C$3:$AH$169,28,MATCH(B130,April!$D$3:$AH$3)+1)+INDEX(April!$C$3:$AH$169,33,MATCH(B130,April!$D$3:$AH$3)+1)+INDEX(April!$C$3:$AH$169,38,MATCH(B130,April!$D$3:$AH$3)+1)+INDEX(April!$C$3:$AH$169,43,MATCH(B130,April!$D$3:$AH$3)+1)+INDEX(April!$C$3:$AH$169,48,MATCH(B130,April!$D$3:$AH$3)+1)+INDEX(April!$C$3:$AH$169,53,MATCH(B130,April!$D$3:$AH$3)+1)+INDEX(April!$C$3:$AH$169,58,MATCH(B130,April!$D$3:$AH$3)+1)+INDEX(April!$C$3:$AH$169,63,MATCH(B130,April!$D$3:$AH$3)+1)+INDEX(April!$C$3:$AH$169,68,MATCH(B130,April!$D$3:$AH$3)+1)+INDEX(April!$C$3:$AH$169,73,MATCH(B130,April!$D$3:$AH$3)+1)+INDEX(April!$C$3:$AH$169,78,MATCH(B130,April!$D$3:$AH$3)+1)+INDEX(April!$C$3:$AH$169,83,MATCH(B130,April!$D$3:$AH$3)+1)+INDEX(April!$C$3:$AH$169,88,MATCH(B130,April!$D$3:$AH$3)+1)+INDEX(April!$C$3:$AH$169,93,MATCH(B130,April!$D$3:$AH$3)+1)+INDEX(April!$C$3:$AH$169,98,MATCH(B130,April!$D$3:$AH$3)+1)+INDEX(April!$C$3:$AH$169,103,MATCH(B130,April!$D$3:$AH$3)+1)+INDEX(April!$C$3:$AH$169,108,MATCH(B130,April!$D$3:$AH$3)+1)+INDEX(April!$C$3:$AH$169,113,MATCH(B130,April!$D$3:$AH$3)+1)+INDEX(April!$C$3:$AH$169,118,MATCH(B130,April!$D$3:$AH$3)+1)+INDEX(April!$C$3:$AH$169,123,MATCH(B130,April!$D$3:$AH$3)+1)+INDEX(April!$C$3:$AH$169,128,MATCH(B130,April!$D$3:$AH$3)+1)+INDEX(April!$C$3:$AH$169,133,MATCH(B130,April!$D$3:$AH$3)+1)+INDEX(April!$C$3:$AH$169,138,MATCH(B130,April!$D$3:$AH$3)+1)+INDEX(April!$C$3:$AH$169,143,MATCH(B130,April!$D$3:$AH$3)+1)+INDEX(April!$C$3:$AH$169,148,MATCH(B130,April!$D$3:$AH$3)+1)-INDEX(April!$B$5:$AH$169,MATCH("Patrick Janssen",April!$B$5:$B$169),MATCH(B130,April!$D$3:$AH$3)+2)-INDEX(April!$B$5:$AH$169,MATCH("Patrick Ziesen",April!$B$5:$B$169),MATCH(B130,April!$D$3:$AH$3)+2)-INDEX(April!$B$5:$AH$169,MATCH("Frido Meijer",April!$B$5:$B$169),MATCH(B130,April!$D$3:$AH$3)+2)</f>
        <v>60</v>
      </c>
      <c r="H130" s="130">
        <f>INDEX(April!$C$3:$AH$169,4,MATCH(B130,April!$D$3:$AH$3)+1)+INDEX(April!$C$3:$AH$169,9,MATCH(B130,April!$D$3:$AH$3)+1)+INDEX(April!$C$3:$AH$169,14,MATCH(B130,April!$D$3:$AH$3)+1)+INDEX(April!$C$3:$AH$169,19,MATCH(B130,April!$D$3:$AH$3)+1)+INDEX(April!$C$3:$AH$169,24,MATCH(B130,April!$D$3:$AH$3)+1)+INDEX(April!$C$3:$AH$169,29,MATCH(B130,April!$D$3:$AH$3)+1)+INDEX(April!$C$3:$AH$169,34,MATCH(B130,April!$D$3:$AH$3)+1)+INDEX(April!$C$3:$AH$169,39,MATCH(B130,April!$D$3:$AH$3)+1)+INDEX(April!$C$3:$AH$169,44,MATCH(B130,April!$D$3:$AH$3)+1)+INDEX(April!$C$3:$AH$169,49,MATCH(B130,April!$D$3:$AH$3)+1)+INDEX(April!$C$3:$AH$169,54,MATCH(B130,April!$D$3:$AH$3)+1)+INDEX(April!$C$3:$AH$169,59,MATCH(B130,April!$D$3:$AH$3)+1)+INDEX(April!$C$3:$AH$169,64,MATCH(B130,April!$D$3:$AH$3)+1)+INDEX(April!$C$3:$AH$169,69,MATCH(B130,April!$D$3:$AH$3)+1)+INDEX(April!$C$3:$AH$169,74,MATCH(B130,April!$D$3:$AH$3)+1)+INDEX(April!$C$3:$AH$169,79,MATCH(B130,April!$D$3:$AH$3)+1)+INDEX(April!$C$3:$AH$169,84,MATCH(B130,April!$D$3:$AH$3)+1)+INDEX(April!$C$3:$AH$169,89,MATCH(B130,April!$D$3:$AH$3)+1)+INDEX(April!$C$3:$AH$169,94,MATCH(B130,April!$D$3:$AH$3)+1)+INDEX(April!$C$3:$AH$169,99,MATCH(B130,April!$D$3:$AH$3)+1)+INDEX(April!$C$3:$AH$169,104,MATCH(B130,April!$D$3:$AH$3)+1)+INDEX(April!$C$3:$AH$169,109,MATCH(B130,April!$D$3:$AH$3)+1)+INDEX(April!$C$3:$AH$169,114,MATCH(B130,April!$D$3:$AH$3)+1)+INDEX(April!$C$3:$AH$169,119,MATCH(B130,April!$D$3:$AH$3)+1)+INDEX(April!$C$3:$AH$169,124,MATCH(B130,April!$D$3:$AH$3)+1)+INDEX(April!$C$3:$AH$169,129,MATCH(B130,April!$D$3:$AH$3)+1)+INDEX(April!$C$3:$AH$169,134,MATCH(B130,April!$D$3:$AH$3)+1)+INDEX(April!$C$3:$AH$169,139,MATCH(B130,April!$D$3:$AH$3)+1)+INDEX(April!$C$3:$AH$169,144,MATCH(B130,April!$D$3:$AH$3)+1)+INDEX(April!$C$3:$AH$169,149,MATCH(B130,April!$D$3:$AH$3)+1)-INDEX(April!$B$5:$AH$169,MATCH("Patrick Janssen",April!$B$5:$B$169)+1,MATCH(B130,April!$D$3:$AH$3)+2)-INDEX(April!$B$5:$AH$169,MATCH("Patrick Ziesen",April!$B$5:$B$169)+1,MATCH(B130,April!$D$3:$AH$3)+2)-INDEX(April!$B$5:$AH$169,MATCH("Frido Meijer",April!$B$5:$B$169)+1,MATCH(B130,April!$D$3:$AH$3)+2)</f>
        <v>0</v>
      </c>
      <c r="I130" s="130">
        <v>0</v>
      </c>
      <c r="J130" s="130">
        <v>0</v>
      </c>
      <c r="L130" s="111"/>
      <c r="M130" s="111"/>
      <c r="N130" s="111">
        <f t="shared" si="33"/>
        <v>0</v>
      </c>
      <c r="P130" s="112">
        <f t="shared" si="34"/>
        <v>0</v>
      </c>
      <c r="Q130" s="112">
        <f t="shared" si="35"/>
        <v>0</v>
      </c>
    </row>
    <row r="131" spans="2:17" ht="15.75" thickBot="1" x14ac:dyDescent="0.3">
      <c r="B131" s="110">
        <f>DATE(Title!$F$12,$S$8,S34)</f>
        <v>41394</v>
      </c>
      <c r="C131" s="111">
        <f>IF(WEEKDAY(B131)=1,0,IF(WEEKDAY(B131)=4,'Hours Scheduled'!$G$44-1,IF(WEEKDAY(B131)=7,0,'Hours Scheduled'!$G$44)))</f>
        <v>24</v>
      </c>
      <c r="D131" s="17">
        <f t="shared" si="36"/>
        <v>180</v>
      </c>
      <c r="E131" s="127">
        <f t="shared" si="37"/>
        <v>192</v>
      </c>
      <c r="F131" s="113"/>
      <c r="G131" s="132">
        <f>INDEX(April!$C$3:$AH$169,3,MATCH(B131,April!$D$3:$AH$3)+1)+INDEX(April!$C$3:$AH$169,8,MATCH(B131,April!$D$3:$AH$3)+1)+INDEX(April!$C$3:$AH$169,13,MATCH(B131,April!$D$3:$AH$3)+1)+INDEX(April!$C$3:$AH$169,18,MATCH(B131,April!$D$3:$AH$3)+1)+INDEX(April!$C$3:$AH$169,23,MATCH(B131,April!$D$3:$AH$3)+1)+INDEX(April!$C$3:$AH$169,28,MATCH(B131,April!$D$3:$AH$3)+1)+INDEX(April!$C$3:$AH$169,33,MATCH(B131,April!$D$3:$AH$3)+1)+INDEX(April!$C$3:$AH$169,38,MATCH(B131,April!$D$3:$AH$3)+1)+INDEX(April!$C$3:$AH$169,43,MATCH(B131,April!$D$3:$AH$3)+1)+INDEX(April!$C$3:$AH$169,48,MATCH(B131,April!$D$3:$AH$3)+1)+INDEX(April!$C$3:$AH$169,53,MATCH(B131,April!$D$3:$AH$3)+1)+INDEX(April!$C$3:$AH$169,58,MATCH(B131,April!$D$3:$AH$3)+1)+INDEX(April!$C$3:$AH$169,63,MATCH(B131,April!$D$3:$AH$3)+1)+INDEX(April!$C$3:$AH$169,68,MATCH(B131,April!$D$3:$AH$3)+1)+INDEX(April!$C$3:$AH$169,73,MATCH(B131,April!$D$3:$AH$3)+1)+INDEX(April!$C$3:$AH$169,78,MATCH(B131,April!$D$3:$AH$3)+1)+INDEX(April!$C$3:$AH$169,83,MATCH(B131,April!$D$3:$AH$3)+1)+INDEX(April!$C$3:$AH$169,88,MATCH(B131,April!$D$3:$AH$3)+1)+INDEX(April!$C$3:$AH$169,93,MATCH(B131,April!$D$3:$AH$3)+1)+INDEX(April!$C$3:$AH$169,98,MATCH(B131,April!$D$3:$AH$3)+1)+INDEX(April!$C$3:$AH$169,103,MATCH(B131,April!$D$3:$AH$3)+1)+INDEX(April!$C$3:$AH$169,108,MATCH(B131,April!$D$3:$AH$3)+1)+INDEX(April!$C$3:$AH$169,113,MATCH(B131,April!$D$3:$AH$3)+1)+INDEX(April!$C$3:$AH$169,118,MATCH(B131,April!$D$3:$AH$3)+1)+INDEX(April!$C$3:$AH$169,123,MATCH(B131,April!$D$3:$AH$3)+1)+INDEX(April!$C$3:$AH$169,128,MATCH(B131,April!$D$3:$AH$3)+1)+INDEX(April!$C$3:$AH$169,133,MATCH(B131,April!$D$3:$AH$3)+1)+INDEX(April!$C$3:$AH$169,138,MATCH(B131,April!$D$3:$AH$3)+1)+INDEX(April!$C$3:$AH$169,143,MATCH(B131,April!$D$3:$AH$3)+1)+INDEX(April!$C$3:$AH$169,148,MATCH(B131,April!$D$3:$AH$3)+1)-INDEX(April!$B$5:$AH$169,MATCH("Patrick Janssen",April!$B$5:$B$169),MATCH(B131,April!$D$3:$AH$3)+2)-INDEX(April!$B$5:$AH$169,MATCH("Patrick Ziesen",April!$B$5:$B$169),MATCH(B131,April!$D$3:$AH$3)+2)-INDEX(April!$B$5:$AH$169,MATCH("Frido Meijer",April!$B$5:$B$169),MATCH(B131,April!$D$3:$AH$3)+2)</f>
        <v>0</v>
      </c>
      <c r="H131" s="132">
        <f>INDEX(April!$C$3:$AH$169,4,MATCH(B131,April!$D$3:$AH$3)+1)+INDEX(April!$C$3:$AH$169,9,MATCH(B131,April!$D$3:$AH$3)+1)+INDEX(April!$C$3:$AH$169,14,MATCH(B131,April!$D$3:$AH$3)+1)+INDEX(April!$C$3:$AH$169,19,MATCH(B131,April!$D$3:$AH$3)+1)+INDEX(April!$C$3:$AH$169,24,MATCH(B131,April!$D$3:$AH$3)+1)+INDEX(April!$C$3:$AH$169,29,MATCH(B131,April!$D$3:$AH$3)+1)+INDEX(April!$C$3:$AH$169,34,MATCH(B131,April!$D$3:$AH$3)+1)+INDEX(April!$C$3:$AH$169,39,MATCH(B131,April!$D$3:$AH$3)+1)+INDEX(April!$C$3:$AH$169,44,MATCH(B131,April!$D$3:$AH$3)+1)+INDEX(April!$C$3:$AH$169,49,MATCH(B131,April!$D$3:$AH$3)+1)+INDEX(April!$C$3:$AH$169,54,MATCH(B131,April!$D$3:$AH$3)+1)+INDEX(April!$C$3:$AH$169,59,MATCH(B131,April!$D$3:$AH$3)+1)+INDEX(April!$C$3:$AH$169,64,MATCH(B131,April!$D$3:$AH$3)+1)+INDEX(April!$C$3:$AH$169,69,MATCH(B131,April!$D$3:$AH$3)+1)+INDEX(April!$C$3:$AH$169,74,MATCH(B131,April!$D$3:$AH$3)+1)+INDEX(April!$C$3:$AH$169,79,MATCH(B131,April!$D$3:$AH$3)+1)+INDEX(April!$C$3:$AH$169,84,MATCH(B131,April!$D$3:$AH$3)+1)+INDEX(April!$C$3:$AH$169,89,MATCH(B131,April!$D$3:$AH$3)+1)+INDEX(April!$C$3:$AH$169,94,MATCH(B131,April!$D$3:$AH$3)+1)+INDEX(April!$C$3:$AH$169,99,MATCH(B131,April!$D$3:$AH$3)+1)+INDEX(April!$C$3:$AH$169,104,MATCH(B131,April!$D$3:$AH$3)+1)+INDEX(April!$C$3:$AH$169,109,MATCH(B131,April!$D$3:$AH$3)+1)+INDEX(April!$C$3:$AH$169,114,MATCH(B131,April!$D$3:$AH$3)+1)+INDEX(April!$C$3:$AH$169,119,MATCH(B131,April!$D$3:$AH$3)+1)+INDEX(April!$C$3:$AH$169,124,MATCH(B131,April!$D$3:$AH$3)+1)+INDEX(April!$C$3:$AH$169,129,MATCH(B131,April!$D$3:$AH$3)+1)+INDEX(April!$C$3:$AH$169,134,MATCH(B131,April!$D$3:$AH$3)+1)+INDEX(April!$C$3:$AH$169,139,MATCH(B131,April!$D$3:$AH$3)+1)+INDEX(April!$C$3:$AH$169,144,MATCH(B131,April!$D$3:$AH$3)+1)+INDEX(April!$C$3:$AH$169,149,MATCH(B131,April!$D$3:$AH$3)+1)-INDEX(April!$B$5:$AH$169,MATCH("Patrick Janssen",April!$B$5:$B$169)+1,MATCH(B131,April!$D$3:$AH$3)+2)-INDEX(April!$B$5:$AH$169,MATCH("Patrick Ziesen",April!$B$5:$B$169)+1,MATCH(B131,April!$D$3:$AH$3)+2)-INDEX(April!$B$5:$AH$169,MATCH("Frido Meijer",April!$B$5:$B$169)+1,MATCH(B131,April!$D$3:$AH$3)+2)</f>
        <v>0</v>
      </c>
      <c r="I131" s="130">
        <v>0</v>
      </c>
      <c r="J131" s="130">
        <v>0</v>
      </c>
      <c r="L131" s="113"/>
      <c r="M131" s="113"/>
      <c r="N131" s="111">
        <f t="shared" si="33"/>
        <v>0</v>
      </c>
      <c r="P131" s="112">
        <f t="shared" si="34"/>
        <v>0</v>
      </c>
      <c r="Q131" s="112">
        <f t="shared" si="35"/>
        <v>0</v>
      </c>
    </row>
    <row r="132" spans="2:17" ht="15.75" x14ac:dyDescent="0.25">
      <c r="B132" s="146" t="s">
        <v>7</v>
      </c>
      <c r="C132" s="114">
        <f>SUM(C102:C131)</f>
        <v>524</v>
      </c>
      <c r="D132" s="107">
        <f t="shared" si="36"/>
        <v>3930</v>
      </c>
      <c r="E132" s="140">
        <f t="shared" si="37"/>
        <v>3700.75</v>
      </c>
      <c r="F132" s="114">
        <f>SUM(F102:F131)</f>
        <v>0</v>
      </c>
      <c r="G132" s="133">
        <f t="shared" ref="G132:J132" si="38">SUM(G102:G131)</f>
        <v>413.25</v>
      </c>
      <c r="H132" s="133">
        <f t="shared" si="38"/>
        <v>78</v>
      </c>
      <c r="I132" s="133">
        <f t="shared" si="38"/>
        <v>0</v>
      </c>
      <c r="J132" s="133">
        <f t="shared" si="38"/>
        <v>0</v>
      </c>
      <c r="K132" s="115"/>
      <c r="L132" s="114">
        <f>SUM(L102:L131)</f>
        <v>0</v>
      </c>
      <c r="M132" s="114">
        <f t="shared" ref="M132:N132" si="39">SUM(M102:M131)</f>
        <v>0</v>
      </c>
      <c r="N132" s="114">
        <f t="shared" si="39"/>
        <v>0</v>
      </c>
      <c r="O132" s="115"/>
      <c r="P132" s="116">
        <f t="shared" ref="P132" si="40">(L132+(M132/60)+N132)/(D132-F132-G132-H132-I132-J132)</f>
        <v>0</v>
      </c>
      <c r="Q132" s="116">
        <f t="shared" ref="Q132" si="41">(L132+(M132/60)+N132)/(D132-(G132+H132))</f>
        <v>0</v>
      </c>
    </row>
    <row r="133" spans="2:17" x14ac:dyDescent="0.25">
      <c r="B133"/>
      <c r="E133" s="127"/>
    </row>
    <row r="134" spans="2:17" x14ac:dyDescent="0.25">
      <c r="B134" s="110">
        <f>DATE(Title!$F$12,$S$9,S5)</f>
        <v>41395</v>
      </c>
      <c r="C134" s="111">
        <f>IF(WEEKDAY(B134)=1,0,IF(WEEKDAY(B134)=4,'Hours Scheduled'!$H$44-1,IF(WEEKDAY(B134)=7,0,'Hours Scheduled'!$H$44)))</f>
        <v>22</v>
      </c>
      <c r="D134" s="17">
        <f>C134*7.5</f>
        <v>165</v>
      </c>
      <c r="E134" s="127">
        <f>C134*8-G134-H134</f>
        <v>135.5</v>
      </c>
      <c r="F134" s="111"/>
      <c r="G134" s="130">
        <f>INDEX(May!$C$3:$AH$169,3,MATCH(B134,May!$D$3:$AH$3)+1)+INDEX(May!$C$3:$AH$169,8,MATCH(B134,May!$D$3:$AH$3)+1)+INDEX(May!$C$3:$AH$169,13,MATCH(B134,May!$D$3:$AH$3)+1)+INDEX(May!$C$3:$AH$169,18,MATCH(B134,May!$D$3:$AH$3)+1)+INDEX(May!$C$3:$AH$169,23,MATCH(B134,May!$D$3:$AH$3)+1)+INDEX(May!$C$3:$AH$169,28,MATCH(B134,May!$D$3:$AH$3)+1)+INDEX(May!$C$3:$AH$169,33,MATCH(B134,May!$D$3:$AH$3)+1)+INDEX(May!$C$3:$AH$169,38,MATCH(B134,May!$D$3:$AH$3)+1)+INDEX(May!$C$3:$AH$169,43,MATCH(B134,May!$D$3:$AH$3)+1)+INDEX(May!$C$3:$AH$169,48,MATCH(B134,May!$D$3:$AH$3)+1)+INDEX(May!$C$3:$AH$169,53,MATCH(B134,May!$D$3:$AH$3)+1)+INDEX(May!$C$3:$AH$169,58,MATCH(B134,May!$D$3:$AH$3)+1)+INDEX(May!$C$3:$AH$169,63,MATCH(B134,May!$D$3:$AH$3)+1)+INDEX(May!$C$3:$AH$169,68,MATCH(B134,May!$D$3:$AH$3)+1)+INDEX(May!$C$3:$AH$169,73,MATCH(B134,May!$D$3:$AH$3)+1)+INDEX(May!$C$3:$AH$169,78,MATCH(B134,May!$D$3:$AH$3)+1)+INDEX(May!$C$3:$AH$169,83,MATCH(B134,May!$D$3:$AH$3)+1)+INDEX(May!$C$3:$AH$169,88,MATCH(B134,May!$D$3:$AH$3)+1)+INDEX(May!$C$3:$AH$169,93,MATCH(B134,May!$D$3:$AH$3)+1)+INDEX(May!$C$3:$AH$169,98,MATCH(B134,May!$D$3:$AH$3)+1)+INDEX(May!$C$3:$AH$169,103,MATCH(B134,May!$D$3:$AH$3)+1)+INDEX(May!$C$3:$AH$169,108,MATCH(B134,May!$D$3:$AH$3)+1)+INDEX(May!$C$3:$AH$169,113,MATCH(B134,May!$D$3:$AH$3)+1)+INDEX(May!$C$3:$AH$169,118,MATCH(B134,May!$D$3:$AH$3)+1)+INDEX(May!$C$3:$AH$169,123,MATCH(B134,May!$D$3:$AH$3)+1)+INDEX(May!$C$3:$AH$169,128,MATCH(B134,May!$D$3:$AH$3)+1)+INDEX(May!$C$3:$AH$169,133,MATCH(B134,May!$D$3:$AH$3)+1)+INDEX(May!$C$3:$AH$169,138,MATCH(B134,May!$D$3:$AH$3)+1)+INDEX(May!$C$3:$AH$169,143,MATCH(B134,May!$D$3:$AH$3)+1)+INDEX(May!$C$3:$AH$169,148,MATCH(B134,May!$D$3:$AH$3)+1)-INDEX(May!$B$5:$AH$169,MATCH("Patrick Janssen",May!$B$5:$B$169),MATCH(B134,May!$D$3:$AH$3)+2)-INDEX(May!$B$5:$AH$169,MATCH("Patrick Ziesen",May!$B$5:$B$169),MATCH(B134,May!$D$3:$AH$3)+2)-INDEX(May!$B$5:$AH$169,MATCH("Frido Meijer",May!$B$5:$B$169),MATCH(B134,May!$D$3:$AH$3)+2)</f>
        <v>40.5</v>
      </c>
      <c r="H134" s="130">
        <f>INDEX(May!$C$3:$AH$169,4,MATCH(B134,May!$D$3:$AH$3)+1)+INDEX(May!$C$3:$AH$169,9,MATCH(B134,May!$D$3:$AH$3)+1)+INDEX(May!$C$3:$AH$169,14,MATCH(B134,May!$D$3:$AH$3)+1)+INDEX(May!$C$3:$AH$169,19,MATCH(B134,May!$D$3:$AH$3)+1)+INDEX(May!$C$3:$AH$169,24,MATCH(B134,May!$D$3:$AH$3)+1)+INDEX(May!$C$3:$AH$169,29,MATCH(B134,May!$D$3:$AH$3)+1)+INDEX(May!$C$3:$AH$169,34,MATCH(B134,May!$D$3:$AH$3)+1)+INDEX(May!$C$3:$AH$169,39,MATCH(B134,May!$D$3:$AH$3)+1)+INDEX(May!$C$3:$AH$169,44,MATCH(B134,May!$D$3:$AH$3)+1)+INDEX(May!$C$3:$AH$169,49,MATCH(B134,May!$D$3:$AH$3)+1)+INDEX(May!$C$3:$AH$169,54,MATCH(B134,May!$D$3:$AH$3)+1)+INDEX(May!$C$3:$AH$169,59,MATCH(B134,May!$D$3:$AH$3)+1)+INDEX(May!$C$3:$AH$169,64,MATCH(B134,May!$D$3:$AH$3)+1)+INDEX(May!$C$3:$AH$169,69,MATCH(B134,May!$D$3:$AH$3)+1)+INDEX(May!$C$3:$AH$169,74,MATCH(B134,May!$D$3:$AH$3)+1)+INDEX(May!$C$3:$AH$169,79,MATCH(B134,May!$D$3:$AH$3)+1)+INDEX(May!$C$3:$AH$169,84,MATCH(B134,May!$D$3:$AH$3)+1)+INDEX(May!$C$3:$AH$169,89,MATCH(B134,May!$D$3:$AH$3)+1)+INDEX(May!$C$3:$AH$169,94,MATCH(B134,May!$D$3:$AH$3)+1)+INDEX(May!$C$3:$AH$169,99,MATCH(B134,May!$D$3:$AH$3)+1)+INDEX(May!$C$3:$AH$169,104,MATCH(B134,May!$D$3:$AH$3)+1)+INDEX(May!$C$3:$AH$169,109,MATCH(B134,May!$D$3:$AH$3)+1)+INDEX(May!$C$3:$AH$169,114,MATCH(B134,May!$D$3:$AH$3)+1)+INDEX(May!$C$3:$AH$169,119,MATCH(B134,May!$D$3:$AH$3)+1)+INDEX(May!$C$3:$AH$169,124,MATCH(B134,May!$D$3:$AH$3)+1)+INDEX(May!$C$3:$AH$169,129,MATCH(B134,May!$D$3:$AH$3)+1)+INDEX(May!$C$3:$AH$169,134,MATCH(B134,May!$D$3:$AH$3)+1)+INDEX(May!$C$3:$AH$169,139,MATCH(B134,May!$D$3:$AH$3)+1)+INDEX(May!$C$3:$AH$169,144,MATCH(B134,May!$D$3:$AH$3)+1)+INDEX(May!$C$3:$AH$169,149,MATCH(B134,May!$D$3:$AH$3)+1)-INDEX(May!$B$5:$AH$169,MATCH("Patrick Janssen",May!$B$5:$B$169)+1,MATCH(B134,May!$D$3:$AH$3)+2)-INDEX(May!$B$5:$AH$169,MATCH("Patrick Ziesen",May!$B$5:$B$169)+1,MATCH(B134,May!$D$3:$AH$3)+2)-INDEX(May!$B$5:$AH$169,MATCH("Frido Meijer",May!$B$5:$B$169)+1,MATCH(B134,May!$D$3:$AH$3)+2)</f>
        <v>0</v>
      </c>
      <c r="I134" s="130">
        <v>0</v>
      </c>
      <c r="J134" s="130">
        <v>0</v>
      </c>
      <c r="L134" s="165"/>
      <c r="M134" s="111"/>
      <c r="N134" s="111">
        <f t="shared" ref="N134:N164" si="42">IF(L134="",0,6*7.5)</f>
        <v>0</v>
      </c>
      <c r="P134" s="112">
        <f t="shared" ref="P134:P164" si="43">IFERROR((L134+(M134/60)+N134)/(D134-F134-G134-H134-I134-J134),"")</f>
        <v>0</v>
      </c>
      <c r="Q134" s="112">
        <f t="shared" ref="Q134:Q164" si="44">IFERROR((L134+(M134/60)+N134)/(D134-(G134+H134)),"")</f>
        <v>0</v>
      </c>
    </row>
    <row r="135" spans="2:17" x14ac:dyDescent="0.25">
      <c r="B135" s="110">
        <f>DATE(Title!$F$12,$S$9,S6)</f>
        <v>41396</v>
      </c>
      <c r="C135" s="111">
        <f>IF(WEEKDAY(B135)=1,0,IF(WEEKDAY(B135)=4,'Hours Scheduled'!$H$44-1,IF(WEEKDAY(B135)=7,0,'Hours Scheduled'!$H$44)))</f>
        <v>23</v>
      </c>
      <c r="D135" s="17">
        <f t="shared" ref="D135:D165" si="45">C135*7.5</f>
        <v>172.5</v>
      </c>
      <c r="E135" s="127">
        <f>C135*8-G135-H135</f>
        <v>160</v>
      </c>
      <c r="F135" s="111"/>
      <c r="G135" s="130">
        <f>INDEX(May!$C$3:$AH$169,3,MATCH(B135,May!$D$3:$AH$3)+1)+INDEX(May!$C$3:$AH$169,8,MATCH(B135,May!$D$3:$AH$3)+1)+INDEX(May!$C$3:$AH$169,13,MATCH(B135,May!$D$3:$AH$3)+1)+INDEX(May!$C$3:$AH$169,18,MATCH(B135,May!$D$3:$AH$3)+1)+INDEX(May!$C$3:$AH$169,23,MATCH(B135,May!$D$3:$AH$3)+1)+INDEX(May!$C$3:$AH$169,28,MATCH(B135,May!$D$3:$AH$3)+1)+INDEX(May!$C$3:$AH$169,33,MATCH(B135,May!$D$3:$AH$3)+1)+INDEX(May!$C$3:$AH$169,38,MATCH(B135,May!$D$3:$AH$3)+1)+INDEX(May!$C$3:$AH$169,43,MATCH(B135,May!$D$3:$AH$3)+1)+INDEX(May!$C$3:$AH$169,48,MATCH(B135,May!$D$3:$AH$3)+1)+INDEX(May!$C$3:$AH$169,53,MATCH(B135,May!$D$3:$AH$3)+1)+INDEX(May!$C$3:$AH$169,58,MATCH(B135,May!$D$3:$AH$3)+1)+INDEX(May!$C$3:$AH$169,63,MATCH(B135,May!$D$3:$AH$3)+1)+INDEX(May!$C$3:$AH$169,68,MATCH(B135,May!$D$3:$AH$3)+1)+INDEX(May!$C$3:$AH$169,73,MATCH(B135,May!$D$3:$AH$3)+1)+INDEX(May!$C$3:$AH$169,78,MATCH(B135,May!$D$3:$AH$3)+1)+INDEX(May!$C$3:$AH$169,83,MATCH(B135,May!$D$3:$AH$3)+1)+INDEX(May!$C$3:$AH$169,88,MATCH(B135,May!$D$3:$AH$3)+1)+INDEX(May!$C$3:$AH$169,93,MATCH(B135,May!$D$3:$AH$3)+1)+INDEX(May!$C$3:$AH$169,98,MATCH(B135,May!$D$3:$AH$3)+1)+INDEX(May!$C$3:$AH$169,103,MATCH(B135,May!$D$3:$AH$3)+1)+INDEX(May!$C$3:$AH$169,108,MATCH(B135,May!$D$3:$AH$3)+1)+INDEX(May!$C$3:$AH$169,113,MATCH(B135,May!$D$3:$AH$3)+1)+INDEX(May!$C$3:$AH$169,118,MATCH(B135,May!$D$3:$AH$3)+1)+INDEX(May!$C$3:$AH$169,123,MATCH(B135,May!$D$3:$AH$3)+1)+INDEX(May!$C$3:$AH$169,128,MATCH(B135,May!$D$3:$AH$3)+1)+INDEX(May!$C$3:$AH$169,133,MATCH(B135,May!$D$3:$AH$3)+1)+INDEX(May!$C$3:$AH$169,138,MATCH(B135,May!$D$3:$AH$3)+1)+INDEX(May!$C$3:$AH$169,143,MATCH(B135,May!$D$3:$AH$3)+1)+INDEX(May!$C$3:$AH$169,148,MATCH(B135,May!$D$3:$AH$3)+1)-INDEX(May!$B$5:$AH$169,MATCH("Patrick Janssen",May!$B$5:$B$169),MATCH(B135,May!$D$3:$AH$3)+2)-INDEX(May!$B$5:$AH$169,MATCH("Patrick Ziesen",May!$B$5:$B$169),MATCH(B135,May!$D$3:$AH$3)+2)-INDEX(May!$B$5:$AH$169,MATCH("Frido Meijer",May!$B$5:$B$169),MATCH(B135,May!$D$3:$AH$3)+2)</f>
        <v>24</v>
      </c>
      <c r="H135" s="130">
        <f>INDEX(May!$C$3:$AH$169,4,MATCH(B135,May!$D$3:$AH$3)+1)+INDEX(May!$C$3:$AH$169,9,MATCH(B135,May!$D$3:$AH$3)+1)+INDEX(May!$C$3:$AH$169,14,MATCH(B135,May!$D$3:$AH$3)+1)+INDEX(May!$C$3:$AH$169,19,MATCH(B135,May!$D$3:$AH$3)+1)+INDEX(May!$C$3:$AH$169,24,MATCH(B135,May!$D$3:$AH$3)+1)+INDEX(May!$C$3:$AH$169,29,MATCH(B135,May!$D$3:$AH$3)+1)+INDEX(May!$C$3:$AH$169,34,MATCH(B135,May!$D$3:$AH$3)+1)+INDEX(May!$C$3:$AH$169,39,MATCH(B135,May!$D$3:$AH$3)+1)+INDEX(May!$C$3:$AH$169,44,MATCH(B135,May!$D$3:$AH$3)+1)+INDEX(May!$C$3:$AH$169,49,MATCH(B135,May!$D$3:$AH$3)+1)+INDEX(May!$C$3:$AH$169,54,MATCH(B135,May!$D$3:$AH$3)+1)+INDEX(May!$C$3:$AH$169,59,MATCH(B135,May!$D$3:$AH$3)+1)+INDEX(May!$C$3:$AH$169,64,MATCH(B135,May!$D$3:$AH$3)+1)+INDEX(May!$C$3:$AH$169,69,MATCH(B135,May!$D$3:$AH$3)+1)+INDEX(May!$C$3:$AH$169,74,MATCH(B135,May!$D$3:$AH$3)+1)+INDEX(May!$C$3:$AH$169,79,MATCH(B135,May!$D$3:$AH$3)+1)+INDEX(May!$C$3:$AH$169,84,MATCH(B135,May!$D$3:$AH$3)+1)+INDEX(May!$C$3:$AH$169,89,MATCH(B135,May!$D$3:$AH$3)+1)+INDEX(May!$C$3:$AH$169,94,MATCH(B135,May!$D$3:$AH$3)+1)+INDEX(May!$C$3:$AH$169,99,MATCH(B135,May!$D$3:$AH$3)+1)+INDEX(May!$C$3:$AH$169,104,MATCH(B135,May!$D$3:$AH$3)+1)+INDEX(May!$C$3:$AH$169,109,MATCH(B135,May!$D$3:$AH$3)+1)+INDEX(May!$C$3:$AH$169,114,MATCH(B135,May!$D$3:$AH$3)+1)+INDEX(May!$C$3:$AH$169,119,MATCH(B135,May!$D$3:$AH$3)+1)+INDEX(May!$C$3:$AH$169,124,MATCH(B135,May!$D$3:$AH$3)+1)+INDEX(May!$C$3:$AH$169,129,MATCH(B135,May!$D$3:$AH$3)+1)+INDEX(May!$C$3:$AH$169,134,MATCH(B135,May!$D$3:$AH$3)+1)+INDEX(May!$C$3:$AH$169,139,MATCH(B135,May!$D$3:$AH$3)+1)+INDEX(May!$C$3:$AH$169,144,MATCH(B135,May!$D$3:$AH$3)+1)+INDEX(May!$C$3:$AH$169,149,MATCH(B135,May!$D$3:$AH$3)+1)-INDEX(May!$B$5:$AH$169,MATCH("Patrick Janssen",May!$B$5:$B$169)+1,MATCH(B135,May!$D$3:$AH$3)+2)-INDEX(May!$B$5:$AH$169,MATCH("Patrick Ziesen",May!$B$5:$B$169)+1,MATCH(B135,May!$D$3:$AH$3)+2)-INDEX(May!$B$5:$AH$169,MATCH("Frido Meijer",May!$B$5:$B$169)+1,MATCH(B135,May!$D$3:$AH$3)+2)</f>
        <v>0</v>
      </c>
      <c r="I135" s="130">
        <v>0</v>
      </c>
      <c r="J135" s="130">
        <v>0</v>
      </c>
      <c r="L135" s="165"/>
      <c r="M135" s="111"/>
      <c r="N135" s="111">
        <f t="shared" si="42"/>
        <v>0</v>
      </c>
      <c r="P135" s="112">
        <f t="shared" si="43"/>
        <v>0</v>
      </c>
      <c r="Q135" s="112">
        <f t="shared" si="44"/>
        <v>0</v>
      </c>
    </row>
    <row r="136" spans="2:17" x14ac:dyDescent="0.25">
      <c r="B136" s="110">
        <f>DATE(Title!$F$12,$S$9,S7)</f>
        <v>41397</v>
      </c>
      <c r="C136" s="111">
        <f>IF(WEEKDAY(B136)=1,0,IF(WEEKDAY(B136)=4,'Hours Scheduled'!$H$44-1,IF(WEEKDAY(B136)=7,0,'Hours Scheduled'!$H$44)))</f>
        <v>23</v>
      </c>
      <c r="D136" s="17">
        <f t="shared" si="45"/>
        <v>172.5</v>
      </c>
      <c r="E136" s="127">
        <f t="shared" ref="E136:E165" si="46">C136*8-G136-H136</f>
        <v>173</v>
      </c>
      <c r="F136" s="111"/>
      <c r="G136" s="130">
        <f>INDEX(May!$C$3:$AH$169,3,MATCH(B136,May!$D$3:$AH$3)+1)+INDEX(May!$C$3:$AH$169,8,MATCH(B136,May!$D$3:$AH$3)+1)+INDEX(May!$C$3:$AH$169,13,MATCH(B136,May!$D$3:$AH$3)+1)+INDEX(May!$C$3:$AH$169,18,MATCH(B136,May!$D$3:$AH$3)+1)+INDEX(May!$C$3:$AH$169,23,MATCH(B136,May!$D$3:$AH$3)+1)+INDEX(May!$C$3:$AH$169,28,MATCH(B136,May!$D$3:$AH$3)+1)+INDEX(May!$C$3:$AH$169,33,MATCH(B136,May!$D$3:$AH$3)+1)+INDEX(May!$C$3:$AH$169,38,MATCH(B136,May!$D$3:$AH$3)+1)+INDEX(May!$C$3:$AH$169,43,MATCH(B136,May!$D$3:$AH$3)+1)+INDEX(May!$C$3:$AH$169,48,MATCH(B136,May!$D$3:$AH$3)+1)+INDEX(May!$C$3:$AH$169,53,MATCH(B136,May!$D$3:$AH$3)+1)+INDEX(May!$C$3:$AH$169,58,MATCH(B136,May!$D$3:$AH$3)+1)+INDEX(May!$C$3:$AH$169,63,MATCH(B136,May!$D$3:$AH$3)+1)+INDEX(May!$C$3:$AH$169,68,MATCH(B136,May!$D$3:$AH$3)+1)+INDEX(May!$C$3:$AH$169,73,MATCH(B136,May!$D$3:$AH$3)+1)+INDEX(May!$C$3:$AH$169,78,MATCH(B136,May!$D$3:$AH$3)+1)+INDEX(May!$C$3:$AH$169,83,MATCH(B136,May!$D$3:$AH$3)+1)+INDEX(May!$C$3:$AH$169,88,MATCH(B136,May!$D$3:$AH$3)+1)+INDEX(May!$C$3:$AH$169,93,MATCH(B136,May!$D$3:$AH$3)+1)+INDEX(May!$C$3:$AH$169,98,MATCH(B136,May!$D$3:$AH$3)+1)+INDEX(May!$C$3:$AH$169,103,MATCH(B136,May!$D$3:$AH$3)+1)+INDEX(May!$C$3:$AH$169,108,MATCH(B136,May!$D$3:$AH$3)+1)+INDEX(May!$C$3:$AH$169,113,MATCH(B136,May!$D$3:$AH$3)+1)+INDEX(May!$C$3:$AH$169,118,MATCH(B136,May!$D$3:$AH$3)+1)+INDEX(May!$C$3:$AH$169,123,MATCH(B136,May!$D$3:$AH$3)+1)+INDEX(May!$C$3:$AH$169,128,MATCH(B136,May!$D$3:$AH$3)+1)+INDEX(May!$C$3:$AH$169,133,MATCH(B136,May!$D$3:$AH$3)+1)+INDEX(May!$C$3:$AH$169,138,MATCH(B136,May!$D$3:$AH$3)+1)+INDEX(May!$C$3:$AH$169,143,MATCH(B136,May!$D$3:$AH$3)+1)+INDEX(May!$C$3:$AH$169,148,MATCH(B136,May!$D$3:$AH$3)+1)-INDEX(May!$B$5:$AH$169,MATCH("Patrick Janssen",May!$B$5:$B$169),MATCH(B136,May!$D$3:$AH$3)+2)-INDEX(May!$B$5:$AH$169,MATCH("Patrick Ziesen",May!$B$5:$B$169),MATCH(B136,May!$D$3:$AH$3)+2)-INDEX(May!$B$5:$AH$169,MATCH("Frido Meijer",May!$B$5:$B$169),MATCH(B136,May!$D$3:$AH$3)+2)</f>
        <v>11</v>
      </c>
      <c r="H136" s="130">
        <f>INDEX(May!$C$3:$AH$169,4,MATCH(B136,May!$D$3:$AH$3)+1)+INDEX(May!$C$3:$AH$169,9,MATCH(B136,May!$D$3:$AH$3)+1)+INDEX(May!$C$3:$AH$169,14,MATCH(B136,May!$D$3:$AH$3)+1)+INDEX(May!$C$3:$AH$169,19,MATCH(B136,May!$D$3:$AH$3)+1)+INDEX(May!$C$3:$AH$169,24,MATCH(B136,May!$D$3:$AH$3)+1)+INDEX(May!$C$3:$AH$169,29,MATCH(B136,May!$D$3:$AH$3)+1)+INDEX(May!$C$3:$AH$169,34,MATCH(B136,May!$D$3:$AH$3)+1)+INDEX(May!$C$3:$AH$169,39,MATCH(B136,May!$D$3:$AH$3)+1)+INDEX(May!$C$3:$AH$169,44,MATCH(B136,May!$D$3:$AH$3)+1)+INDEX(May!$C$3:$AH$169,49,MATCH(B136,May!$D$3:$AH$3)+1)+INDEX(May!$C$3:$AH$169,54,MATCH(B136,May!$D$3:$AH$3)+1)+INDEX(May!$C$3:$AH$169,59,MATCH(B136,May!$D$3:$AH$3)+1)+INDEX(May!$C$3:$AH$169,64,MATCH(B136,May!$D$3:$AH$3)+1)+INDEX(May!$C$3:$AH$169,69,MATCH(B136,May!$D$3:$AH$3)+1)+INDEX(May!$C$3:$AH$169,74,MATCH(B136,May!$D$3:$AH$3)+1)+INDEX(May!$C$3:$AH$169,79,MATCH(B136,May!$D$3:$AH$3)+1)+INDEX(May!$C$3:$AH$169,84,MATCH(B136,May!$D$3:$AH$3)+1)+INDEX(May!$C$3:$AH$169,89,MATCH(B136,May!$D$3:$AH$3)+1)+INDEX(May!$C$3:$AH$169,94,MATCH(B136,May!$D$3:$AH$3)+1)+INDEX(May!$C$3:$AH$169,99,MATCH(B136,May!$D$3:$AH$3)+1)+INDEX(May!$C$3:$AH$169,104,MATCH(B136,May!$D$3:$AH$3)+1)+INDEX(May!$C$3:$AH$169,109,MATCH(B136,May!$D$3:$AH$3)+1)+INDEX(May!$C$3:$AH$169,114,MATCH(B136,May!$D$3:$AH$3)+1)+INDEX(May!$C$3:$AH$169,119,MATCH(B136,May!$D$3:$AH$3)+1)+INDEX(May!$C$3:$AH$169,124,MATCH(B136,May!$D$3:$AH$3)+1)+INDEX(May!$C$3:$AH$169,129,MATCH(B136,May!$D$3:$AH$3)+1)+INDEX(May!$C$3:$AH$169,134,MATCH(B136,May!$D$3:$AH$3)+1)+INDEX(May!$C$3:$AH$169,139,MATCH(B136,May!$D$3:$AH$3)+1)+INDEX(May!$C$3:$AH$169,144,MATCH(B136,May!$D$3:$AH$3)+1)+INDEX(May!$C$3:$AH$169,149,MATCH(B136,May!$D$3:$AH$3)+1)-INDEX(May!$B$5:$AH$169,MATCH("Patrick Janssen",May!$B$5:$B$169)+1,MATCH(B136,May!$D$3:$AH$3)+2)-INDEX(May!$B$5:$AH$169,MATCH("Patrick Ziesen",May!$B$5:$B$169)+1,MATCH(B136,May!$D$3:$AH$3)+2)-INDEX(May!$B$5:$AH$169,MATCH("Frido Meijer",May!$B$5:$B$169)+1,MATCH(B136,May!$D$3:$AH$3)+2)</f>
        <v>0</v>
      </c>
      <c r="I136" s="130">
        <v>0</v>
      </c>
      <c r="J136" s="130">
        <v>0</v>
      </c>
      <c r="L136" s="165"/>
      <c r="M136" s="111"/>
      <c r="N136" s="111">
        <f t="shared" si="42"/>
        <v>0</v>
      </c>
      <c r="P136" s="112">
        <f t="shared" si="43"/>
        <v>0</v>
      </c>
      <c r="Q136" s="112">
        <f t="shared" si="44"/>
        <v>0</v>
      </c>
    </row>
    <row r="137" spans="2:17" x14ac:dyDescent="0.25">
      <c r="B137" s="110">
        <f>DATE(Title!$F$12,$S$9,S8)</f>
        <v>41398</v>
      </c>
      <c r="C137" s="111">
        <f>IF(WEEKDAY(B137)=1,0,IF(WEEKDAY(B137)=4,'Hours Scheduled'!$H$44-1,IF(WEEKDAY(B137)=7,0,'Hours Scheduled'!$H$44)))</f>
        <v>0</v>
      </c>
      <c r="D137" s="17">
        <f t="shared" si="45"/>
        <v>0</v>
      </c>
      <c r="E137" s="127">
        <f t="shared" si="46"/>
        <v>0</v>
      </c>
      <c r="F137" s="111"/>
      <c r="G137" s="130">
        <f>INDEX(May!$C$3:$AH$169,3,MATCH(B137,May!$D$3:$AH$3)+1)+INDEX(May!$C$3:$AH$169,8,MATCH(B137,May!$D$3:$AH$3)+1)+INDEX(May!$C$3:$AH$169,13,MATCH(B137,May!$D$3:$AH$3)+1)+INDEX(May!$C$3:$AH$169,18,MATCH(B137,May!$D$3:$AH$3)+1)+INDEX(May!$C$3:$AH$169,23,MATCH(B137,May!$D$3:$AH$3)+1)+INDEX(May!$C$3:$AH$169,28,MATCH(B137,May!$D$3:$AH$3)+1)+INDEX(May!$C$3:$AH$169,33,MATCH(B137,May!$D$3:$AH$3)+1)+INDEX(May!$C$3:$AH$169,38,MATCH(B137,May!$D$3:$AH$3)+1)+INDEX(May!$C$3:$AH$169,43,MATCH(B137,May!$D$3:$AH$3)+1)+INDEX(May!$C$3:$AH$169,48,MATCH(B137,May!$D$3:$AH$3)+1)+INDEX(May!$C$3:$AH$169,53,MATCH(B137,May!$D$3:$AH$3)+1)+INDEX(May!$C$3:$AH$169,58,MATCH(B137,May!$D$3:$AH$3)+1)+INDEX(May!$C$3:$AH$169,63,MATCH(B137,May!$D$3:$AH$3)+1)+INDEX(May!$C$3:$AH$169,68,MATCH(B137,May!$D$3:$AH$3)+1)+INDEX(May!$C$3:$AH$169,73,MATCH(B137,May!$D$3:$AH$3)+1)+INDEX(May!$C$3:$AH$169,78,MATCH(B137,May!$D$3:$AH$3)+1)+INDEX(May!$C$3:$AH$169,83,MATCH(B137,May!$D$3:$AH$3)+1)+INDEX(May!$C$3:$AH$169,88,MATCH(B137,May!$D$3:$AH$3)+1)+INDEX(May!$C$3:$AH$169,93,MATCH(B137,May!$D$3:$AH$3)+1)+INDEX(May!$C$3:$AH$169,98,MATCH(B137,May!$D$3:$AH$3)+1)+INDEX(May!$C$3:$AH$169,103,MATCH(B137,May!$D$3:$AH$3)+1)+INDEX(May!$C$3:$AH$169,108,MATCH(B137,May!$D$3:$AH$3)+1)+INDEX(May!$C$3:$AH$169,113,MATCH(B137,May!$D$3:$AH$3)+1)+INDEX(May!$C$3:$AH$169,118,MATCH(B137,May!$D$3:$AH$3)+1)+INDEX(May!$C$3:$AH$169,123,MATCH(B137,May!$D$3:$AH$3)+1)+INDEX(May!$C$3:$AH$169,128,MATCH(B137,May!$D$3:$AH$3)+1)+INDEX(May!$C$3:$AH$169,133,MATCH(B137,May!$D$3:$AH$3)+1)+INDEX(May!$C$3:$AH$169,138,MATCH(B137,May!$D$3:$AH$3)+1)+INDEX(May!$C$3:$AH$169,143,MATCH(B137,May!$D$3:$AH$3)+1)+INDEX(May!$C$3:$AH$169,148,MATCH(B137,May!$D$3:$AH$3)+1)-INDEX(May!$B$5:$AH$169,MATCH("Patrick Janssen",May!$B$5:$B$169),MATCH(B137,May!$D$3:$AH$3)+2)-INDEX(May!$B$5:$AH$169,MATCH("Patrick Ziesen",May!$B$5:$B$169),MATCH(B137,May!$D$3:$AH$3)+2)-INDEX(May!$B$5:$AH$169,MATCH("Frido Meijer",May!$B$5:$B$169),MATCH(B137,May!$D$3:$AH$3)+2)</f>
        <v>0</v>
      </c>
      <c r="H137" s="130">
        <f>INDEX(May!$C$3:$AH$169,4,MATCH(B137,May!$D$3:$AH$3)+1)+INDEX(May!$C$3:$AH$169,9,MATCH(B137,May!$D$3:$AH$3)+1)+INDEX(May!$C$3:$AH$169,14,MATCH(B137,May!$D$3:$AH$3)+1)+INDEX(May!$C$3:$AH$169,19,MATCH(B137,May!$D$3:$AH$3)+1)+INDEX(May!$C$3:$AH$169,24,MATCH(B137,May!$D$3:$AH$3)+1)+INDEX(May!$C$3:$AH$169,29,MATCH(B137,May!$D$3:$AH$3)+1)+INDEX(May!$C$3:$AH$169,34,MATCH(B137,May!$D$3:$AH$3)+1)+INDEX(May!$C$3:$AH$169,39,MATCH(B137,May!$D$3:$AH$3)+1)+INDEX(May!$C$3:$AH$169,44,MATCH(B137,May!$D$3:$AH$3)+1)+INDEX(May!$C$3:$AH$169,49,MATCH(B137,May!$D$3:$AH$3)+1)+INDEX(May!$C$3:$AH$169,54,MATCH(B137,May!$D$3:$AH$3)+1)+INDEX(May!$C$3:$AH$169,59,MATCH(B137,May!$D$3:$AH$3)+1)+INDEX(May!$C$3:$AH$169,64,MATCH(B137,May!$D$3:$AH$3)+1)+INDEX(May!$C$3:$AH$169,69,MATCH(B137,May!$D$3:$AH$3)+1)+INDEX(May!$C$3:$AH$169,74,MATCH(B137,May!$D$3:$AH$3)+1)+INDEX(May!$C$3:$AH$169,79,MATCH(B137,May!$D$3:$AH$3)+1)+INDEX(May!$C$3:$AH$169,84,MATCH(B137,May!$D$3:$AH$3)+1)+INDEX(May!$C$3:$AH$169,89,MATCH(B137,May!$D$3:$AH$3)+1)+INDEX(May!$C$3:$AH$169,94,MATCH(B137,May!$D$3:$AH$3)+1)+INDEX(May!$C$3:$AH$169,99,MATCH(B137,May!$D$3:$AH$3)+1)+INDEX(May!$C$3:$AH$169,104,MATCH(B137,May!$D$3:$AH$3)+1)+INDEX(May!$C$3:$AH$169,109,MATCH(B137,May!$D$3:$AH$3)+1)+INDEX(May!$C$3:$AH$169,114,MATCH(B137,May!$D$3:$AH$3)+1)+INDEX(May!$C$3:$AH$169,119,MATCH(B137,May!$D$3:$AH$3)+1)+INDEX(May!$C$3:$AH$169,124,MATCH(B137,May!$D$3:$AH$3)+1)+INDEX(May!$C$3:$AH$169,129,MATCH(B137,May!$D$3:$AH$3)+1)+INDEX(May!$C$3:$AH$169,134,MATCH(B137,May!$D$3:$AH$3)+1)+INDEX(May!$C$3:$AH$169,139,MATCH(B137,May!$D$3:$AH$3)+1)+INDEX(May!$C$3:$AH$169,144,MATCH(B137,May!$D$3:$AH$3)+1)+INDEX(May!$C$3:$AH$169,149,MATCH(B137,May!$D$3:$AH$3)+1)-INDEX(May!$B$5:$AH$169,MATCH("Patrick Janssen",May!$B$5:$B$169)+1,MATCH(B137,May!$D$3:$AH$3)+2)-INDEX(May!$B$5:$AH$169,MATCH("Patrick Ziesen",May!$B$5:$B$169)+1,MATCH(B137,May!$D$3:$AH$3)+2)-INDEX(May!$B$5:$AH$169,MATCH("Frido Meijer",May!$B$5:$B$169)+1,MATCH(B137,May!$D$3:$AH$3)+2)</f>
        <v>0</v>
      </c>
      <c r="I137" s="130">
        <v>0</v>
      </c>
      <c r="J137" s="130">
        <v>0</v>
      </c>
      <c r="L137" s="165"/>
      <c r="M137" s="111"/>
      <c r="N137" s="111">
        <f t="shared" si="42"/>
        <v>0</v>
      </c>
      <c r="P137" s="112" t="str">
        <f t="shared" si="43"/>
        <v/>
      </c>
      <c r="Q137" s="112" t="str">
        <f t="shared" si="44"/>
        <v/>
      </c>
    </row>
    <row r="138" spans="2:17" x14ac:dyDescent="0.25">
      <c r="B138" s="110">
        <f>DATE(Title!$F$12,$S$9,S9)</f>
        <v>41399</v>
      </c>
      <c r="C138" s="111">
        <f>IF(WEEKDAY(B138)=1,0,IF(WEEKDAY(B138)=4,'Hours Scheduled'!$H$44-1,IF(WEEKDAY(B138)=7,0,'Hours Scheduled'!$H$44)))</f>
        <v>0</v>
      </c>
      <c r="D138" s="17">
        <f t="shared" si="45"/>
        <v>0</v>
      </c>
      <c r="E138" s="127">
        <f t="shared" si="46"/>
        <v>0</v>
      </c>
      <c r="F138" s="111"/>
      <c r="G138" s="130">
        <f>INDEX(May!$C$3:$AH$169,3,MATCH(B138,May!$D$3:$AH$3)+1)+INDEX(May!$C$3:$AH$169,8,MATCH(B138,May!$D$3:$AH$3)+1)+INDEX(May!$C$3:$AH$169,13,MATCH(B138,May!$D$3:$AH$3)+1)+INDEX(May!$C$3:$AH$169,18,MATCH(B138,May!$D$3:$AH$3)+1)+INDEX(May!$C$3:$AH$169,23,MATCH(B138,May!$D$3:$AH$3)+1)+INDEX(May!$C$3:$AH$169,28,MATCH(B138,May!$D$3:$AH$3)+1)+INDEX(May!$C$3:$AH$169,33,MATCH(B138,May!$D$3:$AH$3)+1)+INDEX(May!$C$3:$AH$169,38,MATCH(B138,May!$D$3:$AH$3)+1)+INDEX(May!$C$3:$AH$169,43,MATCH(B138,May!$D$3:$AH$3)+1)+INDEX(May!$C$3:$AH$169,48,MATCH(B138,May!$D$3:$AH$3)+1)+INDEX(May!$C$3:$AH$169,53,MATCH(B138,May!$D$3:$AH$3)+1)+INDEX(May!$C$3:$AH$169,58,MATCH(B138,May!$D$3:$AH$3)+1)+INDEX(May!$C$3:$AH$169,63,MATCH(B138,May!$D$3:$AH$3)+1)+INDEX(May!$C$3:$AH$169,68,MATCH(B138,May!$D$3:$AH$3)+1)+INDEX(May!$C$3:$AH$169,73,MATCH(B138,May!$D$3:$AH$3)+1)+INDEX(May!$C$3:$AH$169,78,MATCH(B138,May!$D$3:$AH$3)+1)+INDEX(May!$C$3:$AH$169,83,MATCH(B138,May!$D$3:$AH$3)+1)+INDEX(May!$C$3:$AH$169,88,MATCH(B138,May!$D$3:$AH$3)+1)+INDEX(May!$C$3:$AH$169,93,MATCH(B138,May!$D$3:$AH$3)+1)+INDEX(May!$C$3:$AH$169,98,MATCH(B138,May!$D$3:$AH$3)+1)+INDEX(May!$C$3:$AH$169,103,MATCH(B138,May!$D$3:$AH$3)+1)+INDEX(May!$C$3:$AH$169,108,MATCH(B138,May!$D$3:$AH$3)+1)+INDEX(May!$C$3:$AH$169,113,MATCH(B138,May!$D$3:$AH$3)+1)+INDEX(May!$C$3:$AH$169,118,MATCH(B138,May!$D$3:$AH$3)+1)+INDEX(May!$C$3:$AH$169,123,MATCH(B138,May!$D$3:$AH$3)+1)+INDEX(May!$C$3:$AH$169,128,MATCH(B138,May!$D$3:$AH$3)+1)+INDEX(May!$C$3:$AH$169,133,MATCH(B138,May!$D$3:$AH$3)+1)+INDEX(May!$C$3:$AH$169,138,MATCH(B138,May!$D$3:$AH$3)+1)+INDEX(May!$C$3:$AH$169,143,MATCH(B138,May!$D$3:$AH$3)+1)+INDEX(May!$C$3:$AH$169,148,MATCH(B138,May!$D$3:$AH$3)+1)-INDEX(May!$B$5:$AH$169,MATCH("Patrick Janssen",May!$B$5:$B$169),MATCH(B138,May!$D$3:$AH$3)+2)-INDEX(May!$B$5:$AH$169,MATCH("Patrick Ziesen",May!$B$5:$B$169),MATCH(B138,May!$D$3:$AH$3)+2)-INDEX(May!$B$5:$AH$169,MATCH("Frido Meijer",May!$B$5:$B$169),MATCH(B138,May!$D$3:$AH$3)+2)</f>
        <v>0</v>
      </c>
      <c r="H138" s="130">
        <f>INDEX(May!$C$3:$AH$169,4,MATCH(B138,May!$D$3:$AH$3)+1)+INDEX(May!$C$3:$AH$169,9,MATCH(B138,May!$D$3:$AH$3)+1)+INDEX(May!$C$3:$AH$169,14,MATCH(B138,May!$D$3:$AH$3)+1)+INDEX(May!$C$3:$AH$169,19,MATCH(B138,May!$D$3:$AH$3)+1)+INDEX(May!$C$3:$AH$169,24,MATCH(B138,May!$D$3:$AH$3)+1)+INDEX(May!$C$3:$AH$169,29,MATCH(B138,May!$D$3:$AH$3)+1)+INDEX(May!$C$3:$AH$169,34,MATCH(B138,May!$D$3:$AH$3)+1)+INDEX(May!$C$3:$AH$169,39,MATCH(B138,May!$D$3:$AH$3)+1)+INDEX(May!$C$3:$AH$169,44,MATCH(B138,May!$D$3:$AH$3)+1)+INDEX(May!$C$3:$AH$169,49,MATCH(B138,May!$D$3:$AH$3)+1)+INDEX(May!$C$3:$AH$169,54,MATCH(B138,May!$D$3:$AH$3)+1)+INDEX(May!$C$3:$AH$169,59,MATCH(B138,May!$D$3:$AH$3)+1)+INDEX(May!$C$3:$AH$169,64,MATCH(B138,May!$D$3:$AH$3)+1)+INDEX(May!$C$3:$AH$169,69,MATCH(B138,May!$D$3:$AH$3)+1)+INDEX(May!$C$3:$AH$169,74,MATCH(B138,May!$D$3:$AH$3)+1)+INDEX(May!$C$3:$AH$169,79,MATCH(B138,May!$D$3:$AH$3)+1)+INDEX(May!$C$3:$AH$169,84,MATCH(B138,May!$D$3:$AH$3)+1)+INDEX(May!$C$3:$AH$169,89,MATCH(B138,May!$D$3:$AH$3)+1)+INDEX(May!$C$3:$AH$169,94,MATCH(B138,May!$D$3:$AH$3)+1)+INDEX(May!$C$3:$AH$169,99,MATCH(B138,May!$D$3:$AH$3)+1)+INDEX(May!$C$3:$AH$169,104,MATCH(B138,May!$D$3:$AH$3)+1)+INDEX(May!$C$3:$AH$169,109,MATCH(B138,May!$D$3:$AH$3)+1)+INDEX(May!$C$3:$AH$169,114,MATCH(B138,May!$D$3:$AH$3)+1)+INDEX(May!$C$3:$AH$169,119,MATCH(B138,May!$D$3:$AH$3)+1)+INDEX(May!$C$3:$AH$169,124,MATCH(B138,May!$D$3:$AH$3)+1)+INDEX(May!$C$3:$AH$169,129,MATCH(B138,May!$D$3:$AH$3)+1)+INDEX(May!$C$3:$AH$169,134,MATCH(B138,May!$D$3:$AH$3)+1)+INDEX(May!$C$3:$AH$169,139,MATCH(B138,May!$D$3:$AH$3)+1)+INDEX(May!$C$3:$AH$169,144,MATCH(B138,May!$D$3:$AH$3)+1)+INDEX(May!$C$3:$AH$169,149,MATCH(B138,May!$D$3:$AH$3)+1)-INDEX(May!$B$5:$AH$169,MATCH("Patrick Janssen",May!$B$5:$B$169)+1,MATCH(B138,May!$D$3:$AH$3)+2)-INDEX(May!$B$5:$AH$169,MATCH("Patrick Ziesen",May!$B$5:$B$169)+1,MATCH(B138,May!$D$3:$AH$3)+2)-INDEX(May!$B$5:$AH$169,MATCH("Frido Meijer",May!$B$5:$B$169)+1,MATCH(B138,May!$D$3:$AH$3)+2)</f>
        <v>0</v>
      </c>
      <c r="I138" s="130">
        <v>0</v>
      </c>
      <c r="J138" s="130">
        <v>0</v>
      </c>
      <c r="L138" s="111"/>
      <c r="M138" s="111"/>
      <c r="N138" s="111">
        <f t="shared" si="42"/>
        <v>0</v>
      </c>
      <c r="P138" s="112" t="str">
        <f t="shared" si="43"/>
        <v/>
      </c>
      <c r="Q138" s="112" t="str">
        <f t="shared" si="44"/>
        <v/>
      </c>
    </row>
    <row r="139" spans="2:17" x14ac:dyDescent="0.25">
      <c r="B139" s="110">
        <f>DATE(Title!$F$12,$S$9,S10)</f>
        <v>41400</v>
      </c>
      <c r="C139" s="111">
        <f>IF(WEEKDAY(B139)=1,0,IF(WEEKDAY(B139)=4,'Hours Scheduled'!$H$44-1,IF(WEEKDAY(B139)=7,0,'Hours Scheduled'!$H$44)))</f>
        <v>23</v>
      </c>
      <c r="D139" s="17">
        <f t="shared" si="45"/>
        <v>172.5</v>
      </c>
      <c r="E139" s="127">
        <f t="shared" si="46"/>
        <v>160</v>
      </c>
      <c r="F139" s="111"/>
      <c r="G139" s="130">
        <f>INDEX(May!$C$3:$AH$169,3,MATCH(B139,May!$D$3:$AH$3)+1)+INDEX(May!$C$3:$AH$169,8,MATCH(B139,May!$D$3:$AH$3)+1)+INDEX(May!$C$3:$AH$169,13,MATCH(B139,May!$D$3:$AH$3)+1)+INDEX(May!$C$3:$AH$169,18,MATCH(B139,May!$D$3:$AH$3)+1)+INDEX(May!$C$3:$AH$169,23,MATCH(B139,May!$D$3:$AH$3)+1)+INDEX(May!$C$3:$AH$169,28,MATCH(B139,May!$D$3:$AH$3)+1)+INDEX(May!$C$3:$AH$169,33,MATCH(B139,May!$D$3:$AH$3)+1)+INDEX(May!$C$3:$AH$169,38,MATCH(B139,May!$D$3:$AH$3)+1)+INDEX(May!$C$3:$AH$169,43,MATCH(B139,May!$D$3:$AH$3)+1)+INDEX(May!$C$3:$AH$169,48,MATCH(B139,May!$D$3:$AH$3)+1)+INDEX(May!$C$3:$AH$169,53,MATCH(B139,May!$D$3:$AH$3)+1)+INDEX(May!$C$3:$AH$169,58,MATCH(B139,May!$D$3:$AH$3)+1)+INDEX(May!$C$3:$AH$169,63,MATCH(B139,May!$D$3:$AH$3)+1)+INDEX(May!$C$3:$AH$169,68,MATCH(B139,May!$D$3:$AH$3)+1)+INDEX(May!$C$3:$AH$169,73,MATCH(B139,May!$D$3:$AH$3)+1)+INDEX(May!$C$3:$AH$169,78,MATCH(B139,May!$D$3:$AH$3)+1)+INDEX(May!$C$3:$AH$169,83,MATCH(B139,May!$D$3:$AH$3)+1)+INDEX(May!$C$3:$AH$169,88,MATCH(B139,May!$D$3:$AH$3)+1)+INDEX(May!$C$3:$AH$169,93,MATCH(B139,May!$D$3:$AH$3)+1)+INDEX(May!$C$3:$AH$169,98,MATCH(B139,May!$D$3:$AH$3)+1)+INDEX(May!$C$3:$AH$169,103,MATCH(B139,May!$D$3:$AH$3)+1)+INDEX(May!$C$3:$AH$169,108,MATCH(B139,May!$D$3:$AH$3)+1)+INDEX(May!$C$3:$AH$169,113,MATCH(B139,May!$D$3:$AH$3)+1)+INDEX(May!$C$3:$AH$169,118,MATCH(B139,May!$D$3:$AH$3)+1)+INDEX(May!$C$3:$AH$169,123,MATCH(B139,May!$D$3:$AH$3)+1)+INDEX(May!$C$3:$AH$169,128,MATCH(B139,May!$D$3:$AH$3)+1)+INDEX(May!$C$3:$AH$169,133,MATCH(B139,May!$D$3:$AH$3)+1)+INDEX(May!$C$3:$AH$169,138,MATCH(B139,May!$D$3:$AH$3)+1)+INDEX(May!$C$3:$AH$169,143,MATCH(B139,May!$D$3:$AH$3)+1)+INDEX(May!$C$3:$AH$169,148,MATCH(B139,May!$D$3:$AH$3)+1)-INDEX(May!$B$5:$AH$169,MATCH("Patrick Janssen",May!$B$5:$B$169),MATCH(B139,May!$D$3:$AH$3)+2)-INDEX(May!$B$5:$AH$169,MATCH("Patrick Ziesen",May!$B$5:$B$169),MATCH(B139,May!$D$3:$AH$3)+2)-INDEX(May!$B$5:$AH$169,MATCH("Frido Meijer",May!$B$5:$B$169),MATCH(B139,May!$D$3:$AH$3)+2)</f>
        <v>16</v>
      </c>
      <c r="H139" s="130">
        <f>INDEX(May!$C$3:$AH$169,4,MATCH(B139,May!$D$3:$AH$3)+1)+INDEX(May!$C$3:$AH$169,9,MATCH(B139,May!$D$3:$AH$3)+1)+INDEX(May!$C$3:$AH$169,14,MATCH(B139,May!$D$3:$AH$3)+1)+INDEX(May!$C$3:$AH$169,19,MATCH(B139,May!$D$3:$AH$3)+1)+INDEX(May!$C$3:$AH$169,24,MATCH(B139,May!$D$3:$AH$3)+1)+INDEX(May!$C$3:$AH$169,29,MATCH(B139,May!$D$3:$AH$3)+1)+INDEX(May!$C$3:$AH$169,34,MATCH(B139,May!$D$3:$AH$3)+1)+INDEX(May!$C$3:$AH$169,39,MATCH(B139,May!$D$3:$AH$3)+1)+INDEX(May!$C$3:$AH$169,44,MATCH(B139,May!$D$3:$AH$3)+1)+INDEX(May!$C$3:$AH$169,49,MATCH(B139,May!$D$3:$AH$3)+1)+INDEX(May!$C$3:$AH$169,54,MATCH(B139,May!$D$3:$AH$3)+1)+INDEX(May!$C$3:$AH$169,59,MATCH(B139,May!$D$3:$AH$3)+1)+INDEX(May!$C$3:$AH$169,64,MATCH(B139,May!$D$3:$AH$3)+1)+INDEX(May!$C$3:$AH$169,69,MATCH(B139,May!$D$3:$AH$3)+1)+INDEX(May!$C$3:$AH$169,74,MATCH(B139,May!$D$3:$AH$3)+1)+INDEX(May!$C$3:$AH$169,79,MATCH(B139,May!$D$3:$AH$3)+1)+INDEX(May!$C$3:$AH$169,84,MATCH(B139,May!$D$3:$AH$3)+1)+INDEX(May!$C$3:$AH$169,89,MATCH(B139,May!$D$3:$AH$3)+1)+INDEX(May!$C$3:$AH$169,94,MATCH(B139,May!$D$3:$AH$3)+1)+INDEX(May!$C$3:$AH$169,99,MATCH(B139,May!$D$3:$AH$3)+1)+INDEX(May!$C$3:$AH$169,104,MATCH(B139,May!$D$3:$AH$3)+1)+INDEX(May!$C$3:$AH$169,109,MATCH(B139,May!$D$3:$AH$3)+1)+INDEX(May!$C$3:$AH$169,114,MATCH(B139,May!$D$3:$AH$3)+1)+INDEX(May!$C$3:$AH$169,119,MATCH(B139,May!$D$3:$AH$3)+1)+INDEX(May!$C$3:$AH$169,124,MATCH(B139,May!$D$3:$AH$3)+1)+INDEX(May!$C$3:$AH$169,129,MATCH(B139,May!$D$3:$AH$3)+1)+INDEX(May!$C$3:$AH$169,134,MATCH(B139,May!$D$3:$AH$3)+1)+INDEX(May!$C$3:$AH$169,139,MATCH(B139,May!$D$3:$AH$3)+1)+INDEX(May!$C$3:$AH$169,144,MATCH(B139,May!$D$3:$AH$3)+1)+INDEX(May!$C$3:$AH$169,149,MATCH(B139,May!$D$3:$AH$3)+1)-INDEX(May!$B$5:$AH$169,MATCH("Patrick Janssen",May!$B$5:$B$169)+1,MATCH(B139,May!$D$3:$AH$3)+2)-INDEX(May!$B$5:$AH$169,MATCH("Patrick Ziesen",May!$B$5:$B$169)+1,MATCH(B139,May!$D$3:$AH$3)+2)-INDEX(May!$B$5:$AH$169,MATCH("Frido Meijer",May!$B$5:$B$169)+1,MATCH(B139,May!$D$3:$AH$3)+2)</f>
        <v>8</v>
      </c>
      <c r="I139" s="130">
        <v>0</v>
      </c>
      <c r="J139" s="130">
        <v>0</v>
      </c>
      <c r="L139" s="111"/>
      <c r="M139" s="111"/>
      <c r="N139" s="111">
        <f t="shared" si="42"/>
        <v>0</v>
      </c>
      <c r="P139" s="112">
        <f t="shared" si="43"/>
        <v>0</v>
      </c>
      <c r="Q139" s="112">
        <f t="shared" si="44"/>
        <v>0</v>
      </c>
    </row>
    <row r="140" spans="2:17" x14ac:dyDescent="0.25">
      <c r="B140" s="110">
        <f>DATE(Title!$F$12,$S$9,S11)</f>
        <v>41401</v>
      </c>
      <c r="C140" s="111">
        <f>IF(WEEKDAY(B140)=1,0,IF(WEEKDAY(B140)=4,'Hours Scheduled'!$H$44-1,IF(WEEKDAY(B140)=7,0,'Hours Scheduled'!$H$44)))</f>
        <v>23</v>
      </c>
      <c r="D140" s="17">
        <f t="shared" si="45"/>
        <v>172.5</v>
      </c>
      <c r="E140" s="127">
        <f t="shared" si="46"/>
        <v>158</v>
      </c>
      <c r="F140" s="111"/>
      <c r="G140" s="130">
        <f>INDEX(May!$C$3:$AH$169,3,MATCH(B140,May!$D$3:$AH$3)+1)+INDEX(May!$C$3:$AH$169,8,MATCH(B140,May!$D$3:$AH$3)+1)+INDEX(May!$C$3:$AH$169,13,MATCH(B140,May!$D$3:$AH$3)+1)+INDEX(May!$C$3:$AH$169,18,MATCH(B140,May!$D$3:$AH$3)+1)+INDEX(May!$C$3:$AH$169,23,MATCH(B140,May!$D$3:$AH$3)+1)+INDEX(May!$C$3:$AH$169,28,MATCH(B140,May!$D$3:$AH$3)+1)+INDEX(May!$C$3:$AH$169,33,MATCH(B140,May!$D$3:$AH$3)+1)+INDEX(May!$C$3:$AH$169,38,MATCH(B140,May!$D$3:$AH$3)+1)+INDEX(May!$C$3:$AH$169,43,MATCH(B140,May!$D$3:$AH$3)+1)+INDEX(May!$C$3:$AH$169,48,MATCH(B140,May!$D$3:$AH$3)+1)+INDEX(May!$C$3:$AH$169,53,MATCH(B140,May!$D$3:$AH$3)+1)+INDEX(May!$C$3:$AH$169,58,MATCH(B140,May!$D$3:$AH$3)+1)+INDEX(May!$C$3:$AH$169,63,MATCH(B140,May!$D$3:$AH$3)+1)+INDEX(May!$C$3:$AH$169,68,MATCH(B140,May!$D$3:$AH$3)+1)+INDEX(May!$C$3:$AH$169,73,MATCH(B140,May!$D$3:$AH$3)+1)+INDEX(May!$C$3:$AH$169,78,MATCH(B140,May!$D$3:$AH$3)+1)+INDEX(May!$C$3:$AH$169,83,MATCH(B140,May!$D$3:$AH$3)+1)+INDEX(May!$C$3:$AH$169,88,MATCH(B140,May!$D$3:$AH$3)+1)+INDEX(May!$C$3:$AH$169,93,MATCH(B140,May!$D$3:$AH$3)+1)+INDEX(May!$C$3:$AH$169,98,MATCH(B140,May!$D$3:$AH$3)+1)+INDEX(May!$C$3:$AH$169,103,MATCH(B140,May!$D$3:$AH$3)+1)+INDEX(May!$C$3:$AH$169,108,MATCH(B140,May!$D$3:$AH$3)+1)+INDEX(May!$C$3:$AH$169,113,MATCH(B140,May!$D$3:$AH$3)+1)+INDEX(May!$C$3:$AH$169,118,MATCH(B140,May!$D$3:$AH$3)+1)+INDEX(May!$C$3:$AH$169,123,MATCH(B140,May!$D$3:$AH$3)+1)+INDEX(May!$C$3:$AH$169,128,MATCH(B140,May!$D$3:$AH$3)+1)+INDEX(May!$C$3:$AH$169,133,MATCH(B140,May!$D$3:$AH$3)+1)+INDEX(May!$C$3:$AH$169,138,MATCH(B140,May!$D$3:$AH$3)+1)+INDEX(May!$C$3:$AH$169,143,MATCH(B140,May!$D$3:$AH$3)+1)+INDEX(May!$C$3:$AH$169,148,MATCH(B140,May!$D$3:$AH$3)+1)-INDEX(May!$B$5:$AH$169,MATCH("Patrick Janssen",May!$B$5:$B$169),MATCH(B140,May!$D$3:$AH$3)+2)-INDEX(May!$B$5:$AH$169,MATCH("Patrick Ziesen",May!$B$5:$B$169),MATCH(B140,May!$D$3:$AH$3)+2)-INDEX(May!$B$5:$AH$169,MATCH("Frido Meijer",May!$B$5:$B$169),MATCH(B140,May!$D$3:$AH$3)+2)</f>
        <v>18</v>
      </c>
      <c r="H140" s="130">
        <f>INDEX(May!$C$3:$AH$169,4,MATCH(B140,May!$D$3:$AH$3)+1)+INDEX(May!$C$3:$AH$169,9,MATCH(B140,May!$D$3:$AH$3)+1)+INDEX(May!$C$3:$AH$169,14,MATCH(B140,May!$D$3:$AH$3)+1)+INDEX(May!$C$3:$AH$169,19,MATCH(B140,May!$D$3:$AH$3)+1)+INDEX(May!$C$3:$AH$169,24,MATCH(B140,May!$D$3:$AH$3)+1)+INDEX(May!$C$3:$AH$169,29,MATCH(B140,May!$D$3:$AH$3)+1)+INDEX(May!$C$3:$AH$169,34,MATCH(B140,May!$D$3:$AH$3)+1)+INDEX(May!$C$3:$AH$169,39,MATCH(B140,May!$D$3:$AH$3)+1)+INDEX(May!$C$3:$AH$169,44,MATCH(B140,May!$D$3:$AH$3)+1)+INDEX(May!$C$3:$AH$169,49,MATCH(B140,May!$D$3:$AH$3)+1)+INDEX(May!$C$3:$AH$169,54,MATCH(B140,May!$D$3:$AH$3)+1)+INDEX(May!$C$3:$AH$169,59,MATCH(B140,May!$D$3:$AH$3)+1)+INDEX(May!$C$3:$AH$169,64,MATCH(B140,May!$D$3:$AH$3)+1)+INDEX(May!$C$3:$AH$169,69,MATCH(B140,May!$D$3:$AH$3)+1)+INDEX(May!$C$3:$AH$169,74,MATCH(B140,May!$D$3:$AH$3)+1)+INDEX(May!$C$3:$AH$169,79,MATCH(B140,May!$D$3:$AH$3)+1)+INDEX(May!$C$3:$AH$169,84,MATCH(B140,May!$D$3:$AH$3)+1)+INDEX(May!$C$3:$AH$169,89,MATCH(B140,May!$D$3:$AH$3)+1)+INDEX(May!$C$3:$AH$169,94,MATCH(B140,May!$D$3:$AH$3)+1)+INDEX(May!$C$3:$AH$169,99,MATCH(B140,May!$D$3:$AH$3)+1)+INDEX(May!$C$3:$AH$169,104,MATCH(B140,May!$D$3:$AH$3)+1)+INDEX(May!$C$3:$AH$169,109,MATCH(B140,May!$D$3:$AH$3)+1)+INDEX(May!$C$3:$AH$169,114,MATCH(B140,May!$D$3:$AH$3)+1)+INDEX(May!$C$3:$AH$169,119,MATCH(B140,May!$D$3:$AH$3)+1)+INDEX(May!$C$3:$AH$169,124,MATCH(B140,May!$D$3:$AH$3)+1)+INDEX(May!$C$3:$AH$169,129,MATCH(B140,May!$D$3:$AH$3)+1)+INDEX(May!$C$3:$AH$169,134,MATCH(B140,May!$D$3:$AH$3)+1)+INDEX(May!$C$3:$AH$169,139,MATCH(B140,May!$D$3:$AH$3)+1)+INDEX(May!$C$3:$AH$169,144,MATCH(B140,May!$D$3:$AH$3)+1)+INDEX(May!$C$3:$AH$169,149,MATCH(B140,May!$D$3:$AH$3)+1)-INDEX(May!$B$5:$AH$169,MATCH("Patrick Janssen",May!$B$5:$B$169)+1,MATCH(B140,May!$D$3:$AH$3)+2)-INDEX(May!$B$5:$AH$169,MATCH("Patrick Ziesen",May!$B$5:$B$169)+1,MATCH(B140,May!$D$3:$AH$3)+2)-INDEX(May!$B$5:$AH$169,MATCH("Frido Meijer",May!$B$5:$B$169)+1,MATCH(B140,May!$D$3:$AH$3)+2)</f>
        <v>8</v>
      </c>
      <c r="I140" s="130">
        <v>0</v>
      </c>
      <c r="J140" s="130">
        <v>0</v>
      </c>
      <c r="L140" s="165"/>
      <c r="M140" s="111"/>
      <c r="N140" s="111">
        <f t="shared" si="42"/>
        <v>0</v>
      </c>
      <c r="P140" s="112">
        <f t="shared" si="43"/>
        <v>0</v>
      </c>
      <c r="Q140" s="112">
        <f t="shared" si="44"/>
        <v>0</v>
      </c>
    </row>
    <row r="141" spans="2:17" x14ac:dyDescent="0.25">
      <c r="B141" s="110">
        <f>DATE(Title!$F$12,$S$9,S12)</f>
        <v>41402</v>
      </c>
      <c r="C141" s="111">
        <f>IF(WEEKDAY(B141)=1,0,IF(WEEKDAY(B141)=4,'Hours Scheduled'!$H$44-1,IF(WEEKDAY(B141)=7,0,'Hours Scheduled'!$H$44)))</f>
        <v>22</v>
      </c>
      <c r="D141" s="17">
        <f t="shared" si="45"/>
        <v>165</v>
      </c>
      <c r="E141" s="127">
        <f t="shared" si="46"/>
        <v>164</v>
      </c>
      <c r="F141" s="111"/>
      <c r="G141" s="130">
        <f>INDEX(May!$C$3:$AH$169,3,MATCH(B141,May!$D$3:$AH$3)+1)+INDEX(May!$C$3:$AH$169,8,MATCH(B141,May!$D$3:$AH$3)+1)+INDEX(May!$C$3:$AH$169,13,MATCH(B141,May!$D$3:$AH$3)+1)+INDEX(May!$C$3:$AH$169,18,MATCH(B141,May!$D$3:$AH$3)+1)+INDEX(May!$C$3:$AH$169,23,MATCH(B141,May!$D$3:$AH$3)+1)+INDEX(May!$C$3:$AH$169,28,MATCH(B141,May!$D$3:$AH$3)+1)+INDEX(May!$C$3:$AH$169,33,MATCH(B141,May!$D$3:$AH$3)+1)+INDEX(May!$C$3:$AH$169,38,MATCH(B141,May!$D$3:$AH$3)+1)+INDEX(May!$C$3:$AH$169,43,MATCH(B141,May!$D$3:$AH$3)+1)+INDEX(May!$C$3:$AH$169,48,MATCH(B141,May!$D$3:$AH$3)+1)+INDEX(May!$C$3:$AH$169,53,MATCH(B141,May!$D$3:$AH$3)+1)+INDEX(May!$C$3:$AH$169,58,MATCH(B141,May!$D$3:$AH$3)+1)+INDEX(May!$C$3:$AH$169,63,MATCH(B141,May!$D$3:$AH$3)+1)+INDEX(May!$C$3:$AH$169,68,MATCH(B141,May!$D$3:$AH$3)+1)+INDEX(May!$C$3:$AH$169,73,MATCH(B141,May!$D$3:$AH$3)+1)+INDEX(May!$C$3:$AH$169,78,MATCH(B141,May!$D$3:$AH$3)+1)+INDEX(May!$C$3:$AH$169,83,MATCH(B141,May!$D$3:$AH$3)+1)+INDEX(May!$C$3:$AH$169,88,MATCH(B141,May!$D$3:$AH$3)+1)+INDEX(May!$C$3:$AH$169,93,MATCH(B141,May!$D$3:$AH$3)+1)+INDEX(May!$C$3:$AH$169,98,MATCH(B141,May!$D$3:$AH$3)+1)+INDEX(May!$C$3:$AH$169,103,MATCH(B141,May!$D$3:$AH$3)+1)+INDEX(May!$C$3:$AH$169,108,MATCH(B141,May!$D$3:$AH$3)+1)+INDEX(May!$C$3:$AH$169,113,MATCH(B141,May!$D$3:$AH$3)+1)+INDEX(May!$C$3:$AH$169,118,MATCH(B141,May!$D$3:$AH$3)+1)+INDEX(May!$C$3:$AH$169,123,MATCH(B141,May!$D$3:$AH$3)+1)+INDEX(May!$C$3:$AH$169,128,MATCH(B141,May!$D$3:$AH$3)+1)+INDEX(May!$C$3:$AH$169,133,MATCH(B141,May!$D$3:$AH$3)+1)+INDEX(May!$C$3:$AH$169,138,MATCH(B141,May!$D$3:$AH$3)+1)+INDEX(May!$C$3:$AH$169,143,MATCH(B141,May!$D$3:$AH$3)+1)+INDEX(May!$C$3:$AH$169,148,MATCH(B141,May!$D$3:$AH$3)+1)-INDEX(May!$B$5:$AH$169,MATCH("Patrick Janssen",May!$B$5:$B$169),MATCH(B141,May!$D$3:$AH$3)+2)-INDEX(May!$B$5:$AH$169,MATCH("Patrick Ziesen",May!$B$5:$B$169),MATCH(B141,May!$D$3:$AH$3)+2)-INDEX(May!$B$5:$AH$169,MATCH("Frido Meijer",May!$B$5:$B$169),MATCH(B141,May!$D$3:$AH$3)+2)</f>
        <v>12</v>
      </c>
      <c r="H141" s="130">
        <f>INDEX(May!$C$3:$AH$169,4,MATCH(B141,May!$D$3:$AH$3)+1)+INDEX(May!$C$3:$AH$169,9,MATCH(B141,May!$D$3:$AH$3)+1)+INDEX(May!$C$3:$AH$169,14,MATCH(B141,May!$D$3:$AH$3)+1)+INDEX(May!$C$3:$AH$169,19,MATCH(B141,May!$D$3:$AH$3)+1)+INDEX(May!$C$3:$AH$169,24,MATCH(B141,May!$D$3:$AH$3)+1)+INDEX(May!$C$3:$AH$169,29,MATCH(B141,May!$D$3:$AH$3)+1)+INDEX(May!$C$3:$AH$169,34,MATCH(B141,May!$D$3:$AH$3)+1)+INDEX(May!$C$3:$AH$169,39,MATCH(B141,May!$D$3:$AH$3)+1)+INDEX(May!$C$3:$AH$169,44,MATCH(B141,May!$D$3:$AH$3)+1)+INDEX(May!$C$3:$AH$169,49,MATCH(B141,May!$D$3:$AH$3)+1)+INDEX(May!$C$3:$AH$169,54,MATCH(B141,May!$D$3:$AH$3)+1)+INDEX(May!$C$3:$AH$169,59,MATCH(B141,May!$D$3:$AH$3)+1)+INDEX(May!$C$3:$AH$169,64,MATCH(B141,May!$D$3:$AH$3)+1)+INDEX(May!$C$3:$AH$169,69,MATCH(B141,May!$D$3:$AH$3)+1)+INDEX(May!$C$3:$AH$169,74,MATCH(B141,May!$D$3:$AH$3)+1)+INDEX(May!$C$3:$AH$169,79,MATCH(B141,May!$D$3:$AH$3)+1)+INDEX(May!$C$3:$AH$169,84,MATCH(B141,May!$D$3:$AH$3)+1)+INDEX(May!$C$3:$AH$169,89,MATCH(B141,May!$D$3:$AH$3)+1)+INDEX(May!$C$3:$AH$169,94,MATCH(B141,May!$D$3:$AH$3)+1)+INDEX(May!$C$3:$AH$169,99,MATCH(B141,May!$D$3:$AH$3)+1)+INDEX(May!$C$3:$AH$169,104,MATCH(B141,May!$D$3:$AH$3)+1)+INDEX(May!$C$3:$AH$169,109,MATCH(B141,May!$D$3:$AH$3)+1)+INDEX(May!$C$3:$AH$169,114,MATCH(B141,May!$D$3:$AH$3)+1)+INDEX(May!$C$3:$AH$169,119,MATCH(B141,May!$D$3:$AH$3)+1)+INDEX(May!$C$3:$AH$169,124,MATCH(B141,May!$D$3:$AH$3)+1)+INDEX(May!$C$3:$AH$169,129,MATCH(B141,May!$D$3:$AH$3)+1)+INDEX(May!$C$3:$AH$169,134,MATCH(B141,May!$D$3:$AH$3)+1)+INDEX(May!$C$3:$AH$169,139,MATCH(B141,May!$D$3:$AH$3)+1)+INDEX(May!$C$3:$AH$169,144,MATCH(B141,May!$D$3:$AH$3)+1)+INDEX(May!$C$3:$AH$169,149,MATCH(B141,May!$D$3:$AH$3)+1)-INDEX(May!$B$5:$AH$169,MATCH("Patrick Janssen",May!$B$5:$B$169)+1,MATCH(B141,May!$D$3:$AH$3)+2)-INDEX(May!$B$5:$AH$169,MATCH("Patrick Ziesen",May!$B$5:$B$169)+1,MATCH(B141,May!$D$3:$AH$3)+2)-INDEX(May!$B$5:$AH$169,MATCH("Frido Meijer",May!$B$5:$B$169)+1,MATCH(B141,May!$D$3:$AH$3)+2)</f>
        <v>0</v>
      </c>
      <c r="I141" s="130">
        <v>0</v>
      </c>
      <c r="J141" s="130">
        <v>0</v>
      </c>
      <c r="L141" s="165"/>
      <c r="M141" s="111"/>
      <c r="N141" s="111">
        <f t="shared" si="42"/>
        <v>0</v>
      </c>
      <c r="P141" s="112">
        <f t="shared" si="43"/>
        <v>0</v>
      </c>
      <c r="Q141" s="112">
        <f t="shared" si="44"/>
        <v>0</v>
      </c>
    </row>
    <row r="142" spans="2:17" x14ac:dyDescent="0.25">
      <c r="B142" s="110">
        <f>DATE(Title!$F$12,$S$9,S13)</f>
        <v>41403</v>
      </c>
      <c r="C142" s="111">
        <f>IF(WEEKDAY(B142)=1,0,IF(WEEKDAY(B142)=4,'Hours Scheduled'!$H$44-1,IF(WEEKDAY(B142)=7,0,'Hours Scheduled'!$H$44)))</f>
        <v>23</v>
      </c>
      <c r="D142" s="17">
        <f t="shared" si="45"/>
        <v>172.5</v>
      </c>
      <c r="E142" s="127">
        <f t="shared" si="46"/>
        <v>184</v>
      </c>
      <c r="F142" s="111"/>
      <c r="G142" s="130">
        <f>INDEX(May!$C$3:$AH$169,3,MATCH(B142,May!$D$3:$AH$3)+1)+INDEX(May!$C$3:$AH$169,8,MATCH(B142,May!$D$3:$AH$3)+1)+INDEX(May!$C$3:$AH$169,13,MATCH(B142,May!$D$3:$AH$3)+1)+INDEX(May!$C$3:$AH$169,18,MATCH(B142,May!$D$3:$AH$3)+1)+INDEX(May!$C$3:$AH$169,23,MATCH(B142,May!$D$3:$AH$3)+1)+INDEX(May!$C$3:$AH$169,28,MATCH(B142,May!$D$3:$AH$3)+1)+INDEX(May!$C$3:$AH$169,33,MATCH(B142,May!$D$3:$AH$3)+1)+INDEX(May!$C$3:$AH$169,38,MATCH(B142,May!$D$3:$AH$3)+1)+INDEX(May!$C$3:$AH$169,43,MATCH(B142,May!$D$3:$AH$3)+1)+INDEX(May!$C$3:$AH$169,48,MATCH(B142,May!$D$3:$AH$3)+1)+INDEX(May!$C$3:$AH$169,53,MATCH(B142,May!$D$3:$AH$3)+1)+INDEX(May!$C$3:$AH$169,58,MATCH(B142,May!$D$3:$AH$3)+1)+INDEX(May!$C$3:$AH$169,63,MATCH(B142,May!$D$3:$AH$3)+1)+INDEX(May!$C$3:$AH$169,68,MATCH(B142,May!$D$3:$AH$3)+1)+INDEX(May!$C$3:$AH$169,73,MATCH(B142,May!$D$3:$AH$3)+1)+INDEX(May!$C$3:$AH$169,78,MATCH(B142,May!$D$3:$AH$3)+1)+INDEX(May!$C$3:$AH$169,83,MATCH(B142,May!$D$3:$AH$3)+1)+INDEX(May!$C$3:$AH$169,88,MATCH(B142,May!$D$3:$AH$3)+1)+INDEX(May!$C$3:$AH$169,93,MATCH(B142,May!$D$3:$AH$3)+1)+INDEX(May!$C$3:$AH$169,98,MATCH(B142,May!$D$3:$AH$3)+1)+INDEX(May!$C$3:$AH$169,103,MATCH(B142,May!$D$3:$AH$3)+1)+INDEX(May!$C$3:$AH$169,108,MATCH(B142,May!$D$3:$AH$3)+1)+INDEX(May!$C$3:$AH$169,113,MATCH(B142,May!$D$3:$AH$3)+1)+INDEX(May!$C$3:$AH$169,118,MATCH(B142,May!$D$3:$AH$3)+1)+INDEX(May!$C$3:$AH$169,123,MATCH(B142,May!$D$3:$AH$3)+1)+INDEX(May!$C$3:$AH$169,128,MATCH(B142,May!$D$3:$AH$3)+1)+INDEX(May!$C$3:$AH$169,133,MATCH(B142,May!$D$3:$AH$3)+1)+INDEX(May!$C$3:$AH$169,138,MATCH(B142,May!$D$3:$AH$3)+1)+INDEX(May!$C$3:$AH$169,143,MATCH(B142,May!$D$3:$AH$3)+1)+INDEX(May!$C$3:$AH$169,148,MATCH(B142,May!$D$3:$AH$3)+1)-INDEX(May!$B$5:$AH$169,MATCH("Patrick Janssen",May!$B$5:$B$169),MATCH(B142,May!$D$3:$AH$3)+2)-INDEX(May!$B$5:$AH$169,MATCH("Patrick Ziesen",May!$B$5:$B$169),MATCH(B142,May!$D$3:$AH$3)+2)-INDEX(May!$B$5:$AH$169,MATCH("Frido Meijer",May!$B$5:$B$169),MATCH(B142,May!$D$3:$AH$3)+2)</f>
        <v>0</v>
      </c>
      <c r="H142" s="130">
        <f>INDEX(May!$C$3:$AH$169,4,MATCH(B142,May!$D$3:$AH$3)+1)+INDEX(May!$C$3:$AH$169,9,MATCH(B142,May!$D$3:$AH$3)+1)+INDEX(May!$C$3:$AH$169,14,MATCH(B142,May!$D$3:$AH$3)+1)+INDEX(May!$C$3:$AH$169,19,MATCH(B142,May!$D$3:$AH$3)+1)+INDEX(May!$C$3:$AH$169,24,MATCH(B142,May!$D$3:$AH$3)+1)+INDEX(May!$C$3:$AH$169,29,MATCH(B142,May!$D$3:$AH$3)+1)+INDEX(May!$C$3:$AH$169,34,MATCH(B142,May!$D$3:$AH$3)+1)+INDEX(May!$C$3:$AH$169,39,MATCH(B142,May!$D$3:$AH$3)+1)+INDEX(May!$C$3:$AH$169,44,MATCH(B142,May!$D$3:$AH$3)+1)+INDEX(May!$C$3:$AH$169,49,MATCH(B142,May!$D$3:$AH$3)+1)+INDEX(May!$C$3:$AH$169,54,MATCH(B142,May!$D$3:$AH$3)+1)+INDEX(May!$C$3:$AH$169,59,MATCH(B142,May!$D$3:$AH$3)+1)+INDEX(May!$C$3:$AH$169,64,MATCH(B142,May!$D$3:$AH$3)+1)+INDEX(May!$C$3:$AH$169,69,MATCH(B142,May!$D$3:$AH$3)+1)+INDEX(May!$C$3:$AH$169,74,MATCH(B142,May!$D$3:$AH$3)+1)+INDEX(May!$C$3:$AH$169,79,MATCH(B142,May!$D$3:$AH$3)+1)+INDEX(May!$C$3:$AH$169,84,MATCH(B142,May!$D$3:$AH$3)+1)+INDEX(May!$C$3:$AH$169,89,MATCH(B142,May!$D$3:$AH$3)+1)+INDEX(May!$C$3:$AH$169,94,MATCH(B142,May!$D$3:$AH$3)+1)+INDEX(May!$C$3:$AH$169,99,MATCH(B142,May!$D$3:$AH$3)+1)+INDEX(May!$C$3:$AH$169,104,MATCH(B142,May!$D$3:$AH$3)+1)+INDEX(May!$C$3:$AH$169,109,MATCH(B142,May!$D$3:$AH$3)+1)+INDEX(May!$C$3:$AH$169,114,MATCH(B142,May!$D$3:$AH$3)+1)+INDEX(May!$C$3:$AH$169,119,MATCH(B142,May!$D$3:$AH$3)+1)+INDEX(May!$C$3:$AH$169,124,MATCH(B142,May!$D$3:$AH$3)+1)+INDEX(May!$C$3:$AH$169,129,MATCH(B142,May!$D$3:$AH$3)+1)+INDEX(May!$C$3:$AH$169,134,MATCH(B142,May!$D$3:$AH$3)+1)+INDEX(May!$C$3:$AH$169,139,MATCH(B142,May!$D$3:$AH$3)+1)+INDEX(May!$C$3:$AH$169,144,MATCH(B142,May!$D$3:$AH$3)+1)+INDEX(May!$C$3:$AH$169,149,MATCH(B142,May!$D$3:$AH$3)+1)-INDEX(May!$B$5:$AH$169,MATCH("Patrick Janssen",May!$B$5:$B$169)+1,MATCH(B142,May!$D$3:$AH$3)+2)-INDEX(May!$B$5:$AH$169,MATCH("Patrick Ziesen",May!$B$5:$B$169)+1,MATCH(B142,May!$D$3:$AH$3)+2)-INDEX(May!$B$5:$AH$169,MATCH("Frido Meijer",May!$B$5:$B$169)+1,MATCH(B142,May!$D$3:$AH$3)+2)</f>
        <v>0</v>
      </c>
      <c r="I142" s="130">
        <v>0</v>
      </c>
      <c r="J142" s="130">
        <v>0</v>
      </c>
      <c r="L142" s="165"/>
      <c r="M142" s="111"/>
      <c r="N142" s="111">
        <f t="shared" si="42"/>
        <v>0</v>
      </c>
      <c r="P142" s="112">
        <f>IFERROR((L142+(M142/60)+N142)/(D142-F142-G142-H142-I142-J142),"")</f>
        <v>0</v>
      </c>
      <c r="Q142" s="112">
        <f t="shared" si="44"/>
        <v>0</v>
      </c>
    </row>
    <row r="143" spans="2:17" x14ac:dyDescent="0.25">
      <c r="B143" s="110">
        <f>DATE(Title!$F$12,$S$9,S14)</f>
        <v>41404</v>
      </c>
      <c r="C143" s="111">
        <f>IF(WEEKDAY(B143)=1,0,IF(WEEKDAY(B143)=4,'Hours Scheduled'!$H$44-1,IF(WEEKDAY(B143)=7,0,'Hours Scheduled'!$H$44)))</f>
        <v>23</v>
      </c>
      <c r="D143" s="17">
        <f t="shared" si="45"/>
        <v>172.5</v>
      </c>
      <c r="E143" s="127">
        <f t="shared" si="46"/>
        <v>144</v>
      </c>
      <c r="F143" s="111"/>
      <c r="G143" s="130">
        <f>INDEX(May!$C$3:$AH$169,3,MATCH(B143,May!$D$3:$AH$3)+1)+INDEX(May!$C$3:$AH$169,8,MATCH(B143,May!$D$3:$AH$3)+1)+INDEX(May!$C$3:$AH$169,13,MATCH(B143,May!$D$3:$AH$3)+1)+INDEX(May!$C$3:$AH$169,18,MATCH(B143,May!$D$3:$AH$3)+1)+INDEX(May!$C$3:$AH$169,23,MATCH(B143,May!$D$3:$AH$3)+1)+INDEX(May!$C$3:$AH$169,28,MATCH(B143,May!$D$3:$AH$3)+1)+INDEX(May!$C$3:$AH$169,33,MATCH(B143,May!$D$3:$AH$3)+1)+INDEX(May!$C$3:$AH$169,38,MATCH(B143,May!$D$3:$AH$3)+1)+INDEX(May!$C$3:$AH$169,43,MATCH(B143,May!$D$3:$AH$3)+1)+INDEX(May!$C$3:$AH$169,48,MATCH(B143,May!$D$3:$AH$3)+1)+INDEX(May!$C$3:$AH$169,53,MATCH(B143,May!$D$3:$AH$3)+1)+INDEX(May!$C$3:$AH$169,58,MATCH(B143,May!$D$3:$AH$3)+1)+INDEX(May!$C$3:$AH$169,63,MATCH(B143,May!$D$3:$AH$3)+1)+INDEX(May!$C$3:$AH$169,68,MATCH(B143,May!$D$3:$AH$3)+1)+INDEX(May!$C$3:$AH$169,73,MATCH(B143,May!$D$3:$AH$3)+1)+INDEX(May!$C$3:$AH$169,78,MATCH(B143,May!$D$3:$AH$3)+1)+INDEX(May!$C$3:$AH$169,83,MATCH(B143,May!$D$3:$AH$3)+1)+INDEX(May!$C$3:$AH$169,88,MATCH(B143,May!$D$3:$AH$3)+1)+INDEX(May!$C$3:$AH$169,93,MATCH(B143,May!$D$3:$AH$3)+1)+INDEX(May!$C$3:$AH$169,98,MATCH(B143,May!$D$3:$AH$3)+1)+INDEX(May!$C$3:$AH$169,103,MATCH(B143,May!$D$3:$AH$3)+1)+INDEX(May!$C$3:$AH$169,108,MATCH(B143,May!$D$3:$AH$3)+1)+INDEX(May!$C$3:$AH$169,113,MATCH(B143,May!$D$3:$AH$3)+1)+INDEX(May!$C$3:$AH$169,118,MATCH(B143,May!$D$3:$AH$3)+1)+INDEX(May!$C$3:$AH$169,123,MATCH(B143,May!$D$3:$AH$3)+1)+INDEX(May!$C$3:$AH$169,128,MATCH(B143,May!$D$3:$AH$3)+1)+INDEX(May!$C$3:$AH$169,133,MATCH(B143,May!$D$3:$AH$3)+1)+INDEX(May!$C$3:$AH$169,138,MATCH(B143,May!$D$3:$AH$3)+1)+INDEX(May!$C$3:$AH$169,143,MATCH(B143,May!$D$3:$AH$3)+1)+INDEX(May!$C$3:$AH$169,148,MATCH(B143,May!$D$3:$AH$3)+1)-INDEX(May!$B$5:$AH$169,MATCH("Patrick Janssen",May!$B$5:$B$169),MATCH(B143,May!$D$3:$AH$3)+2)-INDEX(May!$B$5:$AH$169,MATCH("Patrick Ziesen",May!$B$5:$B$169),MATCH(B143,May!$D$3:$AH$3)+2)-INDEX(May!$B$5:$AH$169,MATCH("Frido Meijer",May!$B$5:$B$169),MATCH(B143,May!$D$3:$AH$3)+2)</f>
        <v>40</v>
      </c>
      <c r="H143" s="130">
        <f>INDEX(May!$C$3:$AH$169,4,MATCH(B143,May!$D$3:$AH$3)+1)+INDEX(May!$C$3:$AH$169,9,MATCH(B143,May!$D$3:$AH$3)+1)+INDEX(May!$C$3:$AH$169,14,MATCH(B143,May!$D$3:$AH$3)+1)+INDEX(May!$C$3:$AH$169,19,MATCH(B143,May!$D$3:$AH$3)+1)+INDEX(May!$C$3:$AH$169,24,MATCH(B143,May!$D$3:$AH$3)+1)+INDEX(May!$C$3:$AH$169,29,MATCH(B143,May!$D$3:$AH$3)+1)+INDEX(May!$C$3:$AH$169,34,MATCH(B143,May!$D$3:$AH$3)+1)+INDEX(May!$C$3:$AH$169,39,MATCH(B143,May!$D$3:$AH$3)+1)+INDEX(May!$C$3:$AH$169,44,MATCH(B143,May!$D$3:$AH$3)+1)+INDEX(May!$C$3:$AH$169,49,MATCH(B143,May!$D$3:$AH$3)+1)+INDEX(May!$C$3:$AH$169,54,MATCH(B143,May!$D$3:$AH$3)+1)+INDEX(May!$C$3:$AH$169,59,MATCH(B143,May!$D$3:$AH$3)+1)+INDEX(May!$C$3:$AH$169,64,MATCH(B143,May!$D$3:$AH$3)+1)+INDEX(May!$C$3:$AH$169,69,MATCH(B143,May!$D$3:$AH$3)+1)+INDEX(May!$C$3:$AH$169,74,MATCH(B143,May!$D$3:$AH$3)+1)+INDEX(May!$C$3:$AH$169,79,MATCH(B143,May!$D$3:$AH$3)+1)+INDEX(May!$C$3:$AH$169,84,MATCH(B143,May!$D$3:$AH$3)+1)+INDEX(May!$C$3:$AH$169,89,MATCH(B143,May!$D$3:$AH$3)+1)+INDEX(May!$C$3:$AH$169,94,MATCH(B143,May!$D$3:$AH$3)+1)+INDEX(May!$C$3:$AH$169,99,MATCH(B143,May!$D$3:$AH$3)+1)+INDEX(May!$C$3:$AH$169,104,MATCH(B143,May!$D$3:$AH$3)+1)+INDEX(May!$C$3:$AH$169,109,MATCH(B143,May!$D$3:$AH$3)+1)+INDEX(May!$C$3:$AH$169,114,MATCH(B143,May!$D$3:$AH$3)+1)+INDEX(May!$C$3:$AH$169,119,MATCH(B143,May!$D$3:$AH$3)+1)+INDEX(May!$C$3:$AH$169,124,MATCH(B143,May!$D$3:$AH$3)+1)+INDEX(May!$C$3:$AH$169,129,MATCH(B143,May!$D$3:$AH$3)+1)+INDEX(May!$C$3:$AH$169,134,MATCH(B143,May!$D$3:$AH$3)+1)+INDEX(May!$C$3:$AH$169,139,MATCH(B143,May!$D$3:$AH$3)+1)+INDEX(May!$C$3:$AH$169,144,MATCH(B143,May!$D$3:$AH$3)+1)+INDEX(May!$C$3:$AH$169,149,MATCH(B143,May!$D$3:$AH$3)+1)-INDEX(May!$B$5:$AH$169,MATCH("Patrick Janssen",May!$B$5:$B$169)+1,MATCH(B143,May!$D$3:$AH$3)+2)-INDEX(May!$B$5:$AH$169,MATCH("Patrick Ziesen",May!$B$5:$B$169)+1,MATCH(B143,May!$D$3:$AH$3)+2)-INDEX(May!$B$5:$AH$169,MATCH("Frido Meijer",May!$B$5:$B$169)+1,MATCH(B143,May!$D$3:$AH$3)+2)</f>
        <v>0</v>
      </c>
      <c r="I143" s="130">
        <v>0</v>
      </c>
      <c r="J143" s="130">
        <v>0</v>
      </c>
      <c r="L143" s="165"/>
      <c r="M143" s="111"/>
      <c r="N143" s="111">
        <f t="shared" si="42"/>
        <v>0</v>
      </c>
      <c r="P143" s="112">
        <f t="shared" si="43"/>
        <v>0</v>
      </c>
      <c r="Q143" s="112">
        <f t="shared" si="44"/>
        <v>0</v>
      </c>
    </row>
    <row r="144" spans="2:17" x14ac:dyDescent="0.25">
      <c r="B144" s="110">
        <f>DATE(Title!$F$12,$S$9,S15)</f>
        <v>41405</v>
      </c>
      <c r="C144" s="111">
        <f>IF(WEEKDAY(B144)=1,0,IF(WEEKDAY(B144)=4,'Hours Scheduled'!$H$44-1,IF(WEEKDAY(B144)=7,0,'Hours Scheduled'!$H$44)))</f>
        <v>0</v>
      </c>
      <c r="D144" s="17">
        <f t="shared" si="45"/>
        <v>0</v>
      </c>
      <c r="E144" s="127">
        <f t="shared" si="46"/>
        <v>0</v>
      </c>
      <c r="F144" s="111"/>
      <c r="G144" s="130">
        <f>INDEX(May!$C$3:$AH$169,3,MATCH(B144,May!$D$3:$AH$3)+1)+INDEX(May!$C$3:$AH$169,8,MATCH(B144,May!$D$3:$AH$3)+1)+INDEX(May!$C$3:$AH$169,13,MATCH(B144,May!$D$3:$AH$3)+1)+INDEX(May!$C$3:$AH$169,18,MATCH(B144,May!$D$3:$AH$3)+1)+INDEX(May!$C$3:$AH$169,23,MATCH(B144,May!$D$3:$AH$3)+1)+INDEX(May!$C$3:$AH$169,28,MATCH(B144,May!$D$3:$AH$3)+1)+INDEX(May!$C$3:$AH$169,33,MATCH(B144,May!$D$3:$AH$3)+1)+INDEX(May!$C$3:$AH$169,38,MATCH(B144,May!$D$3:$AH$3)+1)+INDEX(May!$C$3:$AH$169,43,MATCH(B144,May!$D$3:$AH$3)+1)+INDEX(May!$C$3:$AH$169,48,MATCH(B144,May!$D$3:$AH$3)+1)+INDEX(May!$C$3:$AH$169,53,MATCH(B144,May!$D$3:$AH$3)+1)+INDEX(May!$C$3:$AH$169,58,MATCH(B144,May!$D$3:$AH$3)+1)+INDEX(May!$C$3:$AH$169,63,MATCH(B144,May!$D$3:$AH$3)+1)+INDEX(May!$C$3:$AH$169,68,MATCH(B144,May!$D$3:$AH$3)+1)+INDEX(May!$C$3:$AH$169,73,MATCH(B144,May!$D$3:$AH$3)+1)+INDEX(May!$C$3:$AH$169,78,MATCH(B144,May!$D$3:$AH$3)+1)+INDEX(May!$C$3:$AH$169,83,MATCH(B144,May!$D$3:$AH$3)+1)+INDEX(May!$C$3:$AH$169,88,MATCH(B144,May!$D$3:$AH$3)+1)+INDEX(May!$C$3:$AH$169,93,MATCH(B144,May!$D$3:$AH$3)+1)+INDEX(May!$C$3:$AH$169,98,MATCH(B144,May!$D$3:$AH$3)+1)+INDEX(May!$C$3:$AH$169,103,MATCH(B144,May!$D$3:$AH$3)+1)+INDEX(May!$C$3:$AH$169,108,MATCH(B144,May!$D$3:$AH$3)+1)+INDEX(May!$C$3:$AH$169,113,MATCH(B144,May!$D$3:$AH$3)+1)+INDEX(May!$C$3:$AH$169,118,MATCH(B144,May!$D$3:$AH$3)+1)+INDEX(May!$C$3:$AH$169,123,MATCH(B144,May!$D$3:$AH$3)+1)+INDEX(May!$C$3:$AH$169,128,MATCH(B144,May!$D$3:$AH$3)+1)+INDEX(May!$C$3:$AH$169,133,MATCH(B144,May!$D$3:$AH$3)+1)+INDEX(May!$C$3:$AH$169,138,MATCH(B144,May!$D$3:$AH$3)+1)+INDEX(May!$C$3:$AH$169,143,MATCH(B144,May!$D$3:$AH$3)+1)+INDEX(May!$C$3:$AH$169,148,MATCH(B144,May!$D$3:$AH$3)+1)-INDEX(May!$B$5:$AH$169,MATCH("Patrick Janssen",May!$B$5:$B$169),MATCH(B144,May!$D$3:$AH$3)+2)-INDEX(May!$B$5:$AH$169,MATCH("Patrick Ziesen",May!$B$5:$B$169),MATCH(B144,May!$D$3:$AH$3)+2)-INDEX(May!$B$5:$AH$169,MATCH("Frido Meijer",May!$B$5:$B$169),MATCH(B144,May!$D$3:$AH$3)+2)</f>
        <v>0</v>
      </c>
      <c r="H144" s="130">
        <f>INDEX(May!$C$3:$AH$169,4,MATCH(B144,May!$D$3:$AH$3)+1)+INDEX(May!$C$3:$AH$169,9,MATCH(B144,May!$D$3:$AH$3)+1)+INDEX(May!$C$3:$AH$169,14,MATCH(B144,May!$D$3:$AH$3)+1)+INDEX(May!$C$3:$AH$169,19,MATCH(B144,May!$D$3:$AH$3)+1)+INDEX(May!$C$3:$AH$169,24,MATCH(B144,May!$D$3:$AH$3)+1)+INDEX(May!$C$3:$AH$169,29,MATCH(B144,May!$D$3:$AH$3)+1)+INDEX(May!$C$3:$AH$169,34,MATCH(B144,May!$D$3:$AH$3)+1)+INDEX(May!$C$3:$AH$169,39,MATCH(B144,May!$D$3:$AH$3)+1)+INDEX(May!$C$3:$AH$169,44,MATCH(B144,May!$D$3:$AH$3)+1)+INDEX(May!$C$3:$AH$169,49,MATCH(B144,May!$D$3:$AH$3)+1)+INDEX(May!$C$3:$AH$169,54,MATCH(B144,May!$D$3:$AH$3)+1)+INDEX(May!$C$3:$AH$169,59,MATCH(B144,May!$D$3:$AH$3)+1)+INDEX(May!$C$3:$AH$169,64,MATCH(B144,May!$D$3:$AH$3)+1)+INDEX(May!$C$3:$AH$169,69,MATCH(B144,May!$D$3:$AH$3)+1)+INDEX(May!$C$3:$AH$169,74,MATCH(B144,May!$D$3:$AH$3)+1)+INDEX(May!$C$3:$AH$169,79,MATCH(B144,May!$D$3:$AH$3)+1)+INDEX(May!$C$3:$AH$169,84,MATCH(B144,May!$D$3:$AH$3)+1)+INDEX(May!$C$3:$AH$169,89,MATCH(B144,May!$D$3:$AH$3)+1)+INDEX(May!$C$3:$AH$169,94,MATCH(B144,May!$D$3:$AH$3)+1)+INDEX(May!$C$3:$AH$169,99,MATCH(B144,May!$D$3:$AH$3)+1)+INDEX(May!$C$3:$AH$169,104,MATCH(B144,May!$D$3:$AH$3)+1)+INDEX(May!$C$3:$AH$169,109,MATCH(B144,May!$D$3:$AH$3)+1)+INDEX(May!$C$3:$AH$169,114,MATCH(B144,May!$D$3:$AH$3)+1)+INDEX(May!$C$3:$AH$169,119,MATCH(B144,May!$D$3:$AH$3)+1)+INDEX(May!$C$3:$AH$169,124,MATCH(B144,May!$D$3:$AH$3)+1)+INDEX(May!$C$3:$AH$169,129,MATCH(B144,May!$D$3:$AH$3)+1)+INDEX(May!$C$3:$AH$169,134,MATCH(B144,May!$D$3:$AH$3)+1)+INDEX(May!$C$3:$AH$169,139,MATCH(B144,May!$D$3:$AH$3)+1)+INDEX(May!$C$3:$AH$169,144,MATCH(B144,May!$D$3:$AH$3)+1)+INDEX(May!$C$3:$AH$169,149,MATCH(B144,May!$D$3:$AH$3)+1)-INDEX(May!$B$5:$AH$169,MATCH("Patrick Janssen",May!$B$5:$B$169)+1,MATCH(B144,May!$D$3:$AH$3)+2)-INDEX(May!$B$5:$AH$169,MATCH("Patrick Ziesen",May!$B$5:$B$169)+1,MATCH(B144,May!$D$3:$AH$3)+2)-INDEX(May!$B$5:$AH$169,MATCH("Frido Meijer",May!$B$5:$B$169)+1,MATCH(B144,May!$D$3:$AH$3)+2)</f>
        <v>0</v>
      </c>
      <c r="I144" s="130">
        <v>0</v>
      </c>
      <c r="J144" s="130">
        <v>0</v>
      </c>
      <c r="L144" s="165"/>
      <c r="M144" s="111"/>
      <c r="N144" s="111">
        <f t="shared" si="42"/>
        <v>0</v>
      </c>
      <c r="P144" s="112" t="str">
        <f t="shared" si="43"/>
        <v/>
      </c>
      <c r="Q144" s="112" t="str">
        <f t="shared" si="44"/>
        <v/>
      </c>
    </row>
    <row r="145" spans="2:17" x14ac:dyDescent="0.25">
      <c r="B145" s="110">
        <f>DATE(Title!$F$12,$S$9,S16)</f>
        <v>41406</v>
      </c>
      <c r="C145" s="111">
        <f>IF(WEEKDAY(B145)=1,0,IF(WEEKDAY(B145)=4,'Hours Scheduled'!$H$44-1,IF(WEEKDAY(B145)=7,0,'Hours Scheduled'!$H$44)))</f>
        <v>0</v>
      </c>
      <c r="D145" s="17">
        <f t="shared" si="45"/>
        <v>0</v>
      </c>
      <c r="E145" s="127">
        <f t="shared" si="46"/>
        <v>0</v>
      </c>
      <c r="F145" s="111"/>
      <c r="G145" s="130">
        <f>INDEX(May!$C$3:$AH$169,3,MATCH(B145,May!$D$3:$AH$3)+1)+INDEX(May!$C$3:$AH$169,8,MATCH(B145,May!$D$3:$AH$3)+1)+INDEX(May!$C$3:$AH$169,13,MATCH(B145,May!$D$3:$AH$3)+1)+INDEX(May!$C$3:$AH$169,18,MATCH(B145,May!$D$3:$AH$3)+1)+INDEX(May!$C$3:$AH$169,23,MATCH(B145,May!$D$3:$AH$3)+1)+INDEX(May!$C$3:$AH$169,28,MATCH(B145,May!$D$3:$AH$3)+1)+INDEX(May!$C$3:$AH$169,33,MATCH(B145,May!$D$3:$AH$3)+1)+INDEX(May!$C$3:$AH$169,38,MATCH(B145,May!$D$3:$AH$3)+1)+INDEX(May!$C$3:$AH$169,43,MATCH(B145,May!$D$3:$AH$3)+1)+INDEX(May!$C$3:$AH$169,48,MATCH(B145,May!$D$3:$AH$3)+1)+INDEX(May!$C$3:$AH$169,53,MATCH(B145,May!$D$3:$AH$3)+1)+INDEX(May!$C$3:$AH$169,58,MATCH(B145,May!$D$3:$AH$3)+1)+INDEX(May!$C$3:$AH$169,63,MATCH(B145,May!$D$3:$AH$3)+1)+INDEX(May!$C$3:$AH$169,68,MATCH(B145,May!$D$3:$AH$3)+1)+INDEX(May!$C$3:$AH$169,73,MATCH(B145,May!$D$3:$AH$3)+1)+INDEX(May!$C$3:$AH$169,78,MATCH(B145,May!$D$3:$AH$3)+1)+INDEX(May!$C$3:$AH$169,83,MATCH(B145,May!$D$3:$AH$3)+1)+INDEX(May!$C$3:$AH$169,88,MATCH(B145,May!$D$3:$AH$3)+1)+INDEX(May!$C$3:$AH$169,93,MATCH(B145,May!$D$3:$AH$3)+1)+INDEX(May!$C$3:$AH$169,98,MATCH(B145,May!$D$3:$AH$3)+1)+INDEX(May!$C$3:$AH$169,103,MATCH(B145,May!$D$3:$AH$3)+1)+INDEX(May!$C$3:$AH$169,108,MATCH(B145,May!$D$3:$AH$3)+1)+INDEX(May!$C$3:$AH$169,113,MATCH(B145,May!$D$3:$AH$3)+1)+INDEX(May!$C$3:$AH$169,118,MATCH(B145,May!$D$3:$AH$3)+1)+INDEX(May!$C$3:$AH$169,123,MATCH(B145,May!$D$3:$AH$3)+1)+INDEX(May!$C$3:$AH$169,128,MATCH(B145,May!$D$3:$AH$3)+1)+INDEX(May!$C$3:$AH$169,133,MATCH(B145,May!$D$3:$AH$3)+1)+INDEX(May!$C$3:$AH$169,138,MATCH(B145,May!$D$3:$AH$3)+1)+INDEX(May!$C$3:$AH$169,143,MATCH(B145,May!$D$3:$AH$3)+1)+INDEX(May!$C$3:$AH$169,148,MATCH(B145,May!$D$3:$AH$3)+1)-INDEX(May!$B$5:$AH$169,MATCH("Patrick Janssen",May!$B$5:$B$169),MATCH(B145,May!$D$3:$AH$3)+2)-INDEX(May!$B$5:$AH$169,MATCH("Patrick Ziesen",May!$B$5:$B$169),MATCH(B145,May!$D$3:$AH$3)+2)-INDEX(May!$B$5:$AH$169,MATCH("Frido Meijer",May!$B$5:$B$169),MATCH(B145,May!$D$3:$AH$3)+2)</f>
        <v>0</v>
      </c>
      <c r="H145" s="130">
        <f>INDEX(May!$C$3:$AH$169,4,MATCH(B145,May!$D$3:$AH$3)+1)+INDEX(May!$C$3:$AH$169,9,MATCH(B145,May!$D$3:$AH$3)+1)+INDEX(May!$C$3:$AH$169,14,MATCH(B145,May!$D$3:$AH$3)+1)+INDEX(May!$C$3:$AH$169,19,MATCH(B145,May!$D$3:$AH$3)+1)+INDEX(May!$C$3:$AH$169,24,MATCH(B145,May!$D$3:$AH$3)+1)+INDEX(May!$C$3:$AH$169,29,MATCH(B145,May!$D$3:$AH$3)+1)+INDEX(May!$C$3:$AH$169,34,MATCH(B145,May!$D$3:$AH$3)+1)+INDEX(May!$C$3:$AH$169,39,MATCH(B145,May!$D$3:$AH$3)+1)+INDEX(May!$C$3:$AH$169,44,MATCH(B145,May!$D$3:$AH$3)+1)+INDEX(May!$C$3:$AH$169,49,MATCH(B145,May!$D$3:$AH$3)+1)+INDEX(May!$C$3:$AH$169,54,MATCH(B145,May!$D$3:$AH$3)+1)+INDEX(May!$C$3:$AH$169,59,MATCH(B145,May!$D$3:$AH$3)+1)+INDEX(May!$C$3:$AH$169,64,MATCH(B145,May!$D$3:$AH$3)+1)+INDEX(May!$C$3:$AH$169,69,MATCH(B145,May!$D$3:$AH$3)+1)+INDEX(May!$C$3:$AH$169,74,MATCH(B145,May!$D$3:$AH$3)+1)+INDEX(May!$C$3:$AH$169,79,MATCH(B145,May!$D$3:$AH$3)+1)+INDEX(May!$C$3:$AH$169,84,MATCH(B145,May!$D$3:$AH$3)+1)+INDEX(May!$C$3:$AH$169,89,MATCH(B145,May!$D$3:$AH$3)+1)+INDEX(May!$C$3:$AH$169,94,MATCH(B145,May!$D$3:$AH$3)+1)+INDEX(May!$C$3:$AH$169,99,MATCH(B145,May!$D$3:$AH$3)+1)+INDEX(May!$C$3:$AH$169,104,MATCH(B145,May!$D$3:$AH$3)+1)+INDEX(May!$C$3:$AH$169,109,MATCH(B145,May!$D$3:$AH$3)+1)+INDEX(May!$C$3:$AH$169,114,MATCH(B145,May!$D$3:$AH$3)+1)+INDEX(May!$C$3:$AH$169,119,MATCH(B145,May!$D$3:$AH$3)+1)+INDEX(May!$C$3:$AH$169,124,MATCH(B145,May!$D$3:$AH$3)+1)+INDEX(May!$C$3:$AH$169,129,MATCH(B145,May!$D$3:$AH$3)+1)+INDEX(May!$C$3:$AH$169,134,MATCH(B145,May!$D$3:$AH$3)+1)+INDEX(May!$C$3:$AH$169,139,MATCH(B145,May!$D$3:$AH$3)+1)+INDEX(May!$C$3:$AH$169,144,MATCH(B145,May!$D$3:$AH$3)+1)+INDEX(May!$C$3:$AH$169,149,MATCH(B145,May!$D$3:$AH$3)+1)-INDEX(May!$B$5:$AH$169,MATCH("Patrick Janssen",May!$B$5:$B$169)+1,MATCH(B145,May!$D$3:$AH$3)+2)-INDEX(May!$B$5:$AH$169,MATCH("Patrick Ziesen",May!$B$5:$B$169)+1,MATCH(B145,May!$D$3:$AH$3)+2)-INDEX(May!$B$5:$AH$169,MATCH("Frido Meijer",May!$B$5:$B$169)+1,MATCH(B145,May!$D$3:$AH$3)+2)</f>
        <v>0</v>
      </c>
      <c r="I145" s="130">
        <v>0</v>
      </c>
      <c r="J145" s="130">
        <v>0</v>
      </c>
      <c r="L145" s="111"/>
      <c r="M145" s="111"/>
      <c r="N145" s="111">
        <f t="shared" si="42"/>
        <v>0</v>
      </c>
      <c r="P145" s="112" t="str">
        <f t="shared" si="43"/>
        <v/>
      </c>
      <c r="Q145" s="112" t="str">
        <f t="shared" si="44"/>
        <v/>
      </c>
    </row>
    <row r="146" spans="2:17" x14ac:dyDescent="0.25">
      <c r="B146" s="110">
        <f>DATE(Title!$F$12,$S$9,S17)</f>
        <v>41407</v>
      </c>
      <c r="C146" s="111">
        <f>IF(WEEKDAY(B146)=1,0,IF(WEEKDAY(B146)=4,'Hours Scheduled'!$H$44-1,IF(WEEKDAY(B146)=7,0,'Hours Scheduled'!$H$44)))</f>
        <v>23</v>
      </c>
      <c r="D146" s="17">
        <f t="shared" si="45"/>
        <v>172.5</v>
      </c>
      <c r="E146" s="127">
        <f t="shared" si="46"/>
        <v>176</v>
      </c>
      <c r="F146" s="111"/>
      <c r="G146" s="130">
        <f>INDEX(May!$C$3:$AH$169,3,MATCH(B146,May!$D$3:$AH$3)+1)+INDEX(May!$C$3:$AH$169,8,MATCH(B146,May!$D$3:$AH$3)+1)+INDEX(May!$C$3:$AH$169,13,MATCH(B146,May!$D$3:$AH$3)+1)+INDEX(May!$C$3:$AH$169,18,MATCH(B146,May!$D$3:$AH$3)+1)+INDEX(May!$C$3:$AH$169,23,MATCH(B146,May!$D$3:$AH$3)+1)+INDEX(May!$C$3:$AH$169,28,MATCH(B146,May!$D$3:$AH$3)+1)+INDEX(May!$C$3:$AH$169,33,MATCH(B146,May!$D$3:$AH$3)+1)+INDEX(May!$C$3:$AH$169,38,MATCH(B146,May!$D$3:$AH$3)+1)+INDEX(May!$C$3:$AH$169,43,MATCH(B146,May!$D$3:$AH$3)+1)+INDEX(May!$C$3:$AH$169,48,MATCH(B146,May!$D$3:$AH$3)+1)+INDEX(May!$C$3:$AH$169,53,MATCH(B146,May!$D$3:$AH$3)+1)+INDEX(May!$C$3:$AH$169,58,MATCH(B146,May!$D$3:$AH$3)+1)+INDEX(May!$C$3:$AH$169,63,MATCH(B146,May!$D$3:$AH$3)+1)+INDEX(May!$C$3:$AH$169,68,MATCH(B146,May!$D$3:$AH$3)+1)+INDEX(May!$C$3:$AH$169,73,MATCH(B146,May!$D$3:$AH$3)+1)+INDEX(May!$C$3:$AH$169,78,MATCH(B146,May!$D$3:$AH$3)+1)+INDEX(May!$C$3:$AH$169,83,MATCH(B146,May!$D$3:$AH$3)+1)+INDEX(May!$C$3:$AH$169,88,MATCH(B146,May!$D$3:$AH$3)+1)+INDEX(May!$C$3:$AH$169,93,MATCH(B146,May!$D$3:$AH$3)+1)+INDEX(May!$C$3:$AH$169,98,MATCH(B146,May!$D$3:$AH$3)+1)+INDEX(May!$C$3:$AH$169,103,MATCH(B146,May!$D$3:$AH$3)+1)+INDEX(May!$C$3:$AH$169,108,MATCH(B146,May!$D$3:$AH$3)+1)+INDEX(May!$C$3:$AH$169,113,MATCH(B146,May!$D$3:$AH$3)+1)+INDEX(May!$C$3:$AH$169,118,MATCH(B146,May!$D$3:$AH$3)+1)+INDEX(May!$C$3:$AH$169,123,MATCH(B146,May!$D$3:$AH$3)+1)+INDEX(May!$C$3:$AH$169,128,MATCH(B146,May!$D$3:$AH$3)+1)+INDEX(May!$C$3:$AH$169,133,MATCH(B146,May!$D$3:$AH$3)+1)+INDEX(May!$C$3:$AH$169,138,MATCH(B146,May!$D$3:$AH$3)+1)+INDEX(May!$C$3:$AH$169,143,MATCH(B146,May!$D$3:$AH$3)+1)+INDEX(May!$C$3:$AH$169,148,MATCH(B146,May!$D$3:$AH$3)+1)-INDEX(May!$B$5:$AH$169,MATCH("Patrick Janssen",May!$B$5:$B$169),MATCH(B146,May!$D$3:$AH$3)+2)-INDEX(May!$B$5:$AH$169,MATCH("Patrick Ziesen",May!$B$5:$B$169),MATCH(B146,May!$D$3:$AH$3)+2)-INDEX(May!$B$5:$AH$169,MATCH("Frido Meijer",May!$B$5:$B$169),MATCH(B146,May!$D$3:$AH$3)+2)</f>
        <v>8</v>
      </c>
      <c r="H146" s="130">
        <f>INDEX(May!$C$3:$AH$169,4,MATCH(B146,May!$D$3:$AH$3)+1)+INDEX(May!$C$3:$AH$169,9,MATCH(B146,May!$D$3:$AH$3)+1)+INDEX(May!$C$3:$AH$169,14,MATCH(B146,May!$D$3:$AH$3)+1)+INDEX(May!$C$3:$AH$169,19,MATCH(B146,May!$D$3:$AH$3)+1)+INDEX(May!$C$3:$AH$169,24,MATCH(B146,May!$D$3:$AH$3)+1)+INDEX(May!$C$3:$AH$169,29,MATCH(B146,May!$D$3:$AH$3)+1)+INDEX(May!$C$3:$AH$169,34,MATCH(B146,May!$D$3:$AH$3)+1)+INDEX(May!$C$3:$AH$169,39,MATCH(B146,May!$D$3:$AH$3)+1)+INDEX(May!$C$3:$AH$169,44,MATCH(B146,May!$D$3:$AH$3)+1)+INDEX(May!$C$3:$AH$169,49,MATCH(B146,May!$D$3:$AH$3)+1)+INDEX(May!$C$3:$AH$169,54,MATCH(B146,May!$D$3:$AH$3)+1)+INDEX(May!$C$3:$AH$169,59,MATCH(B146,May!$D$3:$AH$3)+1)+INDEX(May!$C$3:$AH$169,64,MATCH(B146,May!$D$3:$AH$3)+1)+INDEX(May!$C$3:$AH$169,69,MATCH(B146,May!$D$3:$AH$3)+1)+INDEX(May!$C$3:$AH$169,74,MATCH(B146,May!$D$3:$AH$3)+1)+INDEX(May!$C$3:$AH$169,79,MATCH(B146,May!$D$3:$AH$3)+1)+INDEX(May!$C$3:$AH$169,84,MATCH(B146,May!$D$3:$AH$3)+1)+INDEX(May!$C$3:$AH$169,89,MATCH(B146,May!$D$3:$AH$3)+1)+INDEX(May!$C$3:$AH$169,94,MATCH(B146,May!$D$3:$AH$3)+1)+INDEX(May!$C$3:$AH$169,99,MATCH(B146,May!$D$3:$AH$3)+1)+INDEX(May!$C$3:$AH$169,104,MATCH(B146,May!$D$3:$AH$3)+1)+INDEX(May!$C$3:$AH$169,109,MATCH(B146,May!$D$3:$AH$3)+1)+INDEX(May!$C$3:$AH$169,114,MATCH(B146,May!$D$3:$AH$3)+1)+INDEX(May!$C$3:$AH$169,119,MATCH(B146,May!$D$3:$AH$3)+1)+INDEX(May!$C$3:$AH$169,124,MATCH(B146,May!$D$3:$AH$3)+1)+INDEX(May!$C$3:$AH$169,129,MATCH(B146,May!$D$3:$AH$3)+1)+INDEX(May!$C$3:$AH$169,134,MATCH(B146,May!$D$3:$AH$3)+1)+INDEX(May!$C$3:$AH$169,139,MATCH(B146,May!$D$3:$AH$3)+1)+INDEX(May!$C$3:$AH$169,144,MATCH(B146,May!$D$3:$AH$3)+1)+INDEX(May!$C$3:$AH$169,149,MATCH(B146,May!$D$3:$AH$3)+1)-INDEX(May!$B$5:$AH$169,MATCH("Patrick Janssen",May!$B$5:$B$169)+1,MATCH(B146,May!$D$3:$AH$3)+2)-INDEX(May!$B$5:$AH$169,MATCH("Patrick Ziesen",May!$B$5:$B$169)+1,MATCH(B146,May!$D$3:$AH$3)+2)-INDEX(May!$B$5:$AH$169,MATCH("Frido Meijer",May!$B$5:$B$169)+1,MATCH(B146,May!$D$3:$AH$3)+2)</f>
        <v>0</v>
      </c>
      <c r="I146" s="130">
        <v>0</v>
      </c>
      <c r="J146" s="130">
        <v>0</v>
      </c>
      <c r="L146" s="111"/>
      <c r="M146" s="111"/>
      <c r="N146" s="111">
        <f t="shared" si="42"/>
        <v>0</v>
      </c>
      <c r="P146" s="112">
        <f t="shared" si="43"/>
        <v>0</v>
      </c>
      <c r="Q146" s="112">
        <f t="shared" si="44"/>
        <v>0</v>
      </c>
    </row>
    <row r="147" spans="2:17" x14ac:dyDescent="0.25">
      <c r="B147" s="110">
        <f>DATE(Title!$F$12,$S$9,S18)</f>
        <v>41408</v>
      </c>
      <c r="C147" s="111">
        <f>IF(WEEKDAY(B147)=1,0,IF(WEEKDAY(B147)=4,'Hours Scheduled'!$H$44-1,IF(WEEKDAY(B147)=7,0,'Hours Scheduled'!$H$44)))</f>
        <v>23</v>
      </c>
      <c r="D147" s="17">
        <f t="shared" si="45"/>
        <v>172.5</v>
      </c>
      <c r="E147" s="127">
        <f t="shared" si="46"/>
        <v>180</v>
      </c>
      <c r="F147" s="111"/>
      <c r="G147" s="130">
        <f>INDEX(May!$C$3:$AH$169,3,MATCH(B147,May!$D$3:$AH$3)+1)+INDEX(May!$C$3:$AH$169,8,MATCH(B147,May!$D$3:$AH$3)+1)+INDEX(May!$C$3:$AH$169,13,MATCH(B147,May!$D$3:$AH$3)+1)+INDEX(May!$C$3:$AH$169,18,MATCH(B147,May!$D$3:$AH$3)+1)+INDEX(May!$C$3:$AH$169,23,MATCH(B147,May!$D$3:$AH$3)+1)+INDEX(May!$C$3:$AH$169,28,MATCH(B147,May!$D$3:$AH$3)+1)+INDEX(May!$C$3:$AH$169,33,MATCH(B147,May!$D$3:$AH$3)+1)+INDEX(May!$C$3:$AH$169,38,MATCH(B147,May!$D$3:$AH$3)+1)+INDEX(May!$C$3:$AH$169,43,MATCH(B147,May!$D$3:$AH$3)+1)+INDEX(May!$C$3:$AH$169,48,MATCH(B147,May!$D$3:$AH$3)+1)+INDEX(May!$C$3:$AH$169,53,MATCH(B147,May!$D$3:$AH$3)+1)+INDEX(May!$C$3:$AH$169,58,MATCH(B147,May!$D$3:$AH$3)+1)+INDEX(May!$C$3:$AH$169,63,MATCH(B147,May!$D$3:$AH$3)+1)+INDEX(May!$C$3:$AH$169,68,MATCH(B147,May!$D$3:$AH$3)+1)+INDEX(May!$C$3:$AH$169,73,MATCH(B147,May!$D$3:$AH$3)+1)+INDEX(May!$C$3:$AH$169,78,MATCH(B147,May!$D$3:$AH$3)+1)+INDEX(May!$C$3:$AH$169,83,MATCH(B147,May!$D$3:$AH$3)+1)+INDEX(May!$C$3:$AH$169,88,MATCH(B147,May!$D$3:$AH$3)+1)+INDEX(May!$C$3:$AH$169,93,MATCH(B147,May!$D$3:$AH$3)+1)+INDEX(May!$C$3:$AH$169,98,MATCH(B147,May!$D$3:$AH$3)+1)+INDEX(May!$C$3:$AH$169,103,MATCH(B147,May!$D$3:$AH$3)+1)+INDEX(May!$C$3:$AH$169,108,MATCH(B147,May!$D$3:$AH$3)+1)+INDEX(May!$C$3:$AH$169,113,MATCH(B147,May!$D$3:$AH$3)+1)+INDEX(May!$C$3:$AH$169,118,MATCH(B147,May!$D$3:$AH$3)+1)+INDEX(May!$C$3:$AH$169,123,MATCH(B147,May!$D$3:$AH$3)+1)+INDEX(May!$C$3:$AH$169,128,MATCH(B147,May!$D$3:$AH$3)+1)+INDEX(May!$C$3:$AH$169,133,MATCH(B147,May!$D$3:$AH$3)+1)+INDEX(May!$C$3:$AH$169,138,MATCH(B147,May!$D$3:$AH$3)+1)+INDEX(May!$C$3:$AH$169,143,MATCH(B147,May!$D$3:$AH$3)+1)+INDEX(May!$C$3:$AH$169,148,MATCH(B147,May!$D$3:$AH$3)+1)-INDEX(May!$B$5:$AH$169,MATCH("Patrick Janssen",May!$B$5:$B$169),MATCH(B147,May!$D$3:$AH$3)+2)-INDEX(May!$B$5:$AH$169,MATCH("Patrick Ziesen",May!$B$5:$B$169),MATCH(B147,May!$D$3:$AH$3)+2)-INDEX(May!$B$5:$AH$169,MATCH("Frido Meijer",May!$B$5:$B$169),MATCH(B147,May!$D$3:$AH$3)+2)</f>
        <v>4</v>
      </c>
      <c r="H147" s="130">
        <f>INDEX(May!$C$3:$AH$169,4,MATCH(B147,May!$D$3:$AH$3)+1)+INDEX(May!$C$3:$AH$169,9,MATCH(B147,May!$D$3:$AH$3)+1)+INDEX(May!$C$3:$AH$169,14,MATCH(B147,May!$D$3:$AH$3)+1)+INDEX(May!$C$3:$AH$169,19,MATCH(B147,May!$D$3:$AH$3)+1)+INDEX(May!$C$3:$AH$169,24,MATCH(B147,May!$D$3:$AH$3)+1)+INDEX(May!$C$3:$AH$169,29,MATCH(B147,May!$D$3:$AH$3)+1)+INDEX(May!$C$3:$AH$169,34,MATCH(B147,May!$D$3:$AH$3)+1)+INDEX(May!$C$3:$AH$169,39,MATCH(B147,May!$D$3:$AH$3)+1)+INDEX(May!$C$3:$AH$169,44,MATCH(B147,May!$D$3:$AH$3)+1)+INDEX(May!$C$3:$AH$169,49,MATCH(B147,May!$D$3:$AH$3)+1)+INDEX(May!$C$3:$AH$169,54,MATCH(B147,May!$D$3:$AH$3)+1)+INDEX(May!$C$3:$AH$169,59,MATCH(B147,May!$D$3:$AH$3)+1)+INDEX(May!$C$3:$AH$169,64,MATCH(B147,May!$D$3:$AH$3)+1)+INDEX(May!$C$3:$AH$169,69,MATCH(B147,May!$D$3:$AH$3)+1)+INDEX(May!$C$3:$AH$169,74,MATCH(B147,May!$D$3:$AH$3)+1)+INDEX(May!$C$3:$AH$169,79,MATCH(B147,May!$D$3:$AH$3)+1)+INDEX(May!$C$3:$AH$169,84,MATCH(B147,May!$D$3:$AH$3)+1)+INDEX(May!$C$3:$AH$169,89,MATCH(B147,May!$D$3:$AH$3)+1)+INDEX(May!$C$3:$AH$169,94,MATCH(B147,May!$D$3:$AH$3)+1)+INDEX(May!$C$3:$AH$169,99,MATCH(B147,May!$D$3:$AH$3)+1)+INDEX(May!$C$3:$AH$169,104,MATCH(B147,May!$D$3:$AH$3)+1)+INDEX(May!$C$3:$AH$169,109,MATCH(B147,May!$D$3:$AH$3)+1)+INDEX(May!$C$3:$AH$169,114,MATCH(B147,May!$D$3:$AH$3)+1)+INDEX(May!$C$3:$AH$169,119,MATCH(B147,May!$D$3:$AH$3)+1)+INDEX(May!$C$3:$AH$169,124,MATCH(B147,May!$D$3:$AH$3)+1)+INDEX(May!$C$3:$AH$169,129,MATCH(B147,May!$D$3:$AH$3)+1)+INDEX(May!$C$3:$AH$169,134,MATCH(B147,May!$D$3:$AH$3)+1)+INDEX(May!$C$3:$AH$169,139,MATCH(B147,May!$D$3:$AH$3)+1)+INDEX(May!$C$3:$AH$169,144,MATCH(B147,May!$D$3:$AH$3)+1)+INDEX(May!$C$3:$AH$169,149,MATCH(B147,May!$D$3:$AH$3)+1)-INDEX(May!$B$5:$AH$169,MATCH("Patrick Janssen",May!$B$5:$B$169)+1,MATCH(B147,May!$D$3:$AH$3)+2)-INDEX(May!$B$5:$AH$169,MATCH("Patrick Ziesen",May!$B$5:$B$169)+1,MATCH(B147,May!$D$3:$AH$3)+2)-INDEX(May!$B$5:$AH$169,MATCH("Frido Meijer",May!$B$5:$B$169)+1,MATCH(B147,May!$D$3:$AH$3)+2)</f>
        <v>0</v>
      </c>
      <c r="I147" s="130">
        <v>0</v>
      </c>
      <c r="J147" s="130">
        <v>0</v>
      </c>
      <c r="L147" s="165"/>
      <c r="M147" s="111"/>
      <c r="N147" s="111">
        <f t="shared" si="42"/>
        <v>0</v>
      </c>
      <c r="P147" s="112">
        <f t="shared" si="43"/>
        <v>0</v>
      </c>
      <c r="Q147" s="112">
        <f t="shared" si="44"/>
        <v>0</v>
      </c>
    </row>
    <row r="148" spans="2:17" x14ac:dyDescent="0.25">
      <c r="B148" s="110">
        <f>DATE(Title!$F$12,$S$9,S19)</f>
        <v>41409</v>
      </c>
      <c r="C148" s="111">
        <f>IF(WEEKDAY(B148)=1,0,IF(WEEKDAY(B148)=4,'Hours Scheduled'!$H$44-1,IF(WEEKDAY(B148)=7,0,'Hours Scheduled'!$H$44)))</f>
        <v>22</v>
      </c>
      <c r="D148" s="17">
        <f t="shared" si="45"/>
        <v>165</v>
      </c>
      <c r="E148" s="127">
        <f t="shared" si="46"/>
        <v>170</v>
      </c>
      <c r="F148" s="111"/>
      <c r="G148" s="130">
        <f>INDEX(May!$C$3:$AH$169,3,MATCH(B148,May!$D$3:$AH$3)+1)+INDEX(May!$C$3:$AH$169,8,MATCH(B148,May!$D$3:$AH$3)+1)+INDEX(May!$C$3:$AH$169,13,MATCH(B148,May!$D$3:$AH$3)+1)+INDEX(May!$C$3:$AH$169,18,MATCH(B148,May!$D$3:$AH$3)+1)+INDEX(May!$C$3:$AH$169,23,MATCH(B148,May!$D$3:$AH$3)+1)+INDEX(May!$C$3:$AH$169,28,MATCH(B148,May!$D$3:$AH$3)+1)+INDEX(May!$C$3:$AH$169,33,MATCH(B148,May!$D$3:$AH$3)+1)+INDEX(May!$C$3:$AH$169,38,MATCH(B148,May!$D$3:$AH$3)+1)+INDEX(May!$C$3:$AH$169,43,MATCH(B148,May!$D$3:$AH$3)+1)+INDEX(May!$C$3:$AH$169,48,MATCH(B148,May!$D$3:$AH$3)+1)+INDEX(May!$C$3:$AH$169,53,MATCH(B148,May!$D$3:$AH$3)+1)+INDEX(May!$C$3:$AH$169,58,MATCH(B148,May!$D$3:$AH$3)+1)+INDEX(May!$C$3:$AH$169,63,MATCH(B148,May!$D$3:$AH$3)+1)+INDEX(May!$C$3:$AH$169,68,MATCH(B148,May!$D$3:$AH$3)+1)+INDEX(May!$C$3:$AH$169,73,MATCH(B148,May!$D$3:$AH$3)+1)+INDEX(May!$C$3:$AH$169,78,MATCH(B148,May!$D$3:$AH$3)+1)+INDEX(May!$C$3:$AH$169,83,MATCH(B148,May!$D$3:$AH$3)+1)+INDEX(May!$C$3:$AH$169,88,MATCH(B148,May!$D$3:$AH$3)+1)+INDEX(May!$C$3:$AH$169,93,MATCH(B148,May!$D$3:$AH$3)+1)+INDEX(May!$C$3:$AH$169,98,MATCH(B148,May!$D$3:$AH$3)+1)+INDEX(May!$C$3:$AH$169,103,MATCH(B148,May!$D$3:$AH$3)+1)+INDEX(May!$C$3:$AH$169,108,MATCH(B148,May!$D$3:$AH$3)+1)+INDEX(May!$C$3:$AH$169,113,MATCH(B148,May!$D$3:$AH$3)+1)+INDEX(May!$C$3:$AH$169,118,MATCH(B148,May!$D$3:$AH$3)+1)+INDEX(May!$C$3:$AH$169,123,MATCH(B148,May!$D$3:$AH$3)+1)+INDEX(May!$C$3:$AH$169,128,MATCH(B148,May!$D$3:$AH$3)+1)+INDEX(May!$C$3:$AH$169,133,MATCH(B148,May!$D$3:$AH$3)+1)+INDEX(May!$C$3:$AH$169,138,MATCH(B148,May!$D$3:$AH$3)+1)+INDEX(May!$C$3:$AH$169,143,MATCH(B148,May!$D$3:$AH$3)+1)+INDEX(May!$C$3:$AH$169,148,MATCH(B148,May!$D$3:$AH$3)+1)-INDEX(May!$B$5:$AH$169,MATCH("Patrick Janssen",May!$B$5:$B$169),MATCH(B148,May!$D$3:$AH$3)+2)-INDEX(May!$B$5:$AH$169,MATCH("Patrick Ziesen",May!$B$5:$B$169),MATCH(B148,May!$D$3:$AH$3)+2)-INDEX(May!$B$5:$AH$169,MATCH("Frido Meijer",May!$B$5:$B$169),MATCH(B148,May!$D$3:$AH$3)+2)</f>
        <v>6</v>
      </c>
      <c r="H148" s="130">
        <f>INDEX(May!$C$3:$AH$169,4,MATCH(B148,May!$D$3:$AH$3)+1)+INDEX(May!$C$3:$AH$169,9,MATCH(B148,May!$D$3:$AH$3)+1)+INDEX(May!$C$3:$AH$169,14,MATCH(B148,May!$D$3:$AH$3)+1)+INDEX(May!$C$3:$AH$169,19,MATCH(B148,May!$D$3:$AH$3)+1)+INDEX(May!$C$3:$AH$169,24,MATCH(B148,May!$D$3:$AH$3)+1)+INDEX(May!$C$3:$AH$169,29,MATCH(B148,May!$D$3:$AH$3)+1)+INDEX(May!$C$3:$AH$169,34,MATCH(B148,May!$D$3:$AH$3)+1)+INDEX(May!$C$3:$AH$169,39,MATCH(B148,May!$D$3:$AH$3)+1)+INDEX(May!$C$3:$AH$169,44,MATCH(B148,May!$D$3:$AH$3)+1)+INDEX(May!$C$3:$AH$169,49,MATCH(B148,May!$D$3:$AH$3)+1)+INDEX(May!$C$3:$AH$169,54,MATCH(B148,May!$D$3:$AH$3)+1)+INDEX(May!$C$3:$AH$169,59,MATCH(B148,May!$D$3:$AH$3)+1)+INDEX(May!$C$3:$AH$169,64,MATCH(B148,May!$D$3:$AH$3)+1)+INDEX(May!$C$3:$AH$169,69,MATCH(B148,May!$D$3:$AH$3)+1)+INDEX(May!$C$3:$AH$169,74,MATCH(B148,May!$D$3:$AH$3)+1)+INDEX(May!$C$3:$AH$169,79,MATCH(B148,May!$D$3:$AH$3)+1)+INDEX(May!$C$3:$AH$169,84,MATCH(B148,May!$D$3:$AH$3)+1)+INDEX(May!$C$3:$AH$169,89,MATCH(B148,May!$D$3:$AH$3)+1)+INDEX(May!$C$3:$AH$169,94,MATCH(B148,May!$D$3:$AH$3)+1)+INDEX(May!$C$3:$AH$169,99,MATCH(B148,May!$D$3:$AH$3)+1)+INDEX(May!$C$3:$AH$169,104,MATCH(B148,May!$D$3:$AH$3)+1)+INDEX(May!$C$3:$AH$169,109,MATCH(B148,May!$D$3:$AH$3)+1)+INDEX(May!$C$3:$AH$169,114,MATCH(B148,May!$D$3:$AH$3)+1)+INDEX(May!$C$3:$AH$169,119,MATCH(B148,May!$D$3:$AH$3)+1)+INDEX(May!$C$3:$AH$169,124,MATCH(B148,May!$D$3:$AH$3)+1)+INDEX(May!$C$3:$AH$169,129,MATCH(B148,May!$D$3:$AH$3)+1)+INDEX(May!$C$3:$AH$169,134,MATCH(B148,May!$D$3:$AH$3)+1)+INDEX(May!$C$3:$AH$169,139,MATCH(B148,May!$D$3:$AH$3)+1)+INDEX(May!$C$3:$AH$169,144,MATCH(B148,May!$D$3:$AH$3)+1)+INDEX(May!$C$3:$AH$169,149,MATCH(B148,May!$D$3:$AH$3)+1)-INDEX(May!$B$5:$AH$169,MATCH("Patrick Janssen",May!$B$5:$B$169)+1,MATCH(B148,May!$D$3:$AH$3)+2)-INDEX(May!$B$5:$AH$169,MATCH("Patrick Ziesen",May!$B$5:$B$169)+1,MATCH(B148,May!$D$3:$AH$3)+2)-INDEX(May!$B$5:$AH$169,MATCH("Frido Meijer",May!$B$5:$B$169)+1,MATCH(B148,May!$D$3:$AH$3)+2)</f>
        <v>0</v>
      </c>
      <c r="I148" s="130">
        <v>0</v>
      </c>
      <c r="J148" s="130">
        <v>0</v>
      </c>
      <c r="L148" s="165"/>
      <c r="M148" s="111"/>
      <c r="N148" s="111">
        <f t="shared" si="42"/>
        <v>0</v>
      </c>
      <c r="P148" s="112">
        <f t="shared" si="43"/>
        <v>0</v>
      </c>
      <c r="Q148" s="112">
        <f t="shared" si="44"/>
        <v>0</v>
      </c>
    </row>
    <row r="149" spans="2:17" x14ac:dyDescent="0.25">
      <c r="B149" s="110">
        <f>DATE(Title!$F$12,$S$9,S20)</f>
        <v>41410</v>
      </c>
      <c r="C149" s="111">
        <f>IF(WEEKDAY(B149)=1,0,IF(WEEKDAY(B149)=4,'Hours Scheduled'!$H$44-1,IF(WEEKDAY(B149)=7,0,'Hours Scheduled'!$H$44)))</f>
        <v>23</v>
      </c>
      <c r="D149" s="17">
        <f t="shared" si="45"/>
        <v>172.5</v>
      </c>
      <c r="E149" s="127">
        <f t="shared" si="46"/>
        <v>166</v>
      </c>
      <c r="F149" s="111"/>
      <c r="G149" s="130">
        <f>INDEX(May!$C$3:$AH$169,3,MATCH(B149,May!$D$3:$AH$3)+1)+INDEX(May!$C$3:$AH$169,8,MATCH(B149,May!$D$3:$AH$3)+1)+INDEX(May!$C$3:$AH$169,13,MATCH(B149,May!$D$3:$AH$3)+1)+INDEX(May!$C$3:$AH$169,18,MATCH(B149,May!$D$3:$AH$3)+1)+INDEX(May!$C$3:$AH$169,23,MATCH(B149,May!$D$3:$AH$3)+1)+INDEX(May!$C$3:$AH$169,28,MATCH(B149,May!$D$3:$AH$3)+1)+INDEX(May!$C$3:$AH$169,33,MATCH(B149,May!$D$3:$AH$3)+1)+INDEX(May!$C$3:$AH$169,38,MATCH(B149,May!$D$3:$AH$3)+1)+INDEX(May!$C$3:$AH$169,43,MATCH(B149,May!$D$3:$AH$3)+1)+INDEX(May!$C$3:$AH$169,48,MATCH(B149,May!$D$3:$AH$3)+1)+INDEX(May!$C$3:$AH$169,53,MATCH(B149,May!$D$3:$AH$3)+1)+INDEX(May!$C$3:$AH$169,58,MATCH(B149,May!$D$3:$AH$3)+1)+INDEX(May!$C$3:$AH$169,63,MATCH(B149,May!$D$3:$AH$3)+1)+INDEX(May!$C$3:$AH$169,68,MATCH(B149,May!$D$3:$AH$3)+1)+INDEX(May!$C$3:$AH$169,73,MATCH(B149,May!$D$3:$AH$3)+1)+INDEX(May!$C$3:$AH$169,78,MATCH(B149,May!$D$3:$AH$3)+1)+INDEX(May!$C$3:$AH$169,83,MATCH(B149,May!$D$3:$AH$3)+1)+INDEX(May!$C$3:$AH$169,88,MATCH(B149,May!$D$3:$AH$3)+1)+INDEX(May!$C$3:$AH$169,93,MATCH(B149,May!$D$3:$AH$3)+1)+INDEX(May!$C$3:$AH$169,98,MATCH(B149,May!$D$3:$AH$3)+1)+INDEX(May!$C$3:$AH$169,103,MATCH(B149,May!$D$3:$AH$3)+1)+INDEX(May!$C$3:$AH$169,108,MATCH(B149,May!$D$3:$AH$3)+1)+INDEX(May!$C$3:$AH$169,113,MATCH(B149,May!$D$3:$AH$3)+1)+INDEX(May!$C$3:$AH$169,118,MATCH(B149,May!$D$3:$AH$3)+1)+INDEX(May!$C$3:$AH$169,123,MATCH(B149,May!$D$3:$AH$3)+1)+INDEX(May!$C$3:$AH$169,128,MATCH(B149,May!$D$3:$AH$3)+1)+INDEX(May!$C$3:$AH$169,133,MATCH(B149,May!$D$3:$AH$3)+1)+INDEX(May!$C$3:$AH$169,138,MATCH(B149,May!$D$3:$AH$3)+1)+INDEX(May!$C$3:$AH$169,143,MATCH(B149,May!$D$3:$AH$3)+1)+INDEX(May!$C$3:$AH$169,148,MATCH(B149,May!$D$3:$AH$3)+1)-INDEX(May!$B$5:$AH$169,MATCH("Patrick Janssen",May!$B$5:$B$169),MATCH(B149,May!$D$3:$AH$3)+2)-INDEX(May!$B$5:$AH$169,MATCH("Patrick Ziesen",May!$B$5:$B$169),MATCH(B149,May!$D$3:$AH$3)+2)-INDEX(May!$B$5:$AH$169,MATCH("Frido Meijer",May!$B$5:$B$169),MATCH(B149,May!$D$3:$AH$3)+2)</f>
        <v>10.5</v>
      </c>
      <c r="H149" s="130">
        <f>INDEX(May!$C$3:$AH$169,4,MATCH(B149,May!$D$3:$AH$3)+1)+INDEX(May!$C$3:$AH$169,9,MATCH(B149,May!$D$3:$AH$3)+1)+INDEX(May!$C$3:$AH$169,14,MATCH(B149,May!$D$3:$AH$3)+1)+INDEX(May!$C$3:$AH$169,19,MATCH(B149,May!$D$3:$AH$3)+1)+INDEX(May!$C$3:$AH$169,24,MATCH(B149,May!$D$3:$AH$3)+1)+INDEX(May!$C$3:$AH$169,29,MATCH(B149,May!$D$3:$AH$3)+1)+INDEX(May!$C$3:$AH$169,34,MATCH(B149,May!$D$3:$AH$3)+1)+INDEX(May!$C$3:$AH$169,39,MATCH(B149,May!$D$3:$AH$3)+1)+INDEX(May!$C$3:$AH$169,44,MATCH(B149,May!$D$3:$AH$3)+1)+INDEX(May!$C$3:$AH$169,49,MATCH(B149,May!$D$3:$AH$3)+1)+INDEX(May!$C$3:$AH$169,54,MATCH(B149,May!$D$3:$AH$3)+1)+INDEX(May!$C$3:$AH$169,59,MATCH(B149,May!$D$3:$AH$3)+1)+INDEX(May!$C$3:$AH$169,64,MATCH(B149,May!$D$3:$AH$3)+1)+INDEX(May!$C$3:$AH$169,69,MATCH(B149,May!$D$3:$AH$3)+1)+INDEX(May!$C$3:$AH$169,74,MATCH(B149,May!$D$3:$AH$3)+1)+INDEX(May!$C$3:$AH$169,79,MATCH(B149,May!$D$3:$AH$3)+1)+INDEX(May!$C$3:$AH$169,84,MATCH(B149,May!$D$3:$AH$3)+1)+INDEX(May!$C$3:$AH$169,89,MATCH(B149,May!$D$3:$AH$3)+1)+INDEX(May!$C$3:$AH$169,94,MATCH(B149,May!$D$3:$AH$3)+1)+INDEX(May!$C$3:$AH$169,99,MATCH(B149,May!$D$3:$AH$3)+1)+INDEX(May!$C$3:$AH$169,104,MATCH(B149,May!$D$3:$AH$3)+1)+INDEX(May!$C$3:$AH$169,109,MATCH(B149,May!$D$3:$AH$3)+1)+INDEX(May!$C$3:$AH$169,114,MATCH(B149,May!$D$3:$AH$3)+1)+INDEX(May!$C$3:$AH$169,119,MATCH(B149,May!$D$3:$AH$3)+1)+INDEX(May!$C$3:$AH$169,124,MATCH(B149,May!$D$3:$AH$3)+1)+INDEX(May!$C$3:$AH$169,129,MATCH(B149,May!$D$3:$AH$3)+1)+INDEX(May!$C$3:$AH$169,134,MATCH(B149,May!$D$3:$AH$3)+1)+INDEX(May!$C$3:$AH$169,139,MATCH(B149,May!$D$3:$AH$3)+1)+INDEX(May!$C$3:$AH$169,144,MATCH(B149,May!$D$3:$AH$3)+1)+INDEX(May!$C$3:$AH$169,149,MATCH(B149,May!$D$3:$AH$3)+1)-INDEX(May!$B$5:$AH$169,MATCH("Patrick Janssen",May!$B$5:$B$169)+1,MATCH(B149,May!$D$3:$AH$3)+2)-INDEX(May!$B$5:$AH$169,MATCH("Patrick Ziesen",May!$B$5:$B$169)+1,MATCH(B149,May!$D$3:$AH$3)+2)-INDEX(May!$B$5:$AH$169,MATCH("Frido Meijer",May!$B$5:$B$169)+1,MATCH(B149,May!$D$3:$AH$3)+2)</f>
        <v>7.5</v>
      </c>
      <c r="I149" s="130">
        <v>0</v>
      </c>
      <c r="J149" s="130">
        <v>0</v>
      </c>
      <c r="L149" s="165"/>
      <c r="M149" s="111"/>
      <c r="N149" s="111">
        <f t="shared" si="42"/>
        <v>0</v>
      </c>
      <c r="P149" s="112">
        <f t="shared" si="43"/>
        <v>0</v>
      </c>
      <c r="Q149" s="112">
        <f t="shared" si="44"/>
        <v>0</v>
      </c>
    </row>
    <row r="150" spans="2:17" x14ac:dyDescent="0.25">
      <c r="B150" s="110">
        <f>DATE(Title!$F$12,$S$9,S21)</f>
        <v>41411</v>
      </c>
      <c r="C150" s="111">
        <f>IF(WEEKDAY(B150)=1,0,IF(WEEKDAY(B150)=4,'Hours Scheduled'!$H$44-1,IF(WEEKDAY(B150)=7,0,'Hours Scheduled'!$H$44)))</f>
        <v>23</v>
      </c>
      <c r="D150" s="17">
        <f t="shared" si="45"/>
        <v>172.5</v>
      </c>
      <c r="E150" s="127">
        <f t="shared" si="46"/>
        <v>138</v>
      </c>
      <c r="F150" s="111"/>
      <c r="G150" s="130">
        <f>INDEX(May!$C$3:$AH$169,3,MATCH(B150,May!$D$3:$AH$3)+1)+INDEX(May!$C$3:$AH$169,8,MATCH(B150,May!$D$3:$AH$3)+1)+INDEX(May!$C$3:$AH$169,13,MATCH(B150,May!$D$3:$AH$3)+1)+INDEX(May!$C$3:$AH$169,18,MATCH(B150,May!$D$3:$AH$3)+1)+INDEX(May!$C$3:$AH$169,23,MATCH(B150,May!$D$3:$AH$3)+1)+INDEX(May!$C$3:$AH$169,28,MATCH(B150,May!$D$3:$AH$3)+1)+INDEX(May!$C$3:$AH$169,33,MATCH(B150,May!$D$3:$AH$3)+1)+INDEX(May!$C$3:$AH$169,38,MATCH(B150,May!$D$3:$AH$3)+1)+INDEX(May!$C$3:$AH$169,43,MATCH(B150,May!$D$3:$AH$3)+1)+INDEX(May!$C$3:$AH$169,48,MATCH(B150,May!$D$3:$AH$3)+1)+INDEX(May!$C$3:$AH$169,53,MATCH(B150,May!$D$3:$AH$3)+1)+INDEX(May!$C$3:$AH$169,58,MATCH(B150,May!$D$3:$AH$3)+1)+INDEX(May!$C$3:$AH$169,63,MATCH(B150,May!$D$3:$AH$3)+1)+INDEX(May!$C$3:$AH$169,68,MATCH(B150,May!$D$3:$AH$3)+1)+INDEX(May!$C$3:$AH$169,73,MATCH(B150,May!$D$3:$AH$3)+1)+INDEX(May!$C$3:$AH$169,78,MATCH(B150,May!$D$3:$AH$3)+1)+INDEX(May!$C$3:$AH$169,83,MATCH(B150,May!$D$3:$AH$3)+1)+INDEX(May!$C$3:$AH$169,88,MATCH(B150,May!$D$3:$AH$3)+1)+INDEX(May!$C$3:$AH$169,93,MATCH(B150,May!$D$3:$AH$3)+1)+INDEX(May!$C$3:$AH$169,98,MATCH(B150,May!$D$3:$AH$3)+1)+INDEX(May!$C$3:$AH$169,103,MATCH(B150,May!$D$3:$AH$3)+1)+INDEX(May!$C$3:$AH$169,108,MATCH(B150,May!$D$3:$AH$3)+1)+INDEX(May!$C$3:$AH$169,113,MATCH(B150,May!$D$3:$AH$3)+1)+INDEX(May!$C$3:$AH$169,118,MATCH(B150,May!$D$3:$AH$3)+1)+INDEX(May!$C$3:$AH$169,123,MATCH(B150,May!$D$3:$AH$3)+1)+INDEX(May!$C$3:$AH$169,128,MATCH(B150,May!$D$3:$AH$3)+1)+INDEX(May!$C$3:$AH$169,133,MATCH(B150,May!$D$3:$AH$3)+1)+INDEX(May!$C$3:$AH$169,138,MATCH(B150,May!$D$3:$AH$3)+1)+INDEX(May!$C$3:$AH$169,143,MATCH(B150,May!$D$3:$AH$3)+1)+INDEX(May!$C$3:$AH$169,148,MATCH(B150,May!$D$3:$AH$3)+1)-INDEX(May!$B$5:$AH$169,MATCH("Patrick Janssen",May!$B$5:$B$169),MATCH(B150,May!$D$3:$AH$3)+2)-INDEX(May!$B$5:$AH$169,MATCH("Patrick Ziesen",May!$B$5:$B$169),MATCH(B150,May!$D$3:$AH$3)+2)-INDEX(May!$B$5:$AH$169,MATCH("Frido Meijer",May!$B$5:$B$169),MATCH(B150,May!$D$3:$AH$3)+2)</f>
        <v>38</v>
      </c>
      <c r="H150" s="130">
        <f>INDEX(May!$C$3:$AH$169,4,MATCH(B150,May!$D$3:$AH$3)+1)+INDEX(May!$C$3:$AH$169,9,MATCH(B150,May!$D$3:$AH$3)+1)+INDEX(May!$C$3:$AH$169,14,MATCH(B150,May!$D$3:$AH$3)+1)+INDEX(May!$C$3:$AH$169,19,MATCH(B150,May!$D$3:$AH$3)+1)+INDEX(May!$C$3:$AH$169,24,MATCH(B150,May!$D$3:$AH$3)+1)+INDEX(May!$C$3:$AH$169,29,MATCH(B150,May!$D$3:$AH$3)+1)+INDEX(May!$C$3:$AH$169,34,MATCH(B150,May!$D$3:$AH$3)+1)+INDEX(May!$C$3:$AH$169,39,MATCH(B150,May!$D$3:$AH$3)+1)+INDEX(May!$C$3:$AH$169,44,MATCH(B150,May!$D$3:$AH$3)+1)+INDEX(May!$C$3:$AH$169,49,MATCH(B150,May!$D$3:$AH$3)+1)+INDEX(May!$C$3:$AH$169,54,MATCH(B150,May!$D$3:$AH$3)+1)+INDEX(May!$C$3:$AH$169,59,MATCH(B150,May!$D$3:$AH$3)+1)+INDEX(May!$C$3:$AH$169,64,MATCH(B150,May!$D$3:$AH$3)+1)+INDEX(May!$C$3:$AH$169,69,MATCH(B150,May!$D$3:$AH$3)+1)+INDEX(May!$C$3:$AH$169,74,MATCH(B150,May!$D$3:$AH$3)+1)+INDEX(May!$C$3:$AH$169,79,MATCH(B150,May!$D$3:$AH$3)+1)+INDEX(May!$C$3:$AH$169,84,MATCH(B150,May!$D$3:$AH$3)+1)+INDEX(May!$C$3:$AH$169,89,MATCH(B150,May!$D$3:$AH$3)+1)+INDEX(May!$C$3:$AH$169,94,MATCH(B150,May!$D$3:$AH$3)+1)+INDEX(May!$C$3:$AH$169,99,MATCH(B150,May!$D$3:$AH$3)+1)+INDEX(May!$C$3:$AH$169,104,MATCH(B150,May!$D$3:$AH$3)+1)+INDEX(May!$C$3:$AH$169,109,MATCH(B150,May!$D$3:$AH$3)+1)+INDEX(May!$C$3:$AH$169,114,MATCH(B150,May!$D$3:$AH$3)+1)+INDEX(May!$C$3:$AH$169,119,MATCH(B150,May!$D$3:$AH$3)+1)+INDEX(May!$C$3:$AH$169,124,MATCH(B150,May!$D$3:$AH$3)+1)+INDEX(May!$C$3:$AH$169,129,MATCH(B150,May!$D$3:$AH$3)+1)+INDEX(May!$C$3:$AH$169,134,MATCH(B150,May!$D$3:$AH$3)+1)+INDEX(May!$C$3:$AH$169,139,MATCH(B150,May!$D$3:$AH$3)+1)+INDEX(May!$C$3:$AH$169,144,MATCH(B150,May!$D$3:$AH$3)+1)+INDEX(May!$C$3:$AH$169,149,MATCH(B150,May!$D$3:$AH$3)+1)-INDEX(May!$B$5:$AH$169,MATCH("Patrick Janssen",May!$B$5:$B$169)+1,MATCH(B150,May!$D$3:$AH$3)+2)-INDEX(May!$B$5:$AH$169,MATCH("Patrick Ziesen",May!$B$5:$B$169)+1,MATCH(B150,May!$D$3:$AH$3)+2)-INDEX(May!$B$5:$AH$169,MATCH("Frido Meijer",May!$B$5:$B$169)+1,MATCH(B150,May!$D$3:$AH$3)+2)</f>
        <v>8</v>
      </c>
      <c r="I150" s="130">
        <v>0</v>
      </c>
      <c r="J150" s="130">
        <v>0</v>
      </c>
      <c r="L150" s="165"/>
      <c r="M150" s="111"/>
      <c r="N150" s="111">
        <f t="shared" si="42"/>
        <v>0</v>
      </c>
      <c r="P150" s="112">
        <f t="shared" si="43"/>
        <v>0</v>
      </c>
      <c r="Q150" s="112">
        <f t="shared" si="44"/>
        <v>0</v>
      </c>
    </row>
    <row r="151" spans="2:17" x14ac:dyDescent="0.25">
      <c r="B151" s="110">
        <f>DATE(Title!$F$12,$S$9,S22)</f>
        <v>41412</v>
      </c>
      <c r="C151" s="111">
        <f>IF(WEEKDAY(B151)=1,0,IF(WEEKDAY(B151)=4,'Hours Scheduled'!$H$44-1,IF(WEEKDAY(B151)=7,0,'Hours Scheduled'!$H$44)))</f>
        <v>0</v>
      </c>
      <c r="D151" s="17">
        <f t="shared" si="45"/>
        <v>0</v>
      </c>
      <c r="E151" s="127">
        <f t="shared" si="46"/>
        <v>0</v>
      </c>
      <c r="F151" s="111"/>
      <c r="G151" s="130">
        <f>INDEX(May!$C$3:$AH$169,3,MATCH(B151,May!$D$3:$AH$3)+1)+INDEX(May!$C$3:$AH$169,8,MATCH(B151,May!$D$3:$AH$3)+1)+INDEX(May!$C$3:$AH$169,13,MATCH(B151,May!$D$3:$AH$3)+1)+INDEX(May!$C$3:$AH$169,18,MATCH(B151,May!$D$3:$AH$3)+1)+INDEX(May!$C$3:$AH$169,23,MATCH(B151,May!$D$3:$AH$3)+1)+INDEX(May!$C$3:$AH$169,28,MATCH(B151,May!$D$3:$AH$3)+1)+INDEX(May!$C$3:$AH$169,33,MATCH(B151,May!$D$3:$AH$3)+1)+INDEX(May!$C$3:$AH$169,38,MATCH(B151,May!$D$3:$AH$3)+1)+INDEX(May!$C$3:$AH$169,43,MATCH(B151,May!$D$3:$AH$3)+1)+INDEX(May!$C$3:$AH$169,48,MATCH(B151,May!$D$3:$AH$3)+1)+INDEX(May!$C$3:$AH$169,53,MATCH(B151,May!$D$3:$AH$3)+1)+INDEX(May!$C$3:$AH$169,58,MATCH(B151,May!$D$3:$AH$3)+1)+INDEX(May!$C$3:$AH$169,63,MATCH(B151,May!$D$3:$AH$3)+1)+INDEX(May!$C$3:$AH$169,68,MATCH(B151,May!$D$3:$AH$3)+1)+INDEX(May!$C$3:$AH$169,73,MATCH(B151,May!$D$3:$AH$3)+1)+INDEX(May!$C$3:$AH$169,78,MATCH(B151,May!$D$3:$AH$3)+1)+INDEX(May!$C$3:$AH$169,83,MATCH(B151,May!$D$3:$AH$3)+1)+INDEX(May!$C$3:$AH$169,88,MATCH(B151,May!$D$3:$AH$3)+1)+INDEX(May!$C$3:$AH$169,93,MATCH(B151,May!$D$3:$AH$3)+1)+INDEX(May!$C$3:$AH$169,98,MATCH(B151,May!$D$3:$AH$3)+1)+INDEX(May!$C$3:$AH$169,103,MATCH(B151,May!$D$3:$AH$3)+1)+INDEX(May!$C$3:$AH$169,108,MATCH(B151,May!$D$3:$AH$3)+1)+INDEX(May!$C$3:$AH$169,113,MATCH(B151,May!$D$3:$AH$3)+1)+INDEX(May!$C$3:$AH$169,118,MATCH(B151,May!$D$3:$AH$3)+1)+INDEX(May!$C$3:$AH$169,123,MATCH(B151,May!$D$3:$AH$3)+1)+INDEX(May!$C$3:$AH$169,128,MATCH(B151,May!$D$3:$AH$3)+1)+INDEX(May!$C$3:$AH$169,133,MATCH(B151,May!$D$3:$AH$3)+1)+INDEX(May!$C$3:$AH$169,138,MATCH(B151,May!$D$3:$AH$3)+1)+INDEX(May!$C$3:$AH$169,143,MATCH(B151,May!$D$3:$AH$3)+1)+INDEX(May!$C$3:$AH$169,148,MATCH(B151,May!$D$3:$AH$3)+1)-INDEX(May!$B$5:$AH$169,MATCH("Patrick Janssen",May!$B$5:$B$169),MATCH(B151,May!$D$3:$AH$3)+2)-INDEX(May!$B$5:$AH$169,MATCH("Patrick Ziesen",May!$B$5:$B$169),MATCH(B151,May!$D$3:$AH$3)+2)-INDEX(May!$B$5:$AH$169,MATCH("Frido Meijer",May!$B$5:$B$169),MATCH(B151,May!$D$3:$AH$3)+2)</f>
        <v>0</v>
      </c>
      <c r="H151" s="130">
        <f>INDEX(May!$C$3:$AH$169,4,MATCH(B151,May!$D$3:$AH$3)+1)+INDEX(May!$C$3:$AH$169,9,MATCH(B151,May!$D$3:$AH$3)+1)+INDEX(May!$C$3:$AH$169,14,MATCH(B151,May!$D$3:$AH$3)+1)+INDEX(May!$C$3:$AH$169,19,MATCH(B151,May!$D$3:$AH$3)+1)+INDEX(May!$C$3:$AH$169,24,MATCH(B151,May!$D$3:$AH$3)+1)+INDEX(May!$C$3:$AH$169,29,MATCH(B151,May!$D$3:$AH$3)+1)+INDEX(May!$C$3:$AH$169,34,MATCH(B151,May!$D$3:$AH$3)+1)+INDEX(May!$C$3:$AH$169,39,MATCH(B151,May!$D$3:$AH$3)+1)+INDEX(May!$C$3:$AH$169,44,MATCH(B151,May!$D$3:$AH$3)+1)+INDEX(May!$C$3:$AH$169,49,MATCH(B151,May!$D$3:$AH$3)+1)+INDEX(May!$C$3:$AH$169,54,MATCH(B151,May!$D$3:$AH$3)+1)+INDEX(May!$C$3:$AH$169,59,MATCH(B151,May!$D$3:$AH$3)+1)+INDEX(May!$C$3:$AH$169,64,MATCH(B151,May!$D$3:$AH$3)+1)+INDEX(May!$C$3:$AH$169,69,MATCH(B151,May!$D$3:$AH$3)+1)+INDEX(May!$C$3:$AH$169,74,MATCH(B151,May!$D$3:$AH$3)+1)+INDEX(May!$C$3:$AH$169,79,MATCH(B151,May!$D$3:$AH$3)+1)+INDEX(May!$C$3:$AH$169,84,MATCH(B151,May!$D$3:$AH$3)+1)+INDEX(May!$C$3:$AH$169,89,MATCH(B151,May!$D$3:$AH$3)+1)+INDEX(May!$C$3:$AH$169,94,MATCH(B151,May!$D$3:$AH$3)+1)+INDEX(May!$C$3:$AH$169,99,MATCH(B151,May!$D$3:$AH$3)+1)+INDEX(May!$C$3:$AH$169,104,MATCH(B151,May!$D$3:$AH$3)+1)+INDEX(May!$C$3:$AH$169,109,MATCH(B151,May!$D$3:$AH$3)+1)+INDEX(May!$C$3:$AH$169,114,MATCH(B151,May!$D$3:$AH$3)+1)+INDEX(May!$C$3:$AH$169,119,MATCH(B151,May!$D$3:$AH$3)+1)+INDEX(May!$C$3:$AH$169,124,MATCH(B151,May!$D$3:$AH$3)+1)+INDEX(May!$C$3:$AH$169,129,MATCH(B151,May!$D$3:$AH$3)+1)+INDEX(May!$C$3:$AH$169,134,MATCH(B151,May!$D$3:$AH$3)+1)+INDEX(May!$C$3:$AH$169,139,MATCH(B151,May!$D$3:$AH$3)+1)+INDEX(May!$C$3:$AH$169,144,MATCH(B151,May!$D$3:$AH$3)+1)+INDEX(May!$C$3:$AH$169,149,MATCH(B151,May!$D$3:$AH$3)+1)-INDEX(May!$B$5:$AH$169,MATCH("Patrick Janssen",May!$B$5:$B$169)+1,MATCH(B151,May!$D$3:$AH$3)+2)-INDEX(May!$B$5:$AH$169,MATCH("Patrick Ziesen",May!$B$5:$B$169)+1,MATCH(B151,May!$D$3:$AH$3)+2)-INDEX(May!$B$5:$AH$169,MATCH("Frido Meijer",May!$B$5:$B$169)+1,MATCH(B151,May!$D$3:$AH$3)+2)</f>
        <v>0</v>
      </c>
      <c r="I151" s="130">
        <v>0</v>
      </c>
      <c r="J151" s="130">
        <v>0</v>
      </c>
      <c r="L151" s="124"/>
      <c r="M151" s="111"/>
      <c r="N151" s="111">
        <f t="shared" si="42"/>
        <v>0</v>
      </c>
      <c r="P151" s="112" t="str">
        <f t="shared" si="43"/>
        <v/>
      </c>
      <c r="Q151" s="112" t="str">
        <f t="shared" si="44"/>
        <v/>
      </c>
    </row>
    <row r="152" spans="2:17" x14ac:dyDescent="0.25">
      <c r="B152" s="110">
        <f>DATE(Title!$F$12,$S$9,S23)</f>
        <v>41413</v>
      </c>
      <c r="C152" s="111">
        <f>IF(WEEKDAY(B152)=1,0,IF(WEEKDAY(B152)=4,'Hours Scheduled'!$H$44-1,IF(WEEKDAY(B152)=7,0,'Hours Scheduled'!$H$44)))</f>
        <v>0</v>
      </c>
      <c r="D152" s="17">
        <f t="shared" si="45"/>
        <v>0</v>
      </c>
      <c r="E152" s="127">
        <f t="shared" si="46"/>
        <v>0</v>
      </c>
      <c r="F152" s="111"/>
      <c r="G152" s="130">
        <f>INDEX(May!$C$3:$AH$169,3,MATCH(B152,May!$D$3:$AH$3)+1)+INDEX(May!$C$3:$AH$169,8,MATCH(B152,May!$D$3:$AH$3)+1)+INDEX(May!$C$3:$AH$169,13,MATCH(B152,May!$D$3:$AH$3)+1)+INDEX(May!$C$3:$AH$169,18,MATCH(B152,May!$D$3:$AH$3)+1)+INDEX(May!$C$3:$AH$169,23,MATCH(B152,May!$D$3:$AH$3)+1)+INDEX(May!$C$3:$AH$169,28,MATCH(B152,May!$D$3:$AH$3)+1)+INDEX(May!$C$3:$AH$169,33,MATCH(B152,May!$D$3:$AH$3)+1)+INDEX(May!$C$3:$AH$169,38,MATCH(B152,May!$D$3:$AH$3)+1)+INDEX(May!$C$3:$AH$169,43,MATCH(B152,May!$D$3:$AH$3)+1)+INDEX(May!$C$3:$AH$169,48,MATCH(B152,May!$D$3:$AH$3)+1)+INDEX(May!$C$3:$AH$169,53,MATCH(B152,May!$D$3:$AH$3)+1)+INDEX(May!$C$3:$AH$169,58,MATCH(B152,May!$D$3:$AH$3)+1)+INDEX(May!$C$3:$AH$169,63,MATCH(B152,May!$D$3:$AH$3)+1)+INDEX(May!$C$3:$AH$169,68,MATCH(B152,May!$D$3:$AH$3)+1)+INDEX(May!$C$3:$AH$169,73,MATCH(B152,May!$D$3:$AH$3)+1)+INDEX(May!$C$3:$AH$169,78,MATCH(B152,May!$D$3:$AH$3)+1)+INDEX(May!$C$3:$AH$169,83,MATCH(B152,May!$D$3:$AH$3)+1)+INDEX(May!$C$3:$AH$169,88,MATCH(B152,May!$D$3:$AH$3)+1)+INDEX(May!$C$3:$AH$169,93,MATCH(B152,May!$D$3:$AH$3)+1)+INDEX(May!$C$3:$AH$169,98,MATCH(B152,May!$D$3:$AH$3)+1)+INDEX(May!$C$3:$AH$169,103,MATCH(B152,May!$D$3:$AH$3)+1)+INDEX(May!$C$3:$AH$169,108,MATCH(B152,May!$D$3:$AH$3)+1)+INDEX(May!$C$3:$AH$169,113,MATCH(B152,May!$D$3:$AH$3)+1)+INDEX(May!$C$3:$AH$169,118,MATCH(B152,May!$D$3:$AH$3)+1)+INDEX(May!$C$3:$AH$169,123,MATCH(B152,May!$D$3:$AH$3)+1)+INDEX(May!$C$3:$AH$169,128,MATCH(B152,May!$D$3:$AH$3)+1)+INDEX(May!$C$3:$AH$169,133,MATCH(B152,May!$D$3:$AH$3)+1)+INDEX(May!$C$3:$AH$169,138,MATCH(B152,May!$D$3:$AH$3)+1)+INDEX(May!$C$3:$AH$169,143,MATCH(B152,May!$D$3:$AH$3)+1)+INDEX(May!$C$3:$AH$169,148,MATCH(B152,May!$D$3:$AH$3)+1)-INDEX(May!$B$5:$AH$169,MATCH("Patrick Janssen",May!$B$5:$B$169),MATCH(B152,May!$D$3:$AH$3)+2)-INDEX(May!$B$5:$AH$169,MATCH("Patrick Ziesen",May!$B$5:$B$169),MATCH(B152,May!$D$3:$AH$3)+2)-INDEX(May!$B$5:$AH$169,MATCH("Frido Meijer",May!$B$5:$B$169),MATCH(B152,May!$D$3:$AH$3)+2)</f>
        <v>0</v>
      </c>
      <c r="H152" s="130">
        <f>INDEX(May!$C$3:$AH$169,4,MATCH(B152,May!$D$3:$AH$3)+1)+INDEX(May!$C$3:$AH$169,9,MATCH(B152,May!$D$3:$AH$3)+1)+INDEX(May!$C$3:$AH$169,14,MATCH(B152,May!$D$3:$AH$3)+1)+INDEX(May!$C$3:$AH$169,19,MATCH(B152,May!$D$3:$AH$3)+1)+INDEX(May!$C$3:$AH$169,24,MATCH(B152,May!$D$3:$AH$3)+1)+INDEX(May!$C$3:$AH$169,29,MATCH(B152,May!$D$3:$AH$3)+1)+INDEX(May!$C$3:$AH$169,34,MATCH(B152,May!$D$3:$AH$3)+1)+INDEX(May!$C$3:$AH$169,39,MATCH(B152,May!$D$3:$AH$3)+1)+INDEX(May!$C$3:$AH$169,44,MATCH(B152,May!$D$3:$AH$3)+1)+INDEX(May!$C$3:$AH$169,49,MATCH(B152,May!$D$3:$AH$3)+1)+INDEX(May!$C$3:$AH$169,54,MATCH(B152,May!$D$3:$AH$3)+1)+INDEX(May!$C$3:$AH$169,59,MATCH(B152,May!$D$3:$AH$3)+1)+INDEX(May!$C$3:$AH$169,64,MATCH(B152,May!$D$3:$AH$3)+1)+INDEX(May!$C$3:$AH$169,69,MATCH(B152,May!$D$3:$AH$3)+1)+INDEX(May!$C$3:$AH$169,74,MATCH(B152,May!$D$3:$AH$3)+1)+INDEX(May!$C$3:$AH$169,79,MATCH(B152,May!$D$3:$AH$3)+1)+INDEX(May!$C$3:$AH$169,84,MATCH(B152,May!$D$3:$AH$3)+1)+INDEX(May!$C$3:$AH$169,89,MATCH(B152,May!$D$3:$AH$3)+1)+INDEX(May!$C$3:$AH$169,94,MATCH(B152,May!$D$3:$AH$3)+1)+INDEX(May!$C$3:$AH$169,99,MATCH(B152,May!$D$3:$AH$3)+1)+INDEX(May!$C$3:$AH$169,104,MATCH(B152,May!$D$3:$AH$3)+1)+INDEX(May!$C$3:$AH$169,109,MATCH(B152,May!$D$3:$AH$3)+1)+INDEX(May!$C$3:$AH$169,114,MATCH(B152,May!$D$3:$AH$3)+1)+INDEX(May!$C$3:$AH$169,119,MATCH(B152,May!$D$3:$AH$3)+1)+INDEX(May!$C$3:$AH$169,124,MATCH(B152,May!$D$3:$AH$3)+1)+INDEX(May!$C$3:$AH$169,129,MATCH(B152,May!$D$3:$AH$3)+1)+INDEX(May!$C$3:$AH$169,134,MATCH(B152,May!$D$3:$AH$3)+1)+INDEX(May!$C$3:$AH$169,139,MATCH(B152,May!$D$3:$AH$3)+1)+INDEX(May!$C$3:$AH$169,144,MATCH(B152,May!$D$3:$AH$3)+1)+INDEX(May!$C$3:$AH$169,149,MATCH(B152,May!$D$3:$AH$3)+1)-INDEX(May!$B$5:$AH$169,MATCH("Patrick Janssen",May!$B$5:$B$169)+1,MATCH(B152,May!$D$3:$AH$3)+2)-INDEX(May!$B$5:$AH$169,MATCH("Patrick Ziesen",May!$B$5:$B$169)+1,MATCH(B152,May!$D$3:$AH$3)+2)-INDEX(May!$B$5:$AH$169,MATCH("Frido Meijer",May!$B$5:$B$169)+1,MATCH(B152,May!$D$3:$AH$3)+2)</f>
        <v>0</v>
      </c>
      <c r="I152" s="130">
        <v>0</v>
      </c>
      <c r="J152" s="130">
        <v>0</v>
      </c>
      <c r="L152" s="111"/>
      <c r="M152" s="111"/>
      <c r="N152" s="111">
        <f t="shared" si="42"/>
        <v>0</v>
      </c>
      <c r="P152" s="112" t="str">
        <f t="shared" si="43"/>
        <v/>
      </c>
      <c r="Q152" s="112" t="str">
        <f t="shared" si="44"/>
        <v/>
      </c>
    </row>
    <row r="153" spans="2:17" x14ac:dyDescent="0.25">
      <c r="B153" s="110">
        <f>DATE(Title!$F$12,$S$9,S24)</f>
        <v>41414</v>
      </c>
      <c r="C153" s="111">
        <f>IF(WEEKDAY(B153)=1,0,IF(WEEKDAY(B153)=4,'Hours Scheduled'!$H$44-1,IF(WEEKDAY(B153)=7,0,'Hours Scheduled'!$H$44)))</f>
        <v>23</v>
      </c>
      <c r="D153" s="17">
        <f t="shared" si="45"/>
        <v>172.5</v>
      </c>
      <c r="E153" s="127">
        <f t="shared" si="46"/>
        <v>184</v>
      </c>
      <c r="F153" s="111"/>
      <c r="G153" s="130">
        <f>INDEX(May!$C$3:$AH$169,3,MATCH(B153,May!$D$3:$AH$3)+1)+INDEX(May!$C$3:$AH$169,8,MATCH(B153,May!$D$3:$AH$3)+1)+INDEX(May!$C$3:$AH$169,13,MATCH(B153,May!$D$3:$AH$3)+1)+INDEX(May!$C$3:$AH$169,18,MATCH(B153,May!$D$3:$AH$3)+1)+INDEX(May!$C$3:$AH$169,23,MATCH(B153,May!$D$3:$AH$3)+1)+INDEX(May!$C$3:$AH$169,28,MATCH(B153,May!$D$3:$AH$3)+1)+INDEX(May!$C$3:$AH$169,33,MATCH(B153,May!$D$3:$AH$3)+1)+INDEX(May!$C$3:$AH$169,38,MATCH(B153,May!$D$3:$AH$3)+1)+INDEX(May!$C$3:$AH$169,43,MATCH(B153,May!$D$3:$AH$3)+1)+INDEX(May!$C$3:$AH$169,48,MATCH(B153,May!$D$3:$AH$3)+1)+INDEX(May!$C$3:$AH$169,53,MATCH(B153,May!$D$3:$AH$3)+1)+INDEX(May!$C$3:$AH$169,58,MATCH(B153,May!$D$3:$AH$3)+1)+INDEX(May!$C$3:$AH$169,63,MATCH(B153,May!$D$3:$AH$3)+1)+INDEX(May!$C$3:$AH$169,68,MATCH(B153,May!$D$3:$AH$3)+1)+INDEX(May!$C$3:$AH$169,73,MATCH(B153,May!$D$3:$AH$3)+1)+INDEX(May!$C$3:$AH$169,78,MATCH(B153,May!$D$3:$AH$3)+1)+INDEX(May!$C$3:$AH$169,83,MATCH(B153,May!$D$3:$AH$3)+1)+INDEX(May!$C$3:$AH$169,88,MATCH(B153,May!$D$3:$AH$3)+1)+INDEX(May!$C$3:$AH$169,93,MATCH(B153,May!$D$3:$AH$3)+1)+INDEX(May!$C$3:$AH$169,98,MATCH(B153,May!$D$3:$AH$3)+1)+INDEX(May!$C$3:$AH$169,103,MATCH(B153,May!$D$3:$AH$3)+1)+INDEX(May!$C$3:$AH$169,108,MATCH(B153,May!$D$3:$AH$3)+1)+INDEX(May!$C$3:$AH$169,113,MATCH(B153,May!$D$3:$AH$3)+1)+INDEX(May!$C$3:$AH$169,118,MATCH(B153,May!$D$3:$AH$3)+1)+INDEX(May!$C$3:$AH$169,123,MATCH(B153,May!$D$3:$AH$3)+1)+INDEX(May!$C$3:$AH$169,128,MATCH(B153,May!$D$3:$AH$3)+1)+INDEX(May!$C$3:$AH$169,133,MATCH(B153,May!$D$3:$AH$3)+1)+INDEX(May!$C$3:$AH$169,138,MATCH(B153,May!$D$3:$AH$3)+1)+INDEX(May!$C$3:$AH$169,143,MATCH(B153,May!$D$3:$AH$3)+1)+INDEX(May!$C$3:$AH$169,148,MATCH(B153,May!$D$3:$AH$3)+1)-INDEX(May!$B$5:$AH$169,MATCH("Patrick Janssen",May!$B$5:$B$169),MATCH(B153,May!$D$3:$AH$3)+2)-INDEX(May!$B$5:$AH$169,MATCH("Patrick Ziesen",May!$B$5:$B$169),MATCH(B153,May!$D$3:$AH$3)+2)-INDEX(May!$B$5:$AH$169,MATCH("Frido Meijer",May!$B$5:$B$169),MATCH(B153,May!$D$3:$AH$3)+2)</f>
        <v>0</v>
      </c>
      <c r="H153" s="130">
        <f>INDEX(May!$C$3:$AH$169,4,MATCH(B153,May!$D$3:$AH$3)+1)+INDEX(May!$C$3:$AH$169,9,MATCH(B153,May!$D$3:$AH$3)+1)+INDEX(May!$C$3:$AH$169,14,MATCH(B153,May!$D$3:$AH$3)+1)+INDEX(May!$C$3:$AH$169,19,MATCH(B153,May!$D$3:$AH$3)+1)+INDEX(May!$C$3:$AH$169,24,MATCH(B153,May!$D$3:$AH$3)+1)+INDEX(May!$C$3:$AH$169,29,MATCH(B153,May!$D$3:$AH$3)+1)+INDEX(May!$C$3:$AH$169,34,MATCH(B153,May!$D$3:$AH$3)+1)+INDEX(May!$C$3:$AH$169,39,MATCH(B153,May!$D$3:$AH$3)+1)+INDEX(May!$C$3:$AH$169,44,MATCH(B153,May!$D$3:$AH$3)+1)+INDEX(May!$C$3:$AH$169,49,MATCH(B153,May!$D$3:$AH$3)+1)+INDEX(May!$C$3:$AH$169,54,MATCH(B153,May!$D$3:$AH$3)+1)+INDEX(May!$C$3:$AH$169,59,MATCH(B153,May!$D$3:$AH$3)+1)+INDEX(May!$C$3:$AH$169,64,MATCH(B153,May!$D$3:$AH$3)+1)+INDEX(May!$C$3:$AH$169,69,MATCH(B153,May!$D$3:$AH$3)+1)+INDEX(May!$C$3:$AH$169,74,MATCH(B153,May!$D$3:$AH$3)+1)+INDEX(May!$C$3:$AH$169,79,MATCH(B153,May!$D$3:$AH$3)+1)+INDEX(May!$C$3:$AH$169,84,MATCH(B153,May!$D$3:$AH$3)+1)+INDEX(May!$C$3:$AH$169,89,MATCH(B153,May!$D$3:$AH$3)+1)+INDEX(May!$C$3:$AH$169,94,MATCH(B153,May!$D$3:$AH$3)+1)+INDEX(May!$C$3:$AH$169,99,MATCH(B153,May!$D$3:$AH$3)+1)+INDEX(May!$C$3:$AH$169,104,MATCH(B153,May!$D$3:$AH$3)+1)+INDEX(May!$C$3:$AH$169,109,MATCH(B153,May!$D$3:$AH$3)+1)+INDEX(May!$C$3:$AH$169,114,MATCH(B153,May!$D$3:$AH$3)+1)+INDEX(May!$C$3:$AH$169,119,MATCH(B153,May!$D$3:$AH$3)+1)+INDEX(May!$C$3:$AH$169,124,MATCH(B153,May!$D$3:$AH$3)+1)+INDEX(May!$C$3:$AH$169,129,MATCH(B153,May!$D$3:$AH$3)+1)+INDEX(May!$C$3:$AH$169,134,MATCH(B153,May!$D$3:$AH$3)+1)+INDEX(May!$C$3:$AH$169,139,MATCH(B153,May!$D$3:$AH$3)+1)+INDEX(May!$C$3:$AH$169,144,MATCH(B153,May!$D$3:$AH$3)+1)+INDEX(May!$C$3:$AH$169,149,MATCH(B153,May!$D$3:$AH$3)+1)-INDEX(May!$B$5:$AH$169,MATCH("Patrick Janssen",May!$B$5:$B$169)+1,MATCH(B153,May!$D$3:$AH$3)+2)-INDEX(May!$B$5:$AH$169,MATCH("Patrick Ziesen",May!$B$5:$B$169)+1,MATCH(B153,May!$D$3:$AH$3)+2)-INDEX(May!$B$5:$AH$169,MATCH("Frido Meijer",May!$B$5:$B$169)+1,MATCH(B153,May!$D$3:$AH$3)+2)</f>
        <v>0</v>
      </c>
      <c r="I153" s="130">
        <v>0</v>
      </c>
      <c r="J153" s="130">
        <v>0</v>
      </c>
      <c r="L153" s="111"/>
      <c r="M153" s="111"/>
      <c r="N153" s="111">
        <f t="shared" si="42"/>
        <v>0</v>
      </c>
      <c r="P153" s="112">
        <f t="shared" si="43"/>
        <v>0</v>
      </c>
      <c r="Q153" s="112">
        <f t="shared" si="44"/>
        <v>0</v>
      </c>
    </row>
    <row r="154" spans="2:17" x14ac:dyDescent="0.25">
      <c r="B154" s="110">
        <f>DATE(Title!$F$12,$S$9,S25)</f>
        <v>41415</v>
      </c>
      <c r="C154" s="111">
        <f>IF(WEEKDAY(B154)=1,0,IF(WEEKDAY(B154)=4,'Hours Scheduled'!$H$44-1,IF(WEEKDAY(B154)=7,0,'Hours Scheduled'!$H$44)))</f>
        <v>23</v>
      </c>
      <c r="D154" s="17">
        <f t="shared" si="45"/>
        <v>172.5</v>
      </c>
      <c r="E154" s="127">
        <f t="shared" si="46"/>
        <v>138</v>
      </c>
      <c r="F154" s="111"/>
      <c r="G154" s="130">
        <f>INDEX(May!$C$3:$AH$169,3,MATCH(B154,May!$D$3:$AH$3)+1)+INDEX(May!$C$3:$AH$169,8,MATCH(B154,May!$D$3:$AH$3)+1)+INDEX(May!$C$3:$AH$169,13,MATCH(B154,May!$D$3:$AH$3)+1)+INDEX(May!$C$3:$AH$169,18,MATCH(B154,May!$D$3:$AH$3)+1)+INDEX(May!$C$3:$AH$169,23,MATCH(B154,May!$D$3:$AH$3)+1)+INDEX(May!$C$3:$AH$169,28,MATCH(B154,May!$D$3:$AH$3)+1)+INDEX(May!$C$3:$AH$169,33,MATCH(B154,May!$D$3:$AH$3)+1)+INDEX(May!$C$3:$AH$169,38,MATCH(B154,May!$D$3:$AH$3)+1)+INDEX(May!$C$3:$AH$169,43,MATCH(B154,May!$D$3:$AH$3)+1)+INDEX(May!$C$3:$AH$169,48,MATCH(B154,May!$D$3:$AH$3)+1)+INDEX(May!$C$3:$AH$169,53,MATCH(B154,May!$D$3:$AH$3)+1)+INDEX(May!$C$3:$AH$169,58,MATCH(B154,May!$D$3:$AH$3)+1)+INDEX(May!$C$3:$AH$169,63,MATCH(B154,May!$D$3:$AH$3)+1)+INDEX(May!$C$3:$AH$169,68,MATCH(B154,May!$D$3:$AH$3)+1)+INDEX(May!$C$3:$AH$169,73,MATCH(B154,May!$D$3:$AH$3)+1)+INDEX(May!$C$3:$AH$169,78,MATCH(B154,May!$D$3:$AH$3)+1)+INDEX(May!$C$3:$AH$169,83,MATCH(B154,May!$D$3:$AH$3)+1)+INDEX(May!$C$3:$AH$169,88,MATCH(B154,May!$D$3:$AH$3)+1)+INDEX(May!$C$3:$AH$169,93,MATCH(B154,May!$D$3:$AH$3)+1)+INDEX(May!$C$3:$AH$169,98,MATCH(B154,May!$D$3:$AH$3)+1)+INDEX(May!$C$3:$AH$169,103,MATCH(B154,May!$D$3:$AH$3)+1)+INDEX(May!$C$3:$AH$169,108,MATCH(B154,May!$D$3:$AH$3)+1)+INDEX(May!$C$3:$AH$169,113,MATCH(B154,May!$D$3:$AH$3)+1)+INDEX(May!$C$3:$AH$169,118,MATCH(B154,May!$D$3:$AH$3)+1)+INDEX(May!$C$3:$AH$169,123,MATCH(B154,May!$D$3:$AH$3)+1)+INDEX(May!$C$3:$AH$169,128,MATCH(B154,May!$D$3:$AH$3)+1)+INDEX(May!$C$3:$AH$169,133,MATCH(B154,May!$D$3:$AH$3)+1)+INDEX(May!$C$3:$AH$169,138,MATCH(B154,May!$D$3:$AH$3)+1)+INDEX(May!$C$3:$AH$169,143,MATCH(B154,May!$D$3:$AH$3)+1)+INDEX(May!$C$3:$AH$169,148,MATCH(B154,May!$D$3:$AH$3)+1)-INDEX(May!$B$5:$AH$169,MATCH("Patrick Janssen",May!$B$5:$B$169),MATCH(B154,May!$D$3:$AH$3)+2)-INDEX(May!$B$5:$AH$169,MATCH("Patrick Ziesen",May!$B$5:$B$169),MATCH(B154,May!$D$3:$AH$3)+2)-INDEX(May!$B$5:$AH$169,MATCH("Frido Meijer",May!$B$5:$B$169),MATCH(B154,May!$D$3:$AH$3)+2)</f>
        <v>46</v>
      </c>
      <c r="H154" s="130">
        <f>INDEX(May!$C$3:$AH$169,4,MATCH(B154,May!$D$3:$AH$3)+1)+INDEX(May!$C$3:$AH$169,9,MATCH(B154,May!$D$3:$AH$3)+1)+INDEX(May!$C$3:$AH$169,14,MATCH(B154,May!$D$3:$AH$3)+1)+INDEX(May!$C$3:$AH$169,19,MATCH(B154,May!$D$3:$AH$3)+1)+INDEX(May!$C$3:$AH$169,24,MATCH(B154,May!$D$3:$AH$3)+1)+INDEX(May!$C$3:$AH$169,29,MATCH(B154,May!$D$3:$AH$3)+1)+INDEX(May!$C$3:$AH$169,34,MATCH(B154,May!$D$3:$AH$3)+1)+INDEX(May!$C$3:$AH$169,39,MATCH(B154,May!$D$3:$AH$3)+1)+INDEX(May!$C$3:$AH$169,44,MATCH(B154,May!$D$3:$AH$3)+1)+INDEX(May!$C$3:$AH$169,49,MATCH(B154,May!$D$3:$AH$3)+1)+INDEX(May!$C$3:$AH$169,54,MATCH(B154,May!$D$3:$AH$3)+1)+INDEX(May!$C$3:$AH$169,59,MATCH(B154,May!$D$3:$AH$3)+1)+INDEX(May!$C$3:$AH$169,64,MATCH(B154,May!$D$3:$AH$3)+1)+INDEX(May!$C$3:$AH$169,69,MATCH(B154,May!$D$3:$AH$3)+1)+INDEX(May!$C$3:$AH$169,74,MATCH(B154,May!$D$3:$AH$3)+1)+INDEX(May!$C$3:$AH$169,79,MATCH(B154,May!$D$3:$AH$3)+1)+INDEX(May!$C$3:$AH$169,84,MATCH(B154,May!$D$3:$AH$3)+1)+INDEX(May!$C$3:$AH$169,89,MATCH(B154,May!$D$3:$AH$3)+1)+INDEX(May!$C$3:$AH$169,94,MATCH(B154,May!$D$3:$AH$3)+1)+INDEX(May!$C$3:$AH$169,99,MATCH(B154,May!$D$3:$AH$3)+1)+INDEX(May!$C$3:$AH$169,104,MATCH(B154,May!$D$3:$AH$3)+1)+INDEX(May!$C$3:$AH$169,109,MATCH(B154,May!$D$3:$AH$3)+1)+INDEX(May!$C$3:$AH$169,114,MATCH(B154,May!$D$3:$AH$3)+1)+INDEX(May!$C$3:$AH$169,119,MATCH(B154,May!$D$3:$AH$3)+1)+INDEX(May!$C$3:$AH$169,124,MATCH(B154,May!$D$3:$AH$3)+1)+INDEX(May!$C$3:$AH$169,129,MATCH(B154,May!$D$3:$AH$3)+1)+INDEX(May!$C$3:$AH$169,134,MATCH(B154,May!$D$3:$AH$3)+1)+INDEX(May!$C$3:$AH$169,139,MATCH(B154,May!$D$3:$AH$3)+1)+INDEX(May!$C$3:$AH$169,144,MATCH(B154,May!$D$3:$AH$3)+1)+INDEX(May!$C$3:$AH$169,149,MATCH(B154,May!$D$3:$AH$3)+1)-INDEX(May!$B$5:$AH$169,MATCH("Patrick Janssen",May!$B$5:$B$169)+1,MATCH(B154,May!$D$3:$AH$3)+2)-INDEX(May!$B$5:$AH$169,MATCH("Patrick Ziesen",May!$B$5:$B$169)+1,MATCH(B154,May!$D$3:$AH$3)+2)-INDEX(May!$B$5:$AH$169,MATCH("Frido Meijer",May!$B$5:$B$169)+1,MATCH(B154,May!$D$3:$AH$3)+2)</f>
        <v>0</v>
      </c>
      <c r="I154" s="130">
        <v>0</v>
      </c>
      <c r="J154" s="130">
        <v>0</v>
      </c>
      <c r="L154" s="165"/>
      <c r="M154" s="111"/>
      <c r="N154" s="111">
        <f t="shared" si="42"/>
        <v>0</v>
      </c>
      <c r="P154" s="112">
        <f t="shared" si="43"/>
        <v>0</v>
      </c>
      <c r="Q154" s="112">
        <f t="shared" si="44"/>
        <v>0</v>
      </c>
    </row>
    <row r="155" spans="2:17" x14ac:dyDescent="0.25">
      <c r="B155" s="110">
        <f>DATE(Title!$F$12,$S$9,S26)</f>
        <v>41416</v>
      </c>
      <c r="C155" s="111">
        <f>IF(WEEKDAY(B155)=1,0,IF(WEEKDAY(B155)=4,'Hours Scheduled'!$H$44-1,IF(WEEKDAY(B155)=7,0,'Hours Scheduled'!$H$44)))</f>
        <v>22</v>
      </c>
      <c r="D155" s="17">
        <f t="shared" si="45"/>
        <v>165</v>
      </c>
      <c r="E155" s="127">
        <f t="shared" si="46"/>
        <v>135</v>
      </c>
      <c r="F155" s="111"/>
      <c r="G155" s="130">
        <f>INDEX(May!$C$3:$AH$169,3,MATCH(B155,May!$D$3:$AH$3)+1)+INDEX(May!$C$3:$AH$169,8,MATCH(B155,May!$D$3:$AH$3)+1)+INDEX(May!$C$3:$AH$169,13,MATCH(B155,May!$D$3:$AH$3)+1)+INDEX(May!$C$3:$AH$169,18,MATCH(B155,May!$D$3:$AH$3)+1)+INDEX(May!$C$3:$AH$169,23,MATCH(B155,May!$D$3:$AH$3)+1)+INDEX(May!$C$3:$AH$169,28,MATCH(B155,May!$D$3:$AH$3)+1)+INDEX(May!$C$3:$AH$169,33,MATCH(B155,May!$D$3:$AH$3)+1)+INDEX(May!$C$3:$AH$169,38,MATCH(B155,May!$D$3:$AH$3)+1)+INDEX(May!$C$3:$AH$169,43,MATCH(B155,May!$D$3:$AH$3)+1)+INDEX(May!$C$3:$AH$169,48,MATCH(B155,May!$D$3:$AH$3)+1)+INDEX(May!$C$3:$AH$169,53,MATCH(B155,May!$D$3:$AH$3)+1)+INDEX(May!$C$3:$AH$169,58,MATCH(B155,May!$D$3:$AH$3)+1)+INDEX(May!$C$3:$AH$169,63,MATCH(B155,May!$D$3:$AH$3)+1)+INDEX(May!$C$3:$AH$169,68,MATCH(B155,May!$D$3:$AH$3)+1)+INDEX(May!$C$3:$AH$169,73,MATCH(B155,May!$D$3:$AH$3)+1)+INDEX(May!$C$3:$AH$169,78,MATCH(B155,May!$D$3:$AH$3)+1)+INDEX(May!$C$3:$AH$169,83,MATCH(B155,May!$D$3:$AH$3)+1)+INDEX(May!$C$3:$AH$169,88,MATCH(B155,May!$D$3:$AH$3)+1)+INDEX(May!$C$3:$AH$169,93,MATCH(B155,May!$D$3:$AH$3)+1)+INDEX(May!$C$3:$AH$169,98,MATCH(B155,May!$D$3:$AH$3)+1)+INDEX(May!$C$3:$AH$169,103,MATCH(B155,May!$D$3:$AH$3)+1)+INDEX(May!$C$3:$AH$169,108,MATCH(B155,May!$D$3:$AH$3)+1)+INDEX(May!$C$3:$AH$169,113,MATCH(B155,May!$D$3:$AH$3)+1)+INDEX(May!$C$3:$AH$169,118,MATCH(B155,May!$D$3:$AH$3)+1)+INDEX(May!$C$3:$AH$169,123,MATCH(B155,May!$D$3:$AH$3)+1)+INDEX(May!$C$3:$AH$169,128,MATCH(B155,May!$D$3:$AH$3)+1)+INDEX(May!$C$3:$AH$169,133,MATCH(B155,May!$D$3:$AH$3)+1)+INDEX(May!$C$3:$AH$169,138,MATCH(B155,May!$D$3:$AH$3)+1)+INDEX(May!$C$3:$AH$169,143,MATCH(B155,May!$D$3:$AH$3)+1)+INDEX(May!$C$3:$AH$169,148,MATCH(B155,May!$D$3:$AH$3)+1)-INDEX(May!$B$5:$AH$169,MATCH("Patrick Janssen",May!$B$5:$B$169),MATCH(B155,May!$D$3:$AH$3)+2)-INDEX(May!$B$5:$AH$169,MATCH("Patrick Ziesen",May!$B$5:$B$169),MATCH(B155,May!$D$3:$AH$3)+2)-INDEX(May!$B$5:$AH$169,MATCH("Frido Meijer",May!$B$5:$B$169),MATCH(B155,May!$D$3:$AH$3)+2)</f>
        <v>41</v>
      </c>
      <c r="H155" s="130">
        <f>INDEX(May!$C$3:$AH$169,4,MATCH(B155,May!$D$3:$AH$3)+1)+INDEX(May!$C$3:$AH$169,9,MATCH(B155,May!$D$3:$AH$3)+1)+INDEX(May!$C$3:$AH$169,14,MATCH(B155,May!$D$3:$AH$3)+1)+INDEX(May!$C$3:$AH$169,19,MATCH(B155,May!$D$3:$AH$3)+1)+INDEX(May!$C$3:$AH$169,24,MATCH(B155,May!$D$3:$AH$3)+1)+INDEX(May!$C$3:$AH$169,29,MATCH(B155,May!$D$3:$AH$3)+1)+INDEX(May!$C$3:$AH$169,34,MATCH(B155,May!$D$3:$AH$3)+1)+INDEX(May!$C$3:$AH$169,39,MATCH(B155,May!$D$3:$AH$3)+1)+INDEX(May!$C$3:$AH$169,44,MATCH(B155,May!$D$3:$AH$3)+1)+INDEX(May!$C$3:$AH$169,49,MATCH(B155,May!$D$3:$AH$3)+1)+INDEX(May!$C$3:$AH$169,54,MATCH(B155,May!$D$3:$AH$3)+1)+INDEX(May!$C$3:$AH$169,59,MATCH(B155,May!$D$3:$AH$3)+1)+INDEX(May!$C$3:$AH$169,64,MATCH(B155,May!$D$3:$AH$3)+1)+INDEX(May!$C$3:$AH$169,69,MATCH(B155,May!$D$3:$AH$3)+1)+INDEX(May!$C$3:$AH$169,74,MATCH(B155,May!$D$3:$AH$3)+1)+INDEX(May!$C$3:$AH$169,79,MATCH(B155,May!$D$3:$AH$3)+1)+INDEX(May!$C$3:$AH$169,84,MATCH(B155,May!$D$3:$AH$3)+1)+INDEX(May!$C$3:$AH$169,89,MATCH(B155,May!$D$3:$AH$3)+1)+INDEX(May!$C$3:$AH$169,94,MATCH(B155,May!$D$3:$AH$3)+1)+INDEX(May!$C$3:$AH$169,99,MATCH(B155,May!$D$3:$AH$3)+1)+INDEX(May!$C$3:$AH$169,104,MATCH(B155,May!$D$3:$AH$3)+1)+INDEX(May!$C$3:$AH$169,109,MATCH(B155,May!$D$3:$AH$3)+1)+INDEX(May!$C$3:$AH$169,114,MATCH(B155,May!$D$3:$AH$3)+1)+INDEX(May!$C$3:$AH$169,119,MATCH(B155,May!$D$3:$AH$3)+1)+INDEX(May!$C$3:$AH$169,124,MATCH(B155,May!$D$3:$AH$3)+1)+INDEX(May!$C$3:$AH$169,129,MATCH(B155,May!$D$3:$AH$3)+1)+INDEX(May!$C$3:$AH$169,134,MATCH(B155,May!$D$3:$AH$3)+1)+INDEX(May!$C$3:$AH$169,139,MATCH(B155,May!$D$3:$AH$3)+1)+INDEX(May!$C$3:$AH$169,144,MATCH(B155,May!$D$3:$AH$3)+1)+INDEX(May!$C$3:$AH$169,149,MATCH(B155,May!$D$3:$AH$3)+1)-INDEX(May!$B$5:$AH$169,MATCH("Patrick Janssen",May!$B$5:$B$169)+1,MATCH(B155,May!$D$3:$AH$3)+2)-INDEX(May!$B$5:$AH$169,MATCH("Patrick Ziesen",May!$B$5:$B$169)+1,MATCH(B155,May!$D$3:$AH$3)+2)-INDEX(May!$B$5:$AH$169,MATCH("Frido Meijer",May!$B$5:$B$169)+1,MATCH(B155,May!$D$3:$AH$3)+2)</f>
        <v>0</v>
      </c>
      <c r="I155" s="130">
        <v>0</v>
      </c>
      <c r="J155" s="130">
        <v>0</v>
      </c>
      <c r="L155" s="165"/>
      <c r="M155" s="111"/>
      <c r="N155" s="111">
        <f t="shared" si="42"/>
        <v>0</v>
      </c>
      <c r="P155" s="112">
        <f t="shared" si="43"/>
        <v>0</v>
      </c>
      <c r="Q155" s="112">
        <f t="shared" si="44"/>
        <v>0</v>
      </c>
    </row>
    <row r="156" spans="2:17" x14ac:dyDescent="0.25">
      <c r="B156" s="110">
        <f>DATE(Title!$F$12,$S$9,S27)</f>
        <v>41417</v>
      </c>
      <c r="C156" s="111">
        <f>IF(WEEKDAY(B156)=1,0,IF(WEEKDAY(B156)=4,'Hours Scheduled'!$H$44-1,IF(WEEKDAY(B156)=7,0,'Hours Scheduled'!$H$44)))</f>
        <v>23</v>
      </c>
      <c r="D156" s="17">
        <f t="shared" si="45"/>
        <v>172.5</v>
      </c>
      <c r="E156" s="127">
        <f t="shared" si="46"/>
        <v>156</v>
      </c>
      <c r="F156" s="111"/>
      <c r="G156" s="130">
        <f>INDEX(May!$C$3:$AH$169,3,MATCH(B156,May!$D$3:$AH$3)+1)+INDEX(May!$C$3:$AH$169,8,MATCH(B156,May!$D$3:$AH$3)+1)+INDEX(May!$C$3:$AH$169,13,MATCH(B156,May!$D$3:$AH$3)+1)+INDEX(May!$C$3:$AH$169,18,MATCH(B156,May!$D$3:$AH$3)+1)+INDEX(May!$C$3:$AH$169,23,MATCH(B156,May!$D$3:$AH$3)+1)+INDEX(May!$C$3:$AH$169,28,MATCH(B156,May!$D$3:$AH$3)+1)+INDEX(May!$C$3:$AH$169,33,MATCH(B156,May!$D$3:$AH$3)+1)+INDEX(May!$C$3:$AH$169,38,MATCH(B156,May!$D$3:$AH$3)+1)+INDEX(May!$C$3:$AH$169,43,MATCH(B156,May!$D$3:$AH$3)+1)+INDEX(May!$C$3:$AH$169,48,MATCH(B156,May!$D$3:$AH$3)+1)+INDEX(May!$C$3:$AH$169,53,MATCH(B156,May!$D$3:$AH$3)+1)+INDEX(May!$C$3:$AH$169,58,MATCH(B156,May!$D$3:$AH$3)+1)+INDEX(May!$C$3:$AH$169,63,MATCH(B156,May!$D$3:$AH$3)+1)+INDEX(May!$C$3:$AH$169,68,MATCH(B156,May!$D$3:$AH$3)+1)+INDEX(May!$C$3:$AH$169,73,MATCH(B156,May!$D$3:$AH$3)+1)+INDEX(May!$C$3:$AH$169,78,MATCH(B156,May!$D$3:$AH$3)+1)+INDEX(May!$C$3:$AH$169,83,MATCH(B156,May!$D$3:$AH$3)+1)+INDEX(May!$C$3:$AH$169,88,MATCH(B156,May!$D$3:$AH$3)+1)+INDEX(May!$C$3:$AH$169,93,MATCH(B156,May!$D$3:$AH$3)+1)+INDEX(May!$C$3:$AH$169,98,MATCH(B156,May!$D$3:$AH$3)+1)+INDEX(May!$C$3:$AH$169,103,MATCH(B156,May!$D$3:$AH$3)+1)+INDEX(May!$C$3:$AH$169,108,MATCH(B156,May!$D$3:$AH$3)+1)+INDEX(May!$C$3:$AH$169,113,MATCH(B156,May!$D$3:$AH$3)+1)+INDEX(May!$C$3:$AH$169,118,MATCH(B156,May!$D$3:$AH$3)+1)+INDEX(May!$C$3:$AH$169,123,MATCH(B156,May!$D$3:$AH$3)+1)+INDEX(May!$C$3:$AH$169,128,MATCH(B156,May!$D$3:$AH$3)+1)+INDEX(May!$C$3:$AH$169,133,MATCH(B156,May!$D$3:$AH$3)+1)+INDEX(May!$C$3:$AH$169,138,MATCH(B156,May!$D$3:$AH$3)+1)+INDEX(May!$C$3:$AH$169,143,MATCH(B156,May!$D$3:$AH$3)+1)+INDEX(May!$C$3:$AH$169,148,MATCH(B156,May!$D$3:$AH$3)+1)-INDEX(May!$B$5:$AH$169,MATCH("Patrick Janssen",May!$B$5:$B$169),MATCH(B156,May!$D$3:$AH$3)+2)-INDEX(May!$B$5:$AH$169,MATCH("Patrick Ziesen",May!$B$5:$B$169),MATCH(B156,May!$D$3:$AH$3)+2)-INDEX(May!$B$5:$AH$169,MATCH("Frido Meijer",May!$B$5:$B$169),MATCH(B156,May!$D$3:$AH$3)+2)</f>
        <v>28</v>
      </c>
      <c r="H156" s="130">
        <f>INDEX(May!$C$3:$AH$169,4,MATCH(B156,May!$D$3:$AH$3)+1)+INDEX(May!$C$3:$AH$169,9,MATCH(B156,May!$D$3:$AH$3)+1)+INDEX(May!$C$3:$AH$169,14,MATCH(B156,May!$D$3:$AH$3)+1)+INDEX(May!$C$3:$AH$169,19,MATCH(B156,May!$D$3:$AH$3)+1)+INDEX(May!$C$3:$AH$169,24,MATCH(B156,May!$D$3:$AH$3)+1)+INDEX(May!$C$3:$AH$169,29,MATCH(B156,May!$D$3:$AH$3)+1)+INDEX(May!$C$3:$AH$169,34,MATCH(B156,May!$D$3:$AH$3)+1)+INDEX(May!$C$3:$AH$169,39,MATCH(B156,May!$D$3:$AH$3)+1)+INDEX(May!$C$3:$AH$169,44,MATCH(B156,May!$D$3:$AH$3)+1)+INDEX(May!$C$3:$AH$169,49,MATCH(B156,May!$D$3:$AH$3)+1)+INDEX(May!$C$3:$AH$169,54,MATCH(B156,May!$D$3:$AH$3)+1)+INDEX(May!$C$3:$AH$169,59,MATCH(B156,May!$D$3:$AH$3)+1)+INDEX(May!$C$3:$AH$169,64,MATCH(B156,May!$D$3:$AH$3)+1)+INDEX(May!$C$3:$AH$169,69,MATCH(B156,May!$D$3:$AH$3)+1)+INDEX(May!$C$3:$AH$169,74,MATCH(B156,May!$D$3:$AH$3)+1)+INDEX(May!$C$3:$AH$169,79,MATCH(B156,May!$D$3:$AH$3)+1)+INDEX(May!$C$3:$AH$169,84,MATCH(B156,May!$D$3:$AH$3)+1)+INDEX(May!$C$3:$AH$169,89,MATCH(B156,May!$D$3:$AH$3)+1)+INDEX(May!$C$3:$AH$169,94,MATCH(B156,May!$D$3:$AH$3)+1)+INDEX(May!$C$3:$AH$169,99,MATCH(B156,May!$D$3:$AH$3)+1)+INDEX(May!$C$3:$AH$169,104,MATCH(B156,May!$D$3:$AH$3)+1)+INDEX(May!$C$3:$AH$169,109,MATCH(B156,May!$D$3:$AH$3)+1)+INDEX(May!$C$3:$AH$169,114,MATCH(B156,May!$D$3:$AH$3)+1)+INDEX(May!$C$3:$AH$169,119,MATCH(B156,May!$D$3:$AH$3)+1)+INDEX(May!$C$3:$AH$169,124,MATCH(B156,May!$D$3:$AH$3)+1)+INDEX(May!$C$3:$AH$169,129,MATCH(B156,May!$D$3:$AH$3)+1)+INDEX(May!$C$3:$AH$169,134,MATCH(B156,May!$D$3:$AH$3)+1)+INDEX(May!$C$3:$AH$169,139,MATCH(B156,May!$D$3:$AH$3)+1)+INDEX(May!$C$3:$AH$169,144,MATCH(B156,May!$D$3:$AH$3)+1)+INDEX(May!$C$3:$AH$169,149,MATCH(B156,May!$D$3:$AH$3)+1)-INDEX(May!$B$5:$AH$169,MATCH("Patrick Janssen",May!$B$5:$B$169)+1,MATCH(B156,May!$D$3:$AH$3)+2)-INDEX(May!$B$5:$AH$169,MATCH("Patrick Ziesen",May!$B$5:$B$169)+1,MATCH(B156,May!$D$3:$AH$3)+2)-INDEX(May!$B$5:$AH$169,MATCH("Frido Meijer",May!$B$5:$B$169)+1,MATCH(B156,May!$D$3:$AH$3)+2)</f>
        <v>0</v>
      </c>
      <c r="I156" s="130">
        <v>0</v>
      </c>
      <c r="J156" s="130">
        <v>0</v>
      </c>
      <c r="L156" s="165"/>
      <c r="M156" s="111"/>
      <c r="N156" s="111">
        <f t="shared" si="42"/>
        <v>0</v>
      </c>
      <c r="P156" s="112">
        <f t="shared" si="43"/>
        <v>0</v>
      </c>
      <c r="Q156" s="112">
        <f t="shared" si="44"/>
        <v>0</v>
      </c>
    </row>
    <row r="157" spans="2:17" x14ac:dyDescent="0.25">
      <c r="B157" s="110">
        <f>DATE(Title!$F$12,$S$9,S28)</f>
        <v>41418</v>
      </c>
      <c r="C157" s="111">
        <f>IF(WEEKDAY(B157)=1,0,IF(WEEKDAY(B157)=4,'Hours Scheduled'!$H$44-1,IF(WEEKDAY(B157)=7,0,'Hours Scheduled'!$H$44)))</f>
        <v>23</v>
      </c>
      <c r="D157" s="17">
        <f t="shared" si="45"/>
        <v>172.5</v>
      </c>
      <c r="E157" s="127">
        <f t="shared" si="46"/>
        <v>143</v>
      </c>
      <c r="F157" s="111"/>
      <c r="G157" s="130">
        <f>INDEX(May!$C$3:$AH$169,3,MATCH(B157,May!$D$3:$AH$3)+1)+INDEX(May!$C$3:$AH$169,8,MATCH(B157,May!$D$3:$AH$3)+1)+INDEX(May!$C$3:$AH$169,13,MATCH(B157,May!$D$3:$AH$3)+1)+INDEX(May!$C$3:$AH$169,18,MATCH(B157,May!$D$3:$AH$3)+1)+INDEX(May!$C$3:$AH$169,23,MATCH(B157,May!$D$3:$AH$3)+1)+INDEX(May!$C$3:$AH$169,28,MATCH(B157,May!$D$3:$AH$3)+1)+INDEX(May!$C$3:$AH$169,33,MATCH(B157,May!$D$3:$AH$3)+1)+INDEX(May!$C$3:$AH$169,38,MATCH(B157,May!$D$3:$AH$3)+1)+INDEX(May!$C$3:$AH$169,43,MATCH(B157,May!$D$3:$AH$3)+1)+INDEX(May!$C$3:$AH$169,48,MATCH(B157,May!$D$3:$AH$3)+1)+INDEX(May!$C$3:$AH$169,53,MATCH(B157,May!$D$3:$AH$3)+1)+INDEX(May!$C$3:$AH$169,58,MATCH(B157,May!$D$3:$AH$3)+1)+INDEX(May!$C$3:$AH$169,63,MATCH(B157,May!$D$3:$AH$3)+1)+INDEX(May!$C$3:$AH$169,68,MATCH(B157,May!$D$3:$AH$3)+1)+INDEX(May!$C$3:$AH$169,73,MATCH(B157,May!$D$3:$AH$3)+1)+INDEX(May!$C$3:$AH$169,78,MATCH(B157,May!$D$3:$AH$3)+1)+INDEX(May!$C$3:$AH$169,83,MATCH(B157,May!$D$3:$AH$3)+1)+INDEX(May!$C$3:$AH$169,88,MATCH(B157,May!$D$3:$AH$3)+1)+INDEX(May!$C$3:$AH$169,93,MATCH(B157,May!$D$3:$AH$3)+1)+INDEX(May!$C$3:$AH$169,98,MATCH(B157,May!$D$3:$AH$3)+1)+INDEX(May!$C$3:$AH$169,103,MATCH(B157,May!$D$3:$AH$3)+1)+INDEX(May!$C$3:$AH$169,108,MATCH(B157,May!$D$3:$AH$3)+1)+INDEX(May!$C$3:$AH$169,113,MATCH(B157,May!$D$3:$AH$3)+1)+INDEX(May!$C$3:$AH$169,118,MATCH(B157,May!$D$3:$AH$3)+1)+INDEX(May!$C$3:$AH$169,123,MATCH(B157,May!$D$3:$AH$3)+1)+INDEX(May!$C$3:$AH$169,128,MATCH(B157,May!$D$3:$AH$3)+1)+INDEX(May!$C$3:$AH$169,133,MATCH(B157,May!$D$3:$AH$3)+1)+INDEX(May!$C$3:$AH$169,138,MATCH(B157,May!$D$3:$AH$3)+1)+INDEX(May!$C$3:$AH$169,143,MATCH(B157,May!$D$3:$AH$3)+1)+INDEX(May!$C$3:$AH$169,148,MATCH(B157,May!$D$3:$AH$3)+1)-INDEX(May!$B$5:$AH$169,MATCH("Patrick Janssen",May!$B$5:$B$169),MATCH(B157,May!$D$3:$AH$3)+2)-INDEX(May!$B$5:$AH$169,MATCH("Patrick Ziesen",May!$B$5:$B$169),MATCH(B157,May!$D$3:$AH$3)+2)-INDEX(May!$B$5:$AH$169,MATCH("Frido Meijer",May!$B$5:$B$169),MATCH(B157,May!$D$3:$AH$3)+2)</f>
        <v>41</v>
      </c>
      <c r="H157" s="130">
        <f>INDEX(May!$C$3:$AH$169,4,MATCH(B157,May!$D$3:$AH$3)+1)+INDEX(May!$C$3:$AH$169,9,MATCH(B157,May!$D$3:$AH$3)+1)+INDEX(May!$C$3:$AH$169,14,MATCH(B157,May!$D$3:$AH$3)+1)+INDEX(May!$C$3:$AH$169,19,MATCH(B157,May!$D$3:$AH$3)+1)+INDEX(May!$C$3:$AH$169,24,MATCH(B157,May!$D$3:$AH$3)+1)+INDEX(May!$C$3:$AH$169,29,MATCH(B157,May!$D$3:$AH$3)+1)+INDEX(May!$C$3:$AH$169,34,MATCH(B157,May!$D$3:$AH$3)+1)+INDEX(May!$C$3:$AH$169,39,MATCH(B157,May!$D$3:$AH$3)+1)+INDEX(May!$C$3:$AH$169,44,MATCH(B157,May!$D$3:$AH$3)+1)+INDEX(May!$C$3:$AH$169,49,MATCH(B157,May!$D$3:$AH$3)+1)+INDEX(May!$C$3:$AH$169,54,MATCH(B157,May!$D$3:$AH$3)+1)+INDEX(May!$C$3:$AH$169,59,MATCH(B157,May!$D$3:$AH$3)+1)+INDEX(May!$C$3:$AH$169,64,MATCH(B157,May!$D$3:$AH$3)+1)+INDEX(May!$C$3:$AH$169,69,MATCH(B157,May!$D$3:$AH$3)+1)+INDEX(May!$C$3:$AH$169,74,MATCH(B157,May!$D$3:$AH$3)+1)+INDEX(May!$C$3:$AH$169,79,MATCH(B157,May!$D$3:$AH$3)+1)+INDEX(May!$C$3:$AH$169,84,MATCH(B157,May!$D$3:$AH$3)+1)+INDEX(May!$C$3:$AH$169,89,MATCH(B157,May!$D$3:$AH$3)+1)+INDEX(May!$C$3:$AH$169,94,MATCH(B157,May!$D$3:$AH$3)+1)+INDEX(May!$C$3:$AH$169,99,MATCH(B157,May!$D$3:$AH$3)+1)+INDEX(May!$C$3:$AH$169,104,MATCH(B157,May!$D$3:$AH$3)+1)+INDEX(May!$C$3:$AH$169,109,MATCH(B157,May!$D$3:$AH$3)+1)+INDEX(May!$C$3:$AH$169,114,MATCH(B157,May!$D$3:$AH$3)+1)+INDEX(May!$C$3:$AH$169,119,MATCH(B157,May!$D$3:$AH$3)+1)+INDEX(May!$C$3:$AH$169,124,MATCH(B157,May!$D$3:$AH$3)+1)+INDEX(May!$C$3:$AH$169,129,MATCH(B157,May!$D$3:$AH$3)+1)+INDEX(May!$C$3:$AH$169,134,MATCH(B157,May!$D$3:$AH$3)+1)+INDEX(May!$C$3:$AH$169,139,MATCH(B157,May!$D$3:$AH$3)+1)+INDEX(May!$C$3:$AH$169,144,MATCH(B157,May!$D$3:$AH$3)+1)+INDEX(May!$C$3:$AH$169,149,MATCH(B157,May!$D$3:$AH$3)+1)-INDEX(May!$B$5:$AH$169,MATCH("Patrick Janssen",May!$B$5:$B$169)+1,MATCH(B157,May!$D$3:$AH$3)+2)-INDEX(May!$B$5:$AH$169,MATCH("Patrick Ziesen",May!$B$5:$B$169)+1,MATCH(B157,May!$D$3:$AH$3)+2)-INDEX(May!$B$5:$AH$169,MATCH("Frido Meijer",May!$B$5:$B$169)+1,MATCH(B157,May!$D$3:$AH$3)+2)</f>
        <v>0</v>
      </c>
      <c r="I157" s="130">
        <v>0</v>
      </c>
      <c r="J157" s="130">
        <v>0</v>
      </c>
      <c r="L157" s="165"/>
      <c r="M157" s="111"/>
      <c r="N157" s="111">
        <f t="shared" si="42"/>
        <v>0</v>
      </c>
      <c r="P157" s="112">
        <f t="shared" si="43"/>
        <v>0</v>
      </c>
      <c r="Q157" s="112">
        <f t="shared" si="44"/>
        <v>0</v>
      </c>
    </row>
    <row r="158" spans="2:17" x14ac:dyDescent="0.25">
      <c r="B158" s="110">
        <f>DATE(Title!$F$12,$S$9,S29)</f>
        <v>41419</v>
      </c>
      <c r="C158" s="111">
        <f>IF(WEEKDAY(B158)=1,0,IF(WEEKDAY(B158)=4,'Hours Scheduled'!$H$44-1,IF(WEEKDAY(B158)=7,0,'Hours Scheduled'!$H$44)))</f>
        <v>0</v>
      </c>
      <c r="D158" s="17">
        <f t="shared" si="45"/>
        <v>0</v>
      </c>
      <c r="E158" s="127">
        <f t="shared" si="46"/>
        <v>0</v>
      </c>
      <c r="F158" s="111"/>
      <c r="G158" s="130">
        <f>INDEX(May!$C$3:$AH$169,3,MATCH(B158,May!$D$3:$AH$3)+1)+INDEX(May!$C$3:$AH$169,8,MATCH(B158,May!$D$3:$AH$3)+1)+INDEX(May!$C$3:$AH$169,13,MATCH(B158,May!$D$3:$AH$3)+1)+INDEX(May!$C$3:$AH$169,18,MATCH(B158,May!$D$3:$AH$3)+1)+INDEX(May!$C$3:$AH$169,23,MATCH(B158,May!$D$3:$AH$3)+1)+INDEX(May!$C$3:$AH$169,28,MATCH(B158,May!$D$3:$AH$3)+1)+INDEX(May!$C$3:$AH$169,33,MATCH(B158,May!$D$3:$AH$3)+1)+INDEX(May!$C$3:$AH$169,38,MATCH(B158,May!$D$3:$AH$3)+1)+INDEX(May!$C$3:$AH$169,43,MATCH(B158,May!$D$3:$AH$3)+1)+INDEX(May!$C$3:$AH$169,48,MATCH(B158,May!$D$3:$AH$3)+1)+INDEX(May!$C$3:$AH$169,53,MATCH(B158,May!$D$3:$AH$3)+1)+INDEX(May!$C$3:$AH$169,58,MATCH(B158,May!$D$3:$AH$3)+1)+INDEX(May!$C$3:$AH$169,63,MATCH(B158,May!$D$3:$AH$3)+1)+INDEX(May!$C$3:$AH$169,68,MATCH(B158,May!$D$3:$AH$3)+1)+INDEX(May!$C$3:$AH$169,73,MATCH(B158,May!$D$3:$AH$3)+1)+INDEX(May!$C$3:$AH$169,78,MATCH(B158,May!$D$3:$AH$3)+1)+INDEX(May!$C$3:$AH$169,83,MATCH(B158,May!$D$3:$AH$3)+1)+INDEX(May!$C$3:$AH$169,88,MATCH(B158,May!$D$3:$AH$3)+1)+INDEX(May!$C$3:$AH$169,93,MATCH(B158,May!$D$3:$AH$3)+1)+INDEX(May!$C$3:$AH$169,98,MATCH(B158,May!$D$3:$AH$3)+1)+INDEX(May!$C$3:$AH$169,103,MATCH(B158,May!$D$3:$AH$3)+1)+INDEX(May!$C$3:$AH$169,108,MATCH(B158,May!$D$3:$AH$3)+1)+INDEX(May!$C$3:$AH$169,113,MATCH(B158,May!$D$3:$AH$3)+1)+INDEX(May!$C$3:$AH$169,118,MATCH(B158,May!$D$3:$AH$3)+1)+INDEX(May!$C$3:$AH$169,123,MATCH(B158,May!$D$3:$AH$3)+1)+INDEX(May!$C$3:$AH$169,128,MATCH(B158,May!$D$3:$AH$3)+1)+INDEX(May!$C$3:$AH$169,133,MATCH(B158,May!$D$3:$AH$3)+1)+INDEX(May!$C$3:$AH$169,138,MATCH(B158,May!$D$3:$AH$3)+1)+INDEX(May!$C$3:$AH$169,143,MATCH(B158,May!$D$3:$AH$3)+1)+INDEX(May!$C$3:$AH$169,148,MATCH(B158,May!$D$3:$AH$3)+1)-INDEX(May!$B$5:$AH$169,MATCH("Patrick Janssen",May!$B$5:$B$169),MATCH(B158,May!$D$3:$AH$3)+2)-INDEX(May!$B$5:$AH$169,MATCH("Patrick Ziesen",May!$B$5:$B$169),MATCH(B158,May!$D$3:$AH$3)+2)-INDEX(May!$B$5:$AH$169,MATCH("Frido Meijer",May!$B$5:$B$169),MATCH(B158,May!$D$3:$AH$3)+2)</f>
        <v>0</v>
      </c>
      <c r="H158" s="130">
        <f>INDEX(May!$C$3:$AH$169,4,MATCH(B158,May!$D$3:$AH$3)+1)+INDEX(May!$C$3:$AH$169,9,MATCH(B158,May!$D$3:$AH$3)+1)+INDEX(May!$C$3:$AH$169,14,MATCH(B158,May!$D$3:$AH$3)+1)+INDEX(May!$C$3:$AH$169,19,MATCH(B158,May!$D$3:$AH$3)+1)+INDEX(May!$C$3:$AH$169,24,MATCH(B158,May!$D$3:$AH$3)+1)+INDEX(May!$C$3:$AH$169,29,MATCH(B158,May!$D$3:$AH$3)+1)+INDEX(May!$C$3:$AH$169,34,MATCH(B158,May!$D$3:$AH$3)+1)+INDEX(May!$C$3:$AH$169,39,MATCH(B158,May!$D$3:$AH$3)+1)+INDEX(May!$C$3:$AH$169,44,MATCH(B158,May!$D$3:$AH$3)+1)+INDEX(May!$C$3:$AH$169,49,MATCH(B158,May!$D$3:$AH$3)+1)+INDEX(May!$C$3:$AH$169,54,MATCH(B158,May!$D$3:$AH$3)+1)+INDEX(May!$C$3:$AH$169,59,MATCH(B158,May!$D$3:$AH$3)+1)+INDEX(May!$C$3:$AH$169,64,MATCH(B158,May!$D$3:$AH$3)+1)+INDEX(May!$C$3:$AH$169,69,MATCH(B158,May!$D$3:$AH$3)+1)+INDEX(May!$C$3:$AH$169,74,MATCH(B158,May!$D$3:$AH$3)+1)+INDEX(May!$C$3:$AH$169,79,MATCH(B158,May!$D$3:$AH$3)+1)+INDEX(May!$C$3:$AH$169,84,MATCH(B158,May!$D$3:$AH$3)+1)+INDEX(May!$C$3:$AH$169,89,MATCH(B158,May!$D$3:$AH$3)+1)+INDEX(May!$C$3:$AH$169,94,MATCH(B158,May!$D$3:$AH$3)+1)+INDEX(May!$C$3:$AH$169,99,MATCH(B158,May!$D$3:$AH$3)+1)+INDEX(May!$C$3:$AH$169,104,MATCH(B158,May!$D$3:$AH$3)+1)+INDEX(May!$C$3:$AH$169,109,MATCH(B158,May!$D$3:$AH$3)+1)+INDEX(May!$C$3:$AH$169,114,MATCH(B158,May!$D$3:$AH$3)+1)+INDEX(May!$C$3:$AH$169,119,MATCH(B158,May!$D$3:$AH$3)+1)+INDEX(May!$C$3:$AH$169,124,MATCH(B158,May!$D$3:$AH$3)+1)+INDEX(May!$C$3:$AH$169,129,MATCH(B158,May!$D$3:$AH$3)+1)+INDEX(May!$C$3:$AH$169,134,MATCH(B158,May!$D$3:$AH$3)+1)+INDEX(May!$C$3:$AH$169,139,MATCH(B158,May!$D$3:$AH$3)+1)+INDEX(May!$C$3:$AH$169,144,MATCH(B158,May!$D$3:$AH$3)+1)+INDEX(May!$C$3:$AH$169,149,MATCH(B158,May!$D$3:$AH$3)+1)-INDEX(May!$B$5:$AH$169,MATCH("Patrick Janssen",May!$B$5:$B$169)+1,MATCH(B158,May!$D$3:$AH$3)+2)-INDEX(May!$B$5:$AH$169,MATCH("Patrick Ziesen",May!$B$5:$B$169)+1,MATCH(B158,May!$D$3:$AH$3)+2)-INDEX(May!$B$5:$AH$169,MATCH("Frido Meijer",May!$B$5:$B$169)+1,MATCH(B158,May!$D$3:$AH$3)+2)</f>
        <v>0</v>
      </c>
      <c r="I158" s="130">
        <v>0</v>
      </c>
      <c r="J158" s="130">
        <v>0</v>
      </c>
      <c r="L158" s="124"/>
      <c r="M158" s="111"/>
      <c r="N158" s="111">
        <f t="shared" si="42"/>
        <v>0</v>
      </c>
      <c r="P158" s="112" t="str">
        <f t="shared" si="43"/>
        <v/>
      </c>
      <c r="Q158" s="112" t="str">
        <f t="shared" si="44"/>
        <v/>
      </c>
    </row>
    <row r="159" spans="2:17" x14ac:dyDescent="0.25">
      <c r="B159" s="110">
        <f>DATE(Title!$F$12,$S$9,S30)</f>
        <v>41420</v>
      </c>
      <c r="C159" s="111">
        <f>IF(WEEKDAY(B159)=1,0,IF(WEEKDAY(B159)=4,'Hours Scheduled'!$H$44-1,IF(WEEKDAY(B159)=7,0,'Hours Scheduled'!$H$44)))</f>
        <v>0</v>
      </c>
      <c r="D159" s="17">
        <f t="shared" si="45"/>
        <v>0</v>
      </c>
      <c r="E159" s="127">
        <f t="shared" si="46"/>
        <v>0</v>
      </c>
      <c r="F159" s="111"/>
      <c r="G159" s="130">
        <f>INDEX(May!$C$3:$AH$169,3,MATCH(B159,May!$D$3:$AH$3)+1)+INDEX(May!$C$3:$AH$169,8,MATCH(B159,May!$D$3:$AH$3)+1)+INDEX(May!$C$3:$AH$169,13,MATCH(B159,May!$D$3:$AH$3)+1)+INDEX(May!$C$3:$AH$169,18,MATCH(B159,May!$D$3:$AH$3)+1)+INDEX(May!$C$3:$AH$169,23,MATCH(B159,May!$D$3:$AH$3)+1)+INDEX(May!$C$3:$AH$169,28,MATCH(B159,May!$D$3:$AH$3)+1)+INDEX(May!$C$3:$AH$169,33,MATCH(B159,May!$D$3:$AH$3)+1)+INDEX(May!$C$3:$AH$169,38,MATCH(B159,May!$D$3:$AH$3)+1)+INDEX(May!$C$3:$AH$169,43,MATCH(B159,May!$D$3:$AH$3)+1)+INDEX(May!$C$3:$AH$169,48,MATCH(B159,May!$D$3:$AH$3)+1)+INDEX(May!$C$3:$AH$169,53,MATCH(B159,May!$D$3:$AH$3)+1)+INDEX(May!$C$3:$AH$169,58,MATCH(B159,May!$D$3:$AH$3)+1)+INDEX(May!$C$3:$AH$169,63,MATCH(B159,May!$D$3:$AH$3)+1)+INDEX(May!$C$3:$AH$169,68,MATCH(B159,May!$D$3:$AH$3)+1)+INDEX(May!$C$3:$AH$169,73,MATCH(B159,May!$D$3:$AH$3)+1)+INDEX(May!$C$3:$AH$169,78,MATCH(B159,May!$D$3:$AH$3)+1)+INDEX(May!$C$3:$AH$169,83,MATCH(B159,May!$D$3:$AH$3)+1)+INDEX(May!$C$3:$AH$169,88,MATCH(B159,May!$D$3:$AH$3)+1)+INDEX(May!$C$3:$AH$169,93,MATCH(B159,May!$D$3:$AH$3)+1)+INDEX(May!$C$3:$AH$169,98,MATCH(B159,May!$D$3:$AH$3)+1)+INDEX(May!$C$3:$AH$169,103,MATCH(B159,May!$D$3:$AH$3)+1)+INDEX(May!$C$3:$AH$169,108,MATCH(B159,May!$D$3:$AH$3)+1)+INDEX(May!$C$3:$AH$169,113,MATCH(B159,May!$D$3:$AH$3)+1)+INDEX(May!$C$3:$AH$169,118,MATCH(B159,May!$D$3:$AH$3)+1)+INDEX(May!$C$3:$AH$169,123,MATCH(B159,May!$D$3:$AH$3)+1)+INDEX(May!$C$3:$AH$169,128,MATCH(B159,May!$D$3:$AH$3)+1)+INDEX(May!$C$3:$AH$169,133,MATCH(B159,May!$D$3:$AH$3)+1)+INDEX(May!$C$3:$AH$169,138,MATCH(B159,May!$D$3:$AH$3)+1)+INDEX(May!$C$3:$AH$169,143,MATCH(B159,May!$D$3:$AH$3)+1)+INDEX(May!$C$3:$AH$169,148,MATCH(B159,May!$D$3:$AH$3)+1)-INDEX(May!$B$5:$AH$169,MATCH("Patrick Janssen",May!$B$5:$B$169),MATCH(B159,May!$D$3:$AH$3)+2)-INDEX(May!$B$5:$AH$169,MATCH("Patrick Ziesen",May!$B$5:$B$169),MATCH(B159,May!$D$3:$AH$3)+2)-INDEX(May!$B$5:$AH$169,MATCH("Frido Meijer",May!$B$5:$B$169),MATCH(B159,May!$D$3:$AH$3)+2)</f>
        <v>0</v>
      </c>
      <c r="H159" s="130">
        <f>INDEX(May!$C$3:$AH$169,4,MATCH(B159,May!$D$3:$AH$3)+1)+INDEX(May!$C$3:$AH$169,9,MATCH(B159,May!$D$3:$AH$3)+1)+INDEX(May!$C$3:$AH$169,14,MATCH(B159,May!$D$3:$AH$3)+1)+INDEX(May!$C$3:$AH$169,19,MATCH(B159,May!$D$3:$AH$3)+1)+INDEX(May!$C$3:$AH$169,24,MATCH(B159,May!$D$3:$AH$3)+1)+INDEX(May!$C$3:$AH$169,29,MATCH(B159,May!$D$3:$AH$3)+1)+INDEX(May!$C$3:$AH$169,34,MATCH(B159,May!$D$3:$AH$3)+1)+INDEX(May!$C$3:$AH$169,39,MATCH(B159,May!$D$3:$AH$3)+1)+INDEX(May!$C$3:$AH$169,44,MATCH(B159,May!$D$3:$AH$3)+1)+INDEX(May!$C$3:$AH$169,49,MATCH(B159,May!$D$3:$AH$3)+1)+INDEX(May!$C$3:$AH$169,54,MATCH(B159,May!$D$3:$AH$3)+1)+INDEX(May!$C$3:$AH$169,59,MATCH(B159,May!$D$3:$AH$3)+1)+INDEX(May!$C$3:$AH$169,64,MATCH(B159,May!$D$3:$AH$3)+1)+INDEX(May!$C$3:$AH$169,69,MATCH(B159,May!$D$3:$AH$3)+1)+INDEX(May!$C$3:$AH$169,74,MATCH(B159,May!$D$3:$AH$3)+1)+INDEX(May!$C$3:$AH$169,79,MATCH(B159,May!$D$3:$AH$3)+1)+INDEX(May!$C$3:$AH$169,84,MATCH(B159,May!$D$3:$AH$3)+1)+INDEX(May!$C$3:$AH$169,89,MATCH(B159,May!$D$3:$AH$3)+1)+INDEX(May!$C$3:$AH$169,94,MATCH(B159,May!$D$3:$AH$3)+1)+INDEX(May!$C$3:$AH$169,99,MATCH(B159,May!$D$3:$AH$3)+1)+INDEX(May!$C$3:$AH$169,104,MATCH(B159,May!$D$3:$AH$3)+1)+INDEX(May!$C$3:$AH$169,109,MATCH(B159,May!$D$3:$AH$3)+1)+INDEX(May!$C$3:$AH$169,114,MATCH(B159,May!$D$3:$AH$3)+1)+INDEX(May!$C$3:$AH$169,119,MATCH(B159,May!$D$3:$AH$3)+1)+INDEX(May!$C$3:$AH$169,124,MATCH(B159,May!$D$3:$AH$3)+1)+INDEX(May!$C$3:$AH$169,129,MATCH(B159,May!$D$3:$AH$3)+1)+INDEX(May!$C$3:$AH$169,134,MATCH(B159,May!$D$3:$AH$3)+1)+INDEX(May!$C$3:$AH$169,139,MATCH(B159,May!$D$3:$AH$3)+1)+INDEX(May!$C$3:$AH$169,144,MATCH(B159,May!$D$3:$AH$3)+1)+INDEX(May!$C$3:$AH$169,149,MATCH(B159,May!$D$3:$AH$3)+1)-INDEX(May!$B$5:$AH$169,MATCH("Patrick Janssen",May!$B$5:$B$169)+1,MATCH(B159,May!$D$3:$AH$3)+2)-INDEX(May!$B$5:$AH$169,MATCH("Patrick Ziesen",May!$B$5:$B$169)+1,MATCH(B159,May!$D$3:$AH$3)+2)-INDEX(May!$B$5:$AH$169,MATCH("Frido Meijer",May!$B$5:$B$169)+1,MATCH(B159,May!$D$3:$AH$3)+2)</f>
        <v>0</v>
      </c>
      <c r="I159" s="130">
        <v>0</v>
      </c>
      <c r="J159" s="130">
        <v>0</v>
      </c>
      <c r="L159" s="111"/>
      <c r="M159" s="111"/>
      <c r="N159" s="111">
        <f t="shared" si="42"/>
        <v>0</v>
      </c>
      <c r="P159" s="112" t="str">
        <f t="shared" si="43"/>
        <v/>
      </c>
      <c r="Q159" s="112" t="str">
        <f t="shared" si="44"/>
        <v/>
      </c>
    </row>
    <row r="160" spans="2:17" x14ac:dyDescent="0.25">
      <c r="B160" s="110">
        <f>DATE(Title!$F$12,$S$9,S31)</f>
        <v>41421</v>
      </c>
      <c r="C160" s="111">
        <f>IF(WEEKDAY(B160)=1,0,IF(WEEKDAY(B160)=4,'Hours Scheduled'!$H$44-1,IF(WEEKDAY(B160)=7,0,'Hours Scheduled'!$H$44)))</f>
        <v>23</v>
      </c>
      <c r="D160" s="17">
        <f t="shared" si="45"/>
        <v>172.5</v>
      </c>
      <c r="E160" s="127">
        <f t="shared" si="46"/>
        <v>149.75</v>
      </c>
      <c r="F160" s="111"/>
      <c r="G160" s="130">
        <f>INDEX(May!$C$3:$AH$169,3,MATCH(B160,May!$D$3:$AH$3)+1)+INDEX(May!$C$3:$AH$169,8,MATCH(B160,May!$D$3:$AH$3)+1)+INDEX(May!$C$3:$AH$169,13,MATCH(B160,May!$D$3:$AH$3)+1)+INDEX(May!$C$3:$AH$169,18,MATCH(B160,May!$D$3:$AH$3)+1)+INDEX(May!$C$3:$AH$169,23,MATCH(B160,May!$D$3:$AH$3)+1)+INDEX(May!$C$3:$AH$169,28,MATCH(B160,May!$D$3:$AH$3)+1)+INDEX(May!$C$3:$AH$169,33,MATCH(B160,May!$D$3:$AH$3)+1)+INDEX(May!$C$3:$AH$169,38,MATCH(B160,May!$D$3:$AH$3)+1)+INDEX(May!$C$3:$AH$169,43,MATCH(B160,May!$D$3:$AH$3)+1)+INDEX(May!$C$3:$AH$169,48,MATCH(B160,May!$D$3:$AH$3)+1)+INDEX(May!$C$3:$AH$169,53,MATCH(B160,May!$D$3:$AH$3)+1)+INDEX(May!$C$3:$AH$169,58,MATCH(B160,May!$D$3:$AH$3)+1)+INDEX(May!$C$3:$AH$169,63,MATCH(B160,May!$D$3:$AH$3)+1)+INDEX(May!$C$3:$AH$169,68,MATCH(B160,May!$D$3:$AH$3)+1)+INDEX(May!$C$3:$AH$169,73,MATCH(B160,May!$D$3:$AH$3)+1)+INDEX(May!$C$3:$AH$169,78,MATCH(B160,May!$D$3:$AH$3)+1)+INDEX(May!$C$3:$AH$169,83,MATCH(B160,May!$D$3:$AH$3)+1)+INDEX(May!$C$3:$AH$169,88,MATCH(B160,May!$D$3:$AH$3)+1)+INDEX(May!$C$3:$AH$169,93,MATCH(B160,May!$D$3:$AH$3)+1)+INDEX(May!$C$3:$AH$169,98,MATCH(B160,May!$D$3:$AH$3)+1)+INDEX(May!$C$3:$AH$169,103,MATCH(B160,May!$D$3:$AH$3)+1)+INDEX(May!$C$3:$AH$169,108,MATCH(B160,May!$D$3:$AH$3)+1)+INDEX(May!$C$3:$AH$169,113,MATCH(B160,May!$D$3:$AH$3)+1)+INDEX(May!$C$3:$AH$169,118,MATCH(B160,May!$D$3:$AH$3)+1)+INDEX(May!$C$3:$AH$169,123,MATCH(B160,May!$D$3:$AH$3)+1)+INDEX(May!$C$3:$AH$169,128,MATCH(B160,May!$D$3:$AH$3)+1)+INDEX(May!$C$3:$AH$169,133,MATCH(B160,May!$D$3:$AH$3)+1)+INDEX(May!$C$3:$AH$169,138,MATCH(B160,May!$D$3:$AH$3)+1)+INDEX(May!$C$3:$AH$169,143,MATCH(B160,May!$D$3:$AH$3)+1)+INDEX(May!$C$3:$AH$169,148,MATCH(B160,May!$D$3:$AH$3)+1)-INDEX(May!$B$5:$AH$169,MATCH("Patrick Janssen",May!$B$5:$B$169),MATCH(B160,May!$D$3:$AH$3)+2)-INDEX(May!$B$5:$AH$169,MATCH("Patrick Ziesen",May!$B$5:$B$169),MATCH(B160,May!$D$3:$AH$3)+2)-INDEX(May!$B$5:$AH$169,MATCH("Frido Meijer",May!$B$5:$B$169),MATCH(B160,May!$D$3:$AH$3)+2)</f>
        <v>26.25</v>
      </c>
      <c r="H160" s="130">
        <f>INDEX(May!$C$3:$AH$169,4,MATCH(B160,May!$D$3:$AH$3)+1)+INDEX(May!$C$3:$AH$169,9,MATCH(B160,May!$D$3:$AH$3)+1)+INDEX(May!$C$3:$AH$169,14,MATCH(B160,May!$D$3:$AH$3)+1)+INDEX(May!$C$3:$AH$169,19,MATCH(B160,May!$D$3:$AH$3)+1)+INDEX(May!$C$3:$AH$169,24,MATCH(B160,May!$D$3:$AH$3)+1)+INDEX(May!$C$3:$AH$169,29,MATCH(B160,May!$D$3:$AH$3)+1)+INDEX(May!$C$3:$AH$169,34,MATCH(B160,May!$D$3:$AH$3)+1)+INDEX(May!$C$3:$AH$169,39,MATCH(B160,May!$D$3:$AH$3)+1)+INDEX(May!$C$3:$AH$169,44,MATCH(B160,May!$D$3:$AH$3)+1)+INDEX(May!$C$3:$AH$169,49,MATCH(B160,May!$D$3:$AH$3)+1)+INDEX(May!$C$3:$AH$169,54,MATCH(B160,May!$D$3:$AH$3)+1)+INDEX(May!$C$3:$AH$169,59,MATCH(B160,May!$D$3:$AH$3)+1)+INDEX(May!$C$3:$AH$169,64,MATCH(B160,May!$D$3:$AH$3)+1)+INDEX(May!$C$3:$AH$169,69,MATCH(B160,May!$D$3:$AH$3)+1)+INDEX(May!$C$3:$AH$169,74,MATCH(B160,May!$D$3:$AH$3)+1)+INDEX(May!$C$3:$AH$169,79,MATCH(B160,May!$D$3:$AH$3)+1)+INDEX(May!$C$3:$AH$169,84,MATCH(B160,May!$D$3:$AH$3)+1)+INDEX(May!$C$3:$AH$169,89,MATCH(B160,May!$D$3:$AH$3)+1)+INDEX(May!$C$3:$AH$169,94,MATCH(B160,May!$D$3:$AH$3)+1)+INDEX(May!$C$3:$AH$169,99,MATCH(B160,May!$D$3:$AH$3)+1)+INDEX(May!$C$3:$AH$169,104,MATCH(B160,May!$D$3:$AH$3)+1)+INDEX(May!$C$3:$AH$169,109,MATCH(B160,May!$D$3:$AH$3)+1)+INDEX(May!$C$3:$AH$169,114,MATCH(B160,May!$D$3:$AH$3)+1)+INDEX(May!$C$3:$AH$169,119,MATCH(B160,May!$D$3:$AH$3)+1)+INDEX(May!$C$3:$AH$169,124,MATCH(B160,May!$D$3:$AH$3)+1)+INDEX(May!$C$3:$AH$169,129,MATCH(B160,May!$D$3:$AH$3)+1)+INDEX(May!$C$3:$AH$169,134,MATCH(B160,May!$D$3:$AH$3)+1)+INDEX(May!$C$3:$AH$169,139,MATCH(B160,May!$D$3:$AH$3)+1)+INDEX(May!$C$3:$AH$169,144,MATCH(B160,May!$D$3:$AH$3)+1)+INDEX(May!$C$3:$AH$169,149,MATCH(B160,May!$D$3:$AH$3)+1)-INDEX(May!$B$5:$AH$169,MATCH("Patrick Janssen",May!$B$5:$B$169)+1,MATCH(B160,May!$D$3:$AH$3)+2)-INDEX(May!$B$5:$AH$169,MATCH("Patrick Ziesen",May!$B$5:$B$169)+1,MATCH(B160,May!$D$3:$AH$3)+2)-INDEX(May!$B$5:$AH$169,MATCH("Frido Meijer",May!$B$5:$B$169)+1,MATCH(B160,May!$D$3:$AH$3)+2)</f>
        <v>8</v>
      </c>
      <c r="I160" s="130">
        <v>0</v>
      </c>
      <c r="J160" s="130">
        <v>0</v>
      </c>
      <c r="L160" s="111"/>
      <c r="M160" s="111"/>
      <c r="N160" s="111">
        <f t="shared" si="42"/>
        <v>0</v>
      </c>
      <c r="P160" s="112">
        <f t="shared" si="43"/>
        <v>0</v>
      </c>
      <c r="Q160" s="112">
        <f t="shared" si="44"/>
        <v>0</v>
      </c>
    </row>
    <row r="161" spans="2:17" x14ac:dyDescent="0.25">
      <c r="B161" s="110">
        <f>DATE(Title!$F$12,$S$9,S32)</f>
        <v>41422</v>
      </c>
      <c r="C161" s="111">
        <f>IF(WEEKDAY(B161)=1,0,IF(WEEKDAY(B161)=4,'Hours Scheduled'!$H$44-1,IF(WEEKDAY(B161)=7,0,'Hours Scheduled'!$H$44)))</f>
        <v>23</v>
      </c>
      <c r="D161" s="17">
        <f t="shared" si="45"/>
        <v>172.5</v>
      </c>
      <c r="E161" s="127">
        <f t="shared" si="46"/>
        <v>152</v>
      </c>
      <c r="F161" s="111"/>
      <c r="G161" s="130">
        <f>INDEX(May!$C$3:$AH$169,3,MATCH(B161,May!$D$3:$AH$3)+1)+INDEX(May!$C$3:$AH$169,8,MATCH(B161,May!$D$3:$AH$3)+1)+INDEX(May!$C$3:$AH$169,13,MATCH(B161,May!$D$3:$AH$3)+1)+INDEX(May!$C$3:$AH$169,18,MATCH(B161,May!$D$3:$AH$3)+1)+INDEX(May!$C$3:$AH$169,23,MATCH(B161,May!$D$3:$AH$3)+1)+INDEX(May!$C$3:$AH$169,28,MATCH(B161,May!$D$3:$AH$3)+1)+INDEX(May!$C$3:$AH$169,33,MATCH(B161,May!$D$3:$AH$3)+1)+INDEX(May!$C$3:$AH$169,38,MATCH(B161,May!$D$3:$AH$3)+1)+INDEX(May!$C$3:$AH$169,43,MATCH(B161,May!$D$3:$AH$3)+1)+INDEX(May!$C$3:$AH$169,48,MATCH(B161,May!$D$3:$AH$3)+1)+INDEX(May!$C$3:$AH$169,53,MATCH(B161,May!$D$3:$AH$3)+1)+INDEX(May!$C$3:$AH$169,58,MATCH(B161,May!$D$3:$AH$3)+1)+INDEX(May!$C$3:$AH$169,63,MATCH(B161,May!$D$3:$AH$3)+1)+INDEX(May!$C$3:$AH$169,68,MATCH(B161,May!$D$3:$AH$3)+1)+INDEX(May!$C$3:$AH$169,73,MATCH(B161,May!$D$3:$AH$3)+1)+INDEX(May!$C$3:$AH$169,78,MATCH(B161,May!$D$3:$AH$3)+1)+INDEX(May!$C$3:$AH$169,83,MATCH(B161,May!$D$3:$AH$3)+1)+INDEX(May!$C$3:$AH$169,88,MATCH(B161,May!$D$3:$AH$3)+1)+INDEX(May!$C$3:$AH$169,93,MATCH(B161,May!$D$3:$AH$3)+1)+INDEX(May!$C$3:$AH$169,98,MATCH(B161,May!$D$3:$AH$3)+1)+INDEX(May!$C$3:$AH$169,103,MATCH(B161,May!$D$3:$AH$3)+1)+INDEX(May!$C$3:$AH$169,108,MATCH(B161,May!$D$3:$AH$3)+1)+INDEX(May!$C$3:$AH$169,113,MATCH(B161,May!$D$3:$AH$3)+1)+INDEX(May!$C$3:$AH$169,118,MATCH(B161,May!$D$3:$AH$3)+1)+INDEX(May!$C$3:$AH$169,123,MATCH(B161,May!$D$3:$AH$3)+1)+INDEX(May!$C$3:$AH$169,128,MATCH(B161,May!$D$3:$AH$3)+1)+INDEX(May!$C$3:$AH$169,133,MATCH(B161,May!$D$3:$AH$3)+1)+INDEX(May!$C$3:$AH$169,138,MATCH(B161,May!$D$3:$AH$3)+1)+INDEX(May!$C$3:$AH$169,143,MATCH(B161,May!$D$3:$AH$3)+1)+INDEX(May!$C$3:$AH$169,148,MATCH(B161,May!$D$3:$AH$3)+1)-INDEX(May!$B$5:$AH$169,MATCH("Patrick Janssen",May!$B$5:$B$169),MATCH(B161,May!$D$3:$AH$3)+2)-INDEX(May!$B$5:$AH$169,MATCH("Patrick Ziesen",May!$B$5:$B$169),MATCH(B161,May!$D$3:$AH$3)+2)-INDEX(May!$B$5:$AH$169,MATCH("Frido Meijer",May!$B$5:$B$169),MATCH(B161,May!$D$3:$AH$3)+2)</f>
        <v>16</v>
      </c>
      <c r="H161" s="130">
        <f>INDEX(May!$C$3:$AH$169,4,MATCH(B161,May!$D$3:$AH$3)+1)+INDEX(May!$C$3:$AH$169,9,MATCH(B161,May!$D$3:$AH$3)+1)+INDEX(May!$C$3:$AH$169,14,MATCH(B161,May!$D$3:$AH$3)+1)+INDEX(May!$C$3:$AH$169,19,MATCH(B161,May!$D$3:$AH$3)+1)+INDEX(May!$C$3:$AH$169,24,MATCH(B161,May!$D$3:$AH$3)+1)+INDEX(May!$C$3:$AH$169,29,MATCH(B161,May!$D$3:$AH$3)+1)+INDEX(May!$C$3:$AH$169,34,MATCH(B161,May!$D$3:$AH$3)+1)+INDEX(May!$C$3:$AH$169,39,MATCH(B161,May!$D$3:$AH$3)+1)+INDEX(May!$C$3:$AH$169,44,MATCH(B161,May!$D$3:$AH$3)+1)+INDEX(May!$C$3:$AH$169,49,MATCH(B161,May!$D$3:$AH$3)+1)+INDEX(May!$C$3:$AH$169,54,MATCH(B161,May!$D$3:$AH$3)+1)+INDEX(May!$C$3:$AH$169,59,MATCH(B161,May!$D$3:$AH$3)+1)+INDEX(May!$C$3:$AH$169,64,MATCH(B161,May!$D$3:$AH$3)+1)+INDEX(May!$C$3:$AH$169,69,MATCH(B161,May!$D$3:$AH$3)+1)+INDEX(May!$C$3:$AH$169,74,MATCH(B161,May!$D$3:$AH$3)+1)+INDEX(May!$C$3:$AH$169,79,MATCH(B161,May!$D$3:$AH$3)+1)+INDEX(May!$C$3:$AH$169,84,MATCH(B161,May!$D$3:$AH$3)+1)+INDEX(May!$C$3:$AH$169,89,MATCH(B161,May!$D$3:$AH$3)+1)+INDEX(May!$C$3:$AH$169,94,MATCH(B161,May!$D$3:$AH$3)+1)+INDEX(May!$C$3:$AH$169,99,MATCH(B161,May!$D$3:$AH$3)+1)+INDEX(May!$C$3:$AH$169,104,MATCH(B161,May!$D$3:$AH$3)+1)+INDEX(May!$C$3:$AH$169,109,MATCH(B161,May!$D$3:$AH$3)+1)+INDEX(May!$C$3:$AH$169,114,MATCH(B161,May!$D$3:$AH$3)+1)+INDEX(May!$C$3:$AH$169,119,MATCH(B161,May!$D$3:$AH$3)+1)+INDEX(May!$C$3:$AH$169,124,MATCH(B161,May!$D$3:$AH$3)+1)+INDEX(May!$C$3:$AH$169,129,MATCH(B161,May!$D$3:$AH$3)+1)+INDEX(May!$C$3:$AH$169,134,MATCH(B161,May!$D$3:$AH$3)+1)+INDEX(May!$C$3:$AH$169,139,MATCH(B161,May!$D$3:$AH$3)+1)+INDEX(May!$C$3:$AH$169,144,MATCH(B161,May!$D$3:$AH$3)+1)+INDEX(May!$C$3:$AH$169,149,MATCH(B161,May!$D$3:$AH$3)+1)-INDEX(May!$B$5:$AH$169,MATCH("Patrick Janssen",May!$B$5:$B$169)+1,MATCH(B161,May!$D$3:$AH$3)+2)-INDEX(May!$B$5:$AH$169,MATCH("Patrick Ziesen",May!$B$5:$B$169)+1,MATCH(B161,May!$D$3:$AH$3)+2)-INDEX(May!$B$5:$AH$169,MATCH("Frido Meijer",May!$B$5:$B$169)+1,MATCH(B161,May!$D$3:$AH$3)+2)</f>
        <v>16</v>
      </c>
      <c r="I161" s="130">
        <v>0</v>
      </c>
      <c r="J161" s="130">
        <v>0</v>
      </c>
      <c r="L161" s="111"/>
      <c r="M161" s="111"/>
      <c r="N161" s="111">
        <f t="shared" si="42"/>
        <v>0</v>
      </c>
      <c r="P161" s="112">
        <f t="shared" si="43"/>
        <v>0</v>
      </c>
      <c r="Q161" s="112">
        <f t="shared" si="44"/>
        <v>0</v>
      </c>
    </row>
    <row r="162" spans="2:17" x14ac:dyDescent="0.25">
      <c r="B162" s="110">
        <f>DATE(Title!$F$12,$S$9,S33)</f>
        <v>41423</v>
      </c>
      <c r="C162" s="111">
        <f>IF(WEEKDAY(B162)=1,0,IF(WEEKDAY(B162)=4,'Hours Scheduled'!$H$44-1,IF(WEEKDAY(B162)=7,0,'Hours Scheduled'!$H$44)))</f>
        <v>22</v>
      </c>
      <c r="D162" s="17">
        <f t="shared" si="45"/>
        <v>165</v>
      </c>
      <c r="E162" s="127">
        <f t="shared" si="46"/>
        <v>144</v>
      </c>
      <c r="F162" s="111"/>
      <c r="G162" s="130">
        <f>INDEX(May!$C$3:$AH$169,3,MATCH(B162,May!$D$3:$AH$3)+1)+INDEX(May!$C$3:$AH$169,8,MATCH(B162,May!$D$3:$AH$3)+1)+INDEX(May!$C$3:$AH$169,13,MATCH(B162,May!$D$3:$AH$3)+1)+INDEX(May!$C$3:$AH$169,18,MATCH(B162,May!$D$3:$AH$3)+1)+INDEX(May!$C$3:$AH$169,23,MATCH(B162,May!$D$3:$AH$3)+1)+INDEX(May!$C$3:$AH$169,28,MATCH(B162,May!$D$3:$AH$3)+1)+INDEX(May!$C$3:$AH$169,33,MATCH(B162,May!$D$3:$AH$3)+1)+INDEX(May!$C$3:$AH$169,38,MATCH(B162,May!$D$3:$AH$3)+1)+INDEX(May!$C$3:$AH$169,43,MATCH(B162,May!$D$3:$AH$3)+1)+INDEX(May!$C$3:$AH$169,48,MATCH(B162,May!$D$3:$AH$3)+1)+INDEX(May!$C$3:$AH$169,53,MATCH(B162,May!$D$3:$AH$3)+1)+INDEX(May!$C$3:$AH$169,58,MATCH(B162,May!$D$3:$AH$3)+1)+INDEX(May!$C$3:$AH$169,63,MATCH(B162,May!$D$3:$AH$3)+1)+INDEX(May!$C$3:$AH$169,68,MATCH(B162,May!$D$3:$AH$3)+1)+INDEX(May!$C$3:$AH$169,73,MATCH(B162,May!$D$3:$AH$3)+1)+INDEX(May!$C$3:$AH$169,78,MATCH(B162,May!$D$3:$AH$3)+1)+INDEX(May!$C$3:$AH$169,83,MATCH(B162,May!$D$3:$AH$3)+1)+INDEX(May!$C$3:$AH$169,88,MATCH(B162,May!$D$3:$AH$3)+1)+INDEX(May!$C$3:$AH$169,93,MATCH(B162,May!$D$3:$AH$3)+1)+INDEX(May!$C$3:$AH$169,98,MATCH(B162,May!$D$3:$AH$3)+1)+INDEX(May!$C$3:$AH$169,103,MATCH(B162,May!$D$3:$AH$3)+1)+INDEX(May!$C$3:$AH$169,108,MATCH(B162,May!$D$3:$AH$3)+1)+INDEX(May!$C$3:$AH$169,113,MATCH(B162,May!$D$3:$AH$3)+1)+INDEX(May!$C$3:$AH$169,118,MATCH(B162,May!$D$3:$AH$3)+1)+INDEX(May!$C$3:$AH$169,123,MATCH(B162,May!$D$3:$AH$3)+1)+INDEX(May!$C$3:$AH$169,128,MATCH(B162,May!$D$3:$AH$3)+1)+INDEX(May!$C$3:$AH$169,133,MATCH(B162,May!$D$3:$AH$3)+1)+INDEX(May!$C$3:$AH$169,138,MATCH(B162,May!$D$3:$AH$3)+1)+INDEX(May!$C$3:$AH$169,143,MATCH(B162,May!$D$3:$AH$3)+1)+INDEX(May!$C$3:$AH$169,148,MATCH(B162,May!$D$3:$AH$3)+1)-INDEX(May!$B$5:$AH$169,MATCH("Patrick Janssen",May!$B$5:$B$169),MATCH(B162,May!$D$3:$AH$3)+2)-INDEX(May!$B$5:$AH$169,MATCH("Patrick Ziesen",May!$B$5:$B$169),MATCH(B162,May!$D$3:$AH$3)+2)-INDEX(May!$B$5:$AH$169,MATCH("Frido Meijer",May!$B$5:$B$169),MATCH(B162,May!$D$3:$AH$3)+2)</f>
        <v>16</v>
      </c>
      <c r="H162" s="130">
        <f>INDEX(May!$C$3:$AH$169,4,MATCH(B162,May!$D$3:$AH$3)+1)+INDEX(May!$C$3:$AH$169,9,MATCH(B162,May!$D$3:$AH$3)+1)+INDEX(May!$C$3:$AH$169,14,MATCH(B162,May!$D$3:$AH$3)+1)+INDEX(May!$C$3:$AH$169,19,MATCH(B162,May!$D$3:$AH$3)+1)+INDEX(May!$C$3:$AH$169,24,MATCH(B162,May!$D$3:$AH$3)+1)+INDEX(May!$C$3:$AH$169,29,MATCH(B162,May!$D$3:$AH$3)+1)+INDEX(May!$C$3:$AH$169,34,MATCH(B162,May!$D$3:$AH$3)+1)+INDEX(May!$C$3:$AH$169,39,MATCH(B162,May!$D$3:$AH$3)+1)+INDEX(May!$C$3:$AH$169,44,MATCH(B162,May!$D$3:$AH$3)+1)+INDEX(May!$C$3:$AH$169,49,MATCH(B162,May!$D$3:$AH$3)+1)+INDEX(May!$C$3:$AH$169,54,MATCH(B162,May!$D$3:$AH$3)+1)+INDEX(May!$C$3:$AH$169,59,MATCH(B162,May!$D$3:$AH$3)+1)+INDEX(May!$C$3:$AH$169,64,MATCH(B162,May!$D$3:$AH$3)+1)+INDEX(May!$C$3:$AH$169,69,MATCH(B162,May!$D$3:$AH$3)+1)+INDEX(May!$C$3:$AH$169,74,MATCH(B162,May!$D$3:$AH$3)+1)+INDEX(May!$C$3:$AH$169,79,MATCH(B162,May!$D$3:$AH$3)+1)+INDEX(May!$C$3:$AH$169,84,MATCH(B162,May!$D$3:$AH$3)+1)+INDEX(May!$C$3:$AH$169,89,MATCH(B162,May!$D$3:$AH$3)+1)+INDEX(May!$C$3:$AH$169,94,MATCH(B162,May!$D$3:$AH$3)+1)+INDEX(May!$C$3:$AH$169,99,MATCH(B162,May!$D$3:$AH$3)+1)+INDEX(May!$C$3:$AH$169,104,MATCH(B162,May!$D$3:$AH$3)+1)+INDEX(May!$C$3:$AH$169,109,MATCH(B162,May!$D$3:$AH$3)+1)+INDEX(May!$C$3:$AH$169,114,MATCH(B162,May!$D$3:$AH$3)+1)+INDEX(May!$C$3:$AH$169,119,MATCH(B162,May!$D$3:$AH$3)+1)+INDEX(May!$C$3:$AH$169,124,MATCH(B162,May!$D$3:$AH$3)+1)+INDEX(May!$C$3:$AH$169,129,MATCH(B162,May!$D$3:$AH$3)+1)+INDEX(May!$C$3:$AH$169,134,MATCH(B162,May!$D$3:$AH$3)+1)+INDEX(May!$C$3:$AH$169,139,MATCH(B162,May!$D$3:$AH$3)+1)+INDEX(May!$C$3:$AH$169,144,MATCH(B162,May!$D$3:$AH$3)+1)+INDEX(May!$C$3:$AH$169,149,MATCH(B162,May!$D$3:$AH$3)+1)-INDEX(May!$B$5:$AH$169,MATCH("Patrick Janssen",May!$B$5:$B$169)+1,MATCH(B162,May!$D$3:$AH$3)+2)-INDEX(May!$B$5:$AH$169,MATCH("Patrick Ziesen",May!$B$5:$B$169)+1,MATCH(B162,May!$D$3:$AH$3)+2)-INDEX(May!$B$5:$AH$169,MATCH("Frido Meijer",May!$B$5:$B$169)+1,MATCH(B162,May!$D$3:$AH$3)+2)</f>
        <v>16</v>
      </c>
      <c r="I162" s="130">
        <v>0</v>
      </c>
      <c r="J162" s="130">
        <v>0</v>
      </c>
      <c r="L162" s="124"/>
      <c r="M162" s="111"/>
      <c r="N162" s="111">
        <f t="shared" si="42"/>
        <v>0</v>
      </c>
      <c r="P162" s="112">
        <f t="shared" si="43"/>
        <v>0</v>
      </c>
      <c r="Q162" s="112">
        <f t="shared" si="44"/>
        <v>0</v>
      </c>
    </row>
    <row r="163" spans="2:17" x14ac:dyDescent="0.25">
      <c r="B163" s="110">
        <f>DATE(Title!$F$12,$S$9,S34)</f>
        <v>41424</v>
      </c>
      <c r="C163" s="111">
        <f>IF(WEEKDAY(B163)=1,0,IF(WEEKDAY(B163)=4,'Hours Scheduled'!$H$44-1,IF(WEEKDAY(B163)=7,0,'Hours Scheduled'!$H$44)))</f>
        <v>23</v>
      </c>
      <c r="D163" s="17">
        <f t="shared" si="45"/>
        <v>172.5</v>
      </c>
      <c r="E163" s="127">
        <f t="shared" si="46"/>
        <v>160</v>
      </c>
      <c r="F163" s="111"/>
      <c r="G163" s="130">
        <f>INDEX(May!$C$3:$AH$169,3,MATCH(B163,May!$D$3:$AH$3)+1)+INDEX(May!$C$3:$AH$169,8,MATCH(B163,May!$D$3:$AH$3)+1)+INDEX(May!$C$3:$AH$169,13,MATCH(B163,May!$D$3:$AH$3)+1)+INDEX(May!$C$3:$AH$169,18,MATCH(B163,May!$D$3:$AH$3)+1)+INDEX(May!$C$3:$AH$169,23,MATCH(B163,May!$D$3:$AH$3)+1)+INDEX(May!$C$3:$AH$169,28,MATCH(B163,May!$D$3:$AH$3)+1)+INDEX(May!$C$3:$AH$169,33,MATCH(B163,May!$D$3:$AH$3)+1)+INDEX(May!$C$3:$AH$169,38,MATCH(B163,May!$D$3:$AH$3)+1)+INDEX(May!$C$3:$AH$169,43,MATCH(B163,May!$D$3:$AH$3)+1)+INDEX(May!$C$3:$AH$169,48,MATCH(B163,May!$D$3:$AH$3)+1)+INDEX(May!$C$3:$AH$169,53,MATCH(B163,May!$D$3:$AH$3)+1)+INDEX(May!$C$3:$AH$169,58,MATCH(B163,May!$D$3:$AH$3)+1)+INDEX(May!$C$3:$AH$169,63,MATCH(B163,May!$D$3:$AH$3)+1)+INDEX(May!$C$3:$AH$169,68,MATCH(B163,May!$D$3:$AH$3)+1)+INDEX(May!$C$3:$AH$169,73,MATCH(B163,May!$D$3:$AH$3)+1)+INDEX(May!$C$3:$AH$169,78,MATCH(B163,May!$D$3:$AH$3)+1)+INDEX(May!$C$3:$AH$169,83,MATCH(B163,May!$D$3:$AH$3)+1)+INDEX(May!$C$3:$AH$169,88,MATCH(B163,May!$D$3:$AH$3)+1)+INDEX(May!$C$3:$AH$169,93,MATCH(B163,May!$D$3:$AH$3)+1)+INDEX(May!$C$3:$AH$169,98,MATCH(B163,May!$D$3:$AH$3)+1)+INDEX(May!$C$3:$AH$169,103,MATCH(B163,May!$D$3:$AH$3)+1)+INDEX(May!$C$3:$AH$169,108,MATCH(B163,May!$D$3:$AH$3)+1)+INDEX(May!$C$3:$AH$169,113,MATCH(B163,May!$D$3:$AH$3)+1)+INDEX(May!$C$3:$AH$169,118,MATCH(B163,May!$D$3:$AH$3)+1)+INDEX(May!$C$3:$AH$169,123,MATCH(B163,May!$D$3:$AH$3)+1)+INDEX(May!$C$3:$AH$169,128,MATCH(B163,May!$D$3:$AH$3)+1)+INDEX(May!$C$3:$AH$169,133,MATCH(B163,May!$D$3:$AH$3)+1)+INDEX(May!$C$3:$AH$169,138,MATCH(B163,May!$D$3:$AH$3)+1)+INDEX(May!$C$3:$AH$169,143,MATCH(B163,May!$D$3:$AH$3)+1)+INDEX(May!$C$3:$AH$169,148,MATCH(B163,May!$D$3:$AH$3)+1)-INDEX(May!$B$5:$AH$169,MATCH("Patrick Janssen",May!$B$5:$B$169),MATCH(B163,May!$D$3:$AH$3)+2)-INDEX(May!$B$5:$AH$169,MATCH("Patrick Ziesen",May!$B$5:$B$169),MATCH(B163,May!$D$3:$AH$3)+2)-INDEX(May!$B$5:$AH$169,MATCH("Frido Meijer",May!$B$5:$B$169),MATCH(B163,May!$D$3:$AH$3)+2)</f>
        <v>24</v>
      </c>
      <c r="H163" s="130">
        <f>INDEX(May!$C$3:$AH$169,4,MATCH(B163,May!$D$3:$AH$3)+1)+INDEX(May!$C$3:$AH$169,9,MATCH(B163,May!$D$3:$AH$3)+1)+INDEX(May!$C$3:$AH$169,14,MATCH(B163,May!$D$3:$AH$3)+1)+INDEX(May!$C$3:$AH$169,19,MATCH(B163,May!$D$3:$AH$3)+1)+INDEX(May!$C$3:$AH$169,24,MATCH(B163,May!$D$3:$AH$3)+1)+INDEX(May!$C$3:$AH$169,29,MATCH(B163,May!$D$3:$AH$3)+1)+INDEX(May!$C$3:$AH$169,34,MATCH(B163,May!$D$3:$AH$3)+1)+INDEX(May!$C$3:$AH$169,39,MATCH(B163,May!$D$3:$AH$3)+1)+INDEX(May!$C$3:$AH$169,44,MATCH(B163,May!$D$3:$AH$3)+1)+INDEX(May!$C$3:$AH$169,49,MATCH(B163,May!$D$3:$AH$3)+1)+INDEX(May!$C$3:$AH$169,54,MATCH(B163,May!$D$3:$AH$3)+1)+INDEX(May!$C$3:$AH$169,59,MATCH(B163,May!$D$3:$AH$3)+1)+INDEX(May!$C$3:$AH$169,64,MATCH(B163,May!$D$3:$AH$3)+1)+INDEX(May!$C$3:$AH$169,69,MATCH(B163,May!$D$3:$AH$3)+1)+INDEX(May!$C$3:$AH$169,74,MATCH(B163,May!$D$3:$AH$3)+1)+INDEX(May!$C$3:$AH$169,79,MATCH(B163,May!$D$3:$AH$3)+1)+INDEX(May!$C$3:$AH$169,84,MATCH(B163,May!$D$3:$AH$3)+1)+INDEX(May!$C$3:$AH$169,89,MATCH(B163,May!$D$3:$AH$3)+1)+INDEX(May!$C$3:$AH$169,94,MATCH(B163,May!$D$3:$AH$3)+1)+INDEX(May!$C$3:$AH$169,99,MATCH(B163,May!$D$3:$AH$3)+1)+INDEX(May!$C$3:$AH$169,104,MATCH(B163,May!$D$3:$AH$3)+1)+INDEX(May!$C$3:$AH$169,109,MATCH(B163,May!$D$3:$AH$3)+1)+INDEX(May!$C$3:$AH$169,114,MATCH(B163,May!$D$3:$AH$3)+1)+INDEX(May!$C$3:$AH$169,119,MATCH(B163,May!$D$3:$AH$3)+1)+INDEX(May!$C$3:$AH$169,124,MATCH(B163,May!$D$3:$AH$3)+1)+INDEX(May!$C$3:$AH$169,129,MATCH(B163,May!$D$3:$AH$3)+1)+INDEX(May!$C$3:$AH$169,134,MATCH(B163,May!$D$3:$AH$3)+1)+INDEX(May!$C$3:$AH$169,139,MATCH(B163,May!$D$3:$AH$3)+1)+INDEX(May!$C$3:$AH$169,144,MATCH(B163,May!$D$3:$AH$3)+1)+INDEX(May!$C$3:$AH$169,149,MATCH(B163,May!$D$3:$AH$3)+1)-INDEX(May!$B$5:$AH$169,MATCH("Patrick Janssen",May!$B$5:$B$169)+1,MATCH(B163,May!$D$3:$AH$3)+2)-INDEX(May!$B$5:$AH$169,MATCH("Patrick Ziesen",May!$B$5:$B$169)+1,MATCH(B163,May!$D$3:$AH$3)+2)-INDEX(May!$B$5:$AH$169,MATCH("Frido Meijer",May!$B$5:$B$169)+1,MATCH(B163,May!$D$3:$AH$3)+2)</f>
        <v>0</v>
      </c>
      <c r="I163" s="130">
        <v>0</v>
      </c>
      <c r="J163" s="130">
        <v>0</v>
      </c>
      <c r="L163" s="124"/>
      <c r="M163" s="111"/>
      <c r="N163" s="111">
        <f t="shared" si="42"/>
        <v>0</v>
      </c>
      <c r="P163" s="112">
        <f t="shared" si="43"/>
        <v>0</v>
      </c>
      <c r="Q163" s="112">
        <f t="shared" si="44"/>
        <v>0</v>
      </c>
    </row>
    <row r="164" spans="2:17" ht="15.75" thickBot="1" x14ac:dyDescent="0.3">
      <c r="B164" s="110">
        <f>DATE(Title!$F$12,$S$9,S35)</f>
        <v>41425</v>
      </c>
      <c r="C164" s="111">
        <f>IF(WEEKDAY(B164)=1,0,IF(WEEKDAY(B164)=4,'Hours Scheduled'!$H$44-1,IF(WEEKDAY(B164)=7,0,'Hours Scheduled'!$H$44)))</f>
        <v>23</v>
      </c>
      <c r="D164" s="17">
        <f t="shared" si="45"/>
        <v>172.5</v>
      </c>
      <c r="E164" s="127">
        <f t="shared" si="46"/>
        <v>156</v>
      </c>
      <c r="F164" s="113"/>
      <c r="G164" s="132">
        <f>INDEX(May!$C$3:$AH$169,3,MATCH(B164,May!$D$3:$AH$3)+1)+INDEX(May!$C$3:$AH$169,8,MATCH(B164,May!$D$3:$AH$3)+1)+INDEX(May!$C$3:$AH$169,13,MATCH(B164,May!$D$3:$AH$3)+1)+INDEX(May!$C$3:$AH$169,18,MATCH(B164,May!$D$3:$AH$3)+1)+INDEX(May!$C$3:$AH$169,23,MATCH(B164,May!$D$3:$AH$3)+1)+INDEX(May!$C$3:$AH$169,28,MATCH(B164,May!$D$3:$AH$3)+1)+INDEX(May!$C$3:$AH$169,33,MATCH(B164,May!$D$3:$AH$3)+1)+INDEX(May!$C$3:$AH$169,38,MATCH(B164,May!$D$3:$AH$3)+1)+INDEX(May!$C$3:$AH$169,43,MATCH(B164,May!$D$3:$AH$3)+1)+INDEX(May!$C$3:$AH$169,48,MATCH(B164,May!$D$3:$AH$3)+1)+INDEX(May!$C$3:$AH$169,53,MATCH(B164,May!$D$3:$AH$3)+1)+INDEX(May!$C$3:$AH$169,58,MATCH(B164,May!$D$3:$AH$3)+1)+INDEX(May!$C$3:$AH$169,63,MATCH(B164,May!$D$3:$AH$3)+1)+INDEX(May!$C$3:$AH$169,68,MATCH(B164,May!$D$3:$AH$3)+1)+INDEX(May!$C$3:$AH$169,73,MATCH(B164,May!$D$3:$AH$3)+1)+INDEX(May!$C$3:$AH$169,78,MATCH(B164,May!$D$3:$AH$3)+1)+INDEX(May!$C$3:$AH$169,83,MATCH(B164,May!$D$3:$AH$3)+1)+INDEX(May!$C$3:$AH$169,88,MATCH(B164,May!$D$3:$AH$3)+1)+INDEX(May!$C$3:$AH$169,93,MATCH(B164,May!$D$3:$AH$3)+1)+INDEX(May!$C$3:$AH$169,98,MATCH(B164,May!$D$3:$AH$3)+1)+INDEX(May!$C$3:$AH$169,103,MATCH(B164,May!$D$3:$AH$3)+1)+INDEX(May!$C$3:$AH$169,108,MATCH(B164,May!$D$3:$AH$3)+1)+INDEX(May!$C$3:$AH$169,113,MATCH(B164,May!$D$3:$AH$3)+1)+INDEX(May!$C$3:$AH$169,118,MATCH(B164,May!$D$3:$AH$3)+1)+INDEX(May!$C$3:$AH$169,123,MATCH(B164,May!$D$3:$AH$3)+1)+INDEX(May!$C$3:$AH$169,128,MATCH(B164,May!$D$3:$AH$3)+1)+INDEX(May!$C$3:$AH$169,133,MATCH(B164,May!$D$3:$AH$3)+1)+INDEX(May!$C$3:$AH$169,138,MATCH(B164,May!$D$3:$AH$3)+1)+INDEX(May!$C$3:$AH$169,143,MATCH(B164,May!$D$3:$AH$3)+1)+INDEX(May!$C$3:$AH$169,148,MATCH(B164,May!$D$3:$AH$3)+1)-INDEX(May!$B$5:$AH$169,MATCH("Patrick Janssen",May!$B$5:$B$169),MATCH(B164,May!$D$3:$AH$3)+2)-INDEX(May!$B$5:$AH$169,MATCH("Patrick Ziesen",May!$B$5:$B$169),MATCH(B164,May!$D$3:$AH$3)+2)-INDEX(May!$B$5:$AH$169,MATCH("Frido Meijer",May!$B$5:$B$169),MATCH(B164,May!$D$3:$AH$3)+2)</f>
        <v>28</v>
      </c>
      <c r="H164" s="132">
        <f>INDEX(May!$C$3:$AH$169,4,MATCH(B164,May!$D$3:$AH$3)+1)+INDEX(May!$C$3:$AH$169,9,MATCH(B164,May!$D$3:$AH$3)+1)+INDEX(May!$C$3:$AH$169,14,MATCH(B164,May!$D$3:$AH$3)+1)+INDEX(May!$C$3:$AH$169,19,MATCH(B164,May!$D$3:$AH$3)+1)+INDEX(May!$C$3:$AH$169,24,MATCH(B164,May!$D$3:$AH$3)+1)+INDEX(May!$C$3:$AH$169,29,MATCH(B164,May!$D$3:$AH$3)+1)+INDEX(May!$C$3:$AH$169,34,MATCH(B164,May!$D$3:$AH$3)+1)+INDEX(May!$C$3:$AH$169,39,MATCH(B164,May!$D$3:$AH$3)+1)+INDEX(May!$C$3:$AH$169,44,MATCH(B164,May!$D$3:$AH$3)+1)+INDEX(May!$C$3:$AH$169,49,MATCH(B164,May!$D$3:$AH$3)+1)+INDEX(May!$C$3:$AH$169,54,MATCH(B164,May!$D$3:$AH$3)+1)+INDEX(May!$C$3:$AH$169,59,MATCH(B164,May!$D$3:$AH$3)+1)+INDEX(May!$C$3:$AH$169,64,MATCH(B164,May!$D$3:$AH$3)+1)+INDEX(May!$C$3:$AH$169,69,MATCH(B164,May!$D$3:$AH$3)+1)+INDEX(May!$C$3:$AH$169,74,MATCH(B164,May!$D$3:$AH$3)+1)+INDEX(May!$C$3:$AH$169,79,MATCH(B164,May!$D$3:$AH$3)+1)+INDEX(May!$C$3:$AH$169,84,MATCH(B164,May!$D$3:$AH$3)+1)+INDEX(May!$C$3:$AH$169,89,MATCH(B164,May!$D$3:$AH$3)+1)+INDEX(May!$C$3:$AH$169,94,MATCH(B164,May!$D$3:$AH$3)+1)+INDEX(May!$C$3:$AH$169,99,MATCH(B164,May!$D$3:$AH$3)+1)+INDEX(May!$C$3:$AH$169,104,MATCH(B164,May!$D$3:$AH$3)+1)+INDEX(May!$C$3:$AH$169,109,MATCH(B164,May!$D$3:$AH$3)+1)+INDEX(May!$C$3:$AH$169,114,MATCH(B164,May!$D$3:$AH$3)+1)+INDEX(May!$C$3:$AH$169,119,MATCH(B164,May!$D$3:$AH$3)+1)+INDEX(May!$C$3:$AH$169,124,MATCH(B164,May!$D$3:$AH$3)+1)+INDEX(May!$C$3:$AH$169,129,MATCH(B164,May!$D$3:$AH$3)+1)+INDEX(May!$C$3:$AH$169,134,MATCH(B164,May!$D$3:$AH$3)+1)+INDEX(May!$C$3:$AH$169,139,MATCH(B164,May!$D$3:$AH$3)+1)+INDEX(May!$C$3:$AH$169,144,MATCH(B164,May!$D$3:$AH$3)+1)+INDEX(May!$C$3:$AH$169,149,MATCH(B164,May!$D$3:$AH$3)+1)-INDEX(May!$B$5:$AH$169,MATCH("Patrick Janssen",May!$B$5:$B$169)+1,MATCH(B164,May!$D$3:$AH$3)+2)-INDEX(May!$B$5:$AH$169,MATCH("Patrick Ziesen",May!$B$5:$B$169)+1,MATCH(B164,May!$D$3:$AH$3)+2)-INDEX(May!$B$5:$AH$169,MATCH("Frido Meijer",May!$B$5:$B$169)+1,MATCH(B164,May!$D$3:$AH$3)+2)</f>
        <v>0</v>
      </c>
      <c r="I164" s="130">
        <v>0</v>
      </c>
      <c r="J164" s="130">
        <v>0</v>
      </c>
      <c r="L164" s="124"/>
      <c r="M164" s="111"/>
      <c r="N164" s="111">
        <f t="shared" si="42"/>
        <v>0</v>
      </c>
      <c r="P164" s="112">
        <f t="shared" si="43"/>
        <v>0</v>
      </c>
      <c r="Q164" s="112">
        <f t="shared" si="44"/>
        <v>0</v>
      </c>
    </row>
    <row r="165" spans="2:17" ht="15.75" x14ac:dyDescent="0.25">
      <c r="B165" s="146" t="s">
        <v>7</v>
      </c>
      <c r="C165" s="114">
        <f>SUM(C134:C164)</f>
        <v>524</v>
      </c>
      <c r="D165" s="107">
        <f t="shared" si="45"/>
        <v>3930</v>
      </c>
      <c r="E165" s="140">
        <f t="shared" si="46"/>
        <v>3626.25</v>
      </c>
      <c r="F165" s="114">
        <f>SUM(F134:F164)</f>
        <v>0</v>
      </c>
      <c r="G165" s="133">
        <f t="shared" ref="G165:J165" si="47">SUM(G134:G164)</f>
        <v>494.25</v>
      </c>
      <c r="H165" s="133">
        <f t="shared" si="47"/>
        <v>71.5</v>
      </c>
      <c r="I165" s="133">
        <f t="shared" si="47"/>
        <v>0</v>
      </c>
      <c r="J165" s="133">
        <f t="shared" si="47"/>
        <v>0</v>
      </c>
      <c r="K165" s="115"/>
      <c r="L165" s="114">
        <f>SUM(L134:L164)</f>
        <v>0</v>
      </c>
      <c r="M165" s="114">
        <f t="shared" ref="M165:N165" si="48">SUM(M134:M164)</f>
        <v>0</v>
      </c>
      <c r="N165" s="114">
        <f t="shared" si="48"/>
        <v>0</v>
      </c>
      <c r="O165" s="115"/>
      <c r="P165" s="116">
        <f t="shared" ref="P165" si="49">(L165+(M165/60)+N165)/(D165-F165-G165-H165-I165-J165)</f>
        <v>0</v>
      </c>
      <c r="Q165" s="116">
        <f t="shared" ref="Q165" si="50">(L165+(M165/60)+N165)/(D165-(G165+H165))</f>
        <v>0</v>
      </c>
    </row>
    <row r="166" spans="2:17" x14ac:dyDescent="0.25">
      <c r="B166"/>
      <c r="E166" s="127"/>
    </row>
    <row r="167" spans="2:17" x14ac:dyDescent="0.25">
      <c r="B167" s="110">
        <f>DATE(Title!$F$12,$S$10,S5)</f>
        <v>41426</v>
      </c>
      <c r="C167" s="111">
        <f>IF(WEEKDAY(B167)=1,0,IF(WEEKDAY(B167)=4,'Hours Scheduled'!$I$44-1,IF(WEEKDAY(B167)=7,0,'Hours Scheduled'!$I$44)))</f>
        <v>0</v>
      </c>
      <c r="D167" s="17">
        <f>C167*7.5</f>
        <v>0</v>
      </c>
      <c r="E167" s="127">
        <f>C167*8-G167-H167</f>
        <v>0</v>
      </c>
      <c r="F167" s="111"/>
      <c r="G167" s="130">
        <f>INDEX(June!$C$3:$AH$169,3,MATCH(B167,June!$D$3:$AH$3)+1)+INDEX(June!$C$3:$AH$169,8,MATCH(B167,June!$D$3:$AH$3)+1)+INDEX(June!$C$3:$AH$169,13,MATCH(B167,June!$D$3:$AH$3)+1)+INDEX(June!$C$3:$AH$169,18,MATCH(B167,June!$D$3:$AH$3)+1)+INDEX(June!$C$3:$AH$169,23,MATCH(B167,June!$D$3:$AH$3)+1)+INDEX(June!$C$3:$AH$169,28,MATCH(B167,June!$D$3:$AH$3)+1)+INDEX(June!$C$3:$AH$169,33,MATCH(B167,June!$D$3:$AH$3)+1)+INDEX(June!$C$3:$AH$169,38,MATCH(B167,June!$D$3:$AH$3)+1)+INDEX(June!$C$3:$AH$169,43,MATCH(B167,June!$D$3:$AH$3)+1)+INDEX(June!$C$3:$AH$169,48,MATCH(B167,June!$D$3:$AH$3)+1)+INDEX(June!$C$3:$AH$169,53,MATCH(B167,June!$D$3:$AH$3)+1)+INDEX(June!$C$3:$AH$169,58,MATCH(B167,June!$D$3:$AH$3)+1)+INDEX(June!$C$3:$AH$169,63,MATCH(B167,June!$D$3:$AH$3)+1)+INDEX(June!$C$3:$AH$169,68,MATCH(B167,June!$D$3:$AH$3)+1)+INDEX(June!$C$3:$AH$169,73,MATCH(B167,June!$D$3:$AH$3)+1)+INDEX(June!$C$3:$AH$169,78,MATCH(B167,June!$D$3:$AH$3)+1)+INDEX(June!$C$3:$AH$169,83,MATCH(B167,June!$D$3:$AH$3)+1)+INDEX(June!$C$3:$AH$169,88,MATCH(B167,June!$D$3:$AH$3)+1)+INDEX(June!$C$3:$AH$169,93,MATCH(B167,June!$D$3:$AH$3)+1)+INDEX(June!$C$3:$AH$169,98,MATCH(B167,June!$D$3:$AH$3)+1)+INDEX(June!$C$3:$AH$169,103,MATCH(B167,June!$D$3:$AH$3)+1)+INDEX(June!$C$3:$AH$169,108,MATCH(B167,June!$D$3:$AH$3)+1)+INDEX(June!$C$3:$AH$169,113,MATCH(B167,June!$D$3:$AH$3)+1)+INDEX(June!$C$3:$AH$169,118,MATCH(B167,June!$D$3:$AH$3)+1)+INDEX(June!$C$3:$AH$169,123,MATCH(B167,June!$D$3:$AH$3)+1)+INDEX(June!$C$3:$AH$169,128,MATCH(B167,June!$D$3:$AH$3)+1)+INDEX(June!$C$3:$AH$169,133,MATCH(B167,June!$D$3:$AH$3)+1)+INDEX(June!$C$3:$AH$169,138,MATCH(B167,June!$D$3:$AH$3)+1)+INDEX(June!$C$3:$AH$169,143,MATCH(B167,June!$D$3:$AH$3)+1)+INDEX(June!$C$3:$AH$169,148,MATCH(B167,June!$D$3:$AH$3)+1)-INDEX(June!$B$5:$AH$169,MATCH("Patrick Janssen",June!$B$5:$B$169),MATCH(B167,June!$D$3:$AH$3)+2)-INDEX(June!$B$5:$AH$169,MATCH("Patrick Ziesen",June!$B$5:$B$169),MATCH(B167,June!$D$3:$AH$3)+2)-INDEX(June!$B$5:$AH$169,MATCH("Frido Meijer",June!$B$5:$B$169),MATCH(B167,June!$D$3:$AH$3)+2)</f>
        <v>0</v>
      </c>
      <c r="H167" s="130">
        <f>INDEX(June!$C$3:$AH$169,4,MATCH(B167,June!$D$3:$AH$3)+1)+INDEX(June!$C$3:$AH$169,9,MATCH(B167,June!$D$3:$AH$3)+1)+INDEX(June!$C$3:$AH$169,14,MATCH(B167,June!$D$3:$AH$3)+1)+INDEX(June!$C$3:$AH$169,19,MATCH(B167,June!$D$3:$AH$3)+1)+INDEX(June!$C$3:$AH$169,24,MATCH(B167,June!$D$3:$AH$3)+1)+INDEX(June!$C$3:$AH$169,29,MATCH(B167,June!$D$3:$AH$3)+1)+INDEX(June!$C$3:$AH$169,34,MATCH(B167,June!$D$3:$AH$3)+1)+INDEX(June!$C$3:$AH$169,39,MATCH(B167,June!$D$3:$AH$3)+1)+INDEX(June!$C$3:$AH$169,44,MATCH(B167,June!$D$3:$AH$3)+1)+INDEX(June!$C$3:$AH$169,49,MATCH(B167,June!$D$3:$AH$3)+1)+INDEX(June!$C$3:$AH$169,54,MATCH(B167,June!$D$3:$AH$3)+1)+INDEX(June!$C$3:$AH$169,59,MATCH(B167,June!$D$3:$AH$3)+1)+INDEX(June!$C$3:$AH$169,64,MATCH(B167,June!$D$3:$AH$3)+1)+INDEX(June!$C$3:$AH$169,69,MATCH(B167,June!$D$3:$AH$3)+1)+INDEX(June!$C$3:$AH$169,74,MATCH(B167,June!$D$3:$AH$3)+1)+INDEX(June!$C$3:$AH$169,79,MATCH(B167,June!$D$3:$AH$3)+1)+INDEX(June!$C$3:$AH$169,84,MATCH(B167,June!$D$3:$AH$3)+1)+INDEX(June!$C$3:$AH$169,89,MATCH(B167,June!$D$3:$AH$3)+1)+INDEX(June!$C$3:$AH$169,94,MATCH(B167,June!$D$3:$AH$3)+1)+INDEX(June!$C$3:$AH$169,99,MATCH(B167,June!$D$3:$AH$3)+1)+INDEX(June!$C$3:$AH$169,104,MATCH(B167,June!$D$3:$AH$3)+1)+INDEX(June!$C$3:$AH$169,109,MATCH(B167,June!$D$3:$AH$3)+1)+INDEX(June!$C$3:$AH$169,114,MATCH(B167,June!$D$3:$AH$3)+1)+INDEX(June!$C$3:$AH$169,119,MATCH(B167,June!$D$3:$AH$3)+1)+INDEX(June!$C$3:$AH$169,124,MATCH(B167,June!$D$3:$AH$3)+1)+INDEX(June!$C$3:$AH$169,129,MATCH(B167,June!$D$3:$AH$3)+1)+INDEX(June!$C$3:$AH$169,134,MATCH(B167,June!$D$3:$AH$3)+1)+INDEX(June!$C$3:$AH$169,139,MATCH(B167,June!$D$3:$AH$3)+1)+INDEX(June!$C$3:$AH$169,144,MATCH(B167,June!$D$3:$AH$3)+1)+INDEX(June!$C$3:$AH$169,149,MATCH(B167,June!$D$3:$AH$3)+1)-INDEX(June!$B$5:$AH$169,MATCH("Patrick Janssen",June!$B$5:$B$169)+1,MATCH(B167,June!$D$3:$AH$3)+2)-INDEX(June!$B$5:$AH$169,MATCH("Patrick Ziesen",June!$B$5:$B$169)+1,MATCH(B167,June!$D$3:$AH$3)+2)-INDEX(June!$B$5:$AH$169,MATCH("Frido Meijer",June!$B$5:$B$169)+1,MATCH(B167,June!$D$3:$AH$3)+2)</f>
        <v>0</v>
      </c>
      <c r="I167" s="130">
        <v>0</v>
      </c>
      <c r="J167" s="130">
        <v>0</v>
      </c>
      <c r="L167" s="124"/>
      <c r="M167" s="111"/>
      <c r="N167" s="111">
        <f t="shared" ref="N167:N169" si="51">IF(L167="",0,6*7.5)</f>
        <v>0</v>
      </c>
      <c r="P167" s="112" t="str">
        <f t="shared" ref="P167:P196" si="52">IFERROR((L167+(M167/60)+N167)/(D167-F167-G167-H167-I167-J167),"")</f>
        <v/>
      </c>
      <c r="Q167" s="112" t="str">
        <f t="shared" ref="Q167:Q196" si="53">IFERROR((L167+(M167/60)+N167)/(D167-(G167+H167)),"")</f>
        <v/>
      </c>
    </row>
    <row r="168" spans="2:17" x14ac:dyDescent="0.25">
      <c r="B168" s="110">
        <f>DATE(Title!$F$12,$S$10,S6)</f>
        <v>41427</v>
      </c>
      <c r="C168" s="111">
        <f>IF(WEEKDAY(B168)=1,0,IF(WEEKDAY(B168)=4,'Hours Scheduled'!$I$44-1,IF(WEEKDAY(B168)=7,0,'Hours Scheduled'!$I$44)))</f>
        <v>0</v>
      </c>
      <c r="D168" s="17">
        <f t="shared" ref="D168:D197" si="54">C168*7.5</f>
        <v>0</v>
      </c>
      <c r="E168" s="127">
        <f t="shared" ref="E168:E197" si="55">C168*8-G168-H168</f>
        <v>0</v>
      </c>
      <c r="F168" s="111"/>
      <c r="G168" s="130">
        <f>INDEX(June!$C$3:$AH$169,3,MATCH(B168,June!$D$3:$AH$3)+1)+INDEX(June!$C$3:$AH$169,8,MATCH(B168,June!$D$3:$AH$3)+1)+INDEX(June!$C$3:$AH$169,13,MATCH(B168,June!$D$3:$AH$3)+1)+INDEX(June!$C$3:$AH$169,18,MATCH(B168,June!$D$3:$AH$3)+1)+INDEX(June!$C$3:$AH$169,23,MATCH(B168,June!$D$3:$AH$3)+1)+INDEX(June!$C$3:$AH$169,28,MATCH(B168,June!$D$3:$AH$3)+1)+INDEX(June!$C$3:$AH$169,33,MATCH(B168,June!$D$3:$AH$3)+1)+INDEX(June!$C$3:$AH$169,38,MATCH(B168,June!$D$3:$AH$3)+1)+INDEX(June!$C$3:$AH$169,43,MATCH(B168,June!$D$3:$AH$3)+1)+INDEX(June!$C$3:$AH$169,48,MATCH(B168,June!$D$3:$AH$3)+1)+INDEX(June!$C$3:$AH$169,53,MATCH(B168,June!$D$3:$AH$3)+1)+INDEX(June!$C$3:$AH$169,58,MATCH(B168,June!$D$3:$AH$3)+1)+INDEX(June!$C$3:$AH$169,63,MATCH(B168,June!$D$3:$AH$3)+1)+INDEX(June!$C$3:$AH$169,68,MATCH(B168,June!$D$3:$AH$3)+1)+INDEX(June!$C$3:$AH$169,73,MATCH(B168,June!$D$3:$AH$3)+1)+INDEX(June!$C$3:$AH$169,78,MATCH(B168,June!$D$3:$AH$3)+1)+INDEX(June!$C$3:$AH$169,83,MATCH(B168,June!$D$3:$AH$3)+1)+INDEX(June!$C$3:$AH$169,88,MATCH(B168,June!$D$3:$AH$3)+1)+INDEX(June!$C$3:$AH$169,93,MATCH(B168,June!$D$3:$AH$3)+1)+INDEX(June!$C$3:$AH$169,98,MATCH(B168,June!$D$3:$AH$3)+1)+INDEX(June!$C$3:$AH$169,103,MATCH(B168,June!$D$3:$AH$3)+1)+INDEX(June!$C$3:$AH$169,108,MATCH(B168,June!$D$3:$AH$3)+1)+INDEX(June!$C$3:$AH$169,113,MATCH(B168,June!$D$3:$AH$3)+1)+INDEX(June!$C$3:$AH$169,118,MATCH(B168,June!$D$3:$AH$3)+1)+INDEX(June!$C$3:$AH$169,123,MATCH(B168,June!$D$3:$AH$3)+1)+INDEX(June!$C$3:$AH$169,128,MATCH(B168,June!$D$3:$AH$3)+1)+INDEX(June!$C$3:$AH$169,133,MATCH(B168,June!$D$3:$AH$3)+1)+INDEX(June!$C$3:$AH$169,138,MATCH(B168,June!$D$3:$AH$3)+1)+INDEX(June!$C$3:$AH$169,143,MATCH(B168,June!$D$3:$AH$3)+1)+INDEX(June!$C$3:$AH$169,148,MATCH(B168,June!$D$3:$AH$3)+1)-INDEX(June!$B$5:$AH$169,MATCH("Patrick Janssen",June!$B$5:$B$169),MATCH(B168,June!$D$3:$AH$3)+2)-INDEX(June!$B$5:$AH$169,MATCH("Patrick Ziesen",June!$B$5:$B$169),MATCH(B168,June!$D$3:$AH$3)+2)-INDEX(June!$B$5:$AH$169,MATCH("Frido Meijer",June!$B$5:$B$169),MATCH(B168,June!$D$3:$AH$3)+2)</f>
        <v>0</v>
      </c>
      <c r="H168" s="130">
        <f>INDEX(June!$C$3:$AH$169,4,MATCH(B168,June!$D$3:$AH$3)+1)+INDEX(June!$C$3:$AH$169,9,MATCH(B168,June!$D$3:$AH$3)+1)+INDEX(June!$C$3:$AH$169,14,MATCH(B168,June!$D$3:$AH$3)+1)+INDEX(June!$C$3:$AH$169,19,MATCH(B168,June!$D$3:$AH$3)+1)+INDEX(June!$C$3:$AH$169,24,MATCH(B168,June!$D$3:$AH$3)+1)+INDEX(June!$C$3:$AH$169,29,MATCH(B168,June!$D$3:$AH$3)+1)+INDEX(June!$C$3:$AH$169,34,MATCH(B168,June!$D$3:$AH$3)+1)+INDEX(June!$C$3:$AH$169,39,MATCH(B168,June!$D$3:$AH$3)+1)+INDEX(June!$C$3:$AH$169,44,MATCH(B168,June!$D$3:$AH$3)+1)+INDEX(June!$C$3:$AH$169,49,MATCH(B168,June!$D$3:$AH$3)+1)+INDEX(June!$C$3:$AH$169,54,MATCH(B168,June!$D$3:$AH$3)+1)+INDEX(June!$C$3:$AH$169,59,MATCH(B168,June!$D$3:$AH$3)+1)+INDEX(June!$C$3:$AH$169,64,MATCH(B168,June!$D$3:$AH$3)+1)+INDEX(June!$C$3:$AH$169,69,MATCH(B168,June!$D$3:$AH$3)+1)+INDEX(June!$C$3:$AH$169,74,MATCH(B168,June!$D$3:$AH$3)+1)+INDEX(June!$C$3:$AH$169,79,MATCH(B168,June!$D$3:$AH$3)+1)+INDEX(June!$C$3:$AH$169,84,MATCH(B168,June!$D$3:$AH$3)+1)+INDEX(June!$C$3:$AH$169,89,MATCH(B168,June!$D$3:$AH$3)+1)+INDEX(June!$C$3:$AH$169,94,MATCH(B168,June!$D$3:$AH$3)+1)+INDEX(June!$C$3:$AH$169,99,MATCH(B168,June!$D$3:$AH$3)+1)+INDEX(June!$C$3:$AH$169,104,MATCH(B168,June!$D$3:$AH$3)+1)+INDEX(June!$C$3:$AH$169,109,MATCH(B168,June!$D$3:$AH$3)+1)+INDEX(June!$C$3:$AH$169,114,MATCH(B168,June!$D$3:$AH$3)+1)+INDEX(June!$C$3:$AH$169,119,MATCH(B168,June!$D$3:$AH$3)+1)+INDEX(June!$C$3:$AH$169,124,MATCH(B168,June!$D$3:$AH$3)+1)+INDEX(June!$C$3:$AH$169,129,MATCH(B168,June!$D$3:$AH$3)+1)+INDEX(June!$C$3:$AH$169,134,MATCH(B168,June!$D$3:$AH$3)+1)+INDEX(June!$C$3:$AH$169,139,MATCH(B168,June!$D$3:$AH$3)+1)+INDEX(June!$C$3:$AH$169,144,MATCH(B168,June!$D$3:$AH$3)+1)+INDEX(June!$C$3:$AH$169,149,MATCH(B168,June!$D$3:$AH$3)+1)-INDEX(June!$B$5:$AH$169,MATCH("Patrick Janssen",June!$B$5:$B$169)+1,MATCH(B168,June!$D$3:$AH$3)+2)-INDEX(June!$B$5:$AH$169,MATCH("Patrick Ziesen",June!$B$5:$B$169)+1,MATCH(B168,June!$D$3:$AH$3)+2)-INDEX(June!$B$5:$AH$169,MATCH("Frido Meijer",June!$B$5:$B$169)+1,MATCH(B168,June!$D$3:$AH$3)+2)</f>
        <v>0</v>
      </c>
      <c r="I168" s="130">
        <v>0</v>
      </c>
      <c r="J168" s="130">
        <v>0</v>
      </c>
      <c r="L168" s="124"/>
      <c r="M168" s="111"/>
      <c r="N168" s="111">
        <f t="shared" si="51"/>
        <v>0</v>
      </c>
      <c r="P168" s="112" t="str">
        <f t="shared" si="52"/>
        <v/>
      </c>
      <c r="Q168" s="112" t="str">
        <f t="shared" si="53"/>
        <v/>
      </c>
    </row>
    <row r="169" spans="2:17" x14ac:dyDescent="0.25">
      <c r="B169" s="110">
        <f>DATE(Title!$F$12,$S$10,S7)</f>
        <v>41428</v>
      </c>
      <c r="C169" s="111">
        <f>IF(WEEKDAY(B169)=1,0,IF(WEEKDAY(B169)=4,'Hours Scheduled'!$I$44-1,IF(WEEKDAY(B169)=7,0,'Hours Scheduled'!$I$44)))</f>
        <v>21</v>
      </c>
      <c r="D169" s="17">
        <f t="shared" si="54"/>
        <v>157.5</v>
      </c>
      <c r="E169" s="127">
        <f t="shared" si="55"/>
        <v>148</v>
      </c>
      <c r="F169" s="111"/>
      <c r="G169" s="130">
        <f>INDEX(June!$C$3:$AH$169,3,MATCH(B169,June!$D$3:$AH$3)+1)+INDEX(June!$C$3:$AH$169,8,MATCH(B169,June!$D$3:$AH$3)+1)+INDEX(June!$C$3:$AH$169,13,MATCH(B169,June!$D$3:$AH$3)+1)+INDEX(June!$C$3:$AH$169,18,MATCH(B169,June!$D$3:$AH$3)+1)+INDEX(June!$C$3:$AH$169,23,MATCH(B169,June!$D$3:$AH$3)+1)+INDEX(June!$C$3:$AH$169,28,MATCH(B169,June!$D$3:$AH$3)+1)+INDEX(June!$C$3:$AH$169,33,MATCH(B169,June!$D$3:$AH$3)+1)+INDEX(June!$C$3:$AH$169,38,MATCH(B169,June!$D$3:$AH$3)+1)+INDEX(June!$C$3:$AH$169,43,MATCH(B169,June!$D$3:$AH$3)+1)+INDEX(June!$C$3:$AH$169,48,MATCH(B169,June!$D$3:$AH$3)+1)+INDEX(June!$C$3:$AH$169,53,MATCH(B169,June!$D$3:$AH$3)+1)+INDEX(June!$C$3:$AH$169,58,MATCH(B169,June!$D$3:$AH$3)+1)+INDEX(June!$C$3:$AH$169,63,MATCH(B169,June!$D$3:$AH$3)+1)+INDEX(June!$C$3:$AH$169,68,MATCH(B169,June!$D$3:$AH$3)+1)+INDEX(June!$C$3:$AH$169,73,MATCH(B169,June!$D$3:$AH$3)+1)+INDEX(June!$C$3:$AH$169,78,MATCH(B169,June!$D$3:$AH$3)+1)+INDEX(June!$C$3:$AH$169,83,MATCH(B169,June!$D$3:$AH$3)+1)+INDEX(June!$C$3:$AH$169,88,MATCH(B169,June!$D$3:$AH$3)+1)+INDEX(June!$C$3:$AH$169,93,MATCH(B169,June!$D$3:$AH$3)+1)+INDEX(June!$C$3:$AH$169,98,MATCH(B169,June!$D$3:$AH$3)+1)+INDEX(June!$C$3:$AH$169,103,MATCH(B169,June!$D$3:$AH$3)+1)+INDEX(June!$C$3:$AH$169,108,MATCH(B169,June!$D$3:$AH$3)+1)+INDEX(June!$C$3:$AH$169,113,MATCH(B169,June!$D$3:$AH$3)+1)+INDEX(June!$C$3:$AH$169,118,MATCH(B169,June!$D$3:$AH$3)+1)+INDEX(June!$C$3:$AH$169,123,MATCH(B169,June!$D$3:$AH$3)+1)+INDEX(June!$C$3:$AH$169,128,MATCH(B169,June!$D$3:$AH$3)+1)+INDEX(June!$C$3:$AH$169,133,MATCH(B169,June!$D$3:$AH$3)+1)+INDEX(June!$C$3:$AH$169,138,MATCH(B169,June!$D$3:$AH$3)+1)+INDEX(June!$C$3:$AH$169,143,MATCH(B169,June!$D$3:$AH$3)+1)+INDEX(June!$C$3:$AH$169,148,MATCH(B169,June!$D$3:$AH$3)+1)-INDEX(June!$B$5:$AH$169,MATCH("Patrick Janssen",June!$B$5:$B$169),MATCH(B169,June!$D$3:$AH$3)+2)-INDEX(June!$B$5:$AH$169,MATCH("Patrick Ziesen",June!$B$5:$B$169),MATCH(B169,June!$D$3:$AH$3)+2)-INDEX(June!$B$5:$AH$169,MATCH("Frido Meijer",June!$B$5:$B$169),MATCH(B169,June!$D$3:$AH$3)+2)</f>
        <v>12</v>
      </c>
      <c r="H169" s="130">
        <f>INDEX(June!$C$3:$AH$169,4,MATCH(B169,June!$D$3:$AH$3)+1)+INDEX(June!$C$3:$AH$169,9,MATCH(B169,June!$D$3:$AH$3)+1)+INDEX(June!$C$3:$AH$169,14,MATCH(B169,June!$D$3:$AH$3)+1)+INDEX(June!$C$3:$AH$169,19,MATCH(B169,June!$D$3:$AH$3)+1)+INDEX(June!$C$3:$AH$169,24,MATCH(B169,June!$D$3:$AH$3)+1)+INDEX(June!$C$3:$AH$169,29,MATCH(B169,June!$D$3:$AH$3)+1)+INDEX(June!$C$3:$AH$169,34,MATCH(B169,June!$D$3:$AH$3)+1)+INDEX(June!$C$3:$AH$169,39,MATCH(B169,June!$D$3:$AH$3)+1)+INDEX(June!$C$3:$AH$169,44,MATCH(B169,June!$D$3:$AH$3)+1)+INDEX(June!$C$3:$AH$169,49,MATCH(B169,June!$D$3:$AH$3)+1)+INDEX(June!$C$3:$AH$169,54,MATCH(B169,June!$D$3:$AH$3)+1)+INDEX(June!$C$3:$AH$169,59,MATCH(B169,June!$D$3:$AH$3)+1)+INDEX(June!$C$3:$AH$169,64,MATCH(B169,June!$D$3:$AH$3)+1)+INDEX(June!$C$3:$AH$169,69,MATCH(B169,June!$D$3:$AH$3)+1)+INDEX(June!$C$3:$AH$169,74,MATCH(B169,June!$D$3:$AH$3)+1)+INDEX(June!$C$3:$AH$169,79,MATCH(B169,June!$D$3:$AH$3)+1)+INDEX(June!$C$3:$AH$169,84,MATCH(B169,June!$D$3:$AH$3)+1)+INDEX(June!$C$3:$AH$169,89,MATCH(B169,June!$D$3:$AH$3)+1)+INDEX(June!$C$3:$AH$169,94,MATCH(B169,June!$D$3:$AH$3)+1)+INDEX(June!$C$3:$AH$169,99,MATCH(B169,June!$D$3:$AH$3)+1)+INDEX(June!$C$3:$AH$169,104,MATCH(B169,June!$D$3:$AH$3)+1)+INDEX(June!$C$3:$AH$169,109,MATCH(B169,June!$D$3:$AH$3)+1)+INDEX(June!$C$3:$AH$169,114,MATCH(B169,June!$D$3:$AH$3)+1)+INDEX(June!$C$3:$AH$169,119,MATCH(B169,June!$D$3:$AH$3)+1)+INDEX(June!$C$3:$AH$169,124,MATCH(B169,June!$D$3:$AH$3)+1)+INDEX(June!$C$3:$AH$169,129,MATCH(B169,June!$D$3:$AH$3)+1)+INDEX(June!$C$3:$AH$169,134,MATCH(B169,June!$D$3:$AH$3)+1)+INDEX(June!$C$3:$AH$169,139,MATCH(B169,June!$D$3:$AH$3)+1)+INDEX(June!$C$3:$AH$169,144,MATCH(B169,June!$D$3:$AH$3)+1)+INDEX(June!$C$3:$AH$169,149,MATCH(B169,June!$D$3:$AH$3)+1)-INDEX(June!$B$5:$AH$169,MATCH("Patrick Janssen",June!$B$5:$B$169)+1,MATCH(B169,June!$D$3:$AH$3)+2)-INDEX(June!$B$5:$AH$169,MATCH("Patrick Ziesen",June!$B$5:$B$169)+1,MATCH(B169,June!$D$3:$AH$3)+2)-INDEX(June!$B$5:$AH$169,MATCH("Frido Meijer",June!$B$5:$B$169)+1,MATCH(B169,June!$D$3:$AH$3)+2)</f>
        <v>8</v>
      </c>
      <c r="I169" s="130">
        <v>0</v>
      </c>
      <c r="J169" s="130">
        <v>0</v>
      </c>
      <c r="L169" s="124"/>
      <c r="M169" s="111"/>
      <c r="N169" s="111">
        <f t="shared" si="51"/>
        <v>0</v>
      </c>
      <c r="P169" s="112">
        <f t="shared" si="52"/>
        <v>0</v>
      </c>
      <c r="Q169" s="112">
        <f t="shared" si="53"/>
        <v>0</v>
      </c>
    </row>
    <row r="170" spans="2:17" x14ac:dyDescent="0.25">
      <c r="B170" s="110">
        <f>DATE(Title!$F$12,$S$10,S8)</f>
        <v>41429</v>
      </c>
      <c r="C170" s="111">
        <f>IF(WEEKDAY(B170)=1,0,IF(WEEKDAY(B170)=4,'Hours Scheduled'!$I$44-1,IF(WEEKDAY(B170)=7,0,'Hours Scheduled'!$I$44)))</f>
        <v>21</v>
      </c>
      <c r="D170" s="17">
        <f t="shared" si="54"/>
        <v>157.5</v>
      </c>
      <c r="E170" s="127">
        <f t="shared" si="55"/>
        <v>160</v>
      </c>
      <c r="F170" s="111"/>
      <c r="G170" s="130">
        <f>INDEX(June!$C$3:$AH$169,3,MATCH(B170,June!$D$3:$AH$3)+1)+INDEX(June!$C$3:$AH$169,8,MATCH(B170,June!$D$3:$AH$3)+1)+INDEX(June!$C$3:$AH$169,13,MATCH(B170,June!$D$3:$AH$3)+1)+INDEX(June!$C$3:$AH$169,18,MATCH(B170,June!$D$3:$AH$3)+1)+INDEX(June!$C$3:$AH$169,23,MATCH(B170,June!$D$3:$AH$3)+1)+INDEX(June!$C$3:$AH$169,28,MATCH(B170,June!$D$3:$AH$3)+1)+INDEX(June!$C$3:$AH$169,33,MATCH(B170,June!$D$3:$AH$3)+1)+INDEX(June!$C$3:$AH$169,38,MATCH(B170,June!$D$3:$AH$3)+1)+INDEX(June!$C$3:$AH$169,43,MATCH(B170,June!$D$3:$AH$3)+1)+INDEX(June!$C$3:$AH$169,48,MATCH(B170,June!$D$3:$AH$3)+1)+INDEX(June!$C$3:$AH$169,53,MATCH(B170,June!$D$3:$AH$3)+1)+INDEX(June!$C$3:$AH$169,58,MATCH(B170,June!$D$3:$AH$3)+1)+INDEX(June!$C$3:$AH$169,63,MATCH(B170,June!$D$3:$AH$3)+1)+INDEX(June!$C$3:$AH$169,68,MATCH(B170,June!$D$3:$AH$3)+1)+INDEX(June!$C$3:$AH$169,73,MATCH(B170,June!$D$3:$AH$3)+1)+INDEX(June!$C$3:$AH$169,78,MATCH(B170,June!$D$3:$AH$3)+1)+INDEX(June!$C$3:$AH$169,83,MATCH(B170,June!$D$3:$AH$3)+1)+INDEX(June!$C$3:$AH$169,88,MATCH(B170,June!$D$3:$AH$3)+1)+INDEX(June!$C$3:$AH$169,93,MATCH(B170,June!$D$3:$AH$3)+1)+INDEX(June!$C$3:$AH$169,98,MATCH(B170,June!$D$3:$AH$3)+1)+INDEX(June!$C$3:$AH$169,103,MATCH(B170,June!$D$3:$AH$3)+1)+INDEX(June!$C$3:$AH$169,108,MATCH(B170,June!$D$3:$AH$3)+1)+INDEX(June!$C$3:$AH$169,113,MATCH(B170,June!$D$3:$AH$3)+1)+INDEX(June!$C$3:$AH$169,118,MATCH(B170,June!$D$3:$AH$3)+1)+INDEX(June!$C$3:$AH$169,123,MATCH(B170,June!$D$3:$AH$3)+1)+INDEX(June!$C$3:$AH$169,128,MATCH(B170,June!$D$3:$AH$3)+1)+INDEX(June!$C$3:$AH$169,133,MATCH(B170,June!$D$3:$AH$3)+1)+INDEX(June!$C$3:$AH$169,138,MATCH(B170,June!$D$3:$AH$3)+1)+INDEX(June!$C$3:$AH$169,143,MATCH(B170,June!$D$3:$AH$3)+1)+INDEX(June!$C$3:$AH$169,148,MATCH(B170,June!$D$3:$AH$3)+1)-INDEX(June!$B$5:$AH$169,MATCH("Patrick Janssen",June!$B$5:$B$169),MATCH(B170,June!$D$3:$AH$3)+2)-INDEX(June!$B$5:$AH$169,MATCH("Patrick Ziesen",June!$B$5:$B$169),MATCH(B170,June!$D$3:$AH$3)+2)-INDEX(June!$B$5:$AH$169,MATCH("Frido Meijer",June!$B$5:$B$169),MATCH(B170,June!$D$3:$AH$3)+2)</f>
        <v>8</v>
      </c>
      <c r="H170" s="130">
        <f>INDEX(June!$C$3:$AH$169,4,MATCH(B170,June!$D$3:$AH$3)+1)+INDEX(June!$C$3:$AH$169,9,MATCH(B170,June!$D$3:$AH$3)+1)+INDEX(June!$C$3:$AH$169,14,MATCH(B170,June!$D$3:$AH$3)+1)+INDEX(June!$C$3:$AH$169,19,MATCH(B170,June!$D$3:$AH$3)+1)+INDEX(June!$C$3:$AH$169,24,MATCH(B170,June!$D$3:$AH$3)+1)+INDEX(June!$C$3:$AH$169,29,MATCH(B170,June!$D$3:$AH$3)+1)+INDEX(June!$C$3:$AH$169,34,MATCH(B170,June!$D$3:$AH$3)+1)+INDEX(June!$C$3:$AH$169,39,MATCH(B170,June!$D$3:$AH$3)+1)+INDEX(June!$C$3:$AH$169,44,MATCH(B170,June!$D$3:$AH$3)+1)+INDEX(June!$C$3:$AH$169,49,MATCH(B170,June!$D$3:$AH$3)+1)+INDEX(June!$C$3:$AH$169,54,MATCH(B170,June!$D$3:$AH$3)+1)+INDEX(June!$C$3:$AH$169,59,MATCH(B170,June!$D$3:$AH$3)+1)+INDEX(June!$C$3:$AH$169,64,MATCH(B170,June!$D$3:$AH$3)+1)+INDEX(June!$C$3:$AH$169,69,MATCH(B170,June!$D$3:$AH$3)+1)+INDEX(June!$C$3:$AH$169,74,MATCH(B170,June!$D$3:$AH$3)+1)+INDEX(June!$C$3:$AH$169,79,MATCH(B170,June!$D$3:$AH$3)+1)+INDEX(June!$C$3:$AH$169,84,MATCH(B170,June!$D$3:$AH$3)+1)+INDEX(June!$C$3:$AH$169,89,MATCH(B170,June!$D$3:$AH$3)+1)+INDEX(June!$C$3:$AH$169,94,MATCH(B170,June!$D$3:$AH$3)+1)+INDEX(June!$C$3:$AH$169,99,MATCH(B170,June!$D$3:$AH$3)+1)+INDEX(June!$C$3:$AH$169,104,MATCH(B170,June!$D$3:$AH$3)+1)+INDEX(June!$C$3:$AH$169,109,MATCH(B170,June!$D$3:$AH$3)+1)+INDEX(June!$C$3:$AH$169,114,MATCH(B170,June!$D$3:$AH$3)+1)+INDEX(June!$C$3:$AH$169,119,MATCH(B170,June!$D$3:$AH$3)+1)+INDEX(June!$C$3:$AH$169,124,MATCH(B170,June!$D$3:$AH$3)+1)+INDEX(June!$C$3:$AH$169,129,MATCH(B170,June!$D$3:$AH$3)+1)+INDEX(June!$C$3:$AH$169,134,MATCH(B170,June!$D$3:$AH$3)+1)+INDEX(June!$C$3:$AH$169,139,MATCH(B170,June!$D$3:$AH$3)+1)+INDEX(June!$C$3:$AH$169,144,MATCH(B170,June!$D$3:$AH$3)+1)+INDEX(June!$C$3:$AH$169,149,MATCH(B170,June!$D$3:$AH$3)+1)-INDEX(June!$B$5:$AH$169,MATCH("Patrick Janssen",June!$B$5:$B$169)+1,MATCH(B170,June!$D$3:$AH$3)+2)-INDEX(June!$B$5:$AH$169,MATCH("Patrick Ziesen",June!$B$5:$B$169)+1,MATCH(B170,June!$D$3:$AH$3)+2)-INDEX(June!$B$5:$AH$169,MATCH("Frido Meijer",June!$B$5:$B$169)+1,MATCH(B170,June!$D$3:$AH$3)+2)</f>
        <v>0</v>
      </c>
      <c r="I170" s="130">
        <v>0</v>
      </c>
      <c r="J170" s="130">
        <v>0</v>
      </c>
      <c r="L170" s="124"/>
      <c r="M170" s="111"/>
      <c r="N170" s="111">
        <f>IF(L170="",0,6*7.5)</f>
        <v>0</v>
      </c>
      <c r="P170" s="112">
        <f t="shared" si="52"/>
        <v>0</v>
      </c>
      <c r="Q170" s="112">
        <f t="shared" si="53"/>
        <v>0</v>
      </c>
    </row>
    <row r="171" spans="2:17" x14ac:dyDescent="0.25">
      <c r="B171" s="110">
        <f>DATE(Title!$F$12,$S$10,S9)</f>
        <v>41430</v>
      </c>
      <c r="C171" s="111">
        <f>IF(WEEKDAY(B171)=1,0,IF(WEEKDAY(B171)=4,'Hours Scheduled'!$I$44-1,IF(WEEKDAY(B171)=7,0,'Hours Scheduled'!$I$44)))</f>
        <v>20</v>
      </c>
      <c r="D171" s="17">
        <f t="shared" si="54"/>
        <v>150</v>
      </c>
      <c r="E171" s="127">
        <f t="shared" si="55"/>
        <v>152</v>
      </c>
      <c r="F171" s="111"/>
      <c r="G171" s="130">
        <f>INDEX(June!$C$3:$AH$169,3,MATCH(B171,June!$D$3:$AH$3)+1)+INDEX(June!$C$3:$AH$169,8,MATCH(B171,June!$D$3:$AH$3)+1)+INDEX(June!$C$3:$AH$169,13,MATCH(B171,June!$D$3:$AH$3)+1)+INDEX(June!$C$3:$AH$169,18,MATCH(B171,June!$D$3:$AH$3)+1)+INDEX(June!$C$3:$AH$169,23,MATCH(B171,June!$D$3:$AH$3)+1)+INDEX(June!$C$3:$AH$169,28,MATCH(B171,June!$D$3:$AH$3)+1)+INDEX(June!$C$3:$AH$169,33,MATCH(B171,June!$D$3:$AH$3)+1)+INDEX(June!$C$3:$AH$169,38,MATCH(B171,June!$D$3:$AH$3)+1)+INDEX(June!$C$3:$AH$169,43,MATCH(B171,June!$D$3:$AH$3)+1)+INDEX(June!$C$3:$AH$169,48,MATCH(B171,June!$D$3:$AH$3)+1)+INDEX(June!$C$3:$AH$169,53,MATCH(B171,June!$D$3:$AH$3)+1)+INDEX(June!$C$3:$AH$169,58,MATCH(B171,June!$D$3:$AH$3)+1)+INDEX(June!$C$3:$AH$169,63,MATCH(B171,June!$D$3:$AH$3)+1)+INDEX(June!$C$3:$AH$169,68,MATCH(B171,June!$D$3:$AH$3)+1)+INDEX(June!$C$3:$AH$169,73,MATCH(B171,June!$D$3:$AH$3)+1)+INDEX(June!$C$3:$AH$169,78,MATCH(B171,June!$D$3:$AH$3)+1)+INDEX(June!$C$3:$AH$169,83,MATCH(B171,June!$D$3:$AH$3)+1)+INDEX(June!$C$3:$AH$169,88,MATCH(B171,June!$D$3:$AH$3)+1)+INDEX(June!$C$3:$AH$169,93,MATCH(B171,June!$D$3:$AH$3)+1)+INDEX(June!$C$3:$AH$169,98,MATCH(B171,June!$D$3:$AH$3)+1)+INDEX(June!$C$3:$AH$169,103,MATCH(B171,June!$D$3:$AH$3)+1)+INDEX(June!$C$3:$AH$169,108,MATCH(B171,June!$D$3:$AH$3)+1)+INDEX(June!$C$3:$AH$169,113,MATCH(B171,June!$D$3:$AH$3)+1)+INDEX(June!$C$3:$AH$169,118,MATCH(B171,June!$D$3:$AH$3)+1)+INDEX(June!$C$3:$AH$169,123,MATCH(B171,June!$D$3:$AH$3)+1)+INDEX(June!$C$3:$AH$169,128,MATCH(B171,June!$D$3:$AH$3)+1)+INDEX(June!$C$3:$AH$169,133,MATCH(B171,June!$D$3:$AH$3)+1)+INDEX(June!$C$3:$AH$169,138,MATCH(B171,June!$D$3:$AH$3)+1)+INDEX(June!$C$3:$AH$169,143,MATCH(B171,June!$D$3:$AH$3)+1)+INDEX(June!$C$3:$AH$169,148,MATCH(B171,June!$D$3:$AH$3)+1)-INDEX(June!$B$5:$AH$169,MATCH("Patrick Janssen",June!$B$5:$B$169),MATCH(B171,June!$D$3:$AH$3)+2)-INDEX(June!$B$5:$AH$169,MATCH("Patrick Ziesen",June!$B$5:$B$169),MATCH(B171,June!$D$3:$AH$3)+2)-INDEX(June!$B$5:$AH$169,MATCH("Frido Meijer",June!$B$5:$B$169),MATCH(B171,June!$D$3:$AH$3)+2)</f>
        <v>8</v>
      </c>
      <c r="H171" s="130">
        <f>INDEX(June!$C$3:$AH$169,4,MATCH(B171,June!$D$3:$AH$3)+1)+INDEX(June!$C$3:$AH$169,9,MATCH(B171,June!$D$3:$AH$3)+1)+INDEX(June!$C$3:$AH$169,14,MATCH(B171,June!$D$3:$AH$3)+1)+INDEX(June!$C$3:$AH$169,19,MATCH(B171,June!$D$3:$AH$3)+1)+INDEX(June!$C$3:$AH$169,24,MATCH(B171,June!$D$3:$AH$3)+1)+INDEX(June!$C$3:$AH$169,29,MATCH(B171,June!$D$3:$AH$3)+1)+INDEX(June!$C$3:$AH$169,34,MATCH(B171,June!$D$3:$AH$3)+1)+INDEX(June!$C$3:$AH$169,39,MATCH(B171,June!$D$3:$AH$3)+1)+INDEX(June!$C$3:$AH$169,44,MATCH(B171,June!$D$3:$AH$3)+1)+INDEX(June!$C$3:$AH$169,49,MATCH(B171,June!$D$3:$AH$3)+1)+INDEX(June!$C$3:$AH$169,54,MATCH(B171,June!$D$3:$AH$3)+1)+INDEX(June!$C$3:$AH$169,59,MATCH(B171,June!$D$3:$AH$3)+1)+INDEX(June!$C$3:$AH$169,64,MATCH(B171,June!$D$3:$AH$3)+1)+INDEX(June!$C$3:$AH$169,69,MATCH(B171,June!$D$3:$AH$3)+1)+INDEX(June!$C$3:$AH$169,74,MATCH(B171,June!$D$3:$AH$3)+1)+INDEX(June!$C$3:$AH$169,79,MATCH(B171,June!$D$3:$AH$3)+1)+INDEX(June!$C$3:$AH$169,84,MATCH(B171,June!$D$3:$AH$3)+1)+INDEX(June!$C$3:$AH$169,89,MATCH(B171,June!$D$3:$AH$3)+1)+INDEX(June!$C$3:$AH$169,94,MATCH(B171,June!$D$3:$AH$3)+1)+INDEX(June!$C$3:$AH$169,99,MATCH(B171,June!$D$3:$AH$3)+1)+INDEX(June!$C$3:$AH$169,104,MATCH(B171,June!$D$3:$AH$3)+1)+INDEX(June!$C$3:$AH$169,109,MATCH(B171,June!$D$3:$AH$3)+1)+INDEX(June!$C$3:$AH$169,114,MATCH(B171,June!$D$3:$AH$3)+1)+INDEX(June!$C$3:$AH$169,119,MATCH(B171,June!$D$3:$AH$3)+1)+INDEX(June!$C$3:$AH$169,124,MATCH(B171,June!$D$3:$AH$3)+1)+INDEX(June!$C$3:$AH$169,129,MATCH(B171,June!$D$3:$AH$3)+1)+INDEX(June!$C$3:$AH$169,134,MATCH(B171,June!$D$3:$AH$3)+1)+INDEX(June!$C$3:$AH$169,139,MATCH(B171,June!$D$3:$AH$3)+1)+INDEX(June!$C$3:$AH$169,144,MATCH(B171,June!$D$3:$AH$3)+1)+INDEX(June!$C$3:$AH$169,149,MATCH(B171,June!$D$3:$AH$3)+1)-INDEX(June!$B$5:$AH$169,MATCH("Patrick Janssen",June!$B$5:$B$169)+1,MATCH(B171,June!$D$3:$AH$3)+2)-INDEX(June!$B$5:$AH$169,MATCH("Patrick Ziesen",June!$B$5:$B$169)+1,MATCH(B171,June!$D$3:$AH$3)+2)-INDEX(June!$B$5:$AH$169,MATCH("Frido Meijer",June!$B$5:$B$169)+1,MATCH(B171,June!$D$3:$AH$3)+2)</f>
        <v>0</v>
      </c>
      <c r="I171" s="130">
        <v>0</v>
      </c>
      <c r="J171" s="130">
        <v>0</v>
      </c>
      <c r="L171" s="124"/>
      <c r="M171" s="111"/>
      <c r="N171" s="111">
        <f t="shared" ref="N171:N196" si="56">IF(L171="",0,6*7.5)</f>
        <v>0</v>
      </c>
      <c r="P171" s="112">
        <f t="shared" si="52"/>
        <v>0</v>
      </c>
      <c r="Q171" s="112">
        <f t="shared" si="53"/>
        <v>0</v>
      </c>
    </row>
    <row r="172" spans="2:17" x14ac:dyDescent="0.25">
      <c r="B172" s="110">
        <f>DATE(Title!$F$12,$S$10,S10)</f>
        <v>41431</v>
      </c>
      <c r="C172" s="111">
        <f>IF(WEEKDAY(B172)=1,0,IF(WEEKDAY(B172)=4,'Hours Scheduled'!$I$44-1,IF(WEEKDAY(B172)=7,0,'Hours Scheduled'!$I$44)))</f>
        <v>21</v>
      </c>
      <c r="D172" s="17">
        <f t="shared" si="54"/>
        <v>157.5</v>
      </c>
      <c r="E172" s="127">
        <f t="shared" si="55"/>
        <v>156</v>
      </c>
      <c r="F172" s="111"/>
      <c r="G172" s="130">
        <f>INDEX(June!$C$3:$AH$169,3,MATCH(B172,June!$D$3:$AH$3)+1)+INDEX(June!$C$3:$AH$169,8,MATCH(B172,June!$D$3:$AH$3)+1)+INDEX(June!$C$3:$AH$169,13,MATCH(B172,June!$D$3:$AH$3)+1)+INDEX(June!$C$3:$AH$169,18,MATCH(B172,June!$D$3:$AH$3)+1)+INDEX(June!$C$3:$AH$169,23,MATCH(B172,June!$D$3:$AH$3)+1)+INDEX(June!$C$3:$AH$169,28,MATCH(B172,June!$D$3:$AH$3)+1)+INDEX(June!$C$3:$AH$169,33,MATCH(B172,June!$D$3:$AH$3)+1)+INDEX(June!$C$3:$AH$169,38,MATCH(B172,June!$D$3:$AH$3)+1)+INDEX(June!$C$3:$AH$169,43,MATCH(B172,June!$D$3:$AH$3)+1)+INDEX(June!$C$3:$AH$169,48,MATCH(B172,June!$D$3:$AH$3)+1)+INDEX(June!$C$3:$AH$169,53,MATCH(B172,June!$D$3:$AH$3)+1)+INDEX(June!$C$3:$AH$169,58,MATCH(B172,June!$D$3:$AH$3)+1)+INDEX(June!$C$3:$AH$169,63,MATCH(B172,June!$D$3:$AH$3)+1)+INDEX(June!$C$3:$AH$169,68,MATCH(B172,June!$D$3:$AH$3)+1)+INDEX(June!$C$3:$AH$169,73,MATCH(B172,June!$D$3:$AH$3)+1)+INDEX(June!$C$3:$AH$169,78,MATCH(B172,June!$D$3:$AH$3)+1)+INDEX(June!$C$3:$AH$169,83,MATCH(B172,June!$D$3:$AH$3)+1)+INDEX(June!$C$3:$AH$169,88,MATCH(B172,June!$D$3:$AH$3)+1)+INDEX(June!$C$3:$AH$169,93,MATCH(B172,June!$D$3:$AH$3)+1)+INDEX(June!$C$3:$AH$169,98,MATCH(B172,June!$D$3:$AH$3)+1)+INDEX(June!$C$3:$AH$169,103,MATCH(B172,June!$D$3:$AH$3)+1)+INDEX(June!$C$3:$AH$169,108,MATCH(B172,June!$D$3:$AH$3)+1)+INDEX(June!$C$3:$AH$169,113,MATCH(B172,June!$D$3:$AH$3)+1)+INDEX(June!$C$3:$AH$169,118,MATCH(B172,June!$D$3:$AH$3)+1)+INDEX(June!$C$3:$AH$169,123,MATCH(B172,June!$D$3:$AH$3)+1)+INDEX(June!$C$3:$AH$169,128,MATCH(B172,June!$D$3:$AH$3)+1)+INDEX(June!$C$3:$AH$169,133,MATCH(B172,June!$D$3:$AH$3)+1)+INDEX(June!$C$3:$AH$169,138,MATCH(B172,June!$D$3:$AH$3)+1)+INDEX(June!$C$3:$AH$169,143,MATCH(B172,June!$D$3:$AH$3)+1)+INDEX(June!$C$3:$AH$169,148,MATCH(B172,June!$D$3:$AH$3)+1)-INDEX(June!$B$5:$AH$169,MATCH("Patrick Janssen",June!$B$5:$B$169),MATCH(B172,June!$D$3:$AH$3)+2)-INDEX(June!$B$5:$AH$169,MATCH("Patrick Ziesen",June!$B$5:$B$169),MATCH(B172,June!$D$3:$AH$3)+2)-INDEX(June!$B$5:$AH$169,MATCH("Frido Meijer",June!$B$5:$B$169),MATCH(B172,June!$D$3:$AH$3)+2)</f>
        <v>12</v>
      </c>
      <c r="H172" s="130">
        <f>INDEX(June!$C$3:$AH$169,4,MATCH(B172,June!$D$3:$AH$3)+1)+INDEX(June!$C$3:$AH$169,9,MATCH(B172,June!$D$3:$AH$3)+1)+INDEX(June!$C$3:$AH$169,14,MATCH(B172,June!$D$3:$AH$3)+1)+INDEX(June!$C$3:$AH$169,19,MATCH(B172,June!$D$3:$AH$3)+1)+INDEX(June!$C$3:$AH$169,24,MATCH(B172,June!$D$3:$AH$3)+1)+INDEX(June!$C$3:$AH$169,29,MATCH(B172,June!$D$3:$AH$3)+1)+INDEX(June!$C$3:$AH$169,34,MATCH(B172,June!$D$3:$AH$3)+1)+INDEX(June!$C$3:$AH$169,39,MATCH(B172,June!$D$3:$AH$3)+1)+INDEX(June!$C$3:$AH$169,44,MATCH(B172,June!$D$3:$AH$3)+1)+INDEX(June!$C$3:$AH$169,49,MATCH(B172,June!$D$3:$AH$3)+1)+INDEX(June!$C$3:$AH$169,54,MATCH(B172,June!$D$3:$AH$3)+1)+INDEX(June!$C$3:$AH$169,59,MATCH(B172,June!$D$3:$AH$3)+1)+INDEX(June!$C$3:$AH$169,64,MATCH(B172,June!$D$3:$AH$3)+1)+INDEX(June!$C$3:$AH$169,69,MATCH(B172,June!$D$3:$AH$3)+1)+INDEX(June!$C$3:$AH$169,74,MATCH(B172,June!$D$3:$AH$3)+1)+INDEX(June!$C$3:$AH$169,79,MATCH(B172,June!$D$3:$AH$3)+1)+INDEX(June!$C$3:$AH$169,84,MATCH(B172,June!$D$3:$AH$3)+1)+INDEX(June!$C$3:$AH$169,89,MATCH(B172,June!$D$3:$AH$3)+1)+INDEX(June!$C$3:$AH$169,94,MATCH(B172,June!$D$3:$AH$3)+1)+INDEX(June!$C$3:$AH$169,99,MATCH(B172,June!$D$3:$AH$3)+1)+INDEX(June!$C$3:$AH$169,104,MATCH(B172,June!$D$3:$AH$3)+1)+INDEX(June!$C$3:$AH$169,109,MATCH(B172,June!$D$3:$AH$3)+1)+INDEX(June!$C$3:$AH$169,114,MATCH(B172,June!$D$3:$AH$3)+1)+INDEX(June!$C$3:$AH$169,119,MATCH(B172,June!$D$3:$AH$3)+1)+INDEX(June!$C$3:$AH$169,124,MATCH(B172,June!$D$3:$AH$3)+1)+INDEX(June!$C$3:$AH$169,129,MATCH(B172,June!$D$3:$AH$3)+1)+INDEX(June!$C$3:$AH$169,134,MATCH(B172,June!$D$3:$AH$3)+1)+INDEX(June!$C$3:$AH$169,139,MATCH(B172,June!$D$3:$AH$3)+1)+INDEX(June!$C$3:$AH$169,144,MATCH(B172,June!$D$3:$AH$3)+1)+INDEX(June!$C$3:$AH$169,149,MATCH(B172,June!$D$3:$AH$3)+1)-INDEX(June!$B$5:$AH$169,MATCH("Patrick Janssen",June!$B$5:$B$169)+1,MATCH(B172,June!$D$3:$AH$3)+2)-INDEX(June!$B$5:$AH$169,MATCH("Patrick Ziesen",June!$B$5:$B$169)+1,MATCH(B172,June!$D$3:$AH$3)+2)-INDEX(June!$B$5:$AH$169,MATCH("Frido Meijer",June!$B$5:$B$169)+1,MATCH(B172,June!$D$3:$AH$3)+2)</f>
        <v>0</v>
      </c>
      <c r="I172" s="130">
        <v>0</v>
      </c>
      <c r="J172" s="130">
        <v>0</v>
      </c>
      <c r="L172" s="124"/>
      <c r="M172" s="111"/>
      <c r="N172" s="111">
        <f t="shared" si="56"/>
        <v>0</v>
      </c>
      <c r="P172" s="112">
        <f t="shared" si="52"/>
        <v>0</v>
      </c>
      <c r="Q172" s="112">
        <f t="shared" si="53"/>
        <v>0</v>
      </c>
    </row>
    <row r="173" spans="2:17" x14ac:dyDescent="0.25">
      <c r="B173" s="110">
        <f>DATE(Title!$F$12,$S$10,S11)</f>
        <v>41432</v>
      </c>
      <c r="C173" s="111">
        <f>IF(WEEKDAY(B173)=1,0,IF(WEEKDAY(B173)=4,'Hours Scheduled'!$I$44-1,IF(WEEKDAY(B173)=7,0,'Hours Scheduled'!$I$44)))</f>
        <v>21</v>
      </c>
      <c r="D173" s="17">
        <f t="shared" si="54"/>
        <v>157.5</v>
      </c>
      <c r="E173" s="127">
        <f t="shared" si="55"/>
        <v>129.5</v>
      </c>
      <c r="F173" s="111"/>
      <c r="G173" s="130">
        <f>INDEX(June!$C$3:$AH$169,3,MATCH(B173,June!$D$3:$AH$3)+1)+INDEX(June!$C$3:$AH$169,8,MATCH(B173,June!$D$3:$AH$3)+1)+INDEX(June!$C$3:$AH$169,13,MATCH(B173,June!$D$3:$AH$3)+1)+INDEX(June!$C$3:$AH$169,18,MATCH(B173,June!$D$3:$AH$3)+1)+INDEX(June!$C$3:$AH$169,23,MATCH(B173,June!$D$3:$AH$3)+1)+INDEX(June!$C$3:$AH$169,28,MATCH(B173,June!$D$3:$AH$3)+1)+INDEX(June!$C$3:$AH$169,33,MATCH(B173,June!$D$3:$AH$3)+1)+INDEX(June!$C$3:$AH$169,38,MATCH(B173,June!$D$3:$AH$3)+1)+INDEX(June!$C$3:$AH$169,43,MATCH(B173,June!$D$3:$AH$3)+1)+INDEX(June!$C$3:$AH$169,48,MATCH(B173,June!$D$3:$AH$3)+1)+INDEX(June!$C$3:$AH$169,53,MATCH(B173,June!$D$3:$AH$3)+1)+INDEX(June!$C$3:$AH$169,58,MATCH(B173,June!$D$3:$AH$3)+1)+INDEX(June!$C$3:$AH$169,63,MATCH(B173,June!$D$3:$AH$3)+1)+INDEX(June!$C$3:$AH$169,68,MATCH(B173,June!$D$3:$AH$3)+1)+INDEX(June!$C$3:$AH$169,73,MATCH(B173,June!$D$3:$AH$3)+1)+INDEX(June!$C$3:$AH$169,78,MATCH(B173,June!$D$3:$AH$3)+1)+INDEX(June!$C$3:$AH$169,83,MATCH(B173,June!$D$3:$AH$3)+1)+INDEX(June!$C$3:$AH$169,88,MATCH(B173,June!$D$3:$AH$3)+1)+INDEX(June!$C$3:$AH$169,93,MATCH(B173,June!$D$3:$AH$3)+1)+INDEX(June!$C$3:$AH$169,98,MATCH(B173,June!$D$3:$AH$3)+1)+INDEX(June!$C$3:$AH$169,103,MATCH(B173,June!$D$3:$AH$3)+1)+INDEX(June!$C$3:$AH$169,108,MATCH(B173,June!$D$3:$AH$3)+1)+INDEX(June!$C$3:$AH$169,113,MATCH(B173,June!$D$3:$AH$3)+1)+INDEX(June!$C$3:$AH$169,118,MATCH(B173,June!$D$3:$AH$3)+1)+INDEX(June!$C$3:$AH$169,123,MATCH(B173,June!$D$3:$AH$3)+1)+INDEX(June!$C$3:$AH$169,128,MATCH(B173,June!$D$3:$AH$3)+1)+INDEX(June!$C$3:$AH$169,133,MATCH(B173,June!$D$3:$AH$3)+1)+INDEX(June!$C$3:$AH$169,138,MATCH(B173,June!$D$3:$AH$3)+1)+INDEX(June!$C$3:$AH$169,143,MATCH(B173,June!$D$3:$AH$3)+1)+INDEX(June!$C$3:$AH$169,148,MATCH(B173,June!$D$3:$AH$3)+1)-INDEX(June!$B$5:$AH$169,MATCH("Patrick Janssen",June!$B$5:$B$169),MATCH(B173,June!$D$3:$AH$3)+2)-INDEX(June!$B$5:$AH$169,MATCH("Patrick Ziesen",June!$B$5:$B$169),MATCH(B173,June!$D$3:$AH$3)+2)-INDEX(June!$B$5:$AH$169,MATCH("Frido Meijer",June!$B$5:$B$169),MATCH(B173,June!$D$3:$AH$3)+2)</f>
        <v>38.5</v>
      </c>
      <c r="H173" s="130">
        <f>INDEX(June!$C$3:$AH$169,4,MATCH(B173,June!$D$3:$AH$3)+1)+INDEX(June!$C$3:$AH$169,9,MATCH(B173,June!$D$3:$AH$3)+1)+INDEX(June!$C$3:$AH$169,14,MATCH(B173,June!$D$3:$AH$3)+1)+INDEX(June!$C$3:$AH$169,19,MATCH(B173,June!$D$3:$AH$3)+1)+INDEX(June!$C$3:$AH$169,24,MATCH(B173,June!$D$3:$AH$3)+1)+INDEX(June!$C$3:$AH$169,29,MATCH(B173,June!$D$3:$AH$3)+1)+INDEX(June!$C$3:$AH$169,34,MATCH(B173,June!$D$3:$AH$3)+1)+INDEX(June!$C$3:$AH$169,39,MATCH(B173,June!$D$3:$AH$3)+1)+INDEX(June!$C$3:$AH$169,44,MATCH(B173,June!$D$3:$AH$3)+1)+INDEX(June!$C$3:$AH$169,49,MATCH(B173,June!$D$3:$AH$3)+1)+INDEX(June!$C$3:$AH$169,54,MATCH(B173,June!$D$3:$AH$3)+1)+INDEX(June!$C$3:$AH$169,59,MATCH(B173,June!$D$3:$AH$3)+1)+INDEX(June!$C$3:$AH$169,64,MATCH(B173,June!$D$3:$AH$3)+1)+INDEX(June!$C$3:$AH$169,69,MATCH(B173,June!$D$3:$AH$3)+1)+INDEX(June!$C$3:$AH$169,74,MATCH(B173,June!$D$3:$AH$3)+1)+INDEX(June!$C$3:$AH$169,79,MATCH(B173,June!$D$3:$AH$3)+1)+INDEX(June!$C$3:$AH$169,84,MATCH(B173,June!$D$3:$AH$3)+1)+INDEX(June!$C$3:$AH$169,89,MATCH(B173,June!$D$3:$AH$3)+1)+INDEX(June!$C$3:$AH$169,94,MATCH(B173,June!$D$3:$AH$3)+1)+INDEX(June!$C$3:$AH$169,99,MATCH(B173,June!$D$3:$AH$3)+1)+INDEX(June!$C$3:$AH$169,104,MATCH(B173,June!$D$3:$AH$3)+1)+INDEX(June!$C$3:$AH$169,109,MATCH(B173,June!$D$3:$AH$3)+1)+INDEX(June!$C$3:$AH$169,114,MATCH(B173,June!$D$3:$AH$3)+1)+INDEX(June!$C$3:$AH$169,119,MATCH(B173,June!$D$3:$AH$3)+1)+INDEX(June!$C$3:$AH$169,124,MATCH(B173,June!$D$3:$AH$3)+1)+INDEX(June!$C$3:$AH$169,129,MATCH(B173,June!$D$3:$AH$3)+1)+INDEX(June!$C$3:$AH$169,134,MATCH(B173,June!$D$3:$AH$3)+1)+INDEX(June!$C$3:$AH$169,139,MATCH(B173,June!$D$3:$AH$3)+1)+INDEX(June!$C$3:$AH$169,144,MATCH(B173,June!$D$3:$AH$3)+1)+INDEX(June!$C$3:$AH$169,149,MATCH(B173,June!$D$3:$AH$3)+1)-INDEX(June!$B$5:$AH$169,MATCH("Patrick Janssen",June!$B$5:$B$169)+1,MATCH(B173,June!$D$3:$AH$3)+2)-INDEX(June!$B$5:$AH$169,MATCH("Patrick Ziesen",June!$B$5:$B$169)+1,MATCH(B173,June!$D$3:$AH$3)+2)-INDEX(June!$B$5:$AH$169,MATCH("Frido Meijer",June!$B$5:$B$169)+1,MATCH(B173,June!$D$3:$AH$3)+2)</f>
        <v>0</v>
      </c>
      <c r="I173" s="130">
        <v>0</v>
      </c>
      <c r="J173" s="130">
        <v>0</v>
      </c>
      <c r="L173" s="124"/>
      <c r="M173" s="111"/>
      <c r="N173" s="111">
        <f t="shared" si="56"/>
        <v>0</v>
      </c>
      <c r="P173" s="112">
        <f t="shared" si="52"/>
        <v>0</v>
      </c>
      <c r="Q173" s="112">
        <f t="shared" si="53"/>
        <v>0</v>
      </c>
    </row>
    <row r="174" spans="2:17" x14ac:dyDescent="0.25">
      <c r="B174" s="110">
        <f>DATE(Title!$F$12,$S$10,S12)</f>
        <v>41433</v>
      </c>
      <c r="C174" s="111">
        <f>IF(WEEKDAY(B174)=1,0,IF(WEEKDAY(B174)=4,'Hours Scheduled'!$I$44-1,IF(WEEKDAY(B174)=7,0,'Hours Scheduled'!$I$44)))</f>
        <v>0</v>
      </c>
      <c r="D174" s="17">
        <f t="shared" si="54"/>
        <v>0</v>
      </c>
      <c r="E174" s="127">
        <f t="shared" si="55"/>
        <v>0</v>
      </c>
      <c r="F174" s="111"/>
      <c r="G174" s="130">
        <f>INDEX(June!$C$3:$AH$169,3,MATCH(B174,June!$D$3:$AH$3)+1)+INDEX(June!$C$3:$AH$169,8,MATCH(B174,June!$D$3:$AH$3)+1)+INDEX(June!$C$3:$AH$169,13,MATCH(B174,June!$D$3:$AH$3)+1)+INDEX(June!$C$3:$AH$169,18,MATCH(B174,June!$D$3:$AH$3)+1)+INDEX(June!$C$3:$AH$169,23,MATCH(B174,June!$D$3:$AH$3)+1)+INDEX(June!$C$3:$AH$169,28,MATCH(B174,June!$D$3:$AH$3)+1)+INDEX(June!$C$3:$AH$169,33,MATCH(B174,June!$D$3:$AH$3)+1)+INDEX(June!$C$3:$AH$169,38,MATCH(B174,June!$D$3:$AH$3)+1)+INDEX(June!$C$3:$AH$169,43,MATCH(B174,June!$D$3:$AH$3)+1)+INDEX(June!$C$3:$AH$169,48,MATCH(B174,June!$D$3:$AH$3)+1)+INDEX(June!$C$3:$AH$169,53,MATCH(B174,June!$D$3:$AH$3)+1)+INDEX(June!$C$3:$AH$169,58,MATCH(B174,June!$D$3:$AH$3)+1)+INDEX(June!$C$3:$AH$169,63,MATCH(B174,June!$D$3:$AH$3)+1)+INDEX(June!$C$3:$AH$169,68,MATCH(B174,June!$D$3:$AH$3)+1)+INDEX(June!$C$3:$AH$169,73,MATCH(B174,June!$D$3:$AH$3)+1)+INDEX(June!$C$3:$AH$169,78,MATCH(B174,June!$D$3:$AH$3)+1)+INDEX(June!$C$3:$AH$169,83,MATCH(B174,June!$D$3:$AH$3)+1)+INDEX(June!$C$3:$AH$169,88,MATCH(B174,June!$D$3:$AH$3)+1)+INDEX(June!$C$3:$AH$169,93,MATCH(B174,June!$D$3:$AH$3)+1)+INDEX(June!$C$3:$AH$169,98,MATCH(B174,June!$D$3:$AH$3)+1)+INDEX(June!$C$3:$AH$169,103,MATCH(B174,June!$D$3:$AH$3)+1)+INDEX(June!$C$3:$AH$169,108,MATCH(B174,June!$D$3:$AH$3)+1)+INDEX(June!$C$3:$AH$169,113,MATCH(B174,June!$D$3:$AH$3)+1)+INDEX(June!$C$3:$AH$169,118,MATCH(B174,June!$D$3:$AH$3)+1)+INDEX(June!$C$3:$AH$169,123,MATCH(B174,June!$D$3:$AH$3)+1)+INDEX(June!$C$3:$AH$169,128,MATCH(B174,June!$D$3:$AH$3)+1)+INDEX(June!$C$3:$AH$169,133,MATCH(B174,June!$D$3:$AH$3)+1)+INDEX(June!$C$3:$AH$169,138,MATCH(B174,June!$D$3:$AH$3)+1)+INDEX(June!$C$3:$AH$169,143,MATCH(B174,June!$D$3:$AH$3)+1)+INDEX(June!$C$3:$AH$169,148,MATCH(B174,June!$D$3:$AH$3)+1)-INDEX(June!$B$5:$AH$169,MATCH("Patrick Janssen",June!$B$5:$B$169),MATCH(B174,June!$D$3:$AH$3)+2)-INDEX(June!$B$5:$AH$169,MATCH("Patrick Ziesen",June!$B$5:$B$169),MATCH(B174,June!$D$3:$AH$3)+2)-INDEX(June!$B$5:$AH$169,MATCH("Frido Meijer",June!$B$5:$B$169),MATCH(B174,June!$D$3:$AH$3)+2)</f>
        <v>0</v>
      </c>
      <c r="H174" s="130">
        <f>INDEX(June!$C$3:$AH$169,4,MATCH(B174,June!$D$3:$AH$3)+1)+INDEX(June!$C$3:$AH$169,9,MATCH(B174,June!$D$3:$AH$3)+1)+INDEX(June!$C$3:$AH$169,14,MATCH(B174,June!$D$3:$AH$3)+1)+INDEX(June!$C$3:$AH$169,19,MATCH(B174,June!$D$3:$AH$3)+1)+INDEX(June!$C$3:$AH$169,24,MATCH(B174,June!$D$3:$AH$3)+1)+INDEX(June!$C$3:$AH$169,29,MATCH(B174,June!$D$3:$AH$3)+1)+INDEX(June!$C$3:$AH$169,34,MATCH(B174,June!$D$3:$AH$3)+1)+INDEX(June!$C$3:$AH$169,39,MATCH(B174,June!$D$3:$AH$3)+1)+INDEX(June!$C$3:$AH$169,44,MATCH(B174,June!$D$3:$AH$3)+1)+INDEX(June!$C$3:$AH$169,49,MATCH(B174,June!$D$3:$AH$3)+1)+INDEX(June!$C$3:$AH$169,54,MATCH(B174,June!$D$3:$AH$3)+1)+INDEX(June!$C$3:$AH$169,59,MATCH(B174,June!$D$3:$AH$3)+1)+INDEX(June!$C$3:$AH$169,64,MATCH(B174,June!$D$3:$AH$3)+1)+INDEX(June!$C$3:$AH$169,69,MATCH(B174,June!$D$3:$AH$3)+1)+INDEX(June!$C$3:$AH$169,74,MATCH(B174,June!$D$3:$AH$3)+1)+INDEX(June!$C$3:$AH$169,79,MATCH(B174,June!$D$3:$AH$3)+1)+INDEX(June!$C$3:$AH$169,84,MATCH(B174,June!$D$3:$AH$3)+1)+INDEX(June!$C$3:$AH$169,89,MATCH(B174,June!$D$3:$AH$3)+1)+INDEX(June!$C$3:$AH$169,94,MATCH(B174,June!$D$3:$AH$3)+1)+INDEX(June!$C$3:$AH$169,99,MATCH(B174,June!$D$3:$AH$3)+1)+INDEX(June!$C$3:$AH$169,104,MATCH(B174,June!$D$3:$AH$3)+1)+INDEX(June!$C$3:$AH$169,109,MATCH(B174,June!$D$3:$AH$3)+1)+INDEX(June!$C$3:$AH$169,114,MATCH(B174,June!$D$3:$AH$3)+1)+INDEX(June!$C$3:$AH$169,119,MATCH(B174,June!$D$3:$AH$3)+1)+INDEX(June!$C$3:$AH$169,124,MATCH(B174,June!$D$3:$AH$3)+1)+INDEX(June!$C$3:$AH$169,129,MATCH(B174,June!$D$3:$AH$3)+1)+INDEX(June!$C$3:$AH$169,134,MATCH(B174,June!$D$3:$AH$3)+1)+INDEX(June!$C$3:$AH$169,139,MATCH(B174,June!$D$3:$AH$3)+1)+INDEX(June!$C$3:$AH$169,144,MATCH(B174,June!$D$3:$AH$3)+1)+INDEX(June!$C$3:$AH$169,149,MATCH(B174,June!$D$3:$AH$3)+1)-INDEX(June!$B$5:$AH$169,MATCH("Patrick Janssen",June!$B$5:$B$169)+1,MATCH(B174,June!$D$3:$AH$3)+2)-INDEX(June!$B$5:$AH$169,MATCH("Patrick Ziesen",June!$B$5:$B$169)+1,MATCH(B174,June!$D$3:$AH$3)+2)-INDEX(June!$B$5:$AH$169,MATCH("Frido Meijer",June!$B$5:$B$169)+1,MATCH(B174,June!$D$3:$AH$3)+2)</f>
        <v>0</v>
      </c>
      <c r="I174" s="130">
        <v>0</v>
      </c>
      <c r="J174" s="130">
        <v>0</v>
      </c>
      <c r="L174" s="124"/>
      <c r="M174" s="111"/>
      <c r="N174" s="111">
        <f t="shared" si="56"/>
        <v>0</v>
      </c>
      <c r="P174" s="112" t="str">
        <f t="shared" si="52"/>
        <v/>
      </c>
      <c r="Q174" s="112" t="str">
        <f t="shared" si="53"/>
        <v/>
      </c>
    </row>
    <row r="175" spans="2:17" x14ac:dyDescent="0.25">
      <c r="B175" s="110">
        <f>DATE(Title!$F$12,$S$10,S13)</f>
        <v>41434</v>
      </c>
      <c r="C175" s="111">
        <f>IF(WEEKDAY(B175)=1,0,IF(WEEKDAY(B175)=4,'Hours Scheduled'!$I$44-1,IF(WEEKDAY(B175)=7,0,'Hours Scheduled'!$I$44)))</f>
        <v>0</v>
      </c>
      <c r="D175" s="17">
        <f t="shared" si="54"/>
        <v>0</v>
      </c>
      <c r="E175" s="127">
        <f t="shared" si="55"/>
        <v>0</v>
      </c>
      <c r="F175" s="111"/>
      <c r="G175" s="130">
        <f>INDEX(June!$C$3:$AH$169,3,MATCH(B175,June!$D$3:$AH$3)+1)+INDEX(June!$C$3:$AH$169,8,MATCH(B175,June!$D$3:$AH$3)+1)+INDEX(June!$C$3:$AH$169,13,MATCH(B175,June!$D$3:$AH$3)+1)+INDEX(June!$C$3:$AH$169,18,MATCH(B175,June!$D$3:$AH$3)+1)+INDEX(June!$C$3:$AH$169,23,MATCH(B175,June!$D$3:$AH$3)+1)+INDEX(June!$C$3:$AH$169,28,MATCH(B175,June!$D$3:$AH$3)+1)+INDEX(June!$C$3:$AH$169,33,MATCH(B175,June!$D$3:$AH$3)+1)+INDEX(June!$C$3:$AH$169,38,MATCH(B175,June!$D$3:$AH$3)+1)+INDEX(June!$C$3:$AH$169,43,MATCH(B175,June!$D$3:$AH$3)+1)+INDEX(June!$C$3:$AH$169,48,MATCH(B175,June!$D$3:$AH$3)+1)+INDEX(June!$C$3:$AH$169,53,MATCH(B175,June!$D$3:$AH$3)+1)+INDEX(June!$C$3:$AH$169,58,MATCH(B175,June!$D$3:$AH$3)+1)+INDEX(June!$C$3:$AH$169,63,MATCH(B175,June!$D$3:$AH$3)+1)+INDEX(June!$C$3:$AH$169,68,MATCH(B175,June!$D$3:$AH$3)+1)+INDEX(June!$C$3:$AH$169,73,MATCH(B175,June!$D$3:$AH$3)+1)+INDEX(June!$C$3:$AH$169,78,MATCH(B175,June!$D$3:$AH$3)+1)+INDEX(June!$C$3:$AH$169,83,MATCH(B175,June!$D$3:$AH$3)+1)+INDEX(June!$C$3:$AH$169,88,MATCH(B175,June!$D$3:$AH$3)+1)+INDEX(June!$C$3:$AH$169,93,MATCH(B175,June!$D$3:$AH$3)+1)+INDEX(June!$C$3:$AH$169,98,MATCH(B175,June!$D$3:$AH$3)+1)+INDEX(June!$C$3:$AH$169,103,MATCH(B175,June!$D$3:$AH$3)+1)+INDEX(June!$C$3:$AH$169,108,MATCH(B175,June!$D$3:$AH$3)+1)+INDEX(June!$C$3:$AH$169,113,MATCH(B175,June!$D$3:$AH$3)+1)+INDEX(June!$C$3:$AH$169,118,MATCH(B175,June!$D$3:$AH$3)+1)+INDEX(June!$C$3:$AH$169,123,MATCH(B175,June!$D$3:$AH$3)+1)+INDEX(June!$C$3:$AH$169,128,MATCH(B175,June!$D$3:$AH$3)+1)+INDEX(June!$C$3:$AH$169,133,MATCH(B175,June!$D$3:$AH$3)+1)+INDEX(June!$C$3:$AH$169,138,MATCH(B175,June!$D$3:$AH$3)+1)+INDEX(June!$C$3:$AH$169,143,MATCH(B175,June!$D$3:$AH$3)+1)+INDEX(June!$C$3:$AH$169,148,MATCH(B175,June!$D$3:$AH$3)+1)-INDEX(June!$B$5:$AH$169,MATCH("Patrick Janssen",June!$B$5:$B$169),MATCH(B175,June!$D$3:$AH$3)+2)-INDEX(June!$B$5:$AH$169,MATCH("Patrick Ziesen",June!$B$5:$B$169),MATCH(B175,June!$D$3:$AH$3)+2)-INDEX(June!$B$5:$AH$169,MATCH("Frido Meijer",June!$B$5:$B$169),MATCH(B175,June!$D$3:$AH$3)+2)</f>
        <v>0</v>
      </c>
      <c r="H175" s="130">
        <f>INDEX(June!$C$3:$AH$169,4,MATCH(B175,June!$D$3:$AH$3)+1)+INDEX(June!$C$3:$AH$169,9,MATCH(B175,June!$D$3:$AH$3)+1)+INDEX(June!$C$3:$AH$169,14,MATCH(B175,June!$D$3:$AH$3)+1)+INDEX(June!$C$3:$AH$169,19,MATCH(B175,June!$D$3:$AH$3)+1)+INDEX(June!$C$3:$AH$169,24,MATCH(B175,June!$D$3:$AH$3)+1)+INDEX(June!$C$3:$AH$169,29,MATCH(B175,June!$D$3:$AH$3)+1)+INDEX(June!$C$3:$AH$169,34,MATCH(B175,June!$D$3:$AH$3)+1)+INDEX(June!$C$3:$AH$169,39,MATCH(B175,June!$D$3:$AH$3)+1)+INDEX(June!$C$3:$AH$169,44,MATCH(B175,June!$D$3:$AH$3)+1)+INDEX(June!$C$3:$AH$169,49,MATCH(B175,June!$D$3:$AH$3)+1)+INDEX(June!$C$3:$AH$169,54,MATCH(B175,June!$D$3:$AH$3)+1)+INDEX(June!$C$3:$AH$169,59,MATCH(B175,June!$D$3:$AH$3)+1)+INDEX(June!$C$3:$AH$169,64,MATCH(B175,June!$D$3:$AH$3)+1)+INDEX(June!$C$3:$AH$169,69,MATCH(B175,June!$D$3:$AH$3)+1)+INDEX(June!$C$3:$AH$169,74,MATCH(B175,June!$D$3:$AH$3)+1)+INDEX(June!$C$3:$AH$169,79,MATCH(B175,June!$D$3:$AH$3)+1)+INDEX(June!$C$3:$AH$169,84,MATCH(B175,June!$D$3:$AH$3)+1)+INDEX(June!$C$3:$AH$169,89,MATCH(B175,June!$D$3:$AH$3)+1)+INDEX(June!$C$3:$AH$169,94,MATCH(B175,June!$D$3:$AH$3)+1)+INDEX(June!$C$3:$AH$169,99,MATCH(B175,June!$D$3:$AH$3)+1)+INDEX(June!$C$3:$AH$169,104,MATCH(B175,June!$D$3:$AH$3)+1)+INDEX(June!$C$3:$AH$169,109,MATCH(B175,June!$D$3:$AH$3)+1)+INDEX(June!$C$3:$AH$169,114,MATCH(B175,June!$D$3:$AH$3)+1)+INDEX(June!$C$3:$AH$169,119,MATCH(B175,June!$D$3:$AH$3)+1)+INDEX(June!$C$3:$AH$169,124,MATCH(B175,June!$D$3:$AH$3)+1)+INDEX(June!$C$3:$AH$169,129,MATCH(B175,June!$D$3:$AH$3)+1)+INDEX(June!$C$3:$AH$169,134,MATCH(B175,June!$D$3:$AH$3)+1)+INDEX(June!$C$3:$AH$169,139,MATCH(B175,June!$D$3:$AH$3)+1)+INDEX(June!$C$3:$AH$169,144,MATCH(B175,June!$D$3:$AH$3)+1)+INDEX(June!$C$3:$AH$169,149,MATCH(B175,June!$D$3:$AH$3)+1)-INDEX(June!$B$5:$AH$169,MATCH("Patrick Janssen",June!$B$5:$B$169)+1,MATCH(B175,June!$D$3:$AH$3)+2)-INDEX(June!$B$5:$AH$169,MATCH("Patrick Ziesen",June!$B$5:$B$169)+1,MATCH(B175,June!$D$3:$AH$3)+2)-INDEX(June!$B$5:$AH$169,MATCH("Frido Meijer",June!$B$5:$B$169)+1,MATCH(B175,June!$D$3:$AH$3)+2)</f>
        <v>0</v>
      </c>
      <c r="I175" s="130">
        <v>0</v>
      </c>
      <c r="J175" s="130">
        <v>0</v>
      </c>
      <c r="L175" s="124"/>
      <c r="M175" s="111"/>
      <c r="N175" s="111">
        <f t="shared" si="56"/>
        <v>0</v>
      </c>
      <c r="P175" s="112" t="str">
        <f t="shared" si="52"/>
        <v/>
      </c>
      <c r="Q175" s="112" t="str">
        <f t="shared" si="53"/>
        <v/>
      </c>
    </row>
    <row r="176" spans="2:17" x14ac:dyDescent="0.25">
      <c r="B176" s="110">
        <f>DATE(Title!$F$12,$S$10,S14)</f>
        <v>41435</v>
      </c>
      <c r="C176" s="111">
        <f>IF(WEEKDAY(B176)=1,0,IF(WEEKDAY(B176)=4,'Hours Scheduled'!$I$44-1,IF(WEEKDAY(B176)=7,0,'Hours Scheduled'!$I$44)))</f>
        <v>21</v>
      </c>
      <c r="D176" s="17">
        <f t="shared" si="54"/>
        <v>157.5</v>
      </c>
      <c r="E176" s="127">
        <f t="shared" si="55"/>
        <v>144</v>
      </c>
      <c r="F176" s="111"/>
      <c r="G176" s="130">
        <f>INDEX(June!$C$3:$AH$169,3,MATCH(B176,June!$D$3:$AH$3)+1)+INDEX(June!$C$3:$AH$169,8,MATCH(B176,June!$D$3:$AH$3)+1)+INDEX(June!$C$3:$AH$169,13,MATCH(B176,June!$D$3:$AH$3)+1)+INDEX(June!$C$3:$AH$169,18,MATCH(B176,June!$D$3:$AH$3)+1)+INDEX(June!$C$3:$AH$169,23,MATCH(B176,June!$D$3:$AH$3)+1)+INDEX(June!$C$3:$AH$169,28,MATCH(B176,June!$D$3:$AH$3)+1)+INDEX(June!$C$3:$AH$169,33,MATCH(B176,June!$D$3:$AH$3)+1)+INDEX(June!$C$3:$AH$169,38,MATCH(B176,June!$D$3:$AH$3)+1)+INDEX(June!$C$3:$AH$169,43,MATCH(B176,June!$D$3:$AH$3)+1)+INDEX(June!$C$3:$AH$169,48,MATCH(B176,June!$D$3:$AH$3)+1)+INDEX(June!$C$3:$AH$169,53,MATCH(B176,June!$D$3:$AH$3)+1)+INDEX(June!$C$3:$AH$169,58,MATCH(B176,June!$D$3:$AH$3)+1)+INDEX(June!$C$3:$AH$169,63,MATCH(B176,June!$D$3:$AH$3)+1)+INDEX(June!$C$3:$AH$169,68,MATCH(B176,June!$D$3:$AH$3)+1)+INDEX(June!$C$3:$AH$169,73,MATCH(B176,June!$D$3:$AH$3)+1)+INDEX(June!$C$3:$AH$169,78,MATCH(B176,June!$D$3:$AH$3)+1)+INDEX(June!$C$3:$AH$169,83,MATCH(B176,June!$D$3:$AH$3)+1)+INDEX(June!$C$3:$AH$169,88,MATCH(B176,June!$D$3:$AH$3)+1)+INDEX(June!$C$3:$AH$169,93,MATCH(B176,June!$D$3:$AH$3)+1)+INDEX(June!$C$3:$AH$169,98,MATCH(B176,June!$D$3:$AH$3)+1)+INDEX(June!$C$3:$AH$169,103,MATCH(B176,June!$D$3:$AH$3)+1)+INDEX(June!$C$3:$AH$169,108,MATCH(B176,June!$D$3:$AH$3)+1)+INDEX(June!$C$3:$AH$169,113,MATCH(B176,June!$D$3:$AH$3)+1)+INDEX(June!$C$3:$AH$169,118,MATCH(B176,June!$D$3:$AH$3)+1)+INDEX(June!$C$3:$AH$169,123,MATCH(B176,June!$D$3:$AH$3)+1)+INDEX(June!$C$3:$AH$169,128,MATCH(B176,June!$D$3:$AH$3)+1)+INDEX(June!$C$3:$AH$169,133,MATCH(B176,June!$D$3:$AH$3)+1)+INDEX(June!$C$3:$AH$169,138,MATCH(B176,June!$D$3:$AH$3)+1)+INDEX(June!$C$3:$AH$169,143,MATCH(B176,June!$D$3:$AH$3)+1)+INDEX(June!$C$3:$AH$169,148,MATCH(B176,June!$D$3:$AH$3)+1)-INDEX(June!$B$5:$AH$169,MATCH("Patrick Janssen",June!$B$5:$B$169),MATCH(B176,June!$D$3:$AH$3)+2)-INDEX(June!$B$5:$AH$169,MATCH("Patrick Ziesen",June!$B$5:$B$169),MATCH(B176,June!$D$3:$AH$3)+2)-INDEX(June!$B$5:$AH$169,MATCH("Frido Meijer",June!$B$5:$B$169),MATCH(B176,June!$D$3:$AH$3)+2)</f>
        <v>8</v>
      </c>
      <c r="H176" s="130">
        <f>INDEX(June!$C$3:$AH$169,4,MATCH(B176,June!$D$3:$AH$3)+1)+INDEX(June!$C$3:$AH$169,9,MATCH(B176,June!$D$3:$AH$3)+1)+INDEX(June!$C$3:$AH$169,14,MATCH(B176,June!$D$3:$AH$3)+1)+INDEX(June!$C$3:$AH$169,19,MATCH(B176,June!$D$3:$AH$3)+1)+INDEX(June!$C$3:$AH$169,24,MATCH(B176,June!$D$3:$AH$3)+1)+INDEX(June!$C$3:$AH$169,29,MATCH(B176,June!$D$3:$AH$3)+1)+INDEX(June!$C$3:$AH$169,34,MATCH(B176,June!$D$3:$AH$3)+1)+INDEX(June!$C$3:$AH$169,39,MATCH(B176,June!$D$3:$AH$3)+1)+INDEX(June!$C$3:$AH$169,44,MATCH(B176,June!$D$3:$AH$3)+1)+INDEX(June!$C$3:$AH$169,49,MATCH(B176,June!$D$3:$AH$3)+1)+INDEX(June!$C$3:$AH$169,54,MATCH(B176,June!$D$3:$AH$3)+1)+INDEX(June!$C$3:$AH$169,59,MATCH(B176,June!$D$3:$AH$3)+1)+INDEX(June!$C$3:$AH$169,64,MATCH(B176,June!$D$3:$AH$3)+1)+INDEX(June!$C$3:$AH$169,69,MATCH(B176,June!$D$3:$AH$3)+1)+INDEX(June!$C$3:$AH$169,74,MATCH(B176,June!$D$3:$AH$3)+1)+INDEX(June!$C$3:$AH$169,79,MATCH(B176,June!$D$3:$AH$3)+1)+INDEX(June!$C$3:$AH$169,84,MATCH(B176,June!$D$3:$AH$3)+1)+INDEX(June!$C$3:$AH$169,89,MATCH(B176,June!$D$3:$AH$3)+1)+INDEX(June!$C$3:$AH$169,94,MATCH(B176,June!$D$3:$AH$3)+1)+INDEX(June!$C$3:$AH$169,99,MATCH(B176,June!$D$3:$AH$3)+1)+INDEX(June!$C$3:$AH$169,104,MATCH(B176,June!$D$3:$AH$3)+1)+INDEX(June!$C$3:$AH$169,109,MATCH(B176,June!$D$3:$AH$3)+1)+INDEX(June!$C$3:$AH$169,114,MATCH(B176,June!$D$3:$AH$3)+1)+INDEX(June!$C$3:$AH$169,119,MATCH(B176,June!$D$3:$AH$3)+1)+INDEX(June!$C$3:$AH$169,124,MATCH(B176,June!$D$3:$AH$3)+1)+INDEX(June!$C$3:$AH$169,129,MATCH(B176,June!$D$3:$AH$3)+1)+INDEX(June!$C$3:$AH$169,134,MATCH(B176,June!$D$3:$AH$3)+1)+INDEX(June!$C$3:$AH$169,139,MATCH(B176,June!$D$3:$AH$3)+1)+INDEX(June!$C$3:$AH$169,144,MATCH(B176,June!$D$3:$AH$3)+1)+INDEX(June!$C$3:$AH$169,149,MATCH(B176,June!$D$3:$AH$3)+1)-INDEX(June!$B$5:$AH$169,MATCH("Patrick Janssen",June!$B$5:$B$169)+1,MATCH(B176,June!$D$3:$AH$3)+2)-INDEX(June!$B$5:$AH$169,MATCH("Patrick Ziesen",June!$B$5:$B$169)+1,MATCH(B176,June!$D$3:$AH$3)+2)-INDEX(June!$B$5:$AH$169,MATCH("Frido Meijer",June!$B$5:$B$169)+1,MATCH(B176,June!$D$3:$AH$3)+2)</f>
        <v>16</v>
      </c>
      <c r="I176" s="130">
        <v>0</v>
      </c>
      <c r="J176" s="130">
        <v>0</v>
      </c>
      <c r="L176" s="124"/>
      <c r="M176" s="111"/>
      <c r="N176" s="111">
        <f t="shared" si="56"/>
        <v>0</v>
      </c>
      <c r="P176" s="112">
        <f t="shared" si="52"/>
        <v>0</v>
      </c>
      <c r="Q176" s="112">
        <f t="shared" si="53"/>
        <v>0</v>
      </c>
    </row>
    <row r="177" spans="2:17" x14ac:dyDescent="0.25">
      <c r="B177" s="110">
        <f>DATE(Title!$F$12,$S$10,S15)</f>
        <v>41436</v>
      </c>
      <c r="C177" s="111">
        <f>IF(WEEKDAY(B177)=1,0,IF(WEEKDAY(B177)=4,'Hours Scheduled'!$I$44-1,IF(WEEKDAY(B177)=7,0,'Hours Scheduled'!$I$44)))</f>
        <v>21</v>
      </c>
      <c r="D177" s="17">
        <f t="shared" si="54"/>
        <v>157.5</v>
      </c>
      <c r="E177" s="127">
        <f t="shared" si="55"/>
        <v>135</v>
      </c>
      <c r="F177" s="111"/>
      <c r="G177" s="130">
        <f>INDEX(June!$C$3:$AH$169,3,MATCH(B177,June!$D$3:$AH$3)+1)+INDEX(June!$C$3:$AH$169,8,MATCH(B177,June!$D$3:$AH$3)+1)+INDEX(June!$C$3:$AH$169,13,MATCH(B177,June!$D$3:$AH$3)+1)+INDEX(June!$C$3:$AH$169,18,MATCH(B177,June!$D$3:$AH$3)+1)+INDEX(June!$C$3:$AH$169,23,MATCH(B177,June!$D$3:$AH$3)+1)+INDEX(June!$C$3:$AH$169,28,MATCH(B177,June!$D$3:$AH$3)+1)+INDEX(June!$C$3:$AH$169,33,MATCH(B177,June!$D$3:$AH$3)+1)+INDEX(June!$C$3:$AH$169,38,MATCH(B177,June!$D$3:$AH$3)+1)+INDEX(June!$C$3:$AH$169,43,MATCH(B177,June!$D$3:$AH$3)+1)+INDEX(June!$C$3:$AH$169,48,MATCH(B177,June!$D$3:$AH$3)+1)+INDEX(June!$C$3:$AH$169,53,MATCH(B177,June!$D$3:$AH$3)+1)+INDEX(June!$C$3:$AH$169,58,MATCH(B177,June!$D$3:$AH$3)+1)+INDEX(June!$C$3:$AH$169,63,MATCH(B177,June!$D$3:$AH$3)+1)+INDEX(June!$C$3:$AH$169,68,MATCH(B177,June!$D$3:$AH$3)+1)+INDEX(June!$C$3:$AH$169,73,MATCH(B177,June!$D$3:$AH$3)+1)+INDEX(June!$C$3:$AH$169,78,MATCH(B177,June!$D$3:$AH$3)+1)+INDEX(June!$C$3:$AH$169,83,MATCH(B177,June!$D$3:$AH$3)+1)+INDEX(June!$C$3:$AH$169,88,MATCH(B177,June!$D$3:$AH$3)+1)+INDEX(June!$C$3:$AH$169,93,MATCH(B177,June!$D$3:$AH$3)+1)+INDEX(June!$C$3:$AH$169,98,MATCH(B177,June!$D$3:$AH$3)+1)+INDEX(June!$C$3:$AH$169,103,MATCH(B177,June!$D$3:$AH$3)+1)+INDEX(June!$C$3:$AH$169,108,MATCH(B177,June!$D$3:$AH$3)+1)+INDEX(June!$C$3:$AH$169,113,MATCH(B177,June!$D$3:$AH$3)+1)+INDEX(June!$C$3:$AH$169,118,MATCH(B177,June!$D$3:$AH$3)+1)+INDEX(June!$C$3:$AH$169,123,MATCH(B177,June!$D$3:$AH$3)+1)+INDEX(June!$C$3:$AH$169,128,MATCH(B177,June!$D$3:$AH$3)+1)+INDEX(June!$C$3:$AH$169,133,MATCH(B177,June!$D$3:$AH$3)+1)+INDEX(June!$C$3:$AH$169,138,MATCH(B177,June!$D$3:$AH$3)+1)+INDEX(June!$C$3:$AH$169,143,MATCH(B177,June!$D$3:$AH$3)+1)+INDEX(June!$C$3:$AH$169,148,MATCH(B177,June!$D$3:$AH$3)+1)-INDEX(June!$B$5:$AH$169,MATCH("Patrick Janssen",June!$B$5:$B$169),MATCH(B177,June!$D$3:$AH$3)+2)-INDEX(June!$B$5:$AH$169,MATCH("Patrick Ziesen",June!$B$5:$B$169),MATCH(B177,June!$D$3:$AH$3)+2)-INDEX(June!$B$5:$AH$169,MATCH("Frido Meijer",June!$B$5:$B$169),MATCH(B177,June!$D$3:$AH$3)+2)</f>
        <v>9</v>
      </c>
      <c r="H177" s="130">
        <f>INDEX(June!$C$3:$AH$169,4,MATCH(B177,June!$D$3:$AH$3)+1)+INDEX(June!$C$3:$AH$169,9,MATCH(B177,June!$D$3:$AH$3)+1)+INDEX(June!$C$3:$AH$169,14,MATCH(B177,June!$D$3:$AH$3)+1)+INDEX(June!$C$3:$AH$169,19,MATCH(B177,June!$D$3:$AH$3)+1)+INDEX(June!$C$3:$AH$169,24,MATCH(B177,June!$D$3:$AH$3)+1)+INDEX(June!$C$3:$AH$169,29,MATCH(B177,June!$D$3:$AH$3)+1)+INDEX(June!$C$3:$AH$169,34,MATCH(B177,June!$D$3:$AH$3)+1)+INDEX(June!$C$3:$AH$169,39,MATCH(B177,June!$D$3:$AH$3)+1)+INDEX(June!$C$3:$AH$169,44,MATCH(B177,June!$D$3:$AH$3)+1)+INDEX(June!$C$3:$AH$169,49,MATCH(B177,June!$D$3:$AH$3)+1)+INDEX(June!$C$3:$AH$169,54,MATCH(B177,June!$D$3:$AH$3)+1)+INDEX(June!$C$3:$AH$169,59,MATCH(B177,June!$D$3:$AH$3)+1)+INDEX(June!$C$3:$AH$169,64,MATCH(B177,June!$D$3:$AH$3)+1)+INDEX(June!$C$3:$AH$169,69,MATCH(B177,June!$D$3:$AH$3)+1)+INDEX(June!$C$3:$AH$169,74,MATCH(B177,June!$D$3:$AH$3)+1)+INDEX(June!$C$3:$AH$169,79,MATCH(B177,June!$D$3:$AH$3)+1)+INDEX(June!$C$3:$AH$169,84,MATCH(B177,June!$D$3:$AH$3)+1)+INDEX(June!$C$3:$AH$169,89,MATCH(B177,June!$D$3:$AH$3)+1)+INDEX(June!$C$3:$AH$169,94,MATCH(B177,June!$D$3:$AH$3)+1)+INDEX(June!$C$3:$AH$169,99,MATCH(B177,June!$D$3:$AH$3)+1)+INDEX(June!$C$3:$AH$169,104,MATCH(B177,June!$D$3:$AH$3)+1)+INDEX(June!$C$3:$AH$169,109,MATCH(B177,June!$D$3:$AH$3)+1)+INDEX(June!$C$3:$AH$169,114,MATCH(B177,June!$D$3:$AH$3)+1)+INDEX(June!$C$3:$AH$169,119,MATCH(B177,June!$D$3:$AH$3)+1)+INDEX(June!$C$3:$AH$169,124,MATCH(B177,June!$D$3:$AH$3)+1)+INDEX(June!$C$3:$AH$169,129,MATCH(B177,June!$D$3:$AH$3)+1)+INDEX(June!$C$3:$AH$169,134,MATCH(B177,June!$D$3:$AH$3)+1)+INDEX(June!$C$3:$AH$169,139,MATCH(B177,June!$D$3:$AH$3)+1)+INDEX(June!$C$3:$AH$169,144,MATCH(B177,June!$D$3:$AH$3)+1)+INDEX(June!$C$3:$AH$169,149,MATCH(B177,June!$D$3:$AH$3)+1)-INDEX(June!$B$5:$AH$169,MATCH("Patrick Janssen",June!$B$5:$B$169)+1,MATCH(B177,June!$D$3:$AH$3)+2)-INDEX(June!$B$5:$AH$169,MATCH("Patrick Ziesen",June!$B$5:$B$169)+1,MATCH(B177,June!$D$3:$AH$3)+2)-INDEX(June!$B$5:$AH$169,MATCH("Frido Meijer",June!$B$5:$B$169)+1,MATCH(B177,June!$D$3:$AH$3)+2)</f>
        <v>24</v>
      </c>
      <c r="I177" s="130">
        <v>0</v>
      </c>
      <c r="J177" s="130">
        <v>0</v>
      </c>
      <c r="L177" s="124"/>
      <c r="M177" s="111"/>
      <c r="N177" s="111">
        <f t="shared" si="56"/>
        <v>0</v>
      </c>
      <c r="P177" s="112">
        <f t="shared" si="52"/>
        <v>0</v>
      </c>
      <c r="Q177" s="112">
        <f t="shared" si="53"/>
        <v>0</v>
      </c>
    </row>
    <row r="178" spans="2:17" x14ac:dyDescent="0.25">
      <c r="B178" s="110">
        <f>DATE(Title!$F$12,$S$10,S16)</f>
        <v>41437</v>
      </c>
      <c r="C178" s="111">
        <f>IF(WEEKDAY(B178)=1,0,IF(WEEKDAY(B178)=4,'Hours Scheduled'!$I$44-1,IF(WEEKDAY(B178)=7,0,'Hours Scheduled'!$I$44)))</f>
        <v>20</v>
      </c>
      <c r="D178" s="17">
        <f t="shared" si="54"/>
        <v>150</v>
      </c>
      <c r="E178" s="127">
        <f t="shared" si="55"/>
        <v>152</v>
      </c>
      <c r="F178" s="111"/>
      <c r="G178" s="130">
        <f>INDEX(June!$C$3:$AH$169,3,MATCH(B178,June!$D$3:$AH$3)+1)+INDEX(June!$C$3:$AH$169,8,MATCH(B178,June!$D$3:$AH$3)+1)+INDEX(June!$C$3:$AH$169,13,MATCH(B178,June!$D$3:$AH$3)+1)+INDEX(June!$C$3:$AH$169,18,MATCH(B178,June!$D$3:$AH$3)+1)+INDEX(June!$C$3:$AH$169,23,MATCH(B178,June!$D$3:$AH$3)+1)+INDEX(June!$C$3:$AH$169,28,MATCH(B178,June!$D$3:$AH$3)+1)+INDEX(June!$C$3:$AH$169,33,MATCH(B178,June!$D$3:$AH$3)+1)+INDEX(June!$C$3:$AH$169,38,MATCH(B178,June!$D$3:$AH$3)+1)+INDEX(June!$C$3:$AH$169,43,MATCH(B178,June!$D$3:$AH$3)+1)+INDEX(June!$C$3:$AH$169,48,MATCH(B178,June!$D$3:$AH$3)+1)+INDEX(June!$C$3:$AH$169,53,MATCH(B178,June!$D$3:$AH$3)+1)+INDEX(June!$C$3:$AH$169,58,MATCH(B178,June!$D$3:$AH$3)+1)+INDEX(June!$C$3:$AH$169,63,MATCH(B178,June!$D$3:$AH$3)+1)+INDEX(June!$C$3:$AH$169,68,MATCH(B178,June!$D$3:$AH$3)+1)+INDEX(June!$C$3:$AH$169,73,MATCH(B178,June!$D$3:$AH$3)+1)+INDEX(June!$C$3:$AH$169,78,MATCH(B178,June!$D$3:$AH$3)+1)+INDEX(June!$C$3:$AH$169,83,MATCH(B178,June!$D$3:$AH$3)+1)+INDEX(June!$C$3:$AH$169,88,MATCH(B178,June!$D$3:$AH$3)+1)+INDEX(June!$C$3:$AH$169,93,MATCH(B178,June!$D$3:$AH$3)+1)+INDEX(June!$C$3:$AH$169,98,MATCH(B178,June!$D$3:$AH$3)+1)+INDEX(June!$C$3:$AH$169,103,MATCH(B178,June!$D$3:$AH$3)+1)+INDEX(June!$C$3:$AH$169,108,MATCH(B178,June!$D$3:$AH$3)+1)+INDEX(June!$C$3:$AH$169,113,MATCH(B178,June!$D$3:$AH$3)+1)+INDEX(June!$C$3:$AH$169,118,MATCH(B178,June!$D$3:$AH$3)+1)+INDEX(June!$C$3:$AH$169,123,MATCH(B178,June!$D$3:$AH$3)+1)+INDEX(June!$C$3:$AH$169,128,MATCH(B178,June!$D$3:$AH$3)+1)+INDEX(June!$C$3:$AH$169,133,MATCH(B178,June!$D$3:$AH$3)+1)+INDEX(June!$C$3:$AH$169,138,MATCH(B178,June!$D$3:$AH$3)+1)+INDEX(June!$C$3:$AH$169,143,MATCH(B178,June!$D$3:$AH$3)+1)+INDEX(June!$C$3:$AH$169,148,MATCH(B178,June!$D$3:$AH$3)+1)-INDEX(June!$B$5:$AH$169,MATCH("Patrick Janssen",June!$B$5:$B$169),MATCH(B178,June!$D$3:$AH$3)+2)-INDEX(June!$B$5:$AH$169,MATCH("Patrick Ziesen",June!$B$5:$B$169),MATCH(B178,June!$D$3:$AH$3)+2)-INDEX(June!$B$5:$AH$169,MATCH("Frido Meijer",June!$B$5:$B$169),MATCH(B178,June!$D$3:$AH$3)+2)</f>
        <v>8</v>
      </c>
      <c r="H178" s="130">
        <f>INDEX(June!$C$3:$AH$169,4,MATCH(B178,June!$D$3:$AH$3)+1)+INDEX(June!$C$3:$AH$169,9,MATCH(B178,June!$D$3:$AH$3)+1)+INDEX(June!$C$3:$AH$169,14,MATCH(B178,June!$D$3:$AH$3)+1)+INDEX(June!$C$3:$AH$169,19,MATCH(B178,June!$D$3:$AH$3)+1)+INDEX(June!$C$3:$AH$169,24,MATCH(B178,June!$D$3:$AH$3)+1)+INDEX(June!$C$3:$AH$169,29,MATCH(B178,June!$D$3:$AH$3)+1)+INDEX(June!$C$3:$AH$169,34,MATCH(B178,June!$D$3:$AH$3)+1)+INDEX(June!$C$3:$AH$169,39,MATCH(B178,June!$D$3:$AH$3)+1)+INDEX(June!$C$3:$AH$169,44,MATCH(B178,June!$D$3:$AH$3)+1)+INDEX(June!$C$3:$AH$169,49,MATCH(B178,June!$D$3:$AH$3)+1)+INDEX(June!$C$3:$AH$169,54,MATCH(B178,June!$D$3:$AH$3)+1)+INDEX(June!$C$3:$AH$169,59,MATCH(B178,June!$D$3:$AH$3)+1)+INDEX(June!$C$3:$AH$169,64,MATCH(B178,June!$D$3:$AH$3)+1)+INDEX(June!$C$3:$AH$169,69,MATCH(B178,June!$D$3:$AH$3)+1)+INDEX(June!$C$3:$AH$169,74,MATCH(B178,June!$D$3:$AH$3)+1)+INDEX(June!$C$3:$AH$169,79,MATCH(B178,June!$D$3:$AH$3)+1)+INDEX(June!$C$3:$AH$169,84,MATCH(B178,June!$D$3:$AH$3)+1)+INDEX(June!$C$3:$AH$169,89,MATCH(B178,June!$D$3:$AH$3)+1)+INDEX(June!$C$3:$AH$169,94,MATCH(B178,June!$D$3:$AH$3)+1)+INDEX(June!$C$3:$AH$169,99,MATCH(B178,June!$D$3:$AH$3)+1)+INDEX(June!$C$3:$AH$169,104,MATCH(B178,June!$D$3:$AH$3)+1)+INDEX(June!$C$3:$AH$169,109,MATCH(B178,June!$D$3:$AH$3)+1)+INDEX(June!$C$3:$AH$169,114,MATCH(B178,June!$D$3:$AH$3)+1)+INDEX(June!$C$3:$AH$169,119,MATCH(B178,June!$D$3:$AH$3)+1)+INDEX(June!$C$3:$AH$169,124,MATCH(B178,June!$D$3:$AH$3)+1)+INDEX(June!$C$3:$AH$169,129,MATCH(B178,June!$D$3:$AH$3)+1)+INDEX(June!$C$3:$AH$169,134,MATCH(B178,June!$D$3:$AH$3)+1)+INDEX(June!$C$3:$AH$169,139,MATCH(B178,June!$D$3:$AH$3)+1)+INDEX(June!$C$3:$AH$169,144,MATCH(B178,June!$D$3:$AH$3)+1)+INDEX(June!$C$3:$AH$169,149,MATCH(B178,June!$D$3:$AH$3)+1)-INDEX(June!$B$5:$AH$169,MATCH("Patrick Janssen",June!$B$5:$B$169)+1,MATCH(B178,June!$D$3:$AH$3)+2)-INDEX(June!$B$5:$AH$169,MATCH("Patrick Ziesen",June!$B$5:$B$169)+1,MATCH(B178,June!$D$3:$AH$3)+2)-INDEX(June!$B$5:$AH$169,MATCH("Frido Meijer",June!$B$5:$B$169)+1,MATCH(B178,June!$D$3:$AH$3)+2)</f>
        <v>0</v>
      </c>
      <c r="I178" s="130">
        <v>0</v>
      </c>
      <c r="J178" s="130">
        <v>0</v>
      </c>
      <c r="L178" s="124"/>
      <c r="M178" s="111"/>
      <c r="N178" s="111">
        <f t="shared" si="56"/>
        <v>0</v>
      </c>
      <c r="P178" s="112">
        <f t="shared" si="52"/>
        <v>0</v>
      </c>
      <c r="Q178" s="112">
        <f t="shared" si="53"/>
        <v>0</v>
      </c>
    </row>
    <row r="179" spans="2:17" x14ac:dyDescent="0.25">
      <c r="B179" s="110">
        <f>DATE(Title!$F$12,$S$10,S17)</f>
        <v>41438</v>
      </c>
      <c r="C179" s="111">
        <f>IF(WEEKDAY(B179)=1,0,IF(WEEKDAY(B179)=4,'Hours Scheduled'!$I$44-1,IF(WEEKDAY(B179)=7,0,'Hours Scheduled'!$I$44)))</f>
        <v>21</v>
      </c>
      <c r="D179" s="17">
        <f t="shared" si="54"/>
        <v>157.5</v>
      </c>
      <c r="E179" s="127">
        <f t="shared" si="55"/>
        <v>160</v>
      </c>
      <c r="F179" s="111"/>
      <c r="G179" s="130">
        <f>INDEX(June!$C$3:$AH$169,3,MATCH(B179,June!$D$3:$AH$3)+1)+INDEX(June!$C$3:$AH$169,8,MATCH(B179,June!$D$3:$AH$3)+1)+INDEX(June!$C$3:$AH$169,13,MATCH(B179,June!$D$3:$AH$3)+1)+INDEX(June!$C$3:$AH$169,18,MATCH(B179,June!$D$3:$AH$3)+1)+INDEX(June!$C$3:$AH$169,23,MATCH(B179,June!$D$3:$AH$3)+1)+INDEX(June!$C$3:$AH$169,28,MATCH(B179,June!$D$3:$AH$3)+1)+INDEX(June!$C$3:$AH$169,33,MATCH(B179,June!$D$3:$AH$3)+1)+INDEX(June!$C$3:$AH$169,38,MATCH(B179,June!$D$3:$AH$3)+1)+INDEX(June!$C$3:$AH$169,43,MATCH(B179,June!$D$3:$AH$3)+1)+INDEX(June!$C$3:$AH$169,48,MATCH(B179,June!$D$3:$AH$3)+1)+INDEX(June!$C$3:$AH$169,53,MATCH(B179,June!$D$3:$AH$3)+1)+INDEX(June!$C$3:$AH$169,58,MATCH(B179,June!$D$3:$AH$3)+1)+INDEX(June!$C$3:$AH$169,63,MATCH(B179,June!$D$3:$AH$3)+1)+INDEX(June!$C$3:$AH$169,68,MATCH(B179,June!$D$3:$AH$3)+1)+INDEX(June!$C$3:$AH$169,73,MATCH(B179,June!$D$3:$AH$3)+1)+INDEX(June!$C$3:$AH$169,78,MATCH(B179,June!$D$3:$AH$3)+1)+INDEX(June!$C$3:$AH$169,83,MATCH(B179,June!$D$3:$AH$3)+1)+INDEX(June!$C$3:$AH$169,88,MATCH(B179,June!$D$3:$AH$3)+1)+INDEX(June!$C$3:$AH$169,93,MATCH(B179,June!$D$3:$AH$3)+1)+INDEX(June!$C$3:$AH$169,98,MATCH(B179,June!$D$3:$AH$3)+1)+INDEX(June!$C$3:$AH$169,103,MATCH(B179,June!$D$3:$AH$3)+1)+INDEX(June!$C$3:$AH$169,108,MATCH(B179,June!$D$3:$AH$3)+1)+INDEX(June!$C$3:$AH$169,113,MATCH(B179,June!$D$3:$AH$3)+1)+INDEX(June!$C$3:$AH$169,118,MATCH(B179,June!$D$3:$AH$3)+1)+INDEX(June!$C$3:$AH$169,123,MATCH(B179,June!$D$3:$AH$3)+1)+INDEX(June!$C$3:$AH$169,128,MATCH(B179,June!$D$3:$AH$3)+1)+INDEX(June!$C$3:$AH$169,133,MATCH(B179,June!$D$3:$AH$3)+1)+INDEX(June!$C$3:$AH$169,138,MATCH(B179,June!$D$3:$AH$3)+1)+INDEX(June!$C$3:$AH$169,143,MATCH(B179,June!$D$3:$AH$3)+1)+INDEX(June!$C$3:$AH$169,148,MATCH(B179,June!$D$3:$AH$3)+1)-INDEX(June!$B$5:$AH$169,MATCH("Patrick Janssen",June!$B$5:$B$169),MATCH(B179,June!$D$3:$AH$3)+2)-INDEX(June!$B$5:$AH$169,MATCH("Patrick Ziesen",June!$B$5:$B$169),MATCH(B179,June!$D$3:$AH$3)+2)-INDEX(June!$B$5:$AH$169,MATCH("Frido Meijer",June!$B$5:$B$169),MATCH(B179,June!$D$3:$AH$3)+2)</f>
        <v>8</v>
      </c>
      <c r="H179" s="130">
        <f>INDEX(June!$C$3:$AH$169,4,MATCH(B179,June!$D$3:$AH$3)+1)+INDEX(June!$C$3:$AH$169,9,MATCH(B179,June!$D$3:$AH$3)+1)+INDEX(June!$C$3:$AH$169,14,MATCH(B179,June!$D$3:$AH$3)+1)+INDEX(June!$C$3:$AH$169,19,MATCH(B179,June!$D$3:$AH$3)+1)+INDEX(June!$C$3:$AH$169,24,MATCH(B179,June!$D$3:$AH$3)+1)+INDEX(June!$C$3:$AH$169,29,MATCH(B179,June!$D$3:$AH$3)+1)+INDEX(June!$C$3:$AH$169,34,MATCH(B179,June!$D$3:$AH$3)+1)+INDEX(June!$C$3:$AH$169,39,MATCH(B179,June!$D$3:$AH$3)+1)+INDEX(June!$C$3:$AH$169,44,MATCH(B179,June!$D$3:$AH$3)+1)+INDEX(June!$C$3:$AH$169,49,MATCH(B179,June!$D$3:$AH$3)+1)+INDEX(June!$C$3:$AH$169,54,MATCH(B179,June!$D$3:$AH$3)+1)+INDEX(June!$C$3:$AH$169,59,MATCH(B179,June!$D$3:$AH$3)+1)+INDEX(June!$C$3:$AH$169,64,MATCH(B179,June!$D$3:$AH$3)+1)+INDEX(June!$C$3:$AH$169,69,MATCH(B179,June!$D$3:$AH$3)+1)+INDEX(June!$C$3:$AH$169,74,MATCH(B179,June!$D$3:$AH$3)+1)+INDEX(June!$C$3:$AH$169,79,MATCH(B179,June!$D$3:$AH$3)+1)+INDEX(June!$C$3:$AH$169,84,MATCH(B179,June!$D$3:$AH$3)+1)+INDEX(June!$C$3:$AH$169,89,MATCH(B179,June!$D$3:$AH$3)+1)+INDEX(June!$C$3:$AH$169,94,MATCH(B179,June!$D$3:$AH$3)+1)+INDEX(June!$C$3:$AH$169,99,MATCH(B179,June!$D$3:$AH$3)+1)+INDEX(June!$C$3:$AH$169,104,MATCH(B179,June!$D$3:$AH$3)+1)+INDEX(June!$C$3:$AH$169,109,MATCH(B179,June!$D$3:$AH$3)+1)+INDEX(June!$C$3:$AH$169,114,MATCH(B179,June!$D$3:$AH$3)+1)+INDEX(June!$C$3:$AH$169,119,MATCH(B179,June!$D$3:$AH$3)+1)+INDEX(June!$C$3:$AH$169,124,MATCH(B179,June!$D$3:$AH$3)+1)+INDEX(June!$C$3:$AH$169,129,MATCH(B179,June!$D$3:$AH$3)+1)+INDEX(June!$C$3:$AH$169,134,MATCH(B179,June!$D$3:$AH$3)+1)+INDEX(June!$C$3:$AH$169,139,MATCH(B179,June!$D$3:$AH$3)+1)+INDEX(June!$C$3:$AH$169,144,MATCH(B179,June!$D$3:$AH$3)+1)+INDEX(June!$C$3:$AH$169,149,MATCH(B179,June!$D$3:$AH$3)+1)-INDEX(June!$B$5:$AH$169,MATCH("Patrick Janssen",June!$B$5:$B$169)+1,MATCH(B179,June!$D$3:$AH$3)+2)-INDEX(June!$B$5:$AH$169,MATCH("Patrick Ziesen",June!$B$5:$B$169)+1,MATCH(B179,June!$D$3:$AH$3)+2)-INDEX(June!$B$5:$AH$169,MATCH("Frido Meijer",June!$B$5:$B$169)+1,MATCH(B179,June!$D$3:$AH$3)+2)</f>
        <v>0</v>
      </c>
      <c r="I179" s="130">
        <v>0</v>
      </c>
      <c r="J179" s="130">
        <v>0</v>
      </c>
      <c r="L179" s="124"/>
      <c r="M179" s="111"/>
      <c r="N179" s="111">
        <f t="shared" si="56"/>
        <v>0</v>
      </c>
      <c r="P179" s="112">
        <f t="shared" si="52"/>
        <v>0</v>
      </c>
      <c r="Q179" s="112">
        <f t="shared" si="53"/>
        <v>0</v>
      </c>
    </row>
    <row r="180" spans="2:17" x14ac:dyDescent="0.25">
      <c r="B180" s="110">
        <f>DATE(Title!$F$12,$S$10,S18)</f>
        <v>41439</v>
      </c>
      <c r="C180" s="111">
        <f>IF(WEEKDAY(B180)=1,0,IF(WEEKDAY(B180)=4,'Hours Scheduled'!$I$44-1,IF(WEEKDAY(B180)=7,0,'Hours Scheduled'!$I$44)))</f>
        <v>21</v>
      </c>
      <c r="D180" s="17">
        <f t="shared" si="54"/>
        <v>157.5</v>
      </c>
      <c r="E180" s="127">
        <f t="shared" si="55"/>
        <v>149</v>
      </c>
      <c r="F180" s="111"/>
      <c r="G180" s="130">
        <f>INDEX(June!$C$3:$AH$169,3,MATCH(B180,June!$D$3:$AH$3)+1)+INDEX(June!$C$3:$AH$169,8,MATCH(B180,June!$D$3:$AH$3)+1)+INDEX(June!$C$3:$AH$169,13,MATCH(B180,June!$D$3:$AH$3)+1)+INDEX(June!$C$3:$AH$169,18,MATCH(B180,June!$D$3:$AH$3)+1)+INDEX(June!$C$3:$AH$169,23,MATCH(B180,June!$D$3:$AH$3)+1)+INDEX(June!$C$3:$AH$169,28,MATCH(B180,June!$D$3:$AH$3)+1)+INDEX(June!$C$3:$AH$169,33,MATCH(B180,June!$D$3:$AH$3)+1)+INDEX(June!$C$3:$AH$169,38,MATCH(B180,June!$D$3:$AH$3)+1)+INDEX(June!$C$3:$AH$169,43,MATCH(B180,June!$D$3:$AH$3)+1)+INDEX(June!$C$3:$AH$169,48,MATCH(B180,June!$D$3:$AH$3)+1)+INDEX(June!$C$3:$AH$169,53,MATCH(B180,June!$D$3:$AH$3)+1)+INDEX(June!$C$3:$AH$169,58,MATCH(B180,June!$D$3:$AH$3)+1)+INDEX(June!$C$3:$AH$169,63,MATCH(B180,June!$D$3:$AH$3)+1)+INDEX(June!$C$3:$AH$169,68,MATCH(B180,June!$D$3:$AH$3)+1)+INDEX(June!$C$3:$AH$169,73,MATCH(B180,June!$D$3:$AH$3)+1)+INDEX(June!$C$3:$AH$169,78,MATCH(B180,June!$D$3:$AH$3)+1)+INDEX(June!$C$3:$AH$169,83,MATCH(B180,June!$D$3:$AH$3)+1)+INDEX(June!$C$3:$AH$169,88,MATCH(B180,June!$D$3:$AH$3)+1)+INDEX(June!$C$3:$AH$169,93,MATCH(B180,June!$D$3:$AH$3)+1)+INDEX(June!$C$3:$AH$169,98,MATCH(B180,June!$D$3:$AH$3)+1)+INDEX(June!$C$3:$AH$169,103,MATCH(B180,June!$D$3:$AH$3)+1)+INDEX(June!$C$3:$AH$169,108,MATCH(B180,June!$D$3:$AH$3)+1)+INDEX(June!$C$3:$AH$169,113,MATCH(B180,June!$D$3:$AH$3)+1)+INDEX(June!$C$3:$AH$169,118,MATCH(B180,June!$D$3:$AH$3)+1)+INDEX(June!$C$3:$AH$169,123,MATCH(B180,June!$D$3:$AH$3)+1)+INDEX(June!$C$3:$AH$169,128,MATCH(B180,June!$D$3:$AH$3)+1)+INDEX(June!$C$3:$AH$169,133,MATCH(B180,June!$D$3:$AH$3)+1)+INDEX(June!$C$3:$AH$169,138,MATCH(B180,June!$D$3:$AH$3)+1)+INDEX(June!$C$3:$AH$169,143,MATCH(B180,June!$D$3:$AH$3)+1)+INDEX(June!$C$3:$AH$169,148,MATCH(B180,June!$D$3:$AH$3)+1)-INDEX(June!$B$5:$AH$169,MATCH("Patrick Janssen",June!$B$5:$B$169),MATCH(B180,June!$D$3:$AH$3)+2)-INDEX(June!$B$5:$AH$169,MATCH("Patrick Ziesen",June!$B$5:$B$169),MATCH(B180,June!$D$3:$AH$3)+2)-INDEX(June!$B$5:$AH$169,MATCH("Frido Meijer",June!$B$5:$B$169),MATCH(B180,June!$D$3:$AH$3)+2)</f>
        <v>19</v>
      </c>
      <c r="H180" s="130">
        <f>INDEX(June!$C$3:$AH$169,4,MATCH(B180,June!$D$3:$AH$3)+1)+INDEX(June!$C$3:$AH$169,9,MATCH(B180,June!$D$3:$AH$3)+1)+INDEX(June!$C$3:$AH$169,14,MATCH(B180,June!$D$3:$AH$3)+1)+INDEX(June!$C$3:$AH$169,19,MATCH(B180,June!$D$3:$AH$3)+1)+INDEX(June!$C$3:$AH$169,24,MATCH(B180,June!$D$3:$AH$3)+1)+INDEX(June!$C$3:$AH$169,29,MATCH(B180,June!$D$3:$AH$3)+1)+INDEX(June!$C$3:$AH$169,34,MATCH(B180,June!$D$3:$AH$3)+1)+INDEX(June!$C$3:$AH$169,39,MATCH(B180,June!$D$3:$AH$3)+1)+INDEX(June!$C$3:$AH$169,44,MATCH(B180,June!$D$3:$AH$3)+1)+INDEX(June!$C$3:$AH$169,49,MATCH(B180,June!$D$3:$AH$3)+1)+INDEX(June!$C$3:$AH$169,54,MATCH(B180,June!$D$3:$AH$3)+1)+INDEX(June!$C$3:$AH$169,59,MATCH(B180,June!$D$3:$AH$3)+1)+INDEX(June!$C$3:$AH$169,64,MATCH(B180,June!$D$3:$AH$3)+1)+INDEX(June!$C$3:$AH$169,69,MATCH(B180,June!$D$3:$AH$3)+1)+INDEX(June!$C$3:$AH$169,74,MATCH(B180,June!$D$3:$AH$3)+1)+INDEX(June!$C$3:$AH$169,79,MATCH(B180,June!$D$3:$AH$3)+1)+INDEX(June!$C$3:$AH$169,84,MATCH(B180,June!$D$3:$AH$3)+1)+INDEX(June!$C$3:$AH$169,89,MATCH(B180,June!$D$3:$AH$3)+1)+INDEX(June!$C$3:$AH$169,94,MATCH(B180,June!$D$3:$AH$3)+1)+INDEX(June!$C$3:$AH$169,99,MATCH(B180,June!$D$3:$AH$3)+1)+INDEX(June!$C$3:$AH$169,104,MATCH(B180,June!$D$3:$AH$3)+1)+INDEX(June!$C$3:$AH$169,109,MATCH(B180,June!$D$3:$AH$3)+1)+INDEX(June!$C$3:$AH$169,114,MATCH(B180,June!$D$3:$AH$3)+1)+INDEX(June!$C$3:$AH$169,119,MATCH(B180,June!$D$3:$AH$3)+1)+INDEX(June!$C$3:$AH$169,124,MATCH(B180,June!$D$3:$AH$3)+1)+INDEX(June!$C$3:$AH$169,129,MATCH(B180,June!$D$3:$AH$3)+1)+INDEX(June!$C$3:$AH$169,134,MATCH(B180,June!$D$3:$AH$3)+1)+INDEX(June!$C$3:$AH$169,139,MATCH(B180,June!$D$3:$AH$3)+1)+INDEX(June!$C$3:$AH$169,144,MATCH(B180,June!$D$3:$AH$3)+1)+INDEX(June!$C$3:$AH$169,149,MATCH(B180,June!$D$3:$AH$3)+1)-INDEX(June!$B$5:$AH$169,MATCH("Patrick Janssen",June!$B$5:$B$169)+1,MATCH(B180,June!$D$3:$AH$3)+2)-INDEX(June!$B$5:$AH$169,MATCH("Patrick Ziesen",June!$B$5:$B$169)+1,MATCH(B180,June!$D$3:$AH$3)+2)-INDEX(June!$B$5:$AH$169,MATCH("Frido Meijer",June!$B$5:$B$169)+1,MATCH(B180,June!$D$3:$AH$3)+2)</f>
        <v>0</v>
      </c>
      <c r="I180" s="130">
        <v>0</v>
      </c>
      <c r="J180" s="130">
        <v>0</v>
      </c>
      <c r="L180" s="124"/>
      <c r="M180" s="111"/>
      <c r="N180" s="111">
        <f t="shared" si="56"/>
        <v>0</v>
      </c>
      <c r="P180" s="112">
        <f t="shared" si="52"/>
        <v>0</v>
      </c>
      <c r="Q180" s="112">
        <f t="shared" si="53"/>
        <v>0</v>
      </c>
    </row>
    <row r="181" spans="2:17" x14ac:dyDescent="0.25">
      <c r="B181" s="110">
        <f>DATE(Title!$F$12,$S$10,S19)</f>
        <v>41440</v>
      </c>
      <c r="C181" s="111">
        <f>IF(WEEKDAY(B181)=1,0,IF(WEEKDAY(B181)=4,'Hours Scheduled'!$I$44-1,IF(WEEKDAY(B181)=7,0,'Hours Scheduled'!$I$44)))</f>
        <v>0</v>
      </c>
      <c r="D181" s="17">
        <f t="shared" si="54"/>
        <v>0</v>
      </c>
      <c r="E181" s="127">
        <f t="shared" si="55"/>
        <v>0</v>
      </c>
      <c r="F181" s="111"/>
      <c r="G181" s="130">
        <f>INDEX(June!$C$3:$AH$169,3,MATCH(B181,June!$D$3:$AH$3)+1)+INDEX(June!$C$3:$AH$169,8,MATCH(B181,June!$D$3:$AH$3)+1)+INDEX(June!$C$3:$AH$169,13,MATCH(B181,June!$D$3:$AH$3)+1)+INDEX(June!$C$3:$AH$169,18,MATCH(B181,June!$D$3:$AH$3)+1)+INDEX(June!$C$3:$AH$169,23,MATCH(B181,June!$D$3:$AH$3)+1)+INDEX(June!$C$3:$AH$169,28,MATCH(B181,June!$D$3:$AH$3)+1)+INDEX(June!$C$3:$AH$169,33,MATCH(B181,June!$D$3:$AH$3)+1)+INDEX(June!$C$3:$AH$169,38,MATCH(B181,June!$D$3:$AH$3)+1)+INDEX(June!$C$3:$AH$169,43,MATCH(B181,June!$D$3:$AH$3)+1)+INDEX(June!$C$3:$AH$169,48,MATCH(B181,June!$D$3:$AH$3)+1)+INDEX(June!$C$3:$AH$169,53,MATCH(B181,June!$D$3:$AH$3)+1)+INDEX(June!$C$3:$AH$169,58,MATCH(B181,June!$D$3:$AH$3)+1)+INDEX(June!$C$3:$AH$169,63,MATCH(B181,June!$D$3:$AH$3)+1)+INDEX(June!$C$3:$AH$169,68,MATCH(B181,June!$D$3:$AH$3)+1)+INDEX(June!$C$3:$AH$169,73,MATCH(B181,June!$D$3:$AH$3)+1)+INDEX(June!$C$3:$AH$169,78,MATCH(B181,June!$D$3:$AH$3)+1)+INDEX(June!$C$3:$AH$169,83,MATCH(B181,June!$D$3:$AH$3)+1)+INDEX(June!$C$3:$AH$169,88,MATCH(B181,June!$D$3:$AH$3)+1)+INDEX(June!$C$3:$AH$169,93,MATCH(B181,June!$D$3:$AH$3)+1)+INDEX(June!$C$3:$AH$169,98,MATCH(B181,June!$D$3:$AH$3)+1)+INDEX(June!$C$3:$AH$169,103,MATCH(B181,June!$D$3:$AH$3)+1)+INDEX(June!$C$3:$AH$169,108,MATCH(B181,June!$D$3:$AH$3)+1)+INDEX(June!$C$3:$AH$169,113,MATCH(B181,June!$D$3:$AH$3)+1)+INDEX(June!$C$3:$AH$169,118,MATCH(B181,June!$D$3:$AH$3)+1)+INDEX(June!$C$3:$AH$169,123,MATCH(B181,June!$D$3:$AH$3)+1)+INDEX(June!$C$3:$AH$169,128,MATCH(B181,June!$D$3:$AH$3)+1)+INDEX(June!$C$3:$AH$169,133,MATCH(B181,June!$D$3:$AH$3)+1)+INDEX(June!$C$3:$AH$169,138,MATCH(B181,June!$D$3:$AH$3)+1)+INDEX(June!$C$3:$AH$169,143,MATCH(B181,June!$D$3:$AH$3)+1)+INDEX(June!$C$3:$AH$169,148,MATCH(B181,June!$D$3:$AH$3)+1)-INDEX(June!$B$5:$AH$169,MATCH("Patrick Janssen",June!$B$5:$B$169),MATCH(B181,June!$D$3:$AH$3)+2)-INDEX(June!$B$5:$AH$169,MATCH("Patrick Ziesen",June!$B$5:$B$169),MATCH(B181,June!$D$3:$AH$3)+2)-INDEX(June!$B$5:$AH$169,MATCH("Frido Meijer",June!$B$5:$B$169),MATCH(B181,June!$D$3:$AH$3)+2)</f>
        <v>0</v>
      </c>
      <c r="H181" s="130">
        <f>INDEX(June!$C$3:$AH$169,4,MATCH(B181,June!$D$3:$AH$3)+1)+INDEX(June!$C$3:$AH$169,9,MATCH(B181,June!$D$3:$AH$3)+1)+INDEX(June!$C$3:$AH$169,14,MATCH(B181,June!$D$3:$AH$3)+1)+INDEX(June!$C$3:$AH$169,19,MATCH(B181,June!$D$3:$AH$3)+1)+INDEX(June!$C$3:$AH$169,24,MATCH(B181,June!$D$3:$AH$3)+1)+INDEX(June!$C$3:$AH$169,29,MATCH(B181,June!$D$3:$AH$3)+1)+INDEX(June!$C$3:$AH$169,34,MATCH(B181,June!$D$3:$AH$3)+1)+INDEX(June!$C$3:$AH$169,39,MATCH(B181,June!$D$3:$AH$3)+1)+INDEX(June!$C$3:$AH$169,44,MATCH(B181,June!$D$3:$AH$3)+1)+INDEX(June!$C$3:$AH$169,49,MATCH(B181,June!$D$3:$AH$3)+1)+INDEX(June!$C$3:$AH$169,54,MATCH(B181,June!$D$3:$AH$3)+1)+INDEX(June!$C$3:$AH$169,59,MATCH(B181,June!$D$3:$AH$3)+1)+INDEX(June!$C$3:$AH$169,64,MATCH(B181,June!$D$3:$AH$3)+1)+INDEX(June!$C$3:$AH$169,69,MATCH(B181,June!$D$3:$AH$3)+1)+INDEX(June!$C$3:$AH$169,74,MATCH(B181,June!$D$3:$AH$3)+1)+INDEX(June!$C$3:$AH$169,79,MATCH(B181,June!$D$3:$AH$3)+1)+INDEX(June!$C$3:$AH$169,84,MATCH(B181,June!$D$3:$AH$3)+1)+INDEX(June!$C$3:$AH$169,89,MATCH(B181,June!$D$3:$AH$3)+1)+INDEX(June!$C$3:$AH$169,94,MATCH(B181,June!$D$3:$AH$3)+1)+INDEX(June!$C$3:$AH$169,99,MATCH(B181,June!$D$3:$AH$3)+1)+INDEX(June!$C$3:$AH$169,104,MATCH(B181,June!$D$3:$AH$3)+1)+INDEX(June!$C$3:$AH$169,109,MATCH(B181,June!$D$3:$AH$3)+1)+INDEX(June!$C$3:$AH$169,114,MATCH(B181,June!$D$3:$AH$3)+1)+INDEX(June!$C$3:$AH$169,119,MATCH(B181,June!$D$3:$AH$3)+1)+INDEX(June!$C$3:$AH$169,124,MATCH(B181,June!$D$3:$AH$3)+1)+INDEX(June!$C$3:$AH$169,129,MATCH(B181,June!$D$3:$AH$3)+1)+INDEX(June!$C$3:$AH$169,134,MATCH(B181,June!$D$3:$AH$3)+1)+INDEX(June!$C$3:$AH$169,139,MATCH(B181,June!$D$3:$AH$3)+1)+INDEX(June!$C$3:$AH$169,144,MATCH(B181,June!$D$3:$AH$3)+1)+INDEX(June!$C$3:$AH$169,149,MATCH(B181,June!$D$3:$AH$3)+1)-INDEX(June!$B$5:$AH$169,MATCH("Patrick Janssen",June!$B$5:$B$169)+1,MATCH(B181,June!$D$3:$AH$3)+2)-INDEX(June!$B$5:$AH$169,MATCH("Patrick Ziesen",June!$B$5:$B$169)+1,MATCH(B181,June!$D$3:$AH$3)+2)-INDEX(June!$B$5:$AH$169,MATCH("Frido Meijer",June!$B$5:$B$169)+1,MATCH(B181,June!$D$3:$AH$3)+2)</f>
        <v>0</v>
      </c>
      <c r="I181" s="130">
        <v>0</v>
      </c>
      <c r="J181" s="130">
        <v>0</v>
      </c>
      <c r="L181" s="124"/>
      <c r="M181" s="111"/>
      <c r="N181" s="111">
        <f t="shared" si="56"/>
        <v>0</v>
      </c>
      <c r="P181" s="112" t="str">
        <f t="shared" si="52"/>
        <v/>
      </c>
      <c r="Q181" s="112" t="str">
        <f t="shared" si="53"/>
        <v/>
      </c>
    </row>
    <row r="182" spans="2:17" x14ac:dyDescent="0.25">
      <c r="B182" s="110">
        <f>DATE(Title!$F$12,$S$10,S20)</f>
        <v>41441</v>
      </c>
      <c r="C182" s="111">
        <f>IF(WEEKDAY(B182)=1,0,IF(WEEKDAY(B182)=4,'Hours Scheduled'!$I$44-1,IF(WEEKDAY(B182)=7,0,'Hours Scheduled'!$I$44)))</f>
        <v>0</v>
      </c>
      <c r="D182" s="17">
        <f t="shared" si="54"/>
        <v>0</v>
      </c>
      <c r="E182" s="127">
        <f t="shared" si="55"/>
        <v>0</v>
      </c>
      <c r="F182" s="111"/>
      <c r="G182" s="130">
        <f>INDEX(June!$C$3:$AH$169,3,MATCH(B182,June!$D$3:$AH$3)+1)+INDEX(June!$C$3:$AH$169,8,MATCH(B182,June!$D$3:$AH$3)+1)+INDEX(June!$C$3:$AH$169,13,MATCH(B182,June!$D$3:$AH$3)+1)+INDEX(June!$C$3:$AH$169,18,MATCH(B182,June!$D$3:$AH$3)+1)+INDEX(June!$C$3:$AH$169,23,MATCH(B182,June!$D$3:$AH$3)+1)+INDEX(June!$C$3:$AH$169,28,MATCH(B182,June!$D$3:$AH$3)+1)+INDEX(June!$C$3:$AH$169,33,MATCH(B182,June!$D$3:$AH$3)+1)+INDEX(June!$C$3:$AH$169,38,MATCH(B182,June!$D$3:$AH$3)+1)+INDEX(June!$C$3:$AH$169,43,MATCH(B182,June!$D$3:$AH$3)+1)+INDEX(June!$C$3:$AH$169,48,MATCH(B182,June!$D$3:$AH$3)+1)+INDEX(June!$C$3:$AH$169,53,MATCH(B182,June!$D$3:$AH$3)+1)+INDEX(June!$C$3:$AH$169,58,MATCH(B182,June!$D$3:$AH$3)+1)+INDEX(June!$C$3:$AH$169,63,MATCH(B182,June!$D$3:$AH$3)+1)+INDEX(June!$C$3:$AH$169,68,MATCH(B182,June!$D$3:$AH$3)+1)+INDEX(June!$C$3:$AH$169,73,MATCH(B182,June!$D$3:$AH$3)+1)+INDEX(June!$C$3:$AH$169,78,MATCH(B182,June!$D$3:$AH$3)+1)+INDEX(June!$C$3:$AH$169,83,MATCH(B182,June!$D$3:$AH$3)+1)+INDEX(June!$C$3:$AH$169,88,MATCH(B182,June!$D$3:$AH$3)+1)+INDEX(June!$C$3:$AH$169,93,MATCH(B182,June!$D$3:$AH$3)+1)+INDEX(June!$C$3:$AH$169,98,MATCH(B182,June!$D$3:$AH$3)+1)+INDEX(June!$C$3:$AH$169,103,MATCH(B182,June!$D$3:$AH$3)+1)+INDEX(June!$C$3:$AH$169,108,MATCH(B182,June!$D$3:$AH$3)+1)+INDEX(June!$C$3:$AH$169,113,MATCH(B182,June!$D$3:$AH$3)+1)+INDEX(June!$C$3:$AH$169,118,MATCH(B182,June!$D$3:$AH$3)+1)+INDEX(June!$C$3:$AH$169,123,MATCH(B182,June!$D$3:$AH$3)+1)+INDEX(June!$C$3:$AH$169,128,MATCH(B182,June!$D$3:$AH$3)+1)+INDEX(June!$C$3:$AH$169,133,MATCH(B182,June!$D$3:$AH$3)+1)+INDEX(June!$C$3:$AH$169,138,MATCH(B182,June!$D$3:$AH$3)+1)+INDEX(June!$C$3:$AH$169,143,MATCH(B182,June!$D$3:$AH$3)+1)+INDEX(June!$C$3:$AH$169,148,MATCH(B182,June!$D$3:$AH$3)+1)-INDEX(June!$B$5:$AH$169,MATCH("Patrick Janssen",June!$B$5:$B$169),MATCH(B182,June!$D$3:$AH$3)+2)-INDEX(June!$B$5:$AH$169,MATCH("Patrick Ziesen",June!$B$5:$B$169),MATCH(B182,June!$D$3:$AH$3)+2)-INDEX(June!$B$5:$AH$169,MATCH("Frido Meijer",June!$B$5:$B$169),MATCH(B182,June!$D$3:$AH$3)+2)</f>
        <v>0</v>
      </c>
      <c r="H182" s="130">
        <f>INDEX(June!$C$3:$AH$169,4,MATCH(B182,June!$D$3:$AH$3)+1)+INDEX(June!$C$3:$AH$169,9,MATCH(B182,June!$D$3:$AH$3)+1)+INDEX(June!$C$3:$AH$169,14,MATCH(B182,June!$D$3:$AH$3)+1)+INDEX(June!$C$3:$AH$169,19,MATCH(B182,June!$D$3:$AH$3)+1)+INDEX(June!$C$3:$AH$169,24,MATCH(B182,June!$D$3:$AH$3)+1)+INDEX(June!$C$3:$AH$169,29,MATCH(B182,June!$D$3:$AH$3)+1)+INDEX(June!$C$3:$AH$169,34,MATCH(B182,June!$D$3:$AH$3)+1)+INDEX(June!$C$3:$AH$169,39,MATCH(B182,June!$D$3:$AH$3)+1)+INDEX(June!$C$3:$AH$169,44,MATCH(B182,June!$D$3:$AH$3)+1)+INDEX(June!$C$3:$AH$169,49,MATCH(B182,June!$D$3:$AH$3)+1)+INDEX(June!$C$3:$AH$169,54,MATCH(B182,June!$D$3:$AH$3)+1)+INDEX(June!$C$3:$AH$169,59,MATCH(B182,June!$D$3:$AH$3)+1)+INDEX(June!$C$3:$AH$169,64,MATCH(B182,June!$D$3:$AH$3)+1)+INDEX(June!$C$3:$AH$169,69,MATCH(B182,June!$D$3:$AH$3)+1)+INDEX(June!$C$3:$AH$169,74,MATCH(B182,June!$D$3:$AH$3)+1)+INDEX(June!$C$3:$AH$169,79,MATCH(B182,June!$D$3:$AH$3)+1)+INDEX(June!$C$3:$AH$169,84,MATCH(B182,June!$D$3:$AH$3)+1)+INDEX(June!$C$3:$AH$169,89,MATCH(B182,June!$D$3:$AH$3)+1)+INDEX(June!$C$3:$AH$169,94,MATCH(B182,June!$D$3:$AH$3)+1)+INDEX(June!$C$3:$AH$169,99,MATCH(B182,June!$D$3:$AH$3)+1)+INDEX(June!$C$3:$AH$169,104,MATCH(B182,June!$D$3:$AH$3)+1)+INDEX(June!$C$3:$AH$169,109,MATCH(B182,June!$D$3:$AH$3)+1)+INDEX(June!$C$3:$AH$169,114,MATCH(B182,June!$D$3:$AH$3)+1)+INDEX(June!$C$3:$AH$169,119,MATCH(B182,June!$D$3:$AH$3)+1)+INDEX(June!$C$3:$AH$169,124,MATCH(B182,June!$D$3:$AH$3)+1)+INDEX(June!$C$3:$AH$169,129,MATCH(B182,June!$D$3:$AH$3)+1)+INDEX(June!$C$3:$AH$169,134,MATCH(B182,June!$D$3:$AH$3)+1)+INDEX(June!$C$3:$AH$169,139,MATCH(B182,June!$D$3:$AH$3)+1)+INDEX(June!$C$3:$AH$169,144,MATCH(B182,June!$D$3:$AH$3)+1)+INDEX(June!$C$3:$AH$169,149,MATCH(B182,June!$D$3:$AH$3)+1)-INDEX(June!$B$5:$AH$169,MATCH("Patrick Janssen",June!$B$5:$B$169)+1,MATCH(B182,June!$D$3:$AH$3)+2)-INDEX(June!$B$5:$AH$169,MATCH("Patrick Ziesen",June!$B$5:$B$169)+1,MATCH(B182,June!$D$3:$AH$3)+2)-INDEX(June!$B$5:$AH$169,MATCH("Frido Meijer",June!$B$5:$B$169)+1,MATCH(B182,June!$D$3:$AH$3)+2)</f>
        <v>0</v>
      </c>
      <c r="I182" s="130">
        <v>0</v>
      </c>
      <c r="J182" s="130">
        <v>0</v>
      </c>
      <c r="L182" s="124"/>
      <c r="M182" s="111"/>
      <c r="N182" s="111">
        <f t="shared" si="56"/>
        <v>0</v>
      </c>
      <c r="P182" s="112" t="str">
        <f t="shared" si="52"/>
        <v/>
      </c>
      <c r="Q182" s="112" t="str">
        <f t="shared" si="53"/>
        <v/>
      </c>
    </row>
    <row r="183" spans="2:17" x14ac:dyDescent="0.25">
      <c r="B183" s="110">
        <f>DATE(Title!$F$12,$S$10,S21)</f>
        <v>41442</v>
      </c>
      <c r="C183" s="111">
        <f>IF(WEEKDAY(B183)=1,0,IF(WEEKDAY(B183)=4,'Hours Scheduled'!$I$44-1,IF(WEEKDAY(B183)=7,0,'Hours Scheduled'!$I$44)))</f>
        <v>21</v>
      </c>
      <c r="D183" s="17">
        <f t="shared" si="54"/>
        <v>157.5</v>
      </c>
      <c r="E183" s="127">
        <f t="shared" si="55"/>
        <v>148</v>
      </c>
      <c r="F183" s="111"/>
      <c r="G183" s="130">
        <f>INDEX(June!$C$3:$AH$169,3,MATCH(B183,June!$D$3:$AH$3)+1)+INDEX(June!$C$3:$AH$169,8,MATCH(B183,June!$D$3:$AH$3)+1)+INDEX(June!$C$3:$AH$169,13,MATCH(B183,June!$D$3:$AH$3)+1)+INDEX(June!$C$3:$AH$169,18,MATCH(B183,June!$D$3:$AH$3)+1)+INDEX(June!$C$3:$AH$169,23,MATCH(B183,June!$D$3:$AH$3)+1)+INDEX(June!$C$3:$AH$169,28,MATCH(B183,June!$D$3:$AH$3)+1)+INDEX(June!$C$3:$AH$169,33,MATCH(B183,June!$D$3:$AH$3)+1)+INDEX(June!$C$3:$AH$169,38,MATCH(B183,June!$D$3:$AH$3)+1)+INDEX(June!$C$3:$AH$169,43,MATCH(B183,June!$D$3:$AH$3)+1)+INDEX(June!$C$3:$AH$169,48,MATCH(B183,June!$D$3:$AH$3)+1)+INDEX(June!$C$3:$AH$169,53,MATCH(B183,June!$D$3:$AH$3)+1)+INDEX(June!$C$3:$AH$169,58,MATCH(B183,June!$D$3:$AH$3)+1)+INDEX(June!$C$3:$AH$169,63,MATCH(B183,June!$D$3:$AH$3)+1)+INDEX(June!$C$3:$AH$169,68,MATCH(B183,June!$D$3:$AH$3)+1)+INDEX(June!$C$3:$AH$169,73,MATCH(B183,June!$D$3:$AH$3)+1)+INDEX(June!$C$3:$AH$169,78,MATCH(B183,June!$D$3:$AH$3)+1)+INDEX(June!$C$3:$AH$169,83,MATCH(B183,June!$D$3:$AH$3)+1)+INDEX(June!$C$3:$AH$169,88,MATCH(B183,June!$D$3:$AH$3)+1)+INDEX(June!$C$3:$AH$169,93,MATCH(B183,June!$D$3:$AH$3)+1)+INDEX(June!$C$3:$AH$169,98,MATCH(B183,June!$D$3:$AH$3)+1)+INDEX(June!$C$3:$AH$169,103,MATCH(B183,June!$D$3:$AH$3)+1)+INDEX(June!$C$3:$AH$169,108,MATCH(B183,June!$D$3:$AH$3)+1)+INDEX(June!$C$3:$AH$169,113,MATCH(B183,June!$D$3:$AH$3)+1)+INDEX(June!$C$3:$AH$169,118,MATCH(B183,June!$D$3:$AH$3)+1)+INDEX(June!$C$3:$AH$169,123,MATCH(B183,June!$D$3:$AH$3)+1)+INDEX(June!$C$3:$AH$169,128,MATCH(B183,June!$D$3:$AH$3)+1)+INDEX(June!$C$3:$AH$169,133,MATCH(B183,June!$D$3:$AH$3)+1)+INDEX(June!$C$3:$AH$169,138,MATCH(B183,June!$D$3:$AH$3)+1)+INDEX(June!$C$3:$AH$169,143,MATCH(B183,June!$D$3:$AH$3)+1)+INDEX(June!$C$3:$AH$169,148,MATCH(B183,June!$D$3:$AH$3)+1)-INDEX(June!$B$5:$AH$169,MATCH("Patrick Janssen",June!$B$5:$B$169),MATCH(B183,June!$D$3:$AH$3)+2)-INDEX(June!$B$5:$AH$169,MATCH("Patrick Ziesen",June!$B$5:$B$169),MATCH(B183,June!$D$3:$AH$3)+2)-INDEX(June!$B$5:$AH$169,MATCH("Frido Meijer",June!$B$5:$B$169),MATCH(B183,June!$D$3:$AH$3)+2)</f>
        <v>20</v>
      </c>
      <c r="H183" s="130">
        <f>INDEX(June!$C$3:$AH$169,4,MATCH(B183,June!$D$3:$AH$3)+1)+INDEX(June!$C$3:$AH$169,9,MATCH(B183,June!$D$3:$AH$3)+1)+INDEX(June!$C$3:$AH$169,14,MATCH(B183,June!$D$3:$AH$3)+1)+INDEX(June!$C$3:$AH$169,19,MATCH(B183,June!$D$3:$AH$3)+1)+INDEX(June!$C$3:$AH$169,24,MATCH(B183,June!$D$3:$AH$3)+1)+INDEX(June!$C$3:$AH$169,29,MATCH(B183,June!$D$3:$AH$3)+1)+INDEX(June!$C$3:$AH$169,34,MATCH(B183,June!$D$3:$AH$3)+1)+INDEX(June!$C$3:$AH$169,39,MATCH(B183,June!$D$3:$AH$3)+1)+INDEX(June!$C$3:$AH$169,44,MATCH(B183,June!$D$3:$AH$3)+1)+INDEX(June!$C$3:$AH$169,49,MATCH(B183,June!$D$3:$AH$3)+1)+INDEX(June!$C$3:$AH$169,54,MATCH(B183,June!$D$3:$AH$3)+1)+INDEX(June!$C$3:$AH$169,59,MATCH(B183,June!$D$3:$AH$3)+1)+INDEX(June!$C$3:$AH$169,64,MATCH(B183,June!$D$3:$AH$3)+1)+INDEX(June!$C$3:$AH$169,69,MATCH(B183,June!$D$3:$AH$3)+1)+INDEX(June!$C$3:$AH$169,74,MATCH(B183,June!$D$3:$AH$3)+1)+INDEX(June!$C$3:$AH$169,79,MATCH(B183,June!$D$3:$AH$3)+1)+INDEX(June!$C$3:$AH$169,84,MATCH(B183,June!$D$3:$AH$3)+1)+INDEX(June!$C$3:$AH$169,89,MATCH(B183,June!$D$3:$AH$3)+1)+INDEX(June!$C$3:$AH$169,94,MATCH(B183,June!$D$3:$AH$3)+1)+INDEX(June!$C$3:$AH$169,99,MATCH(B183,June!$D$3:$AH$3)+1)+INDEX(June!$C$3:$AH$169,104,MATCH(B183,June!$D$3:$AH$3)+1)+INDEX(June!$C$3:$AH$169,109,MATCH(B183,June!$D$3:$AH$3)+1)+INDEX(June!$C$3:$AH$169,114,MATCH(B183,June!$D$3:$AH$3)+1)+INDEX(June!$C$3:$AH$169,119,MATCH(B183,June!$D$3:$AH$3)+1)+INDEX(June!$C$3:$AH$169,124,MATCH(B183,June!$D$3:$AH$3)+1)+INDEX(June!$C$3:$AH$169,129,MATCH(B183,June!$D$3:$AH$3)+1)+INDEX(June!$C$3:$AH$169,134,MATCH(B183,June!$D$3:$AH$3)+1)+INDEX(June!$C$3:$AH$169,139,MATCH(B183,June!$D$3:$AH$3)+1)+INDEX(June!$C$3:$AH$169,144,MATCH(B183,June!$D$3:$AH$3)+1)+INDEX(June!$C$3:$AH$169,149,MATCH(B183,June!$D$3:$AH$3)+1)-INDEX(June!$B$5:$AH$169,MATCH("Patrick Janssen",June!$B$5:$B$169)+1,MATCH(B183,June!$D$3:$AH$3)+2)-INDEX(June!$B$5:$AH$169,MATCH("Patrick Ziesen",June!$B$5:$B$169)+1,MATCH(B183,June!$D$3:$AH$3)+2)-INDEX(June!$B$5:$AH$169,MATCH("Frido Meijer",June!$B$5:$B$169)+1,MATCH(B183,June!$D$3:$AH$3)+2)</f>
        <v>0</v>
      </c>
      <c r="I183" s="130">
        <v>0</v>
      </c>
      <c r="J183" s="130">
        <v>0</v>
      </c>
      <c r="L183" s="124"/>
      <c r="M183" s="111"/>
      <c r="N183" s="111">
        <f t="shared" si="56"/>
        <v>0</v>
      </c>
      <c r="P183" s="112">
        <f t="shared" si="52"/>
        <v>0</v>
      </c>
      <c r="Q183" s="112">
        <f t="shared" si="53"/>
        <v>0</v>
      </c>
    </row>
    <row r="184" spans="2:17" x14ac:dyDescent="0.25">
      <c r="B184" s="110">
        <f>DATE(Title!$F$12,$S$10,S22)</f>
        <v>41443</v>
      </c>
      <c r="C184" s="111">
        <f>IF(WEEKDAY(B184)=1,0,IF(WEEKDAY(B184)=4,'Hours Scheduled'!$I$44-1,IF(WEEKDAY(B184)=7,0,'Hours Scheduled'!$I$44)))</f>
        <v>21</v>
      </c>
      <c r="D184" s="17">
        <f t="shared" si="54"/>
        <v>157.5</v>
      </c>
      <c r="E184" s="127">
        <f t="shared" si="55"/>
        <v>150</v>
      </c>
      <c r="F184" s="111"/>
      <c r="G184" s="130">
        <f>INDEX(June!$C$3:$AH$169,3,MATCH(B184,June!$D$3:$AH$3)+1)+INDEX(June!$C$3:$AH$169,8,MATCH(B184,June!$D$3:$AH$3)+1)+INDEX(June!$C$3:$AH$169,13,MATCH(B184,June!$D$3:$AH$3)+1)+INDEX(June!$C$3:$AH$169,18,MATCH(B184,June!$D$3:$AH$3)+1)+INDEX(June!$C$3:$AH$169,23,MATCH(B184,June!$D$3:$AH$3)+1)+INDEX(June!$C$3:$AH$169,28,MATCH(B184,June!$D$3:$AH$3)+1)+INDEX(June!$C$3:$AH$169,33,MATCH(B184,June!$D$3:$AH$3)+1)+INDEX(June!$C$3:$AH$169,38,MATCH(B184,June!$D$3:$AH$3)+1)+INDEX(June!$C$3:$AH$169,43,MATCH(B184,June!$D$3:$AH$3)+1)+INDEX(June!$C$3:$AH$169,48,MATCH(B184,June!$D$3:$AH$3)+1)+INDEX(June!$C$3:$AH$169,53,MATCH(B184,June!$D$3:$AH$3)+1)+INDEX(June!$C$3:$AH$169,58,MATCH(B184,June!$D$3:$AH$3)+1)+INDEX(June!$C$3:$AH$169,63,MATCH(B184,June!$D$3:$AH$3)+1)+INDEX(June!$C$3:$AH$169,68,MATCH(B184,June!$D$3:$AH$3)+1)+INDEX(June!$C$3:$AH$169,73,MATCH(B184,June!$D$3:$AH$3)+1)+INDEX(June!$C$3:$AH$169,78,MATCH(B184,June!$D$3:$AH$3)+1)+INDEX(June!$C$3:$AH$169,83,MATCH(B184,June!$D$3:$AH$3)+1)+INDEX(June!$C$3:$AH$169,88,MATCH(B184,June!$D$3:$AH$3)+1)+INDEX(June!$C$3:$AH$169,93,MATCH(B184,June!$D$3:$AH$3)+1)+INDEX(June!$C$3:$AH$169,98,MATCH(B184,June!$D$3:$AH$3)+1)+INDEX(June!$C$3:$AH$169,103,MATCH(B184,June!$D$3:$AH$3)+1)+INDEX(June!$C$3:$AH$169,108,MATCH(B184,June!$D$3:$AH$3)+1)+INDEX(June!$C$3:$AH$169,113,MATCH(B184,June!$D$3:$AH$3)+1)+INDEX(June!$C$3:$AH$169,118,MATCH(B184,June!$D$3:$AH$3)+1)+INDEX(June!$C$3:$AH$169,123,MATCH(B184,June!$D$3:$AH$3)+1)+INDEX(June!$C$3:$AH$169,128,MATCH(B184,June!$D$3:$AH$3)+1)+INDEX(June!$C$3:$AH$169,133,MATCH(B184,June!$D$3:$AH$3)+1)+INDEX(June!$C$3:$AH$169,138,MATCH(B184,June!$D$3:$AH$3)+1)+INDEX(June!$C$3:$AH$169,143,MATCH(B184,June!$D$3:$AH$3)+1)+INDEX(June!$C$3:$AH$169,148,MATCH(B184,June!$D$3:$AH$3)+1)-INDEX(June!$B$5:$AH$169,MATCH("Patrick Janssen",June!$B$5:$B$169),MATCH(B184,June!$D$3:$AH$3)+2)-INDEX(June!$B$5:$AH$169,MATCH("Patrick Ziesen",June!$B$5:$B$169),MATCH(B184,June!$D$3:$AH$3)+2)-INDEX(June!$B$5:$AH$169,MATCH("Frido Meijer",June!$B$5:$B$169),MATCH(B184,June!$D$3:$AH$3)+2)</f>
        <v>18</v>
      </c>
      <c r="H184" s="130">
        <f>INDEX(June!$C$3:$AH$169,4,MATCH(B184,June!$D$3:$AH$3)+1)+INDEX(June!$C$3:$AH$169,9,MATCH(B184,June!$D$3:$AH$3)+1)+INDEX(June!$C$3:$AH$169,14,MATCH(B184,June!$D$3:$AH$3)+1)+INDEX(June!$C$3:$AH$169,19,MATCH(B184,June!$D$3:$AH$3)+1)+INDEX(June!$C$3:$AH$169,24,MATCH(B184,June!$D$3:$AH$3)+1)+INDEX(June!$C$3:$AH$169,29,MATCH(B184,June!$D$3:$AH$3)+1)+INDEX(June!$C$3:$AH$169,34,MATCH(B184,June!$D$3:$AH$3)+1)+INDEX(June!$C$3:$AH$169,39,MATCH(B184,June!$D$3:$AH$3)+1)+INDEX(June!$C$3:$AH$169,44,MATCH(B184,June!$D$3:$AH$3)+1)+INDEX(June!$C$3:$AH$169,49,MATCH(B184,June!$D$3:$AH$3)+1)+INDEX(June!$C$3:$AH$169,54,MATCH(B184,June!$D$3:$AH$3)+1)+INDEX(June!$C$3:$AH$169,59,MATCH(B184,June!$D$3:$AH$3)+1)+INDEX(June!$C$3:$AH$169,64,MATCH(B184,June!$D$3:$AH$3)+1)+INDEX(June!$C$3:$AH$169,69,MATCH(B184,June!$D$3:$AH$3)+1)+INDEX(June!$C$3:$AH$169,74,MATCH(B184,June!$D$3:$AH$3)+1)+INDEX(June!$C$3:$AH$169,79,MATCH(B184,June!$D$3:$AH$3)+1)+INDEX(June!$C$3:$AH$169,84,MATCH(B184,June!$D$3:$AH$3)+1)+INDEX(June!$C$3:$AH$169,89,MATCH(B184,June!$D$3:$AH$3)+1)+INDEX(June!$C$3:$AH$169,94,MATCH(B184,June!$D$3:$AH$3)+1)+INDEX(June!$C$3:$AH$169,99,MATCH(B184,June!$D$3:$AH$3)+1)+INDEX(June!$C$3:$AH$169,104,MATCH(B184,June!$D$3:$AH$3)+1)+INDEX(June!$C$3:$AH$169,109,MATCH(B184,June!$D$3:$AH$3)+1)+INDEX(June!$C$3:$AH$169,114,MATCH(B184,June!$D$3:$AH$3)+1)+INDEX(June!$C$3:$AH$169,119,MATCH(B184,June!$D$3:$AH$3)+1)+INDEX(June!$C$3:$AH$169,124,MATCH(B184,June!$D$3:$AH$3)+1)+INDEX(June!$C$3:$AH$169,129,MATCH(B184,June!$D$3:$AH$3)+1)+INDEX(June!$C$3:$AH$169,134,MATCH(B184,June!$D$3:$AH$3)+1)+INDEX(June!$C$3:$AH$169,139,MATCH(B184,June!$D$3:$AH$3)+1)+INDEX(June!$C$3:$AH$169,144,MATCH(B184,June!$D$3:$AH$3)+1)+INDEX(June!$C$3:$AH$169,149,MATCH(B184,June!$D$3:$AH$3)+1)-INDEX(June!$B$5:$AH$169,MATCH("Patrick Janssen",June!$B$5:$B$169)+1,MATCH(B184,June!$D$3:$AH$3)+2)-INDEX(June!$B$5:$AH$169,MATCH("Patrick Ziesen",June!$B$5:$B$169)+1,MATCH(B184,June!$D$3:$AH$3)+2)-INDEX(June!$B$5:$AH$169,MATCH("Frido Meijer",June!$B$5:$B$169)+1,MATCH(B184,June!$D$3:$AH$3)+2)</f>
        <v>0</v>
      </c>
      <c r="I184" s="130">
        <v>0</v>
      </c>
      <c r="J184" s="130">
        <v>0</v>
      </c>
      <c r="L184" s="124"/>
      <c r="M184" s="111"/>
      <c r="N184" s="111">
        <f t="shared" si="56"/>
        <v>0</v>
      </c>
      <c r="P184" s="112">
        <f t="shared" si="52"/>
        <v>0</v>
      </c>
      <c r="Q184" s="112">
        <f t="shared" si="53"/>
        <v>0</v>
      </c>
    </row>
    <row r="185" spans="2:17" x14ac:dyDescent="0.25">
      <c r="B185" s="110">
        <f>DATE(Title!$F$12,$S$10,S23)</f>
        <v>41444</v>
      </c>
      <c r="C185" s="111">
        <f>IF(WEEKDAY(B185)=1,0,IF(WEEKDAY(B185)=4,'Hours Scheduled'!$I$44-1,IF(WEEKDAY(B185)=7,0,'Hours Scheduled'!$I$44)))</f>
        <v>20</v>
      </c>
      <c r="D185" s="17">
        <f t="shared" si="54"/>
        <v>150</v>
      </c>
      <c r="E185" s="127">
        <f t="shared" si="55"/>
        <v>152</v>
      </c>
      <c r="F185" s="111"/>
      <c r="G185" s="130">
        <f>INDEX(June!$C$3:$AH$169,3,MATCH(B185,June!$D$3:$AH$3)+1)+INDEX(June!$C$3:$AH$169,8,MATCH(B185,June!$D$3:$AH$3)+1)+INDEX(June!$C$3:$AH$169,13,MATCH(B185,June!$D$3:$AH$3)+1)+INDEX(June!$C$3:$AH$169,18,MATCH(B185,June!$D$3:$AH$3)+1)+INDEX(June!$C$3:$AH$169,23,MATCH(B185,June!$D$3:$AH$3)+1)+INDEX(June!$C$3:$AH$169,28,MATCH(B185,June!$D$3:$AH$3)+1)+INDEX(June!$C$3:$AH$169,33,MATCH(B185,June!$D$3:$AH$3)+1)+INDEX(June!$C$3:$AH$169,38,MATCH(B185,June!$D$3:$AH$3)+1)+INDEX(June!$C$3:$AH$169,43,MATCH(B185,June!$D$3:$AH$3)+1)+INDEX(June!$C$3:$AH$169,48,MATCH(B185,June!$D$3:$AH$3)+1)+INDEX(June!$C$3:$AH$169,53,MATCH(B185,June!$D$3:$AH$3)+1)+INDEX(June!$C$3:$AH$169,58,MATCH(B185,June!$D$3:$AH$3)+1)+INDEX(June!$C$3:$AH$169,63,MATCH(B185,June!$D$3:$AH$3)+1)+INDEX(June!$C$3:$AH$169,68,MATCH(B185,June!$D$3:$AH$3)+1)+INDEX(June!$C$3:$AH$169,73,MATCH(B185,June!$D$3:$AH$3)+1)+INDEX(June!$C$3:$AH$169,78,MATCH(B185,June!$D$3:$AH$3)+1)+INDEX(June!$C$3:$AH$169,83,MATCH(B185,June!$D$3:$AH$3)+1)+INDEX(June!$C$3:$AH$169,88,MATCH(B185,June!$D$3:$AH$3)+1)+INDEX(June!$C$3:$AH$169,93,MATCH(B185,June!$D$3:$AH$3)+1)+INDEX(June!$C$3:$AH$169,98,MATCH(B185,June!$D$3:$AH$3)+1)+INDEX(June!$C$3:$AH$169,103,MATCH(B185,June!$D$3:$AH$3)+1)+INDEX(June!$C$3:$AH$169,108,MATCH(B185,June!$D$3:$AH$3)+1)+INDEX(June!$C$3:$AH$169,113,MATCH(B185,June!$D$3:$AH$3)+1)+INDEX(June!$C$3:$AH$169,118,MATCH(B185,June!$D$3:$AH$3)+1)+INDEX(June!$C$3:$AH$169,123,MATCH(B185,June!$D$3:$AH$3)+1)+INDEX(June!$C$3:$AH$169,128,MATCH(B185,June!$D$3:$AH$3)+1)+INDEX(June!$C$3:$AH$169,133,MATCH(B185,June!$D$3:$AH$3)+1)+INDEX(June!$C$3:$AH$169,138,MATCH(B185,June!$D$3:$AH$3)+1)+INDEX(June!$C$3:$AH$169,143,MATCH(B185,June!$D$3:$AH$3)+1)+INDEX(June!$C$3:$AH$169,148,MATCH(B185,June!$D$3:$AH$3)+1)-INDEX(June!$B$5:$AH$169,MATCH("Patrick Janssen",June!$B$5:$B$169),MATCH(B185,June!$D$3:$AH$3)+2)-INDEX(June!$B$5:$AH$169,MATCH("Patrick Ziesen",June!$B$5:$B$169),MATCH(B185,June!$D$3:$AH$3)+2)-INDEX(June!$B$5:$AH$169,MATCH("Frido Meijer",June!$B$5:$B$169),MATCH(B185,June!$D$3:$AH$3)+2)</f>
        <v>8</v>
      </c>
      <c r="H185" s="130">
        <f>INDEX(June!$C$3:$AH$169,4,MATCH(B185,June!$D$3:$AH$3)+1)+INDEX(June!$C$3:$AH$169,9,MATCH(B185,June!$D$3:$AH$3)+1)+INDEX(June!$C$3:$AH$169,14,MATCH(B185,June!$D$3:$AH$3)+1)+INDEX(June!$C$3:$AH$169,19,MATCH(B185,June!$D$3:$AH$3)+1)+INDEX(June!$C$3:$AH$169,24,MATCH(B185,June!$D$3:$AH$3)+1)+INDEX(June!$C$3:$AH$169,29,MATCH(B185,June!$D$3:$AH$3)+1)+INDEX(June!$C$3:$AH$169,34,MATCH(B185,June!$D$3:$AH$3)+1)+INDEX(June!$C$3:$AH$169,39,MATCH(B185,June!$D$3:$AH$3)+1)+INDEX(June!$C$3:$AH$169,44,MATCH(B185,June!$D$3:$AH$3)+1)+INDEX(June!$C$3:$AH$169,49,MATCH(B185,June!$D$3:$AH$3)+1)+INDEX(June!$C$3:$AH$169,54,MATCH(B185,June!$D$3:$AH$3)+1)+INDEX(June!$C$3:$AH$169,59,MATCH(B185,June!$D$3:$AH$3)+1)+INDEX(June!$C$3:$AH$169,64,MATCH(B185,June!$D$3:$AH$3)+1)+INDEX(June!$C$3:$AH$169,69,MATCH(B185,June!$D$3:$AH$3)+1)+INDEX(June!$C$3:$AH$169,74,MATCH(B185,June!$D$3:$AH$3)+1)+INDEX(June!$C$3:$AH$169,79,MATCH(B185,June!$D$3:$AH$3)+1)+INDEX(June!$C$3:$AH$169,84,MATCH(B185,June!$D$3:$AH$3)+1)+INDEX(June!$C$3:$AH$169,89,MATCH(B185,June!$D$3:$AH$3)+1)+INDEX(June!$C$3:$AH$169,94,MATCH(B185,June!$D$3:$AH$3)+1)+INDEX(June!$C$3:$AH$169,99,MATCH(B185,June!$D$3:$AH$3)+1)+INDEX(June!$C$3:$AH$169,104,MATCH(B185,June!$D$3:$AH$3)+1)+INDEX(June!$C$3:$AH$169,109,MATCH(B185,June!$D$3:$AH$3)+1)+INDEX(June!$C$3:$AH$169,114,MATCH(B185,June!$D$3:$AH$3)+1)+INDEX(June!$C$3:$AH$169,119,MATCH(B185,June!$D$3:$AH$3)+1)+INDEX(June!$C$3:$AH$169,124,MATCH(B185,June!$D$3:$AH$3)+1)+INDEX(June!$C$3:$AH$169,129,MATCH(B185,June!$D$3:$AH$3)+1)+INDEX(June!$C$3:$AH$169,134,MATCH(B185,June!$D$3:$AH$3)+1)+INDEX(June!$C$3:$AH$169,139,MATCH(B185,June!$D$3:$AH$3)+1)+INDEX(June!$C$3:$AH$169,144,MATCH(B185,June!$D$3:$AH$3)+1)+INDEX(June!$C$3:$AH$169,149,MATCH(B185,June!$D$3:$AH$3)+1)-INDEX(June!$B$5:$AH$169,MATCH("Patrick Janssen",June!$B$5:$B$169)+1,MATCH(B185,June!$D$3:$AH$3)+2)-INDEX(June!$B$5:$AH$169,MATCH("Patrick Ziesen",June!$B$5:$B$169)+1,MATCH(B185,June!$D$3:$AH$3)+2)-INDEX(June!$B$5:$AH$169,MATCH("Frido Meijer",June!$B$5:$B$169)+1,MATCH(B185,June!$D$3:$AH$3)+2)</f>
        <v>0</v>
      </c>
      <c r="I185" s="130">
        <v>0</v>
      </c>
      <c r="J185" s="130">
        <v>0</v>
      </c>
      <c r="L185" s="124"/>
      <c r="M185" s="111"/>
      <c r="N185" s="111">
        <f t="shared" si="56"/>
        <v>0</v>
      </c>
      <c r="P185" s="112">
        <f t="shared" si="52"/>
        <v>0</v>
      </c>
      <c r="Q185" s="112">
        <f t="shared" si="53"/>
        <v>0</v>
      </c>
    </row>
    <row r="186" spans="2:17" x14ac:dyDescent="0.25">
      <c r="B186" s="110">
        <f>DATE(Title!$F$12,$S$10,S24)</f>
        <v>41445</v>
      </c>
      <c r="C186" s="111">
        <f>IF(WEEKDAY(B186)=1,0,IF(WEEKDAY(B186)=4,'Hours Scheduled'!$I$44-1,IF(WEEKDAY(B186)=7,0,'Hours Scheduled'!$I$44)))</f>
        <v>21</v>
      </c>
      <c r="D186" s="17">
        <f t="shared" si="54"/>
        <v>157.5</v>
      </c>
      <c r="E186" s="127">
        <f t="shared" si="55"/>
        <v>144</v>
      </c>
      <c r="F186" s="111"/>
      <c r="G186" s="130">
        <f>INDEX(June!$C$3:$AH$169,3,MATCH(B186,June!$D$3:$AH$3)+1)+INDEX(June!$C$3:$AH$169,8,MATCH(B186,June!$D$3:$AH$3)+1)+INDEX(June!$C$3:$AH$169,13,MATCH(B186,June!$D$3:$AH$3)+1)+INDEX(June!$C$3:$AH$169,18,MATCH(B186,June!$D$3:$AH$3)+1)+INDEX(June!$C$3:$AH$169,23,MATCH(B186,June!$D$3:$AH$3)+1)+INDEX(June!$C$3:$AH$169,28,MATCH(B186,June!$D$3:$AH$3)+1)+INDEX(June!$C$3:$AH$169,33,MATCH(B186,June!$D$3:$AH$3)+1)+INDEX(June!$C$3:$AH$169,38,MATCH(B186,June!$D$3:$AH$3)+1)+INDEX(June!$C$3:$AH$169,43,MATCH(B186,June!$D$3:$AH$3)+1)+INDEX(June!$C$3:$AH$169,48,MATCH(B186,June!$D$3:$AH$3)+1)+INDEX(June!$C$3:$AH$169,53,MATCH(B186,June!$D$3:$AH$3)+1)+INDEX(June!$C$3:$AH$169,58,MATCH(B186,June!$D$3:$AH$3)+1)+INDEX(June!$C$3:$AH$169,63,MATCH(B186,June!$D$3:$AH$3)+1)+INDEX(June!$C$3:$AH$169,68,MATCH(B186,June!$D$3:$AH$3)+1)+INDEX(June!$C$3:$AH$169,73,MATCH(B186,June!$D$3:$AH$3)+1)+INDEX(June!$C$3:$AH$169,78,MATCH(B186,June!$D$3:$AH$3)+1)+INDEX(June!$C$3:$AH$169,83,MATCH(B186,June!$D$3:$AH$3)+1)+INDEX(June!$C$3:$AH$169,88,MATCH(B186,June!$D$3:$AH$3)+1)+INDEX(June!$C$3:$AH$169,93,MATCH(B186,June!$D$3:$AH$3)+1)+INDEX(June!$C$3:$AH$169,98,MATCH(B186,June!$D$3:$AH$3)+1)+INDEX(June!$C$3:$AH$169,103,MATCH(B186,June!$D$3:$AH$3)+1)+INDEX(June!$C$3:$AH$169,108,MATCH(B186,June!$D$3:$AH$3)+1)+INDEX(June!$C$3:$AH$169,113,MATCH(B186,June!$D$3:$AH$3)+1)+INDEX(June!$C$3:$AH$169,118,MATCH(B186,June!$D$3:$AH$3)+1)+INDEX(June!$C$3:$AH$169,123,MATCH(B186,June!$D$3:$AH$3)+1)+INDEX(June!$C$3:$AH$169,128,MATCH(B186,June!$D$3:$AH$3)+1)+INDEX(June!$C$3:$AH$169,133,MATCH(B186,June!$D$3:$AH$3)+1)+INDEX(June!$C$3:$AH$169,138,MATCH(B186,June!$D$3:$AH$3)+1)+INDEX(June!$C$3:$AH$169,143,MATCH(B186,June!$D$3:$AH$3)+1)+INDEX(June!$C$3:$AH$169,148,MATCH(B186,June!$D$3:$AH$3)+1)-INDEX(June!$B$5:$AH$169,MATCH("Patrick Janssen",June!$B$5:$B$169),MATCH(B186,June!$D$3:$AH$3)+2)-INDEX(June!$B$5:$AH$169,MATCH("Patrick Ziesen",June!$B$5:$B$169),MATCH(B186,June!$D$3:$AH$3)+2)-INDEX(June!$B$5:$AH$169,MATCH("Frido Meijer",June!$B$5:$B$169),MATCH(B186,June!$D$3:$AH$3)+2)</f>
        <v>16</v>
      </c>
      <c r="H186" s="130">
        <f>INDEX(June!$C$3:$AH$169,4,MATCH(B186,June!$D$3:$AH$3)+1)+INDEX(June!$C$3:$AH$169,9,MATCH(B186,June!$D$3:$AH$3)+1)+INDEX(June!$C$3:$AH$169,14,MATCH(B186,June!$D$3:$AH$3)+1)+INDEX(June!$C$3:$AH$169,19,MATCH(B186,June!$D$3:$AH$3)+1)+INDEX(June!$C$3:$AH$169,24,MATCH(B186,June!$D$3:$AH$3)+1)+INDEX(June!$C$3:$AH$169,29,MATCH(B186,June!$D$3:$AH$3)+1)+INDEX(June!$C$3:$AH$169,34,MATCH(B186,June!$D$3:$AH$3)+1)+INDEX(June!$C$3:$AH$169,39,MATCH(B186,June!$D$3:$AH$3)+1)+INDEX(June!$C$3:$AH$169,44,MATCH(B186,June!$D$3:$AH$3)+1)+INDEX(June!$C$3:$AH$169,49,MATCH(B186,June!$D$3:$AH$3)+1)+INDEX(June!$C$3:$AH$169,54,MATCH(B186,June!$D$3:$AH$3)+1)+INDEX(June!$C$3:$AH$169,59,MATCH(B186,June!$D$3:$AH$3)+1)+INDEX(June!$C$3:$AH$169,64,MATCH(B186,June!$D$3:$AH$3)+1)+INDEX(June!$C$3:$AH$169,69,MATCH(B186,June!$D$3:$AH$3)+1)+INDEX(June!$C$3:$AH$169,74,MATCH(B186,June!$D$3:$AH$3)+1)+INDEX(June!$C$3:$AH$169,79,MATCH(B186,June!$D$3:$AH$3)+1)+INDEX(June!$C$3:$AH$169,84,MATCH(B186,June!$D$3:$AH$3)+1)+INDEX(June!$C$3:$AH$169,89,MATCH(B186,June!$D$3:$AH$3)+1)+INDEX(June!$C$3:$AH$169,94,MATCH(B186,June!$D$3:$AH$3)+1)+INDEX(June!$C$3:$AH$169,99,MATCH(B186,June!$D$3:$AH$3)+1)+INDEX(June!$C$3:$AH$169,104,MATCH(B186,June!$D$3:$AH$3)+1)+INDEX(June!$C$3:$AH$169,109,MATCH(B186,June!$D$3:$AH$3)+1)+INDEX(June!$C$3:$AH$169,114,MATCH(B186,June!$D$3:$AH$3)+1)+INDEX(June!$C$3:$AH$169,119,MATCH(B186,June!$D$3:$AH$3)+1)+INDEX(June!$C$3:$AH$169,124,MATCH(B186,June!$D$3:$AH$3)+1)+INDEX(June!$C$3:$AH$169,129,MATCH(B186,June!$D$3:$AH$3)+1)+INDEX(June!$C$3:$AH$169,134,MATCH(B186,June!$D$3:$AH$3)+1)+INDEX(June!$C$3:$AH$169,139,MATCH(B186,June!$D$3:$AH$3)+1)+INDEX(June!$C$3:$AH$169,144,MATCH(B186,June!$D$3:$AH$3)+1)+INDEX(June!$C$3:$AH$169,149,MATCH(B186,June!$D$3:$AH$3)+1)-INDEX(June!$B$5:$AH$169,MATCH("Patrick Janssen",June!$B$5:$B$169)+1,MATCH(B186,June!$D$3:$AH$3)+2)-INDEX(June!$B$5:$AH$169,MATCH("Patrick Ziesen",June!$B$5:$B$169)+1,MATCH(B186,June!$D$3:$AH$3)+2)-INDEX(June!$B$5:$AH$169,MATCH("Frido Meijer",June!$B$5:$B$169)+1,MATCH(B186,June!$D$3:$AH$3)+2)</f>
        <v>8</v>
      </c>
      <c r="I186" s="130">
        <v>0</v>
      </c>
      <c r="J186" s="130">
        <v>0</v>
      </c>
      <c r="L186" s="124"/>
      <c r="M186" s="111"/>
      <c r="N186" s="111">
        <f t="shared" si="56"/>
        <v>0</v>
      </c>
      <c r="P186" s="112">
        <f t="shared" si="52"/>
        <v>0</v>
      </c>
      <c r="Q186" s="112">
        <f t="shared" si="53"/>
        <v>0</v>
      </c>
    </row>
    <row r="187" spans="2:17" x14ac:dyDescent="0.25">
      <c r="B187" s="110">
        <f>DATE(Title!$F$12,$S$10,S25)</f>
        <v>41446</v>
      </c>
      <c r="C187" s="111">
        <f>IF(WEEKDAY(B187)=1,0,IF(WEEKDAY(B187)=4,'Hours Scheduled'!$I$44-1,IF(WEEKDAY(B187)=7,0,'Hours Scheduled'!$I$44)))</f>
        <v>21</v>
      </c>
      <c r="D187" s="17">
        <f t="shared" si="54"/>
        <v>157.5</v>
      </c>
      <c r="E187" s="127">
        <f t="shared" si="55"/>
        <v>132</v>
      </c>
      <c r="F187" s="111"/>
      <c r="G187" s="130">
        <f>INDEX(June!$C$3:$AH$169,3,MATCH(B187,June!$D$3:$AH$3)+1)+INDEX(June!$C$3:$AH$169,8,MATCH(B187,June!$D$3:$AH$3)+1)+INDEX(June!$C$3:$AH$169,13,MATCH(B187,June!$D$3:$AH$3)+1)+INDEX(June!$C$3:$AH$169,18,MATCH(B187,June!$D$3:$AH$3)+1)+INDEX(June!$C$3:$AH$169,23,MATCH(B187,June!$D$3:$AH$3)+1)+INDEX(June!$C$3:$AH$169,28,MATCH(B187,June!$D$3:$AH$3)+1)+INDEX(June!$C$3:$AH$169,33,MATCH(B187,June!$D$3:$AH$3)+1)+INDEX(June!$C$3:$AH$169,38,MATCH(B187,June!$D$3:$AH$3)+1)+INDEX(June!$C$3:$AH$169,43,MATCH(B187,June!$D$3:$AH$3)+1)+INDEX(June!$C$3:$AH$169,48,MATCH(B187,June!$D$3:$AH$3)+1)+INDEX(June!$C$3:$AH$169,53,MATCH(B187,June!$D$3:$AH$3)+1)+INDEX(June!$C$3:$AH$169,58,MATCH(B187,June!$D$3:$AH$3)+1)+INDEX(June!$C$3:$AH$169,63,MATCH(B187,June!$D$3:$AH$3)+1)+INDEX(June!$C$3:$AH$169,68,MATCH(B187,June!$D$3:$AH$3)+1)+INDEX(June!$C$3:$AH$169,73,MATCH(B187,June!$D$3:$AH$3)+1)+INDEX(June!$C$3:$AH$169,78,MATCH(B187,June!$D$3:$AH$3)+1)+INDEX(June!$C$3:$AH$169,83,MATCH(B187,June!$D$3:$AH$3)+1)+INDEX(June!$C$3:$AH$169,88,MATCH(B187,June!$D$3:$AH$3)+1)+INDEX(June!$C$3:$AH$169,93,MATCH(B187,June!$D$3:$AH$3)+1)+INDEX(June!$C$3:$AH$169,98,MATCH(B187,June!$D$3:$AH$3)+1)+INDEX(June!$C$3:$AH$169,103,MATCH(B187,June!$D$3:$AH$3)+1)+INDEX(June!$C$3:$AH$169,108,MATCH(B187,June!$D$3:$AH$3)+1)+INDEX(June!$C$3:$AH$169,113,MATCH(B187,June!$D$3:$AH$3)+1)+INDEX(June!$C$3:$AH$169,118,MATCH(B187,June!$D$3:$AH$3)+1)+INDEX(June!$C$3:$AH$169,123,MATCH(B187,June!$D$3:$AH$3)+1)+INDEX(June!$C$3:$AH$169,128,MATCH(B187,June!$D$3:$AH$3)+1)+INDEX(June!$C$3:$AH$169,133,MATCH(B187,June!$D$3:$AH$3)+1)+INDEX(June!$C$3:$AH$169,138,MATCH(B187,June!$D$3:$AH$3)+1)+INDEX(June!$C$3:$AH$169,143,MATCH(B187,June!$D$3:$AH$3)+1)+INDEX(June!$C$3:$AH$169,148,MATCH(B187,June!$D$3:$AH$3)+1)-INDEX(June!$B$5:$AH$169,MATCH("Patrick Janssen",June!$B$5:$B$169),MATCH(B187,June!$D$3:$AH$3)+2)-INDEX(June!$B$5:$AH$169,MATCH("Patrick Ziesen",June!$B$5:$B$169),MATCH(B187,June!$D$3:$AH$3)+2)-INDEX(June!$B$5:$AH$169,MATCH("Frido Meijer",June!$B$5:$B$169),MATCH(B187,June!$D$3:$AH$3)+2)</f>
        <v>28</v>
      </c>
      <c r="H187" s="130">
        <f>INDEX(June!$C$3:$AH$169,4,MATCH(B187,June!$D$3:$AH$3)+1)+INDEX(June!$C$3:$AH$169,9,MATCH(B187,June!$D$3:$AH$3)+1)+INDEX(June!$C$3:$AH$169,14,MATCH(B187,June!$D$3:$AH$3)+1)+INDEX(June!$C$3:$AH$169,19,MATCH(B187,June!$D$3:$AH$3)+1)+INDEX(June!$C$3:$AH$169,24,MATCH(B187,June!$D$3:$AH$3)+1)+INDEX(June!$C$3:$AH$169,29,MATCH(B187,June!$D$3:$AH$3)+1)+INDEX(June!$C$3:$AH$169,34,MATCH(B187,June!$D$3:$AH$3)+1)+INDEX(June!$C$3:$AH$169,39,MATCH(B187,June!$D$3:$AH$3)+1)+INDEX(June!$C$3:$AH$169,44,MATCH(B187,June!$D$3:$AH$3)+1)+INDEX(June!$C$3:$AH$169,49,MATCH(B187,June!$D$3:$AH$3)+1)+INDEX(June!$C$3:$AH$169,54,MATCH(B187,June!$D$3:$AH$3)+1)+INDEX(June!$C$3:$AH$169,59,MATCH(B187,June!$D$3:$AH$3)+1)+INDEX(June!$C$3:$AH$169,64,MATCH(B187,June!$D$3:$AH$3)+1)+INDEX(June!$C$3:$AH$169,69,MATCH(B187,June!$D$3:$AH$3)+1)+INDEX(June!$C$3:$AH$169,74,MATCH(B187,June!$D$3:$AH$3)+1)+INDEX(June!$C$3:$AH$169,79,MATCH(B187,June!$D$3:$AH$3)+1)+INDEX(June!$C$3:$AH$169,84,MATCH(B187,June!$D$3:$AH$3)+1)+INDEX(June!$C$3:$AH$169,89,MATCH(B187,June!$D$3:$AH$3)+1)+INDEX(June!$C$3:$AH$169,94,MATCH(B187,June!$D$3:$AH$3)+1)+INDEX(June!$C$3:$AH$169,99,MATCH(B187,June!$D$3:$AH$3)+1)+INDEX(June!$C$3:$AH$169,104,MATCH(B187,June!$D$3:$AH$3)+1)+INDEX(June!$C$3:$AH$169,109,MATCH(B187,June!$D$3:$AH$3)+1)+INDEX(June!$C$3:$AH$169,114,MATCH(B187,June!$D$3:$AH$3)+1)+INDEX(June!$C$3:$AH$169,119,MATCH(B187,June!$D$3:$AH$3)+1)+INDEX(June!$C$3:$AH$169,124,MATCH(B187,June!$D$3:$AH$3)+1)+INDEX(June!$C$3:$AH$169,129,MATCH(B187,June!$D$3:$AH$3)+1)+INDEX(June!$C$3:$AH$169,134,MATCH(B187,June!$D$3:$AH$3)+1)+INDEX(June!$C$3:$AH$169,139,MATCH(B187,June!$D$3:$AH$3)+1)+INDEX(June!$C$3:$AH$169,144,MATCH(B187,June!$D$3:$AH$3)+1)+INDEX(June!$C$3:$AH$169,149,MATCH(B187,June!$D$3:$AH$3)+1)-INDEX(June!$B$5:$AH$169,MATCH("Patrick Janssen",June!$B$5:$B$169)+1,MATCH(B187,June!$D$3:$AH$3)+2)-INDEX(June!$B$5:$AH$169,MATCH("Patrick Ziesen",June!$B$5:$B$169)+1,MATCH(B187,June!$D$3:$AH$3)+2)-INDEX(June!$B$5:$AH$169,MATCH("Frido Meijer",June!$B$5:$B$169)+1,MATCH(B187,June!$D$3:$AH$3)+2)</f>
        <v>8</v>
      </c>
      <c r="I187" s="130">
        <v>0</v>
      </c>
      <c r="J187" s="130">
        <v>0</v>
      </c>
      <c r="L187" s="124"/>
      <c r="M187" s="111"/>
      <c r="N187" s="111">
        <f t="shared" si="56"/>
        <v>0</v>
      </c>
      <c r="P187" s="112">
        <f t="shared" si="52"/>
        <v>0</v>
      </c>
      <c r="Q187" s="112">
        <f t="shared" si="53"/>
        <v>0</v>
      </c>
    </row>
    <row r="188" spans="2:17" x14ac:dyDescent="0.25">
      <c r="B188" s="110">
        <f>DATE(Title!$F$12,$S$10,S26)</f>
        <v>41447</v>
      </c>
      <c r="C188" s="111">
        <f>IF(WEEKDAY(B188)=1,0,IF(WEEKDAY(B188)=4,'Hours Scheduled'!$I$44-1,IF(WEEKDAY(B188)=7,0,'Hours Scheduled'!$I$44)))</f>
        <v>0</v>
      </c>
      <c r="D188" s="17">
        <f t="shared" si="54"/>
        <v>0</v>
      </c>
      <c r="E188" s="127">
        <f t="shared" si="55"/>
        <v>0</v>
      </c>
      <c r="F188" s="111"/>
      <c r="G188" s="130">
        <f>INDEX(June!$C$3:$AH$169,3,MATCH(B188,June!$D$3:$AH$3)+1)+INDEX(June!$C$3:$AH$169,8,MATCH(B188,June!$D$3:$AH$3)+1)+INDEX(June!$C$3:$AH$169,13,MATCH(B188,June!$D$3:$AH$3)+1)+INDEX(June!$C$3:$AH$169,18,MATCH(B188,June!$D$3:$AH$3)+1)+INDEX(June!$C$3:$AH$169,23,MATCH(B188,June!$D$3:$AH$3)+1)+INDEX(June!$C$3:$AH$169,28,MATCH(B188,June!$D$3:$AH$3)+1)+INDEX(June!$C$3:$AH$169,33,MATCH(B188,June!$D$3:$AH$3)+1)+INDEX(June!$C$3:$AH$169,38,MATCH(B188,June!$D$3:$AH$3)+1)+INDEX(June!$C$3:$AH$169,43,MATCH(B188,June!$D$3:$AH$3)+1)+INDEX(June!$C$3:$AH$169,48,MATCH(B188,June!$D$3:$AH$3)+1)+INDEX(June!$C$3:$AH$169,53,MATCH(B188,June!$D$3:$AH$3)+1)+INDEX(June!$C$3:$AH$169,58,MATCH(B188,June!$D$3:$AH$3)+1)+INDEX(June!$C$3:$AH$169,63,MATCH(B188,June!$D$3:$AH$3)+1)+INDEX(June!$C$3:$AH$169,68,MATCH(B188,June!$D$3:$AH$3)+1)+INDEX(June!$C$3:$AH$169,73,MATCH(B188,June!$D$3:$AH$3)+1)+INDEX(June!$C$3:$AH$169,78,MATCH(B188,June!$D$3:$AH$3)+1)+INDEX(June!$C$3:$AH$169,83,MATCH(B188,June!$D$3:$AH$3)+1)+INDEX(June!$C$3:$AH$169,88,MATCH(B188,June!$D$3:$AH$3)+1)+INDEX(June!$C$3:$AH$169,93,MATCH(B188,June!$D$3:$AH$3)+1)+INDEX(June!$C$3:$AH$169,98,MATCH(B188,June!$D$3:$AH$3)+1)+INDEX(June!$C$3:$AH$169,103,MATCH(B188,June!$D$3:$AH$3)+1)+INDEX(June!$C$3:$AH$169,108,MATCH(B188,June!$D$3:$AH$3)+1)+INDEX(June!$C$3:$AH$169,113,MATCH(B188,June!$D$3:$AH$3)+1)+INDEX(June!$C$3:$AH$169,118,MATCH(B188,June!$D$3:$AH$3)+1)+INDEX(June!$C$3:$AH$169,123,MATCH(B188,June!$D$3:$AH$3)+1)+INDEX(June!$C$3:$AH$169,128,MATCH(B188,June!$D$3:$AH$3)+1)+INDEX(June!$C$3:$AH$169,133,MATCH(B188,June!$D$3:$AH$3)+1)+INDEX(June!$C$3:$AH$169,138,MATCH(B188,June!$D$3:$AH$3)+1)+INDEX(June!$C$3:$AH$169,143,MATCH(B188,June!$D$3:$AH$3)+1)+INDEX(June!$C$3:$AH$169,148,MATCH(B188,June!$D$3:$AH$3)+1)-INDEX(June!$B$5:$AH$169,MATCH("Patrick Janssen",June!$B$5:$B$169),MATCH(B188,June!$D$3:$AH$3)+2)-INDEX(June!$B$5:$AH$169,MATCH("Patrick Ziesen",June!$B$5:$B$169),MATCH(B188,June!$D$3:$AH$3)+2)-INDEX(June!$B$5:$AH$169,MATCH("Frido Meijer",June!$B$5:$B$169),MATCH(B188,June!$D$3:$AH$3)+2)</f>
        <v>0</v>
      </c>
      <c r="H188" s="130">
        <f>INDEX(June!$C$3:$AH$169,4,MATCH(B188,June!$D$3:$AH$3)+1)+INDEX(June!$C$3:$AH$169,9,MATCH(B188,June!$D$3:$AH$3)+1)+INDEX(June!$C$3:$AH$169,14,MATCH(B188,June!$D$3:$AH$3)+1)+INDEX(June!$C$3:$AH$169,19,MATCH(B188,June!$D$3:$AH$3)+1)+INDEX(June!$C$3:$AH$169,24,MATCH(B188,June!$D$3:$AH$3)+1)+INDEX(June!$C$3:$AH$169,29,MATCH(B188,June!$D$3:$AH$3)+1)+INDEX(June!$C$3:$AH$169,34,MATCH(B188,June!$D$3:$AH$3)+1)+INDEX(June!$C$3:$AH$169,39,MATCH(B188,June!$D$3:$AH$3)+1)+INDEX(June!$C$3:$AH$169,44,MATCH(B188,June!$D$3:$AH$3)+1)+INDEX(June!$C$3:$AH$169,49,MATCH(B188,June!$D$3:$AH$3)+1)+INDEX(June!$C$3:$AH$169,54,MATCH(B188,June!$D$3:$AH$3)+1)+INDEX(June!$C$3:$AH$169,59,MATCH(B188,June!$D$3:$AH$3)+1)+INDEX(June!$C$3:$AH$169,64,MATCH(B188,June!$D$3:$AH$3)+1)+INDEX(June!$C$3:$AH$169,69,MATCH(B188,June!$D$3:$AH$3)+1)+INDEX(June!$C$3:$AH$169,74,MATCH(B188,June!$D$3:$AH$3)+1)+INDEX(June!$C$3:$AH$169,79,MATCH(B188,June!$D$3:$AH$3)+1)+INDEX(June!$C$3:$AH$169,84,MATCH(B188,June!$D$3:$AH$3)+1)+INDEX(June!$C$3:$AH$169,89,MATCH(B188,June!$D$3:$AH$3)+1)+INDEX(June!$C$3:$AH$169,94,MATCH(B188,June!$D$3:$AH$3)+1)+INDEX(June!$C$3:$AH$169,99,MATCH(B188,June!$D$3:$AH$3)+1)+INDEX(June!$C$3:$AH$169,104,MATCH(B188,June!$D$3:$AH$3)+1)+INDEX(June!$C$3:$AH$169,109,MATCH(B188,June!$D$3:$AH$3)+1)+INDEX(June!$C$3:$AH$169,114,MATCH(B188,June!$D$3:$AH$3)+1)+INDEX(June!$C$3:$AH$169,119,MATCH(B188,June!$D$3:$AH$3)+1)+INDEX(June!$C$3:$AH$169,124,MATCH(B188,June!$D$3:$AH$3)+1)+INDEX(June!$C$3:$AH$169,129,MATCH(B188,June!$D$3:$AH$3)+1)+INDEX(June!$C$3:$AH$169,134,MATCH(B188,June!$D$3:$AH$3)+1)+INDEX(June!$C$3:$AH$169,139,MATCH(B188,June!$D$3:$AH$3)+1)+INDEX(June!$C$3:$AH$169,144,MATCH(B188,June!$D$3:$AH$3)+1)+INDEX(June!$C$3:$AH$169,149,MATCH(B188,June!$D$3:$AH$3)+1)-INDEX(June!$B$5:$AH$169,MATCH("Patrick Janssen",June!$B$5:$B$169)+1,MATCH(B188,June!$D$3:$AH$3)+2)-INDEX(June!$B$5:$AH$169,MATCH("Patrick Ziesen",June!$B$5:$B$169)+1,MATCH(B188,June!$D$3:$AH$3)+2)-INDEX(June!$B$5:$AH$169,MATCH("Frido Meijer",June!$B$5:$B$169)+1,MATCH(B188,June!$D$3:$AH$3)+2)</f>
        <v>0</v>
      </c>
      <c r="I188" s="130">
        <v>0</v>
      </c>
      <c r="J188" s="130">
        <v>0</v>
      </c>
      <c r="L188" s="124"/>
      <c r="M188" s="111"/>
      <c r="N188" s="111">
        <f t="shared" si="56"/>
        <v>0</v>
      </c>
      <c r="P188" s="112" t="str">
        <f t="shared" si="52"/>
        <v/>
      </c>
      <c r="Q188" s="112" t="str">
        <f t="shared" si="53"/>
        <v/>
      </c>
    </row>
    <row r="189" spans="2:17" x14ac:dyDescent="0.25">
      <c r="B189" s="110">
        <f>DATE(Title!$F$12,$S$10,S27)</f>
        <v>41448</v>
      </c>
      <c r="C189" s="111">
        <f>IF(WEEKDAY(B189)=1,0,IF(WEEKDAY(B189)=4,'Hours Scheduled'!$I$44-1,IF(WEEKDAY(B189)=7,0,'Hours Scheduled'!$I$44)))</f>
        <v>0</v>
      </c>
      <c r="D189" s="17">
        <f t="shared" si="54"/>
        <v>0</v>
      </c>
      <c r="E189" s="127">
        <f t="shared" si="55"/>
        <v>0</v>
      </c>
      <c r="F189" s="111"/>
      <c r="G189" s="130">
        <f>INDEX(June!$C$3:$AH$169,3,MATCH(B189,June!$D$3:$AH$3)+1)+INDEX(June!$C$3:$AH$169,8,MATCH(B189,June!$D$3:$AH$3)+1)+INDEX(June!$C$3:$AH$169,13,MATCH(B189,June!$D$3:$AH$3)+1)+INDEX(June!$C$3:$AH$169,18,MATCH(B189,June!$D$3:$AH$3)+1)+INDEX(June!$C$3:$AH$169,23,MATCH(B189,June!$D$3:$AH$3)+1)+INDEX(June!$C$3:$AH$169,28,MATCH(B189,June!$D$3:$AH$3)+1)+INDEX(June!$C$3:$AH$169,33,MATCH(B189,June!$D$3:$AH$3)+1)+INDEX(June!$C$3:$AH$169,38,MATCH(B189,June!$D$3:$AH$3)+1)+INDEX(June!$C$3:$AH$169,43,MATCH(B189,June!$D$3:$AH$3)+1)+INDEX(June!$C$3:$AH$169,48,MATCH(B189,June!$D$3:$AH$3)+1)+INDEX(June!$C$3:$AH$169,53,MATCH(B189,June!$D$3:$AH$3)+1)+INDEX(June!$C$3:$AH$169,58,MATCH(B189,June!$D$3:$AH$3)+1)+INDEX(June!$C$3:$AH$169,63,MATCH(B189,June!$D$3:$AH$3)+1)+INDEX(June!$C$3:$AH$169,68,MATCH(B189,June!$D$3:$AH$3)+1)+INDEX(June!$C$3:$AH$169,73,MATCH(B189,June!$D$3:$AH$3)+1)+INDEX(June!$C$3:$AH$169,78,MATCH(B189,June!$D$3:$AH$3)+1)+INDEX(June!$C$3:$AH$169,83,MATCH(B189,June!$D$3:$AH$3)+1)+INDEX(June!$C$3:$AH$169,88,MATCH(B189,June!$D$3:$AH$3)+1)+INDEX(June!$C$3:$AH$169,93,MATCH(B189,June!$D$3:$AH$3)+1)+INDEX(June!$C$3:$AH$169,98,MATCH(B189,June!$D$3:$AH$3)+1)+INDEX(June!$C$3:$AH$169,103,MATCH(B189,June!$D$3:$AH$3)+1)+INDEX(June!$C$3:$AH$169,108,MATCH(B189,June!$D$3:$AH$3)+1)+INDEX(June!$C$3:$AH$169,113,MATCH(B189,June!$D$3:$AH$3)+1)+INDEX(June!$C$3:$AH$169,118,MATCH(B189,June!$D$3:$AH$3)+1)+INDEX(June!$C$3:$AH$169,123,MATCH(B189,June!$D$3:$AH$3)+1)+INDEX(June!$C$3:$AH$169,128,MATCH(B189,June!$D$3:$AH$3)+1)+INDEX(June!$C$3:$AH$169,133,MATCH(B189,June!$D$3:$AH$3)+1)+INDEX(June!$C$3:$AH$169,138,MATCH(B189,June!$D$3:$AH$3)+1)+INDEX(June!$C$3:$AH$169,143,MATCH(B189,June!$D$3:$AH$3)+1)+INDEX(June!$C$3:$AH$169,148,MATCH(B189,June!$D$3:$AH$3)+1)-INDEX(June!$B$5:$AH$169,MATCH("Patrick Janssen",June!$B$5:$B$169),MATCH(B189,June!$D$3:$AH$3)+2)-INDEX(June!$B$5:$AH$169,MATCH("Patrick Ziesen",June!$B$5:$B$169),MATCH(B189,June!$D$3:$AH$3)+2)-INDEX(June!$B$5:$AH$169,MATCH("Frido Meijer",June!$B$5:$B$169),MATCH(B189,June!$D$3:$AH$3)+2)</f>
        <v>0</v>
      </c>
      <c r="H189" s="130">
        <f>INDEX(June!$C$3:$AH$169,4,MATCH(B189,June!$D$3:$AH$3)+1)+INDEX(June!$C$3:$AH$169,9,MATCH(B189,June!$D$3:$AH$3)+1)+INDEX(June!$C$3:$AH$169,14,MATCH(B189,June!$D$3:$AH$3)+1)+INDEX(June!$C$3:$AH$169,19,MATCH(B189,June!$D$3:$AH$3)+1)+INDEX(June!$C$3:$AH$169,24,MATCH(B189,June!$D$3:$AH$3)+1)+INDEX(June!$C$3:$AH$169,29,MATCH(B189,June!$D$3:$AH$3)+1)+INDEX(June!$C$3:$AH$169,34,MATCH(B189,June!$D$3:$AH$3)+1)+INDEX(June!$C$3:$AH$169,39,MATCH(B189,June!$D$3:$AH$3)+1)+INDEX(June!$C$3:$AH$169,44,MATCH(B189,June!$D$3:$AH$3)+1)+INDEX(June!$C$3:$AH$169,49,MATCH(B189,June!$D$3:$AH$3)+1)+INDEX(June!$C$3:$AH$169,54,MATCH(B189,June!$D$3:$AH$3)+1)+INDEX(June!$C$3:$AH$169,59,MATCH(B189,June!$D$3:$AH$3)+1)+INDEX(June!$C$3:$AH$169,64,MATCH(B189,June!$D$3:$AH$3)+1)+INDEX(June!$C$3:$AH$169,69,MATCH(B189,June!$D$3:$AH$3)+1)+INDEX(June!$C$3:$AH$169,74,MATCH(B189,June!$D$3:$AH$3)+1)+INDEX(June!$C$3:$AH$169,79,MATCH(B189,June!$D$3:$AH$3)+1)+INDEX(June!$C$3:$AH$169,84,MATCH(B189,June!$D$3:$AH$3)+1)+INDEX(June!$C$3:$AH$169,89,MATCH(B189,June!$D$3:$AH$3)+1)+INDEX(June!$C$3:$AH$169,94,MATCH(B189,June!$D$3:$AH$3)+1)+INDEX(June!$C$3:$AH$169,99,MATCH(B189,June!$D$3:$AH$3)+1)+INDEX(June!$C$3:$AH$169,104,MATCH(B189,June!$D$3:$AH$3)+1)+INDEX(June!$C$3:$AH$169,109,MATCH(B189,June!$D$3:$AH$3)+1)+INDEX(June!$C$3:$AH$169,114,MATCH(B189,June!$D$3:$AH$3)+1)+INDEX(June!$C$3:$AH$169,119,MATCH(B189,June!$D$3:$AH$3)+1)+INDEX(June!$C$3:$AH$169,124,MATCH(B189,June!$D$3:$AH$3)+1)+INDEX(June!$C$3:$AH$169,129,MATCH(B189,June!$D$3:$AH$3)+1)+INDEX(June!$C$3:$AH$169,134,MATCH(B189,June!$D$3:$AH$3)+1)+INDEX(June!$C$3:$AH$169,139,MATCH(B189,June!$D$3:$AH$3)+1)+INDEX(June!$C$3:$AH$169,144,MATCH(B189,June!$D$3:$AH$3)+1)+INDEX(June!$C$3:$AH$169,149,MATCH(B189,June!$D$3:$AH$3)+1)-INDEX(June!$B$5:$AH$169,MATCH("Patrick Janssen",June!$B$5:$B$169)+1,MATCH(B189,June!$D$3:$AH$3)+2)-INDEX(June!$B$5:$AH$169,MATCH("Patrick Ziesen",June!$B$5:$B$169)+1,MATCH(B189,June!$D$3:$AH$3)+2)-INDEX(June!$B$5:$AH$169,MATCH("Frido Meijer",June!$B$5:$B$169)+1,MATCH(B189,June!$D$3:$AH$3)+2)</f>
        <v>0</v>
      </c>
      <c r="I189" s="130">
        <v>0</v>
      </c>
      <c r="J189" s="130">
        <v>0</v>
      </c>
      <c r="L189" s="124"/>
      <c r="M189" s="111"/>
      <c r="N189" s="111">
        <f t="shared" si="56"/>
        <v>0</v>
      </c>
      <c r="P189" s="112" t="str">
        <f t="shared" si="52"/>
        <v/>
      </c>
      <c r="Q189" s="112" t="str">
        <f t="shared" si="53"/>
        <v/>
      </c>
    </row>
    <row r="190" spans="2:17" x14ac:dyDescent="0.25">
      <c r="B190" s="110">
        <f>DATE(Title!$F$12,$S$10,S28)</f>
        <v>41449</v>
      </c>
      <c r="C190" s="111">
        <f>IF(WEEKDAY(B190)=1,0,IF(WEEKDAY(B190)=4,'Hours Scheduled'!$I$44-1,IF(WEEKDAY(B190)=7,0,'Hours Scheduled'!$I$44)))</f>
        <v>21</v>
      </c>
      <c r="D190" s="17">
        <f t="shared" si="54"/>
        <v>157.5</v>
      </c>
      <c r="E190" s="127">
        <f t="shared" si="55"/>
        <v>136</v>
      </c>
      <c r="F190" s="111"/>
      <c r="G190" s="130">
        <f>INDEX(June!$C$3:$AH$169,3,MATCH(B190,June!$D$3:$AH$3)+1)+INDEX(June!$C$3:$AH$169,8,MATCH(B190,June!$D$3:$AH$3)+1)+INDEX(June!$C$3:$AH$169,13,MATCH(B190,June!$D$3:$AH$3)+1)+INDEX(June!$C$3:$AH$169,18,MATCH(B190,June!$D$3:$AH$3)+1)+INDEX(June!$C$3:$AH$169,23,MATCH(B190,June!$D$3:$AH$3)+1)+INDEX(June!$C$3:$AH$169,28,MATCH(B190,June!$D$3:$AH$3)+1)+INDEX(June!$C$3:$AH$169,33,MATCH(B190,June!$D$3:$AH$3)+1)+INDEX(June!$C$3:$AH$169,38,MATCH(B190,June!$D$3:$AH$3)+1)+INDEX(June!$C$3:$AH$169,43,MATCH(B190,June!$D$3:$AH$3)+1)+INDEX(June!$C$3:$AH$169,48,MATCH(B190,June!$D$3:$AH$3)+1)+INDEX(June!$C$3:$AH$169,53,MATCH(B190,June!$D$3:$AH$3)+1)+INDEX(June!$C$3:$AH$169,58,MATCH(B190,June!$D$3:$AH$3)+1)+INDEX(June!$C$3:$AH$169,63,MATCH(B190,June!$D$3:$AH$3)+1)+INDEX(June!$C$3:$AH$169,68,MATCH(B190,June!$D$3:$AH$3)+1)+INDEX(June!$C$3:$AH$169,73,MATCH(B190,June!$D$3:$AH$3)+1)+INDEX(June!$C$3:$AH$169,78,MATCH(B190,June!$D$3:$AH$3)+1)+INDEX(June!$C$3:$AH$169,83,MATCH(B190,June!$D$3:$AH$3)+1)+INDEX(June!$C$3:$AH$169,88,MATCH(B190,June!$D$3:$AH$3)+1)+INDEX(June!$C$3:$AH$169,93,MATCH(B190,June!$D$3:$AH$3)+1)+INDEX(June!$C$3:$AH$169,98,MATCH(B190,June!$D$3:$AH$3)+1)+INDEX(June!$C$3:$AH$169,103,MATCH(B190,June!$D$3:$AH$3)+1)+INDEX(June!$C$3:$AH$169,108,MATCH(B190,June!$D$3:$AH$3)+1)+INDEX(June!$C$3:$AH$169,113,MATCH(B190,June!$D$3:$AH$3)+1)+INDEX(June!$C$3:$AH$169,118,MATCH(B190,June!$D$3:$AH$3)+1)+INDEX(June!$C$3:$AH$169,123,MATCH(B190,June!$D$3:$AH$3)+1)+INDEX(June!$C$3:$AH$169,128,MATCH(B190,June!$D$3:$AH$3)+1)+INDEX(June!$C$3:$AH$169,133,MATCH(B190,June!$D$3:$AH$3)+1)+INDEX(June!$C$3:$AH$169,138,MATCH(B190,June!$D$3:$AH$3)+1)+INDEX(June!$C$3:$AH$169,143,MATCH(B190,June!$D$3:$AH$3)+1)+INDEX(June!$C$3:$AH$169,148,MATCH(B190,June!$D$3:$AH$3)+1)-INDEX(June!$B$5:$AH$169,MATCH("Patrick Janssen",June!$B$5:$B$169),MATCH(B190,June!$D$3:$AH$3)+2)-INDEX(June!$B$5:$AH$169,MATCH("Patrick Ziesen",June!$B$5:$B$169),MATCH(B190,June!$D$3:$AH$3)+2)-INDEX(June!$B$5:$AH$169,MATCH("Frido Meijer",June!$B$5:$B$169),MATCH(B190,June!$D$3:$AH$3)+2)</f>
        <v>24</v>
      </c>
      <c r="H190" s="130">
        <f>INDEX(June!$C$3:$AH$169,4,MATCH(B190,June!$D$3:$AH$3)+1)+INDEX(June!$C$3:$AH$169,9,MATCH(B190,June!$D$3:$AH$3)+1)+INDEX(June!$C$3:$AH$169,14,MATCH(B190,June!$D$3:$AH$3)+1)+INDEX(June!$C$3:$AH$169,19,MATCH(B190,June!$D$3:$AH$3)+1)+INDEX(June!$C$3:$AH$169,24,MATCH(B190,June!$D$3:$AH$3)+1)+INDEX(June!$C$3:$AH$169,29,MATCH(B190,June!$D$3:$AH$3)+1)+INDEX(June!$C$3:$AH$169,34,MATCH(B190,June!$D$3:$AH$3)+1)+INDEX(June!$C$3:$AH$169,39,MATCH(B190,June!$D$3:$AH$3)+1)+INDEX(June!$C$3:$AH$169,44,MATCH(B190,June!$D$3:$AH$3)+1)+INDEX(June!$C$3:$AH$169,49,MATCH(B190,June!$D$3:$AH$3)+1)+INDEX(June!$C$3:$AH$169,54,MATCH(B190,June!$D$3:$AH$3)+1)+INDEX(June!$C$3:$AH$169,59,MATCH(B190,June!$D$3:$AH$3)+1)+INDEX(June!$C$3:$AH$169,64,MATCH(B190,June!$D$3:$AH$3)+1)+INDEX(June!$C$3:$AH$169,69,MATCH(B190,June!$D$3:$AH$3)+1)+INDEX(June!$C$3:$AH$169,74,MATCH(B190,June!$D$3:$AH$3)+1)+INDEX(June!$C$3:$AH$169,79,MATCH(B190,June!$D$3:$AH$3)+1)+INDEX(June!$C$3:$AH$169,84,MATCH(B190,June!$D$3:$AH$3)+1)+INDEX(June!$C$3:$AH$169,89,MATCH(B190,June!$D$3:$AH$3)+1)+INDEX(June!$C$3:$AH$169,94,MATCH(B190,June!$D$3:$AH$3)+1)+INDEX(June!$C$3:$AH$169,99,MATCH(B190,June!$D$3:$AH$3)+1)+INDEX(June!$C$3:$AH$169,104,MATCH(B190,June!$D$3:$AH$3)+1)+INDEX(June!$C$3:$AH$169,109,MATCH(B190,June!$D$3:$AH$3)+1)+INDEX(June!$C$3:$AH$169,114,MATCH(B190,June!$D$3:$AH$3)+1)+INDEX(June!$C$3:$AH$169,119,MATCH(B190,June!$D$3:$AH$3)+1)+INDEX(June!$C$3:$AH$169,124,MATCH(B190,June!$D$3:$AH$3)+1)+INDEX(June!$C$3:$AH$169,129,MATCH(B190,June!$D$3:$AH$3)+1)+INDEX(June!$C$3:$AH$169,134,MATCH(B190,June!$D$3:$AH$3)+1)+INDEX(June!$C$3:$AH$169,139,MATCH(B190,June!$D$3:$AH$3)+1)+INDEX(June!$C$3:$AH$169,144,MATCH(B190,June!$D$3:$AH$3)+1)+INDEX(June!$C$3:$AH$169,149,MATCH(B190,June!$D$3:$AH$3)+1)-INDEX(June!$B$5:$AH$169,MATCH("Patrick Janssen",June!$B$5:$B$169)+1,MATCH(B190,June!$D$3:$AH$3)+2)-INDEX(June!$B$5:$AH$169,MATCH("Patrick Ziesen",June!$B$5:$B$169)+1,MATCH(B190,June!$D$3:$AH$3)+2)-INDEX(June!$B$5:$AH$169,MATCH("Frido Meijer",June!$B$5:$B$169)+1,MATCH(B190,June!$D$3:$AH$3)+2)</f>
        <v>8</v>
      </c>
      <c r="I190" s="130">
        <v>0</v>
      </c>
      <c r="J190" s="130">
        <v>0</v>
      </c>
      <c r="L190" s="124"/>
      <c r="M190" s="111"/>
      <c r="N190" s="111">
        <f t="shared" si="56"/>
        <v>0</v>
      </c>
      <c r="P190" s="112">
        <f t="shared" si="52"/>
        <v>0</v>
      </c>
      <c r="Q190" s="112">
        <f t="shared" si="53"/>
        <v>0</v>
      </c>
    </row>
    <row r="191" spans="2:17" x14ac:dyDescent="0.25">
      <c r="B191" s="110">
        <f>DATE(Title!$F$12,$S$10,S29)</f>
        <v>41450</v>
      </c>
      <c r="C191" s="111">
        <f>IF(WEEKDAY(B191)=1,0,IF(WEEKDAY(B191)=4,'Hours Scheduled'!$I$44-1,IF(WEEKDAY(B191)=7,0,'Hours Scheduled'!$I$44)))</f>
        <v>21</v>
      </c>
      <c r="D191" s="17">
        <f t="shared" si="54"/>
        <v>157.5</v>
      </c>
      <c r="E191" s="127">
        <f t="shared" si="55"/>
        <v>140</v>
      </c>
      <c r="F191" s="111"/>
      <c r="G191" s="130">
        <f>INDEX(June!$C$3:$AH$169,3,MATCH(B191,June!$D$3:$AH$3)+1)+INDEX(June!$C$3:$AH$169,8,MATCH(B191,June!$D$3:$AH$3)+1)+INDEX(June!$C$3:$AH$169,13,MATCH(B191,June!$D$3:$AH$3)+1)+INDEX(June!$C$3:$AH$169,18,MATCH(B191,June!$D$3:$AH$3)+1)+INDEX(June!$C$3:$AH$169,23,MATCH(B191,June!$D$3:$AH$3)+1)+INDEX(June!$C$3:$AH$169,28,MATCH(B191,June!$D$3:$AH$3)+1)+INDEX(June!$C$3:$AH$169,33,MATCH(B191,June!$D$3:$AH$3)+1)+INDEX(June!$C$3:$AH$169,38,MATCH(B191,June!$D$3:$AH$3)+1)+INDEX(June!$C$3:$AH$169,43,MATCH(B191,June!$D$3:$AH$3)+1)+INDEX(June!$C$3:$AH$169,48,MATCH(B191,June!$D$3:$AH$3)+1)+INDEX(June!$C$3:$AH$169,53,MATCH(B191,June!$D$3:$AH$3)+1)+INDEX(June!$C$3:$AH$169,58,MATCH(B191,June!$D$3:$AH$3)+1)+INDEX(June!$C$3:$AH$169,63,MATCH(B191,June!$D$3:$AH$3)+1)+INDEX(June!$C$3:$AH$169,68,MATCH(B191,June!$D$3:$AH$3)+1)+INDEX(June!$C$3:$AH$169,73,MATCH(B191,June!$D$3:$AH$3)+1)+INDEX(June!$C$3:$AH$169,78,MATCH(B191,June!$D$3:$AH$3)+1)+INDEX(June!$C$3:$AH$169,83,MATCH(B191,June!$D$3:$AH$3)+1)+INDEX(June!$C$3:$AH$169,88,MATCH(B191,June!$D$3:$AH$3)+1)+INDEX(June!$C$3:$AH$169,93,MATCH(B191,June!$D$3:$AH$3)+1)+INDEX(June!$C$3:$AH$169,98,MATCH(B191,June!$D$3:$AH$3)+1)+INDEX(June!$C$3:$AH$169,103,MATCH(B191,June!$D$3:$AH$3)+1)+INDEX(June!$C$3:$AH$169,108,MATCH(B191,June!$D$3:$AH$3)+1)+INDEX(June!$C$3:$AH$169,113,MATCH(B191,June!$D$3:$AH$3)+1)+INDEX(June!$C$3:$AH$169,118,MATCH(B191,June!$D$3:$AH$3)+1)+INDEX(June!$C$3:$AH$169,123,MATCH(B191,June!$D$3:$AH$3)+1)+INDEX(June!$C$3:$AH$169,128,MATCH(B191,June!$D$3:$AH$3)+1)+INDEX(June!$C$3:$AH$169,133,MATCH(B191,June!$D$3:$AH$3)+1)+INDEX(June!$C$3:$AH$169,138,MATCH(B191,June!$D$3:$AH$3)+1)+INDEX(June!$C$3:$AH$169,143,MATCH(B191,June!$D$3:$AH$3)+1)+INDEX(June!$C$3:$AH$169,148,MATCH(B191,June!$D$3:$AH$3)+1)-INDEX(June!$B$5:$AH$169,MATCH("Patrick Janssen",June!$B$5:$B$169),MATCH(B191,June!$D$3:$AH$3)+2)-INDEX(June!$B$5:$AH$169,MATCH("Patrick Ziesen",June!$B$5:$B$169),MATCH(B191,June!$D$3:$AH$3)+2)-INDEX(June!$B$5:$AH$169,MATCH("Frido Meijer",June!$B$5:$B$169),MATCH(B191,June!$D$3:$AH$3)+2)</f>
        <v>20</v>
      </c>
      <c r="H191" s="130">
        <f>INDEX(June!$C$3:$AH$169,4,MATCH(B191,June!$D$3:$AH$3)+1)+INDEX(June!$C$3:$AH$169,9,MATCH(B191,June!$D$3:$AH$3)+1)+INDEX(June!$C$3:$AH$169,14,MATCH(B191,June!$D$3:$AH$3)+1)+INDEX(June!$C$3:$AH$169,19,MATCH(B191,June!$D$3:$AH$3)+1)+INDEX(June!$C$3:$AH$169,24,MATCH(B191,June!$D$3:$AH$3)+1)+INDEX(June!$C$3:$AH$169,29,MATCH(B191,June!$D$3:$AH$3)+1)+INDEX(June!$C$3:$AH$169,34,MATCH(B191,June!$D$3:$AH$3)+1)+INDEX(June!$C$3:$AH$169,39,MATCH(B191,June!$D$3:$AH$3)+1)+INDEX(June!$C$3:$AH$169,44,MATCH(B191,June!$D$3:$AH$3)+1)+INDEX(June!$C$3:$AH$169,49,MATCH(B191,June!$D$3:$AH$3)+1)+INDEX(June!$C$3:$AH$169,54,MATCH(B191,June!$D$3:$AH$3)+1)+INDEX(June!$C$3:$AH$169,59,MATCH(B191,June!$D$3:$AH$3)+1)+INDEX(June!$C$3:$AH$169,64,MATCH(B191,June!$D$3:$AH$3)+1)+INDEX(June!$C$3:$AH$169,69,MATCH(B191,June!$D$3:$AH$3)+1)+INDEX(June!$C$3:$AH$169,74,MATCH(B191,June!$D$3:$AH$3)+1)+INDEX(June!$C$3:$AH$169,79,MATCH(B191,June!$D$3:$AH$3)+1)+INDEX(June!$C$3:$AH$169,84,MATCH(B191,June!$D$3:$AH$3)+1)+INDEX(June!$C$3:$AH$169,89,MATCH(B191,June!$D$3:$AH$3)+1)+INDEX(June!$C$3:$AH$169,94,MATCH(B191,June!$D$3:$AH$3)+1)+INDEX(June!$C$3:$AH$169,99,MATCH(B191,June!$D$3:$AH$3)+1)+INDEX(June!$C$3:$AH$169,104,MATCH(B191,June!$D$3:$AH$3)+1)+INDEX(June!$C$3:$AH$169,109,MATCH(B191,June!$D$3:$AH$3)+1)+INDEX(June!$C$3:$AH$169,114,MATCH(B191,June!$D$3:$AH$3)+1)+INDEX(June!$C$3:$AH$169,119,MATCH(B191,June!$D$3:$AH$3)+1)+INDEX(June!$C$3:$AH$169,124,MATCH(B191,June!$D$3:$AH$3)+1)+INDEX(June!$C$3:$AH$169,129,MATCH(B191,June!$D$3:$AH$3)+1)+INDEX(June!$C$3:$AH$169,134,MATCH(B191,June!$D$3:$AH$3)+1)+INDEX(June!$C$3:$AH$169,139,MATCH(B191,June!$D$3:$AH$3)+1)+INDEX(June!$C$3:$AH$169,144,MATCH(B191,June!$D$3:$AH$3)+1)+INDEX(June!$C$3:$AH$169,149,MATCH(B191,June!$D$3:$AH$3)+1)-INDEX(June!$B$5:$AH$169,MATCH("Patrick Janssen",June!$B$5:$B$169)+1,MATCH(B191,June!$D$3:$AH$3)+2)-INDEX(June!$B$5:$AH$169,MATCH("Patrick Ziesen",June!$B$5:$B$169)+1,MATCH(B191,June!$D$3:$AH$3)+2)-INDEX(June!$B$5:$AH$169,MATCH("Frido Meijer",June!$B$5:$B$169)+1,MATCH(B191,June!$D$3:$AH$3)+2)</f>
        <v>8</v>
      </c>
      <c r="I191" s="130">
        <v>0</v>
      </c>
      <c r="J191" s="130">
        <v>0</v>
      </c>
      <c r="L191" s="124"/>
      <c r="M191" s="111"/>
      <c r="N191" s="111">
        <f t="shared" si="56"/>
        <v>0</v>
      </c>
      <c r="P191" s="112">
        <f t="shared" si="52"/>
        <v>0</v>
      </c>
      <c r="Q191" s="112">
        <f t="shared" si="53"/>
        <v>0</v>
      </c>
    </row>
    <row r="192" spans="2:17" x14ac:dyDescent="0.25">
      <c r="B192" s="110">
        <f>DATE(Title!$F$12,$S$10,S30)</f>
        <v>41451</v>
      </c>
      <c r="C192" s="111">
        <f>IF(WEEKDAY(B192)=1,0,IF(WEEKDAY(B192)=4,'Hours Scheduled'!$I$44-1,IF(WEEKDAY(B192)=7,0,'Hours Scheduled'!$I$44)))</f>
        <v>20</v>
      </c>
      <c r="D192" s="17">
        <f t="shared" si="54"/>
        <v>150</v>
      </c>
      <c r="E192" s="127">
        <f t="shared" si="55"/>
        <v>135</v>
      </c>
      <c r="F192" s="111"/>
      <c r="G192" s="130">
        <f>INDEX(June!$C$3:$AH$169,3,MATCH(B192,June!$D$3:$AH$3)+1)+INDEX(June!$C$3:$AH$169,8,MATCH(B192,June!$D$3:$AH$3)+1)+INDEX(June!$C$3:$AH$169,13,MATCH(B192,June!$D$3:$AH$3)+1)+INDEX(June!$C$3:$AH$169,18,MATCH(B192,June!$D$3:$AH$3)+1)+INDEX(June!$C$3:$AH$169,23,MATCH(B192,June!$D$3:$AH$3)+1)+INDEX(June!$C$3:$AH$169,28,MATCH(B192,June!$D$3:$AH$3)+1)+INDEX(June!$C$3:$AH$169,33,MATCH(B192,June!$D$3:$AH$3)+1)+INDEX(June!$C$3:$AH$169,38,MATCH(B192,June!$D$3:$AH$3)+1)+INDEX(June!$C$3:$AH$169,43,MATCH(B192,June!$D$3:$AH$3)+1)+INDEX(June!$C$3:$AH$169,48,MATCH(B192,June!$D$3:$AH$3)+1)+INDEX(June!$C$3:$AH$169,53,MATCH(B192,June!$D$3:$AH$3)+1)+INDEX(June!$C$3:$AH$169,58,MATCH(B192,June!$D$3:$AH$3)+1)+INDEX(June!$C$3:$AH$169,63,MATCH(B192,June!$D$3:$AH$3)+1)+INDEX(June!$C$3:$AH$169,68,MATCH(B192,June!$D$3:$AH$3)+1)+INDEX(June!$C$3:$AH$169,73,MATCH(B192,June!$D$3:$AH$3)+1)+INDEX(June!$C$3:$AH$169,78,MATCH(B192,June!$D$3:$AH$3)+1)+INDEX(June!$C$3:$AH$169,83,MATCH(B192,June!$D$3:$AH$3)+1)+INDEX(June!$C$3:$AH$169,88,MATCH(B192,June!$D$3:$AH$3)+1)+INDEX(June!$C$3:$AH$169,93,MATCH(B192,June!$D$3:$AH$3)+1)+INDEX(June!$C$3:$AH$169,98,MATCH(B192,June!$D$3:$AH$3)+1)+INDEX(June!$C$3:$AH$169,103,MATCH(B192,June!$D$3:$AH$3)+1)+INDEX(June!$C$3:$AH$169,108,MATCH(B192,June!$D$3:$AH$3)+1)+INDEX(June!$C$3:$AH$169,113,MATCH(B192,June!$D$3:$AH$3)+1)+INDEX(June!$C$3:$AH$169,118,MATCH(B192,June!$D$3:$AH$3)+1)+INDEX(June!$C$3:$AH$169,123,MATCH(B192,June!$D$3:$AH$3)+1)+INDEX(June!$C$3:$AH$169,128,MATCH(B192,June!$D$3:$AH$3)+1)+INDEX(June!$C$3:$AH$169,133,MATCH(B192,June!$D$3:$AH$3)+1)+INDEX(June!$C$3:$AH$169,138,MATCH(B192,June!$D$3:$AH$3)+1)+INDEX(June!$C$3:$AH$169,143,MATCH(B192,June!$D$3:$AH$3)+1)+INDEX(June!$C$3:$AH$169,148,MATCH(B192,June!$D$3:$AH$3)+1)-INDEX(June!$B$5:$AH$169,MATCH("Patrick Janssen",June!$B$5:$B$169),MATCH(B192,June!$D$3:$AH$3)+2)-INDEX(June!$B$5:$AH$169,MATCH("Patrick Ziesen",June!$B$5:$B$169),MATCH(B192,June!$D$3:$AH$3)+2)-INDEX(June!$B$5:$AH$169,MATCH("Frido Meijer",June!$B$5:$B$169),MATCH(B192,June!$D$3:$AH$3)+2)</f>
        <v>25</v>
      </c>
      <c r="H192" s="130">
        <f>INDEX(June!$C$3:$AH$169,4,MATCH(B192,June!$D$3:$AH$3)+1)+INDEX(June!$C$3:$AH$169,9,MATCH(B192,June!$D$3:$AH$3)+1)+INDEX(June!$C$3:$AH$169,14,MATCH(B192,June!$D$3:$AH$3)+1)+INDEX(June!$C$3:$AH$169,19,MATCH(B192,June!$D$3:$AH$3)+1)+INDEX(June!$C$3:$AH$169,24,MATCH(B192,June!$D$3:$AH$3)+1)+INDEX(June!$C$3:$AH$169,29,MATCH(B192,June!$D$3:$AH$3)+1)+INDEX(June!$C$3:$AH$169,34,MATCH(B192,June!$D$3:$AH$3)+1)+INDEX(June!$C$3:$AH$169,39,MATCH(B192,June!$D$3:$AH$3)+1)+INDEX(June!$C$3:$AH$169,44,MATCH(B192,June!$D$3:$AH$3)+1)+INDEX(June!$C$3:$AH$169,49,MATCH(B192,June!$D$3:$AH$3)+1)+INDEX(June!$C$3:$AH$169,54,MATCH(B192,June!$D$3:$AH$3)+1)+INDEX(June!$C$3:$AH$169,59,MATCH(B192,June!$D$3:$AH$3)+1)+INDEX(June!$C$3:$AH$169,64,MATCH(B192,June!$D$3:$AH$3)+1)+INDEX(June!$C$3:$AH$169,69,MATCH(B192,June!$D$3:$AH$3)+1)+INDEX(June!$C$3:$AH$169,74,MATCH(B192,June!$D$3:$AH$3)+1)+INDEX(June!$C$3:$AH$169,79,MATCH(B192,June!$D$3:$AH$3)+1)+INDEX(June!$C$3:$AH$169,84,MATCH(B192,June!$D$3:$AH$3)+1)+INDEX(June!$C$3:$AH$169,89,MATCH(B192,June!$D$3:$AH$3)+1)+INDEX(June!$C$3:$AH$169,94,MATCH(B192,June!$D$3:$AH$3)+1)+INDEX(June!$C$3:$AH$169,99,MATCH(B192,June!$D$3:$AH$3)+1)+INDEX(June!$C$3:$AH$169,104,MATCH(B192,June!$D$3:$AH$3)+1)+INDEX(June!$C$3:$AH$169,109,MATCH(B192,June!$D$3:$AH$3)+1)+INDEX(June!$C$3:$AH$169,114,MATCH(B192,June!$D$3:$AH$3)+1)+INDEX(June!$C$3:$AH$169,119,MATCH(B192,June!$D$3:$AH$3)+1)+INDEX(June!$C$3:$AH$169,124,MATCH(B192,June!$D$3:$AH$3)+1)+INDEX(June!$C$3:$AH$169,129,MATCH(B192,June!$D$3:$AH$3)+1)+INDEX(June!$C$3:$AH$169,134,MATCH(B192,June!$D$3:$AH$3)+1)+INDEX(June!$C$3:$AH$169,139,MATCH(B192,June!$D$3:$AH$3)+1)+INDEX(June!$C$3:$AH$169,144,MATCH(B192,June!$D$3:$AH$3)+1)+INDEX(June!$C$3:$AH$169,149,MATCH(B192,June!$D$3:$AH$3)+1)-INDEX(June!$B$5:$AH$169,MATCH("Patrick Janssen",June!$B$5:$B$169)+1,MATCH(B192,June!$D$3:$AH$3)+2)-INDEX(June!$B$5:$AH$169,MATCH("Patrick Ziesen",June!$B$5:$B$169)+1,MATCH(B192,June!$D$3:$AH$3)+2)-INDEX(June!$B$5:$AH$169,MATCH("Frido Meijer",June!$B$5:$B$169)+1,MATCH(B192,June!$D$3:$AH$3)+2)</f>
        <v>0</v>
      </c>
      <c r="I192" s="130">
        <v>0</v>
      </c>
      <c r="J192" s="130">
        <v>0</v>
      </c>
      <c r="L192" s="124"/>
      <c r="M192" s="111"/>
      <c r="N192" s="111">
        <f t="shared" si="56"/>
        <v>0</v>
      </c>
      <c r="P192" s="112">
        <f t="shared" si="52"/>
        <v>0</v>
      </c>
      <c r="Q192" s="112">
        <f t="shared" si="53"/>
        <v>0</v>
      </c>
    </row>
    <row r="193" spans="2:18" x14ac:dyDescent="0.25">
      <c r="B193" s="110">
        <f>DATE(Title!$F$12,$S$10,S31)</f>
        <v>41452</v>
      </c>
      <c r="C193" s="111">
        <f>IF(WEEKDAY(B193)=1,0,IF(WEEKDAY(B193)=4,'Hours Scheduled'!$I$44-1,IF(WEEKDAY(B193)=7,0,'Hours Scheduled'!$I$44)))</f>
        <v>21</v>
      </c>
      <c r="D193" s="17">
        <f t="shared" si="54"/>
        <v>157.5</v>
      </c>
      <c r="E193" s="127">
        <f t="shared" si="55"/>
        <v>135</v>
      </c>
      <c r="F193" s="111"/>
      <c r="G193" s="130">
        <f>INDEX(June!$C$3:$AH$169,3,MATCH(B193,June!$D$3:$AH$3)+1)+INDEX(June!$C$3:$AH$169,8,MATCH(B193,June!$D$3:$AH$3)+1)+INDEX(June!$C$3:$AH$169,13,MATCH(B193,June!$D$3:$AH$3)+1)+INDEX(June!$C$3:$AH$169,18,MATCH(B193,June!$D$3:$AH$3)+1)+INDEX(June!$C$3:$AH$169,23,MATCH(B193,June!$D$3:$AH$3)+1)+INDEX(June!$C$3:$AH$169,28,MATCH(B193,June!$D$3:$AH$3)+1)+INDEX(June!$C$3:$AH$169,33,MATCH(B193,June!$D$3:$AH$3)+1)+INDEX(June!$C$3:$AH$169,38,MATCH(B193,June!$D$3:$AH$3)+1)+INDEX(June!$C$3:$AH$169,43,MATCH(B193,June!$D$3:$AH$3)+1)+INDEX(June!$C$3:$AH$169,48,MATCH(B193,June!$D$3:$AH$3)+1)+INDEX(June!$C$3:$AH$169,53,MATCH(B193,June!$D$3:$AH$3)+1)+INDEX(June!$C$3:$AH$169,58,MATCH(B193,June!$D$3:$AH$3)+1)+INDEX(June!$C$3:$AH$169,63,MATCH(B193,June!$D$3:$AH$3)+1)+INDEX(June!$C$3:$AH$169,68,MATCH(B193,June!$D$3:$AH$3)+1)+INDEX(June!$C$3:$AH$169,73,MATCH(B193,June!$D$3:$AH$3)+1)+INDEX(June!$C$3:$AH$169,78,MATCH(B193,June!$D$3:$AH$3)+1)+INDEX(June!$C$3:$AH$169,83,MATCH(B193,June!$D$3:$AH$3)+1)+INDEX(June!$C$3:$AH$169,88,MATCH(B193,June!$D$3:$AH$3)+1)+INDEX(June!$C$3:$AH$169,93,MATCH(B193,June!$D$3:$AH$3)+1)+INDEX(June!$C$3:$AH$169,98,MATCH(B193,June!$D$3:$AH$3)+1)+INDEX(June!$C$3:$AH$169,103,MATCH(B193,June!$D$3:$AH$3)+1)+INDEX(June!$C$3:$AH$169,108,MATCH(B193,June!$D$3:$AH$3)+1)+INDEX(June!$C$3:$AH$169,113,MATCH(B193,June!$D$3:$AH$3)+1)+INDEX(June!$C$3:$AH$169,118,MATCH(B193,June!$D$3:$AH$3)+1)+INDEX(June!$C$3:$AH$169,123,MATCH(B193,June!$D$3:$AH$3)+1)+INDEX(June!$C$3:$AH$169,128,MATCH(B193,June!$D$3:$AH$3)+1)+INDEX(June!$C$3:$AH$169,133,MATCH(B193,June!$D$3:$AH$3)+1)+INDEX(June!$C$3:$AH$169,138,MATCH(B193,June!$D$3:$AH$3)+1)+INDEX(June!$C$3:$AH$169,143,MATCH(B193,June!$D$3:$AH$3)+1)+INDEX(June!$C$3:$AH$169,148,MATCH(B193,June!$D$3:$AH$3)+1)-INDEX(June!$B$5:$AH$169,MATCH("Patrick Janssen",June!$B$5:$B$169),MATCH(B193,June!$D$3:$AH$3)+2)-INDEX(June!$B$5:$AH$169,MATCH("Patrick Ziesen",June!$B$5:$B$169),MATCH(B193,June!$D$3:$AH$3)+2)-INDEX(June!$B$5:$AH$169,MATCH("Frido Meijer",June!$B$5:$B$169),MATCH(B193,June!$D$3:$AH$3)+2)</f>
        <v>33</v>
      </c>
      <c r="H193" s="130">
        <f>INDEX(June!$C$3:$AH$169,4,MATCH(B193,June!$D$3:$AH$3)+1)+INDEX(June!$C$3:$AH$169,9,MATCH(B193,June!$D$3:$AH$3)+1)+INDEX(June!$C$3:$AH$169,14,MATCH(B193,June!$D$3:$AH$3)+1)+INDEX(June!$C$3:$AH$169,19,MATCH(B193,June!$D$3:$AH$3)+1)+INDEX(June!$C$3:$AH$169,24,MATCH(B193,June!$D$3:$AH$3)+1)+INDEX(June!$C$3:$AH$169,29,MATCH(B193,June!$D$3:$AH$3)+1)+INDEX(June!$C$3:$AH$169,34,MATCH(B193,June!$D$3:$AH$3)+1)+INDEX(June!$C$3:$AH$169,39,MATCH(B193,June!$D$3:$AH$3)+1)+INDEX(June!$C$3:$AH$169,44,MATCH(B193,June!$D$3:$AH$3)+1)+INDEX(June!$C$3:$AH$169,49,MATCH(B193,June!$D$3:$AH$3)+1)+INDEX(June!$C$3:$AH$169,54,MATCH(B193,June!$D$3:$AH$3)+1)+INDEX(June!$C$3:$AH$169,59,MATCH(B193,June!$D$3:$AH$3)+1)+INDEX(June!$C$3:$AH$169,64,MATCH(B193,June!$D$3:$AH$3)+1)+INDEX(June!$C$3:$AH$169,69,MATCH(B193,June!$D$3:$AH$3)+1)+INDEX(June!$C$3:$AH$169,74,MATCH(B193,June!$D$3:$AH$3)+1)+INDEX(June!$C$3:$AH$169,79,MATCH(B193,June!$D$3:$AH$3)+1)+INDEX(June!$C$3:$AH$169,84,MATCH(B193,June!$D$3:$AH$3)+1)+INDEX(June!$C$3:$AH$169,89,MATCH(B193,June!$D$3:$AH$3)+1)+INDEX(June!$C$3:$AH$169,94,MATCH(B193,June!$D$3:$AH$3)+1)+INDEX(June!$C$3:$AH$169,99,MATCH(B193,June!$D$3:$AH$3)+1)+INDEX(June!$C$3:$AH$169,104,MATCH(B193,June!$D$3:$AH$3)+1)+INDEX(June!$C$3:$AH$169,109,MATCH(B193,June!$D$3:$AH$3)+1)+INDEX(June!$C$3:$AH$169,114,MATCH(B193,June!$D$3:$AH$3)+1)+INDEX(June!$C$3:$AH$169,119,MATCH(B193,June!$D$3:$AH$3)+1)+INDEX(June!$C$3:$AH$169,124,MATCH(B193,June!$D$3:$AH$3)+1)+INDEX(June!$C$3:$AH$169,129,MATCH(B193,June!$D$3:$AH$3)+1)+INDEX(June!$C$3:$AH$169,134,MATCH(B193,June!$D$3:$AH$3)+1)+INDEX(June!$C$3:$AH$169,139,MATCH(B193,June!$D$3:$AH$3)+1)+INDEX(June!$C$3:$AH$169,144,MATCH(B193,June!$D$3:$AH$3)+1)+INDEX(June!$C$3:$AH$169,149,MATCH(B193,June!$D$3:$AH$3)+1)-INDEX(June!$B$5:$AH$169,MATCH("Patrick Janssen",June!$B$5:$B$169)+1,MATCH(B193,June!$D$3:$AH$3)+2)-INDEX(June!$B$5:$AH$169,MATCH("Patrick Ziesen",June!$B$5:$B$169)+1,MATCH(B193,June!$D$3:$AH$3)+2)-INDEX(June!$B$5:$AH$169,MATCH("Frido Meijer",June!$B$5:$B$169)+1,MATCH(B193,June!$D$3:$AH$3)+2)</f>
        <v>0</v>
      </c>
      <c r="I193" s="130">
        <v>0</v>
      </c>
      <c r="J193" s="130">
        <v>0</v>
      </c>
      <c r="L193" s="124"/>
      <c r="M193" s="111"/>
      <c r="N193" s="111">
        <f t="shared" si="56"/>
        <v>0</v>
      </c>
      <c r="P193" s="112">
        <f t="shared" si="52"/>
        <v>0</v>
      </c>
      <c r="Q193" s="112">
        <f t="shared" si="53"/>
        <v>0</v>
      </c>
    </row>
    <row r="194" spans="2:18" x14ac:dyDescent="0.25">
      <c r="B194" s="110">
        <f>DATE(Title!$F$12,$S$10,S32)</f>
        <v>41453</v>
      </c>
      <c r="C194" s="111">
        <f>IF(WEEKDAY(B194)=1,0,IF(WEEKDAY(B194)=4,'Hours Scheduled'!$I$44-1,IF(WEEKDAY(B194)=7,0,'Hours Scheduled'!$I$44)))</f>
        <v>21</v>
      </c>
      <c r="D194" s="17">
        <f t="shared" si="54"/>
        <v>157.5</v>
      </c>
      <c r="E194" s="127">
        <f t="shared" si="55"/>
        <v>134</v>
      </c>
      <c r="F194" s="111"/>
      <c r="G194" s="130">
        <f>INDEX(June!$C$3:$AH$169,3,MATCH(B194,June!$D$3:$AH$3)+1)+INDEX(June!$C$3:$AH$169,8,MATCH(B194,June!$D$3:$AH$3)+1)+INDEX(June!$C$3:$AH$169,13,MATCH(B194,June!$D$3:$AH$3)+1)+INDEX(June!$C$3:$AH$169,18,MATCH(B194,June!$D$3:$AH$3)+1)+INDEX(June!$C$3:$AH$169,23,MATCH(B194,June!$D$3:$AH$3)+1)+INDEX(June!$C$3:$AH$169,28,MATCH(B194,June!$D$3:$AH$3)+1)+INDEX(June!$C$3:$AH$169,33,MATCH(B194,June!$D$3:$AH$3)+1)+INDEX(June!$C$3:$AH$169,38,MATCH(B194,June!$D$3:$AH$3)+1)+INDEX(June!$C$3:$AH$169,43,MATCH(B194,June!$D$3:$AH$3)+1)+INDEX(June!$C$3:$AH$169,48,MATCH(B194,June!$D$3:$AH$3)+1)+INDEX(June!$C$3:$AH$169,53,MATCH(B194,June!$D$3:$AH$3)+1)+INDEX(June!$C$3:$AH$169,58,MATCH(B194,June!$D$3:$AH$3)+1)+INDEX(June!$C$3:$AH$169,63,MATCH(B194,June!$D$3:$AH$3)+1)+INDEX(June!$C$3:$AH$169,68,MATCH(B194,June!$D$3:$AH$3)+1)+INDEX(June!$C$3:$AH$169,73,MATCH(B194,June!$D$3:$AH$3)+1)+INDEX(June!$C$3:$AH$169,78,MATCH(B194,June!$D$3:$AH$3)+1)+INDEX(June!$C$3:$AH$169,83,MATCH(B194,June!$D$3:$AH$3)+1)+INDEX(June!$C$3:$AH$169,88,MATCH(B194,June!$D$3:$AH$3)+1)+INDEX(June!$C$3:$AH$169,93,MATCH(B194,June!$D$3:$AH$3)+1)+INDEX(June!$C$3:$AH$169,98,MATCH(B194,June!$D$3:$AH$3)+1)+INDEX(June!$C$3:$AH$169,103,MATCH(B194,June!$D$3:$AH$3)+1)+INDEX(June!$C$3:$AH$169,108,MATCH(B194,June!$D$3:$AH$3)+1)+INDEX(June!$C$3:$AH$169,113,MATCH(B194,June!$D$3:$AH$3)+1)+INDEX(June!$C$3:$AH$169,118,MATCH(B194,June!$D$3:$AH$3)+1)+INDEX(June!$C$3:$AH$169,123,MATCH(B194,June!$D$3:$AH$3)+1)+INDEX(June!$C$3:$AH$169,128,MATCH(B194,June!$D$3:$AH$3)+1)+INDEX(June!$C$3:$AH$169,133,MATCH(B194,June!$D$3:$AH$3)+1)+INDEX(June!$C$3:$AH$169,138,MATCH(B194,June!$D$3:$AH$3)+1)+INDEX(June!$C$3:$AH$169,143,MATCH(B194,June!$D$3:$AH$3)+1)+INDEX(June!$C$3:$AH$169,148,MATCH(B194,June!$D$3:$AH$3)+1)-INDEX(June!$B$5:$AH$169,MATCH("Patrick Janssen",June!$B$5:$B$169),MATCH(B194,June!$D$3:$AH$3)+2)-INDEX(June!$B$5:$AH$169,MATCH("Patrick Ziesen",June!$B$5:$B$169),MATCH(B194,June!$D$3:$AH$3)+2)-INDEX(June!$B$5:$AH$169,MATCH("Frido Meijer",June!$B$5:$B$169),MATCH(B194,June!$D$3:$AH$3)+2)</f>
        <v>34</v>
      </c>
      <c r="H194" s="130">
        <f>INDEX(June!$C$3:$AH$169,4,MATCH(B194,June!$D$3:$AH$3)+1)+INDEX(June!$C$3:$AH$169,9,MATCH(B194,June!$D$3:$AH$3)+1)+INDEX(June!$C$3:$AH$169,14,MATCH(B194,June!$D$3:$AH$3)+1)+INDEX(June!$C$3:$AH$169,19,MATCH(B194,June!$D$3:$AH$3)+1)+INDEX(June!$C$3:$AH$169,24,MATCH(B194,June!$D$3:$AH$3)+1)+INDEX(June!$C$3:$AH$169,29,MATCH(B194,June!$D$3:$AH$3)+1)+INDEX(June!$C$3:$AH$169,34,MATCH(B194,June!$D$3:$AH$3)+1)+INDEX(June!$C$3:$AH$169,39,MATCH(B194,June!$D$3:$AH$3)+1)+INDEX(June!$C$3:$AH$169,44,MATCH(B194,June!$D$3:$AH$3)+1)+INDEX(June!$C$3:$AH$169,49,MATCH(B194,June!$D$3:$AH$3)+1)+INDEX(June!$C$3:$AH$169,54,MATCH(B194,June!$D$3:$AH$3)+1)+INDEX(June!$C$3:$AH$169,59,MATCH(B194,June!$D$3:$AH$3)+1)+INDEX(June!$C$3:$AH$169,64,MATCH(B194,June!$D$3:$AH$3)+1)+INDEX(June!$C$3:$AH$169,69,MATCH(B194,June!$D$3:$AH$3)+1)+INDEX(June!$C$3:$AH$169,74,MATCH(B194,June!$D$3:$AH$3)+1)+INDEX(June!$C$3:$AH$169,79,MATCH(B194,June!$D$3:$AH$3)+1)+INDEX(June!$C$3:$AH$169,84,MATCH(B194,June!$D$3:$AH$3)+1)+INDEX(June!$C$3:$AH$169,89,MATCH(B194,June!$D$3:$AH$3)+1)+INDEX(June!$C$3:$AH$169,94,MATCH(B194,June!$D$3:$AH$3)+1)+INDEX(June!$C$3:$AH$169,99,MATCH(B194,June!$D$3:$AH$3)+1)+INDEX(June!$C$3:$AH$169,104,MATCH(B194,June!$D$3:$AH$3)+1)+INDEX(June!$C$3:$AH$169,109,MATCH(B194,June!$D$3:$AH$3)+1)+INDEX(June!$C$3:$AH$169,114,MATCH(B194,June!$D$3:$AH$3)+1)+INDEX(June!$C$3:$AH$169,119,MATCH(B194,June!$D$3:$AH$3)+1)+INDEX(June!$C$3:$AH$169,124,MATCH(B194,June!$D$3:$AH$3)+1)+INDEX(June!$C$3:$AH$169,129,MATCH(B194,June!$D$3:$AH$3)+1)+INDEX(June!$C$3:$AH$169,134,MATCH(B194,June!$D$3:$AH$3)+1)+INDEX(June!$C$3:$AH$169,139,MATCH(B194,June!$D$3:$AH$3)+1)+INDEX(June!$C$3:$AH$169,144,MATCH(B194,June!$D$3:$AH$3)+1)+INDEX(June!$C$3:$AH$169,149,MATCH(B194,June!$D$3:$AH$3)+1)-INDEX(June!$B$5:$AH$169,MATCH("Patrick Janssen",June!$B$5:$B$169)+1,MATCH(B194,June!$D$3:$AH$3)+2)-INDEX(June!$B$5:$AH$169,MATCH("Patrick Ziesen",June!$B$5:$B$169)+1,MATCH(B194,June!$D$3:$AH$3)+2)-INDEX(June!$B$5:$AH$169,MATCH("Frido Meijer",June!$B$5:$B$169)+1,MATCH(B194,June!$D$3:$AH$3)+2)</f>
        <v>0</v>
      </c>
      <c r="I194" s="130">
        <v>0</v>
      </c>
      <c r="J194" s="130">
        <v>0</v>
      </c>
      <c r="L194" s="124"/>
      <c r="M194" s="111"/>
      <c r="N194" s="111">
        <f t="shared" si="56"/>
        <v>0</v>
      </c>
      <c r="P194" s="112">
        <f t="shared" si="52"/>
        <v>0</v>
      </c>
      <c r="Q194" s="112">
        <f t="shared" si="53"/>
        <v>0</v>
      </c>
    </row>
    <row r="195" spans="2:18" x14ac:dyDescent="0.25">
      <c r="B195" s="110">
        <f>DATE(Title!$F$12,$S$10,S33)</f>
        <v>41454</v>
      </c>
      <c r="C195" s="111">
        <f>IF(WEEKDAY(B195)=1,0,IF(WEEKDAY(B195)=4,'Hours Scheduled'!$I$44-1,IF(WEEKDAY(B195)=7,0,'Hours Scheduled'!$I$44)))</f>
        <v>0</v>
      </c>
      <c r="D195" s="17">
        <f t="shared" si="54"/>
        <v>0</v>
      </c>
      <c r="E195" s="127">
        <f t="shared" si="55"/>
        <v>0</v>
      </c>
      <c r="F195" s="111"/>
      <c r="G195" s="130">
        <f>INDEX(June!$C$3:$AH$169,3,MATCH(B195,June!$D$3:$AH$3)+1)+INDEX(June!$C$3:$AH$169,8,MATCH(B195,June!$D$3:$AH$3)+1)+INDEX(June!$C$3:$AH$169,13,MATCH(B195,June!$D$3:$AH$3)+1)+INDEX(June!$C$3:$AH$169,18,MATCH(B195,June!$D$3:$AH$3)+1)+INDEX(June!$C$3:$AH$169,23,MATCH(B195,June!$D$3:$AH$3)+1)+INDEX(June!$C$3:$AH$169,28,MATCH(B195,June!$D$3:$AH$3)+1)+INDEX(June!$C$3:$AH$169,33,MATCH(B195,June!$D$3:$AH$3)+1)+INDEX(June!$C$3:$AH$169,38,MATCH(B195,June!$D$3:$AH$3)+1)+INDEX(June!$C$3:$AH$169,43,MATCH(B195,June!$D$3:$AH$3)+1)+INDEX(June!$C$3:$AH$169,48,MATCH(B195,June!$D$3:$AH$3)+1)+INDEX(June!$C$3:$AH$169,53,MATCH(B195,June!$D$3:$AH$3)+1)+INDEX(June!$C$3:$AH$169,58,MATCH(B195,June!$D$3:$AH$3)+1)+INDEX(June!$C$3:$AH$169,63,MATCH(B195,June!$D$3:$AH$3)+1)+INDEX(June!$C$3:$AH$169,68,MATCH(B195,June!$D$3:$AH$3)+1)+INDEX(June!$C$3:$AH$169,73,MATCH(B195,June!$D$3:$AH$3)+1)+INDEX(June!$C$3:$AH$169,78,MATCH(B195,June!$D$3:$AH$3)+1)+INDEX(June!$C$3:$AH$169,83,MATCH(B195,June!$D$3:$AH$3)+1)+INDEX(June!$C$3:$AH$169,88,MATCH(B195,June!$D$3:$AH$3)+1)+INDEX(June!$C$3:$AH$169,93,MATCH(B195,June!$D$3:$AH$3)+1)+INDEX(June!$C$3:$AH$169,98,MATCH(B195,June!$D$3:$AH$3)+1)+INDEX(June!$C$3:$AH$169,103,MATCH(B195,June!$D$3:$AH$3)+1)+INDEX(June!$C$3:$AH$169,108,MATCH(B195,June!$D$3:$AH$3)+1)+INDEX(June!$C$3:$AH$169,113,MATCH(B195,June!$D$3:$AH$3)+1)+INDEX(June!$C$3:$AH$169,118,MATCH(B195,June!$D$3:$AH$3)+1)+INDEX(June!$C$3:$AH$169,123,MATCH(B195,June!$D$3:$AH$3)+1)+INDEX(June!$C$3:$AH$169,128,MATCH(B195,June!$D$3:$AH$3)+1)+INDEX(June!$C$3:$AH$169,133,MATCH(B195,June!$D$3:$AH$3)+1)+INDEX(June!$C$3:$AH$169,138,MATCH(B195,June!$D$3:$AH$3)+1)+INDEX(June!$C$3:$AH$169,143,MATCH(B195,June!$D$3:$AH$3)+1)+INDEX(June!$C$3:$AH$169,148,MATCH(B195,June!$D$3:$AH$3)+1)-INDEX(June!$B$5:$AH$169,MATCH("Patrick Janssen",June!$B$5:$B$169),MATCH(B195,June!$D$3:$AH$3)+2)-INDEX(June!$B$5:$AH$169,MATCH("Patrick Ziesen",June!$B$5:$B$169),MATCH(B195,June!$D$3:$AH$3)+2)-INDEX(June!$B$5:$AH$169,MATCH("Frido Meijer",June!$B$5:$B$169),MATCH(B195,June!$D$3:$AH$3)+2)</f>
        <v>0</v>
      </c>
      <c r="H195" s="130">
        <f>INDEX(June!$C$3:$AH$169,4,MATCH(B195,June!$D$3:$AH$3)+1)+INDEX(June!$C$3:$AH$169,9,MATCH(B195,June!$D$3:$AH$3)+1)+INDEX(June!$C$3:$AH$169,14,MATCH(B195,June!$D$3:$AH$3)+1)+INDEX(June!$C$3:$AH$169,19,MATCH(B195,June!$D$3:$AH$3)+1)+INDEX(June!$C$3:$AH$169,24,MATCH(B195,June!$D$3:$AH$3)+1)+INDEX(June!$C$3:$AH$169,29,MATCH(B195,June!$D$3:$AH$3)+1)+INDEX(June!$C$3:$AH$169,34,MATCH(B195,June!$D$3:$AH$3)+1)+INDEX(June!$C$3:$AH$169,39,MATCH(B195,June!$D$3:$AH$3)+1)+INDEX(June!$C$3:$AH$169,44,MATCH(B195,June!$D$3:$AH$3)+1)+INDEX(June!$C$3:$AH$169,49,MATCH(B195,June!$D$3:$AH$3)+1)+INDEX(June!$C$3:$AH$169,54,MATCH(B195,June!$D$3:$AH$3)+1)+INDEX(June!$C$3:$AH$169,59,MATCH(B195,June!$D$3:$AH$3)+1)+INDEX(June!$C$3:$AH$169,64,MATCH(B195,June!$D$3:$AH$3)+1)+INDEX(June!$C$3:$AH$169,69,MATCH(B195,June!$D$3:$AH$3)+1)+INDEX(June!$C$3:$AH$169,74,MATCH(B195,June!$D$3:$AH$3)+1)+INDEX(June!$C$3:$AH$169,79,MATCH(B195,June!$D$3:$AH$3)+1)+INDEX(June!$C$3:$AH$169,84,MATCH(B195,June!$D$3:$AH$3)+1)+INDEX(June!$C$3:$AH$169,89,MATCH(B195,June!$D$3:$AH$3)+1)+INDEX(June!$C$3:$AH$169,94,MATCH(B195,June!$D$3:$AH$3)+1)+INDEX(June!$C$3:$AH$169,99,MATCH(B195,June!$D$3:$AH$3)+1)+INDEX(June!$C$3:$AH$169,104,MATCH(B195,June!$D$3:$AH$3)+1)+INDEX(June!$C$3:$AH$169,109,MATCH(B195,June!$D$3:$AH$3)+1)+INDEX(June!$C$3:$AH$169,114,MATCH(B195,June!$D$3:$AH$3)+1)+INDEX(June!$C$3:$AH$169,119,MATCH(B195,June!$D$3:$AH$3)+1)+INDEX(June!$C$3:$AH$169,124,MATCH(B195,June!$D$3:$AH$3)+1)+INDEX(June!$C$3:$AH$169,129,MATCH(B195,June!$D$3:$AH$3)+1)+INDEX(June!$C$3:$AH$169,134,MATCH(B195,June!$D$3:$AH$3)+1)+INDEX(June!$C$3:$AH$169,139,MATCH(B195,June!$D$3:$AH$3)+1)+INDEX(June!$C$3:$AH$169,144,MATCH(B195,June!$D$3:$AH$3)+1)+INDEX(June!$C$3:$AH$169,149,MATCH(B195,June!$D$3:$AH$3)+1)-INDEX(June!$B$5:$AH$169,MATCH("Patrick Janssen",June!$B$5:$B$169)+1,MATCH(B195,June!$D$3:$AH$3)+2)-INDEX(June!$B$5:$AH$169,MATCH("Patrick Ziesen",June!$B$5:$B$169)+1,MATCH(B195,June!$D$3:$AH$3)+2)-INDEX(June!$B$5:$AH$169,MATCH("Frido Meijer",June!$B$5:$B$169)+1,MATCH(B195,June!$D$3:$AH$3)+2)</f>
        <v>0</v>
      </c>
      <c r="I195" s="130">
        <v>0</v>
      </c>
      <c r="J195" s="130">
        <v>0</v>
      </c>
      <c r="L195" s="124"/>
      <c r="M195" s="111"/>
      <c r="N195" s="111">
        <f t="shared" si="56"/>
        <v>0</v>
      </c>
      <c r="P195" s="112" t="str">
        <f t="shared" si="52"/>
        <v/>
      </c>
      <c r="Q195" s="112" t="str">
        <f t="shared" si="53"/>
        <v/>
      </c>
    </row>
    <row r="196" spans="2:18" ht="15.75" thickBot="1" x14ac:dyDescent="0.3">
      <c r="B196" s="110">
        <f>DATE(Title!$F$12,$S$10,S34)</f>
        <v>41455</v>
      </c>
      <c r="C196" s="111">
        <f>IF(WEEKDAY(B196)=1,0,IF(WEEKDAY(B196)=4,'Hours Scheduled'!$I$44-1,IF(WEEKDAY(B196)=7,0,'Hours Scheduled'!$I$44)))</f>
        <v>0</v>
      </c>
      <c r="D196" s="17">
        <f t="shared" si="54"/>
        <v>0</v>
      </c>
      <c r="E196" s="127">
        <f t="shared" si="55"/>
        <v>0</v>
      </c>
      <c r="F196" s="113"/>
      <c r="G196" s="132">
        <f>INDEX(June!$C$3:$AH$169,3,MATCH(B196,June!$D$3:$AH$3)+1)+INDEX(June!$C$3:$AH$169,8,MATCH(B196,June!$D$3:$AH$3)+1)+INDEX(June!$C$3:$AH$169,13,MATCH(B196,June!$D$3:$AH$3)+1)+INDEX(June!$C$3:$AH$169,18,MATCH(B196,June!$D$3:$AH$3)+1)+INDEX(June!$C$3:$AH$169,23,MATCH(B196,June!$D$3:$AH$3)+1)+INDEX(June!$C$3:$AH$169,28,MATCH(B196,June!$D$3:$AH$3)+1)+INDEX(June!$C$3:$AH$169,33,MATCH(B196,June!$D$3:$AH$3)+1)+INDEX(June!$C$3:$AH$169,38,MATCH(B196,June!$D$3:$AH$3)+1)+INDEX(June!$C$3:$AH$169,43,MATCH(B196,June!$D$3:$AH$3)+1)+INDEX(June!$C$3:$AH$169,48,MATCH(B196,June!$D$3:$AH$3)+1)+INDEX(June!$C$3:$AH$169,53,MATCH(B196,June!$D$3:$AH$3)+1)+INDEX(June!$C$3:$AH$169,58,MATCH(B196,June!$D$3:$AH$3)+1)+INDEX(June!$C$3:$AH$169,63,MATCH(B196,June!$D$3:$AH$3)+1)+INDEX(June!$C$3:$AH$169,68,MATCH(B196,June!$D$3:$AH$3)+1)+INDEX(June!$C$3:$AH$169,73,MATCH(B196,June!$D$3:$AH$3)+1)+INDEX(June!$C$3:$AH$169,78,MATCH(B196,June!$D$3:$AH$3)+1)+INDEX(June!$C$3:$AH$169,83,MATCH(B196,June!$D$3:$AH$3)+1)+INDEX(June!$C$3:$AH$169,88,MATCH(B196,June!$D$3:$AH$3)+1)+INDEX(June!$C$3:$AH$169,93,MATCH(B196,June!$D$3:$AH$3)+1)+INDEX(June!$C$3:$AH$169,98,MATCH(B196,June!$D$3:$AH$3)+1)+INDEX(June!$C$3:$AH$169,103,MATCH(B196,June!$D$3:$AH$3)+1)+INDEX(June!$C$3:$AH$169,108,MATCH(B196,June!$D$3:$AH$3)+1)+INDEX(June!$C$3:$AH$169,113,MATCH(B196,June!$D$3:$AH$3)+1)+INDEX(June!$C$3:$AH$169,118,MATCH(B196,June!$D$3:$AH$3)+1)+INDEX(June!$C$3:$AH$169,123,MATCH(B196,June!$D$3:$AH$3)+1)+INDEX(June!$C$3:$AH$169,128,MATCH(B196,June!$D$3:$AH$3)+1)+INDEX(June!$C$3:$AH$169,133,MATCH(B196,June!$D$3:$AH$3)+1)+INDEX(June!$C$3:$AH$169,138,MATCH(B196,June!$D$3:$AH$3)+1)+INDEX(June!$C$3:$AH$169,143,MATCH(B196,June!$D$3:$AH$3)+1)+INDEX(June!$C$3:$AH$169,148,MATCH(B196,June!$D$3:$AH$3)+1)-INDEX(June!$B$5:$AH$169,MATCH("Patrick Janssen",June!$B$5:$B$169),MATCH(B196,June!$D$3:$AH$3)+2)-INDEX(June!$B$5:$AH$169,MATCH("Patrick Ziesen",June!$B$5:$B$169),MATCH(B196,June!$D$3:$AH$3)+2)-INDEX(June!$B$5:$AH$169,MATCH("Frido Meijer",June!$B$5:$B$169),MATCH(B196,June!$D$3:$AH$3)+2)</f>
        <v>0</v>
      </c>
      <c r="H196" s="132">
        <f>INDEX(June!$C$3:$AH$169,4,MATCH(B196,June!$D$3:$AH$3)+1)+INDEX(June!$C$3:$AH$169,9,MATCH(B196,June!$D$3:$AH$3)+1)+INDEX(June!$C$3:$AH$169,14,MATCH(B196,June!$D$3:$AH$3)+1)+INDEX(June!$C$3:$AH$169,19,MATCH(B196,June!$D$3:$AH$3)+1)+INDEX(June!$C$3:$AH$169,24,MATCH(B196,June!$D$3:$AH$3)+1)+INDEX(June!$C$3:$AH$169,29,MATCH(B196,June!$D$3:$AH$3)+1)+INDEX(June!$C$3:$AH$169,34,MATCH(B196,June!$D$3:$AH$3)+1)+INDEX(June!$C$3:$AH$169,39,MATCH(B196,June!$D$3:$AH$3)+1)+INDEX(June!$C$3:$AH$169,44,MATCH(B196,June!$D$3:$AH$3)+1)+INDEX(June!$C$3:$AH$169,49,MATCH(B196,June!$D$3:$AH$3)+1)+INDEX(June!$C$3:$AH$169,54,MATCH(B196,June!$D$3:$AH$3)+1)+INDEX(June!$C$3:$AH$169,59,MATCH(B196,June!$D$3:$AH$3)+1)+INDEX(June!$C$3:$AH$169,64,MATCH(B196,June!$D$3:$AH$3)+1)+INDEX(June!$C$3:$AH$169,69,MATCH(B196,June!$D$3:$AH$3)+1)+INDEX(June!$C$3:$AH$169,74,MATCH(B196,June!$D$3:$AH$3)+1)+INDEX(June!$C$3:$AH$169,79,MATCH(B196,June!$D$3:$AH$3)+1)+INDEX(June!$C$3:$AH$169,84,MATCH(B196,June!$D$3:$AH$3)+1)+INDEX(June!$C$3:$AH$169,89,MATCH(B196,June!$D$3:$AH$3)+1)+INDEX(June!$C$3:$AH$169,94,MATCH(B196,June!$D$3:$AH$3)+1)+INDEX(June!$C$3:$AH$169,99,MATCH(B196,June!$D$3:$AH$3)+1)+INDEX(June!$C$3:$AH$169,104,MATCH(B196,June!$D$3:$AH$3)+1)+INDEX(June!$C$3:$AH$169,109,MATCH(B196,June!$D$3:$AH$3)+1)+INDEX(June!$C$3:$AH$169,114,MATCH(B196,June!$D$3:$AH$3)+1)+INDEX(June!$C$3:$AH$169,119,MATCH(B196,June!$D$3:$AH$3)+1)+INDEX(June!$C$3:$AH$169,124,MATCH(B196,June!$D$3:$AH$3)+1)+INDEX(June!$C$3:$AH$169,129,MATCH(B196,June!$D$3:$AH$3)+1)+INDEX(June!$C$3:$AH$169,134,MATCH(B196,June!$D$3:$AH$3)+1)+INDEX(June!$C$3:$AH$169,139,MATCH(B196,June!$D$3:$AH$3)+1)+INDEX(June!$C$3:$AH$169,144,MATCH(B196,June!$D$3:$AH$3)+1)+INDEX(June!$C$3:$AH$169,149,MATCH(B196,June!$D$3:$AH$3)+1)-INDEX(June!$B$5:$AH$169,MATCH("Patrick Janssen",June!$B$5:$B$169)+1,MATCH(B196,June!$D$3:$AH$3)+2)-INDEX(June!$B$5:$AH$169,MATCH("Patrick Ziesen",June!$B$5:$B$169)+1,MATCH(B196,June!$D$3:$AH$3)+2)-INDEX(June!$B$5:$AH$169,MATCH("Frido Meijer",June!$B$5:$B$169)+1,MATCH(B196,June!$D$3:$AH$3)+2)</f>
        <v>0</v>
      </c>
      <c r="I196" s="130">
        <v>0</v>
      </c>
      <c r="J196" s="130">
        <v>0</v>
      </c>
      <c r="L196" s="124"/>
      <c r="M196" s="111"/>
      <c r="N196" s="111">
        <f t="shared" si="56"/>
        <v>0</v>
      </c>
      <c r="P196" s="112" t="str">
        <f t="shared" si="52"/>
        <v/>
      </c>
      <c r="Q196" s="112" t="str">
        <f t="shared" si="53"/>
        <v/>
      </c>
    </row>
    <row r="197" spans="2:18" ht="15.75" x14ac:dyDescent="0.25">
      <c r="B197" s="146" t="s">
        <v>7</v>
      </c>
      <c r="C197" s="114">
        <f>SUM(C167:C196)</f>
        <v>416</v>
      </c>
      <c r="D197" s="107">
        <f t="shared" si="54"/>
        <v>3120</v>
      </c>
      <c r="E197" s="140">
        <f t="shared" si="55"/>
        <v>2891.5</v>
      </c>
      <c r="F197" s="114">
        <f>SUM(F167:F196)</f>
        <v>0</v>
      </c>
      <c r="G197" s="133">
        <f t="shared" ref="G197:J197" si="57">SUM(G167:G196)</f>
        <v>356.5</v>
      </c>
      <c r="H197" s="133">
        <f t="shared" si="57"/>
        <v>80</v>
      </c>
      <c r="I197" s="133">
        <f t="shared" si="57"/>
        <v>0</v>
      </c>
      <c r="J197" s="133">
        <f t="shared" si="57"/>
        <v>0</v>
      </c>
      <c r="K197" s="115"/>
      <c r="L197" s="114">
        <f>SUM(L167:L196)</f>
        <v>0</v>
      </c>
      <c r="M197" s="114">
        <f t="shared" ref="M197:N197" si="58">SUM(M167:M196)</f>
        <v>0</v>
      </c>
      <c r="N197" s="114">
        <f t="shared" si="58"/>
        <v>0</v>
      </c>
      <c r="O197" s="115"/>
      <c r="P197" s="116">
        <f t="shared" ref="P197" si="59">(L197+(M197/60)+N197)/(D197-F197-G197-H197-I197-J197)</f>
        <v>0</v>
      </c>
      <c r="Q197" s="116">
        <f t="shared" ref="Q197" si="60">(L197+(M197/60)+N197)/(D197-(G197+H197))</f>
        <v>0</v>
      </c>
    </row>
    <row r="198" spans="2:18" x14ac:dyDescent="0.25">
      <c r="B198"/>
      <c r="E198" s="127"/>
    </row>
    <row r="199" spans="2:18" x14ac:dyDescent="0.25">
      <c r="B199" s="110">
        <f>DATE(Title!$F$12,$S$11,S5)</f>
        <v>41456</v>
      </c>
      <c r="C199" s="111">
        <f>IF(WEEKDAY(B199)=1,0,IF(WEEKDAY(B199)=4,'Hours Scheduled'!$J$44-1,IF(WEEKDAY(B199)=7,0,'Hours Scheduled'!$J$44)))</f>
        <v>21</v>
      </c>
      <c r="D199" s="17">
        <f>C199*7.5</f>
        <v>157.5</v>
      </c>
      <c r="E199" s="127">
        <f>C199*8-G199-H199</f>
        <v>132</v>
      </c>
      <c r="F199" s="111"/>
      <c r="G199" s="130">
        <f>INDEX(July!$C$3:$AH$169,3,MATCH(B199,July!$D$3:$AH$3)+1)+INDEX(July!$C$3:$AH$169,8,MATCH(B199,July!$D$3:$AH$3)+1)+INDEX(July!$C$3:$AH$169,13,MATCH(B199,July!$D$3:$AH$3)+1)+INDEX(July!$C$3:$AH$169,18,MATCH(B199,July!$D$3:$AH$3)+1)+INDEX(July!$C$3:$AH$169,23,MATCH(B199,July!$D$3:$AH$3)+1)+INDEX(July!$C$3:$AH$169,28,MATCH(B199,July!$D$3:$AH$3)+1)+INDEX(July!$C$3:$AH$169,33,MATCH(B199,July!$D$3:$AH$3)+1)+INDEX(July!$C$3:$AH$169,38,MATCH(B199,July!$D$3:$AH$3)+1)+INDEX(July!$C$3:$AH$169,43,MATCH(B199,July!$D$3:$AH$3)+1)+INDEX(July!$C$3:$AH$169,48,MATCH(B199,July!$D$3:$AH$3)+1)+INDEX(July!$C$3:$AH$169,53,MATCH(B199,July!$D$3:$AH$3)+1)+INDEX(July!$C$3:$AH$169,58,MATCH(B199,July!$D$3:$AH$3)+1)+INDEX(July!$C$3:$AH$169,63,MATCH(B199,July!$D$3:$AH$3)+1)+INDEX(July!$C$3:$AH$169,68,MATCH(B199,July!$D$3:$AH$3)+1)+INDEX(July!$C$3:$AH$169,73,MATCH(B199,July!$D$3:$AH$3)+1)+INDEX(July!$C$3:$AH$169,78,MATCH(B199,July!$D$3:$AH$3)+1)+INDEX(July!$C$3:$AH$169,83,MATCH(B199,July!$D$3:$AH$3)+1)+INDEX(July!$C$3:$AH$169,88,MATCH(B199,July!$D$3:$AH$3)+1)+INDEX(July!$C$3:$AH$169,93,MATCH(B199,July!$D$3:$AH$3)+1)+INDEX(July!$C$3:$AH$169,98,MATCH(B199,July!$D$3:$AH$3)+1)+INDEX(July!$C$3:$AH$169,103,MATCH(B199,July!$D$3:$AH$3)+1)+INDEX(July!$C$3:$AH$169,108,MATCH(B199,July!$D$3:$AH$3)+1)+INDEX(July!$C$3:$AH$169,113,MATCH(B199,July!$D$3:$AH$3)+1)+INDEX(July!$C$3:$AH$169,118,MATCH(B199,July!$D$3:$AH$3)+1)+INDEX(July!$C$3:$AH$169,123,MATCH(B199,July!$D$3:$AH$3)+1)+INDEX(July!$C$3:$AH$169,128,MATCH(B199,July!$D$3:$AH$3)+1)+INDEX(July!$C$3:$AH$169,133,MATCH(B199,July!$D$3:$AH$3)+1)+INDEX(July!$C$3:$AH$169,138,MATCH(B199,July!$D$3:$AH$3)+1)+INDEX(July!$C$3:$AH$169,143,MATCH(B199,July!$D$3:$AH$3)+1)+INDEX(July!$C$3:$AH$169,148,MATCH(B199,July!$D$3:$AH$3)+1)-INDEX(July!$B$5:$AH$169,MATCH("Patrick Janssen",July!$B$5:$B$169),MATCH(B199,July!$D$3:$AH$3)+2)-INDEX(July!$B$5:$AH$169,MATCH("Patrick Ziesen",July!$B$5:$B$169),MATCH(B199,July!$D$3:$AH$3)+2)-INDEX(July!$B$5:$AH$169,MATCH("Frido Meijer",July!$B$5:$B$169),MATCH(B199,July!$D$3:$AH$3)+2)</f>
        <v>36</v>
      </c>
      <c r="H199" s="130">
        <f>INDEX(July!$C$3:$AH$169,4,MATCH(B199,July!$D$3:$AH$3)+1)+INDEX(July!$C$3:$AH$169,9,MATCH(B199,July!$D$3:$AH$3)+1)+INDEX(July!$C$3:$AH$169,14,MATCH(B199,July!$D$3:$AH$3)+1)+INDEX(July!$C$3:$AH$169,19,MATCH(B199,July!$D$3:$AH$3)+1)+INDEX(July!$C$3:$AH$169,24,MATCH(B199,July!$D$3:$AH$3)+1)+INDEX(July!$C$3:$AH$169,29,MATCH(B199,July!$D$3:$AH$3)+1)+INDEX(July!$C$3:$AH$169,34,MATCH(B199,July!$D$3:$AH$3)+1)+INDEX(July!$C$3:$AH$169,39,MATCH(B199,July!$D$3:$AH$3)+1)+INDEX(July!$C$3:$AH$169,44,MATCH(B199,July!$D$3:$AH$3)+1)+INDEX(July!$C$3:$AH$169,49,MATCH(B199,July!$D$3:$AH$3)+1)+INDEX(July!$C$3:$AH$169,54,MATCH(B199,July!$D$3:$AH$3)+1)+INDEX(July!$C$3:$AH$169,59,MATCH(B199,July!$D$3:$AH$3)+1)+INDEX(July!$C$3:$AH$169,64,MATCH(B199,July!$D$3:$AH$3)+1)+INDEX(July!$C$3:$AH$169,69,MATCH(B199,July!$D$3:$AH$3)+1)+INDEX(July!$C$3:$AH$169,74,MATCH(B199,July!$D$3:$AH$3)+1)+INDEX(July!$C$3:$AH$169,79,MATCH(B199,July!$D$3:$AH$3)+1)+INDEX(July!$C$3:$AH$169,84,MATCH(B199,July!$D$3:$AH$3)+1)+INDEX(July!$C$3:$AH$169,89,MATCH(B199,July!$D$3:$AH$3)+1)+INDEX(July!$C$3:$AH$169,94,MATCH(B199,July!$D$3:$AH$3)+1)+INDEX(July!$C$3:$AH$169,99,MATCH(B199,July!$D$3:$AH$3)+1)+INDEX(July!$C$3:$AH$169,104,MATCH(B199,July!$D$3:$AH$3)+1)+INDEX(July!$C$3:$AH$169,109,MATCH(B199,July!$D$3:$AH$3)+1)+INDEX(July!$C$3:$AH$169,114,MATCH(B199,July!$D$3:$AH$3)+1)+INDEX(July!$C$3:$AH$169,119,MATCH(B199,July!$D$3:$AH$3)+1)+INDEX(July!$C$3:$AH$169,124,MATCH(B199,July!$D$3:$AH$3)+1)+INDEX(July!$C$3:$AH$169,129,MATCH(B199,July!$D$3:$AH$3)+1)+INDEX(July!$C$3:$AH$169,134,MATCH(B199,July!$D$3:$AH$3)+1)+INDEX(July!$C$3:$AH$169,139,MATCH(B199,July!$D$3:$AH$3)+1)+INDEX(July!$C$3:$AH$169,144,MATCH(B199,July!$D$3:$AH$3)+1)+INDEX(July!$C$3:$AH$169,149,MATCH(B199,July!$D$3:$AH$3)+1)-INDEX(July!$B$5:$AH$169,MATCH("Patrick Janssen",July!$B$5:$B$169)+1,MATCH(B199,July!$D$3:$AH$3)+2)-INDEX(July!$B$5:$AH$169,MATCH("Patrick Ziesen",July!$B$5:$B$169)+1,MATCH(B199,July!$D$3:$AH$3)+2)-INDEX(July!$B$5:$AH$169,MATCH("Frido Meijer",July!$B$5:$B$169)+1,MATCH(B199,July!$D$3:$AH$3)+2)</f>
        <v>0</v>
      </c>
      <c r="I199" s="130">
        <v>0</v>
      </c>
      <c r="J199" s="130">
        <v>0</v>
      </c>
      <c r="L199" s="124"/>
      <c r="M199" s="111"/>
      <c r="N199" s="111">
        <f t="shared" ref="N199:N229" si="61">IF(L199="",0,6*7.5)</f>
        <v>0</v>
      </c>
      <c r="P199" s="112">
        <f t="shared" ref="P199:P200" si="62">IFERROR((L199+(M199/60)+N199)/(D199-F199-G199-H199-I199-J199),"")</f>
        <v>0</v>
      </c>
      <c r="Q199" s="112">
        <f t="shared" ref="Q199:Q200" si="63">IFERROR((L199+(M199/60)+N199)/(D199-(G199+H199)),"")</f>
        <v>0</v>
      </c>
    </row>
    <row r="200" spans="2:18" x14ac:dyDescent="0.25">
      <c r="B200" s="110">
        <f>DATE(Title!$F$12,$S$11,S6)</f>
        <v>41457</v>
      </c>
      <c r="C200" s="111">
        <f>IF(WEEKDAY(B200)=1,0,IF(WEEKDAY(B200)=4,'Hours Scheduled'!$J$44-1,IF(WEEKDAY(B200)=7,0,'Hours Scheduled'!$J$44)))</f>
        <v>21</v>
      </c>
      <c r="D200" s="17">
        <f t="shared" ref="D200:D230" si="64">C200*7.5</f>
        <v>157.5</v>
      </c>
      <c r="E200" s="127">
        <f t="shared" ref="E200:E230" si="65">C200*8-G200-H200</f>
        <v>144</v>
      </c>
      <c r="F200" s="111"/>
      <c r="G200" s="130">
        <f>INDEX(July!$C$3:$AH$169,3,MATCH(B200,July!$D$3:$AH$3)+1)+INDEX(July!$C$3:$AH$169,8,MATCH(B200,July!$D$3:$AH$3)+1)+INDEX(July!$C$3:$AH$169,13,MATCH(B200,July!$D$3:$AH$3)+1)+INDEX(July!$C$3:$AH$169,18,MATCH(B200,July!$D$3:$AH$3)+1)+INDEX(July!$C$3:$AH$169,23,MATCH(B200,July!$D$3:$AH$3)+1)+INDEX(July!$C$3:$AH$169,28,MATCH(B200,July!$D$3:$AH$3)+1)+INDEX(July!$C$3:$AH$169,33,MATCH(B200,July!$D$3:$AH$3)+1)+INDEX(July!$C$3:$AH$169,38,MATCH(B200,July!$D$3:$AH$3)+1)+INDEX(July!$C$3:$AH$169,43,MATCH(B200,July!$D$3:$AH$3)+1)+INDEX(July!$C$3:$AH$169,48,MATCH(B200,July!$D$3:$AH$3)+1)+INDEX(July!$C$3:$AH$169,53,MATCH(B200,July!$D$3:$AH$3)+1)+INDEX(July!$C$3:$AH$169,58,MATCH(B200,July!$D$3:$AH$3)+1)+INDEX(July!$C$3:$AH$169,63,MATCH(B200,July!$D$3:$AH$3)+1)+INDEX(July!$C$3:$AH$169,68,MATCH(B200,July!$D$3:$AH$3)+1)+INDEX(July!$C$3:$AH$169,73,MATCH(B200,July!$D$3:$AH$3)+1)+INDEX(July!$C$3:$AH$169,78,MATCH(B200,July!$D$3:$AH$3)+1)+INDEX(July!$C$3:$AH$169,83,MATCH(B200,July!$D$3:$AH$3)+1)+INDEX(July!$C$3:$AH$169,88,MATCH(B200,July!$D$3:$AH$3)+1)+INDEX(July!$C$3:$AH$169,93,MATCH(B200,July!$D$3:$AH$3)+1)+INDEX(July!$C$3:$AH$169,98,MATCH(B200,July!$D$3:$AH$3)+1)+INDEX(July!$C$3:$AH$169,103,MATCH(B200,July!$D$3:$AH$3)+1)+INDEX(July!$C$3:$AH$169,108,MATCH(B200,July!$D$3:$AH$3)+1)+INDEX(July!$C$3:$AH$169,113,MATCH(B200,July!$D$3:$AH$3)+1)+INDEX(July!$C$3:$AH$169,118,MATCH(B200,July!$D$3:$AH$3)+1)+INDEX(July!$C$3:$AH$169,123,MATCH(B200,July!$D$3:$AH$3)+1)+INDEX(July!$C$3:$AH$169,128,MATCH(B200,July!$D$3:$AH$3)+1)+INDEX(July!$C$3:$AH$169,133,MATCH(B200,July!$D$3:$AH$3)+1)+INDEX(July!$C$3:$AH$169,138,MATCH(B200,July!$D$3:$AH$3)+1)+INDEX(July!$C$3:$AH$169,143,MATCH(B200,July!$D$3:$AH$3)+1)+INDEX(July!$C$3:$AH$169,148,MATCH(B200,July!$D$3:$AH$3)+1)-INDEX(July!$B$5:$AH$169,MATCH("Patrick Janssen",July!$B$5:$B$169),MATCH(B200,July!$D$3:$AH$3)+2)-INDEX(July!$B$5:$AH$169,MATCH("Patrick Ziesen",July!$B$5:$B$169),MATCH(B200,July!$D$3:$AH$3)+2)-INDEX(July!$B$5:$AH$169,MATCH("Frido Meijer",July!$B$5:$B$169),MATCH(B200,July!$D$3:$AH$3)+2)</f>
        <v>24</v>
      </c>
      <c r="H200" s="130">
        <f>INDEX(July!$C$3:$AH$169,4,MATCH(B200,July!$D$3:$AH$3)+1)+INDEX(July!$C$3:$AH$169,9,MATCH(B200,July!$D$3:$AH$3)+1)+INDEX(July!$C$3:$AH$169,14,MATCH(B200,July!$D$3:$AH$3)+1)+INDEX(July!$C$3:$AH$169,19,MATCH(B200,July!$D$3:$AH$3)+1)+INDEX(July!$C$3:$AH$169,24,MATCH(B200,July!$D$3:$AH$3)+1)+INDEX(July!$C$3:$AH$169,29,MATCH(B200,July!$D$3:$AH$3)+1)+INDEX(July!$C$3:$AH$169,34,MATCH(B200,July!$D$3:$AH$3)+1)+INDEX(July!$C$3:$AH$169,39,MATCH(B200,July!$D$3:$AH$3)+1)+INDEX(July!$C$3:$AH$169,44,MATCH(B200,July!$D$3:$AH$3)+1)+INDEX(July!$C$3:$AH$169,49,MATCH(B200,July!$D$3:$AH$3)+1)+INDEX(July!$C$3:$AH$169,54,MATCH(B200,July!$D$3:$AH$3)+1)+INDEX(July!$C$3:$AH$169,59,MATCH(B200,July!$D$3:$AH$3)+1)+INDEX(July!$C$3:$AH$169,64,MATCH(B200,July!$D$3:$AH$3)+1)+INDEX(July!$C$3:$AH$169,69,MATCH(B200,July!$D$3:$AH$3)+1)+INDEX(July!$C$3:$AH$169,74,MATCH(B200,July!$D$3:$AH$3)+1)+INDEX(July!$C$3:$AH$169,79,MATCH(B200,July!$D$3:$AH$3)+1)+INDEX(July!$C$3:$AH$169,84,MATCH(B200,July!$D$3:$AH$3)+1)+INDEX(July!$C$3:$AH$169,89,MATCH(B200,July!$D$3:$AH$3)+1)+INDEX(July!$C$3:$AH$169,94,MATCH(B200,July!$D$3:$AH$3)+1)+INDEX(July!$C$3:$AH$169,99,MATCH(B200,July!$D$3:$AH$3)+1)+INDEX(July!$C$3:$AH$169,104,MATCH(B200,July!$D$3:$AH$3)+1)+INDEX(July!$C$3:$AH$169,109,MATCH(B200,July!$D$3:$AH$3)+1)+INDEX(July!$C$3:$AH$169,114,MATCH(B200,July!$D$3:$AH$3)+1)+INDEX(July!$C$3:$AH$169,119,MATCH(B200,July!$D$3:$AH$3)+1)+INDEX(July!$C$3:$AH$169,124,MATCH(B200,July!$D$3:$AH$3)+1)+INDEX(July!$C$3:$AH$169,129,MATCH(B200,July!$D$3:$AH$3)+1)+INDEX(July!$C$3:$AH$169,134,MATCH(B200,July!$D$3:$AH$3)+1)+INDEX(July!$C$3:$AH$169,139,MATCH(B200,July!$D$3:$AH$3)+1)+INDEX(July!$C$3:$AH$169,144,MATCH(B200,July!$D$3:$AH$3)+1)+INDEX(July!$C$3:$AH$169,149,MATCH(B200,July!$D$3:$AH$3)+1)-INDEX(July!$B$5:$AH$169,MATCH("Patrick Janssen",July!$B$5:$B$169)+1,MATCH(B200,July!$D$3:$AH$3)+2)-INDEX(July!$B$5:$AH$169,MATCH("Patrick Ziesen",July!$B$5:$B$169)+1,MATCH(B200,July!$D$3:$AH$3)+2)-INDEX(July!$B$5:$AH$169,MATCH("Frido Meijer",July!$B$5:$B$169)+1,MATCH(B200,July!$D$3:$AH$3)+2)</f>
        <v>0</v>
      </c>
      <c r="I200" s="130">
        <v>0</v>
      </c>
      <c r="J200" s="130">
        <v>0</v>
      </c>
      <c r="L200" s="124"/>
      <c r="M200" s="111"/>
      <c r="N200" s="111">
        <f t="shared" si="61"/>
        <v>0</v>
      </c>
      <c r="P200" s="112">
        <f t="shared" si="62"/>
        <v>0</v>
      </c>
      <c r="Q200" s="112">
        <f t="shared" si="63"/>
        <v>0</v>
      </c>
    </row>
    <row r="201" spans="2:18" x14ac:dyDescent="0.25">
      <c r="B201" s="110">
        <f>DATE(Title!$F$12,$S$11,S7)</f>
        <v>41458</v>
      </c>
      <c r="C201" s="111">
        <f>IF(WEEKDAY(B201)=1,0,IF(WEEKDAY(B201)=4,'Hours Scheduled'!$J$44-1,IF(WEEKDAY(B201)=7,0,'Hours Scheduled'!$J$44)))</f>
        <v>20</v>
      </c>
      <c r="D201" s="17">
        <f t="shared" si="64"/>
        <v>150</v>
      </c>
      <c r="E201" s="127">
        <f t="shared" si="65"/>
        <v>130</v>
      </c>
      <c r="F201" s="111"/>
      <c r="G201" s="130">
        <f>INDEX(July!$C$3:$AH$169,3,MATCH(B201,July!$D$3:$AH$3)+1)+INDEX(July!$C$3:$AH$169,8,MATCH(B201,July!$D$3:$AH$3)+1)+INDEX(July!$C$3:$AH$169,13,MATCH(B201,July!$D$3:$AH$3)+1)+INDEX(July!$C$3:$AH$169,18,MATCH(B201,July!$D$3:$AH$3)+1)+INDEX(July!$C$3:$AH$169,23,MATCH(B201,July!$D$3:$AH$3)+1)+INDEX(July!$C$3:$AH$169,28,MATCH(B201,July!$D$3:$AH$3)+1)+INDEX(July!$C$3:$AH$169,33,MATCH(B201,July!$D$3:$AH$3)+1)+INDEX(July!$C$3:$AH$169,38,MATCH(B201,July!$D$3:$AH$3)+1)+INDEX(July!$C$3:$AH$169,43,MATCH(B201,July!$D$3:$AH$3)+1)+INDEX(July!$C$3:$AH$169,48,MATCH(B201,July!$D$3:$AH$3)+1)+INDEX(July!$C$3:$AH$169,53,MATCH(B201,July!$D$3:$AH$3)+1)+INDEX(July!$C$3:$AH$169,58,MATCH(B201,July!$D$3:$AH$3)+1)+INDEX(July!$C$3:$AH$169,63,MATCH(B201,July!$D$3:$AH$3)+1)+INDEX(July!$C$3:$AH$169,68,MATCH(B201,July!$D$3:$AH$3)+1)+INDEX(July!$C$3:$AH$169,73,MATCH(B201,July!$D$3:$AH$3)+1)+INDEX(July!$C$3:$AH$169,78,MATCH(B201,July!$D$3:$AH$3)+1)+INDEX(July!$C$3:$AH$169,83,MATCH(B201,July!$D$3:$AH$3)+1)+INDEX(July!$C$3:$AH$169,88,MATCH(B201,July!$D$3:$AH$3)+1)+INDEX(July!$C$3:$AH$169,93,MATCH(B201,July!$D$3:$AH$3)+1)+INDEX(July!$C$3:$AH$169,98,MATCH(B201,July!$D$3:$AH$3)+1)+INDEX(July!$C$3:$AH$169,103,MATCH(B201,July!$D$3:$AH$3)+1)+INDEX(July!$C$3:$AH$169,108,MATCH(B201,July!$D$3:$AH$3)+1)+INDEX(July!$C$3:$AH$169,113,MATCH(B201,July!$D$3:$AH$3)+1)+INDEX(July!$C$3:$AH$169,118,MATCH(B201,July!$D$3:$AH$3)+1)+INDEX(July!$C$3:$AH$169,123,MATCH(B201,July!$D$3:$AH$3)+1)+INDEX(July!$C$3:$AH$169,128,MATCH(B201,July!$D$3:$AH$3)+1)+INDEX(July!$C$3:$AH$169,133,MATCH(B201,July!$D$3:$AH$3)+1)+INDEX(July!$C$3:$AH$169,138,MATCH(B201,July!$D$3:$AH$3)+1)+INDEX(July!$C$3:$AH$169,143,MATCH(B201,July!$D$3:$AH$3)+1)+INDEX(July!$C$3:$AH$169,148,MATCH(B201,July!$D$3:$AH$3)+1)-INDEX(July!$B$5:$AH$169,MATCH("Patrick Janssen",July!$B$5:$B$169),MATCH(B201,July!$D$3:$AH$3)+2)-INDEX(July!$B$5:$AH$169,MATCH("Patrick Ziesen",July!$B$5:$B$169),MATCH(B201,July!$D$3:$AH$3)+2)-INDEX(July!$B$5:$AH$169,MATCH("Frido Meijer",July!$B$5:$B$169),MATCH(B201,July!$D$3:$AH$3)+2)</f>
        <v>30</v>
      </c>
      <c r="H201" s="130">
        <f>INDEX(July!$C$3:$AH$169,4,MATCH(B201,July!$D$3:$AH$3)+1)+INDEX(July!$C$3:$AH$169,9,MATCH(B201,July!$D$3:$AH$3)+1)+INDEX(July!$C$3:$AH$169,14,MATCH(B201,July!$D$3:$AH$3)+1)+INDEX(July!$C$3:$AH$169,19,MATCH(B201,July!$D$3:$AH$3)+1)+INDEX(July!$C$3:$AH$169,24,MATCH(B201,July!$D$3:$AH$3)+1)+INDEX(July!$C$3:$AH$169,29,MATCH(B201,July!$D$3:$AH$3)+1)+INDEX(July!$C$3:$AH$169,34,MATCH(B201,July!$D$3:$AH$3)+1)+INDEX(July!$C$3:$AH$169,39,MATCH(B201,July!$D$3:$AH$3)+1)+INDEX(July!$C$3:$AH$169,44,MATCH(B201,July!$D$3:$AH$3)+1)+INDEX(July!$C$3:$AH$169,49,MATCH(B201,July!$D$3:$AH$3)+1)+INDEX(July!$C$3:$AH$169,54,MATCH(B201,July!$D$3:$AH$3)+1)+INDEX(July!$C$3:$AH$169,59,MATCH(B201,July!$D$3:$AH$3)+1)+INDEX(July!$C$3:$AH$169,64,MATCH(B201,July!$D$3:$AH$3)+1)+INDEX(July!$C$3:$AH$169,69,MATCH(B201,July!$D$3:$AH$3)+1)+INDEX(July!$C$3:$AH$169,74,MATCH(B201,July!$D$3:$AH$3)+1)+INDEX(July!$C$3:$AH$169,79,MATCH(B201,July!$D$3:$AH$3)+1)+INDEX(July!$C$3:$AH$169,84,MATCH(B201,July!$D$3:$AH$3)+1)+INDEX(July!$C$3:$AH$169,89,MATCH(B201,July!$D$3:$AH$3)+1)+INDEX(July!$C$3:$AH$169,94,MATCH(B201,July!$D$3:$AH$3)+1)+INDEX(July!$C$3:$AH$169,99,MATCH(B201,July!$D$3:$AH$3)+1)+INDEX(July!$C$3:$AH$169,104,MATCH(B201,July!$D$3:$AH$3)+1)+INDEX(July!$C$3:$AH$169,109,MATCH(B201,July!$D$3:$AH$3)+1)+INDEX(July!$C$3:$AH$169,114,MATCH(B201,July!$D$3:$AH$3)+1)+INDEX(July!$C$3:$AH$169,119,MATCH(B201,July!$D$3:$AH$3)+1)+INDEX(July!$C$3:$AH$169,124,MATCH(B201,July!$D$3:$AH$3)+1)+INDEX(July!$C$3:$AH$169,129,MATCH(B201,July!$D$3:$AH$3)+1)+INDEX(July!$C$3:$AH$169,134,MATCH(B201,July!$D$3:$AH$3)+1)+INDEX(July!$C$3:$AH$169,139,MATCH(B201,July!$D$3:$AH$3)+1)+INDEX(July!$C$3:$AH$169,144,MATCH(B201,July!$D$3:$AH$3)+1)+INDEX(July!$C$3:$AH$169,149,MATCH(B201,July!$D$3:$AH$3)+1)-INDEX(July!$B$5:$AH$169,MATCH("Patrick Janssen",July!$B$5:$B$169)+1,MATCH(B201,July!$D$3:$AH$3)+2)-INDEX(July!$B$5:$AH$169,MATCH("Patrick Ziesen",July!$B$5:$B$169)+1,MATCH(B201,July!$D$3:$AH$3)+2)-INDEX(July!$B$5:$AH$169,MATCH("Frido Meijer",July!$B$5:$B$169)+1,MATCH(B201,July!$D$3:$AH$3)+2)</f>
        <v>0</v>
      </c>
      <c r="I201" s="130">
        <v>0</v>
      </c>
      <c r="J201" s="130">
        <v>0</v>
      </c>
      <c r="L201" s="124"/>
      <c r="M201" s="111"/>
      <c r="N201" s="111">
        <f t="shared" si="61"/>
        <v>0</v>
      </c>
      <c r="P201" s="112">
        <f>IFERROR((L201+(M201/60)+N201)/(D201-F201-G201-H201-I201-J201),"")</f>
        <v>0</v>
      </c>
      <c r="Q201" s="112">
        <f>IFERROR((L201+(M201/60)+N201)/(D201-(G201+H201)),"")</f>
        <v>0</v>
      </c>
      <c r="R201">
        <f>IFERROR((L201+(M201/60)+N201)/(D201-(G201+H201)),"")</f>
        <v>0</v>
      </c>
    </row>
    <row r="202" spans="2:18" x14ac:dyDescent="0.25">
      <c r="B202" s="110">
        <f>DATE(Title!$F$12,$S$11,S8)</f>
        <v>41459</v>
      </c>
      <c r="C202" s="111">
        <f>IF(WEEKDAY(B202)=1,0,IF(WEEKDAY(B202)=4,'Hours Scheduled'!$J$44-1,IF(WEEKDAY(B202)=7,0,'Hours Scheduled'!$J$44)))</f>
        <v>21</v>
      </c>
      <c r="D202" s="17">
        <f t="shared" si="64"/>
        <v>157.5</v>
      </c>
      <c r="E202" s="127">
        <f t="shared" si="65"/>
        <v>148</v>
      </c>
      <c r="F202" s="111"/>
      <c r="G202" s="130">
        <f>INDEX(July!$C$3:$AH$169,3,MATCH(B202,July!$D$3:$AH$3)+1)+INDEX(July!$C$3:$AH$169,8,MATCH(B202,July!$D$3:$AH$3)+1)+INDEX(July!$C$3:$AH$169,13,MATCH(B202,July!$D$3:$AH$3)+1)+INDEX(July!$C$3:$AH$169,18,MATCH(B202,July!$D$3:$AH$3)+1)+INDEX(July!$C$3:$AH$169,23,MATCH(B202,July!$D$3:$AH$3)+1)+INDEX(July!$C$3:$AH$169,28,MATCH(B202,July!$D$3:$AH$3)+1)+INDEX(July!$C$3:$AH$169,33,MATCH(B202,July!$D$3:$AH$3)+1)+INDEX(July!$C$3:$AH$169,38,MATCH(B202,July!$D$3:$AH$3)+1)+INDEX(July!$C$3:$AH$169,43,MATCH(B202,July!$D$3:$AH$3)+1)+INDEX(July!$C$3:$AH$169,48,MATCH(B202,July!$D$3:$AH$3)+1)+INDEX(July!$C$3:$AH$169,53,MATCH(B202,July!$D$3:$AH$3)+1)+INDEX(July!$C$3:$AH$169,58,MATCH(B202,July!$D$3:$AH$3)+1)+INDEX(July!$C$3:$AH$169,63,MATCH(B202,July!$D$3:$AH$3)+1)+INDEX(July!$C$3:$AH$169,68,MATCH(B202,July!$D$3:$AH$3)+1)+INDEX(July!$C$3:$AH$169,73,MATCH(B202,July!$D$3:$AH$3)+1)+INDEX(July!$C$3:$AH$169,78,MATCH(B202,July!$D$3:$AH$3)+1)+INDEX(July!$C$3:$AH$169,83,MATCH(B202,July!$D$3:$AH$3)+1)+INDEX(July!$C$3:$AH$169,88,MATCH(B202,July!$D$3:$AH$3)+1)+INDEX(July!$C$3:$AH$169,93,MATCH(B202,July!$D$3:$AH$3)+1)+INDEX(July!$C$3:$AH$169,98,MATCH(B202,July!$D$3:$AH$3)+1)+INDEX(July!$C$3:$AH$169,103,MATCH(B202,July!$D$3:$AH$3)+1)+INDEX(July!$C$3:$AH$169,108,MATCH(B202,July!$D$3:$AH$3)+1)+INDEX(July!$C$3:$AH$169,113,MATCH(B202,July!$D$3:$AH$3)+1)+INDEX(July!$C$3:$AH$169,118,MATCH(B202,July!$D$3:$AH$3)+1)+INDEX(July!$C$3:$AH$169,123,MATCH(B202,July!$D$3:$AH$3)+1)+INDEX(July!$C$3:$AH$169,128,MATCH(B202,July!$D$3:$AH$3)+1)+INDEX(July!$C$3:$AH$169,133,MATCH(B202,July!$D$3:$AH$3)+1)+INDEX(July!$C$3:$AH$169,138,MATCH(B202,July!$D$3:$AH$3)+1)+INDEX(July!$C$3:$AH$169,143,MATCH(B202,July!$D$3:$AH$3)+1)+INDEX(July!$C$3:$AH$169,148,MATCH(B202,July!$D$3:$AH$3)+1)-INDEX(July!$B$5:$AH$169,MATCH("Patrick Janssen",July!$B$5:$B$169),MATCH(B202,July!$D$3:$AH$3)+2)-INDEX(July!$B$5:$AH$169,MATCH("Patrick Ziesen",July!$B$5:$B$169),MATCH(B202,July!$D$3:$AH$3)+2)-INDEX(July!$B$5:$AH$169,MATCH("Frido Meijer",July!$B$5:$B$169),MATCH(B202,July!$D$3:$AH$3)+2)</f>
        <v>12</v>
      </c>
      <c r="H202" s="130">
        <f>INDEX(July!$C$3:$AH$169,4,MATCH(B202,July!$D$3:$AH$3)+1)+INDEX(July!$C$3:$AH$169,9,MATCH(B202,July!$D$3:$AH$3)+1)+INDEX(July!$C$3:$AH$169,14,MATCH(B202,July!$D$3:$AH$3)+1)+INDEX(July!$C$3:$AH$169,19,MATCH(B202,July!$D$3:$AH$3)+1)+INDEX(July!$C$3:$AH$169,24,MATCH(B202,July!$D$3:$AH$3)+1)+INDEX(July!$C$3:$AH$169,29,MATCH(B202,July!$D$3:$AH$3)+1)+INDEX(July!$C$3:$AH$169,34,MATCH(B202,July!$D$3:$AH$3)+1)+INDEX(July!$C$3:$AH$169,39,MATCH(B202,July!$D$3:$AH$3)+1)+INDEX(July!$C$3:$AH$169,44,MATCH(B202,July!$D$3:$AH$3)+1)+INDEX(July!$C$3:$AH$169,49,MATCH(B202,July!$D$3:$AH$3)+1)+INDEX(July!$C$3:$AH$169,54,MATCH(B202,July!$D$3:$AH$3)+1)+INDEX(July!$C$3:$AH$169,59,MATCH(B202,July!$D$3:$AH$3)+1)+INDEX(July!$C$3:$AH$169,64,MATCH(B202,July!$D$3:$AH$3)+1)+INDEX(July!$C$3:$AH$169,69,MATCH(B202,July!$D$3:$AH$3)+1)+INDEX(July!$C$3:$AH$169,74,MATCH(B202,July!$D$3:$AH$3)+1)+INDEX(July!$C$3:$AH$169,79,MATCH(B202,July!$D$3:$AH$3)+1)+INDEX(July!$C$3:$AH$169,84,MATCH(B202,July!$D$3:$AH$3)+1)+INDEX(July!$C$3:$AH$169,89,MATCH(B202,July!$D$3:$AH$3)+1)+INDEX(July!$C$3:$AH$169,94,MATCH(B202,July!$D$3:$AH$3)+1)+INDEX(July!$C$3:$AH$169,99,MATCH(B202,July!$D$3:$AH$3)+1)+INDEX(July!$C$3:$AH$169,104,MATCH(B202,July!$D$3:$AH$3)+1)+INDEX(July!$C$3:$AH$169,109,MATCH(B202,July!$D$3:$AH$3)+1)+INDEX(July!$C$3:$AH$169,114,MATCH(B202,July!$D$3:$AH$3)+1)+INDEX(July!$C$3:$AH$169,119,MATCH(B202,July!$D$3:$AH$3)+1)+INDEX(July!$C$3:$AH$169,124,MATCH(B202,July!$D$3:$AH$3)+1)+INDEX(July!$C$3:$AH$169,129,MATCH(B202,July!$D$3:$AH$3)+1)+INDEX(July!$C$3:$AH$169,134,MATCH(B202,July!$D$3:$AH$3)+1)+INDEX(July!$C$3:$AH$169,139,MATCH(B202,July!$D$3:$AH$3)+1)+INDEX(July!$C$3:$AH$169,144,MATCH(B202,July!$D$3:$AH$3)+1)+INDEX(July!$C$3:$AH$169,149,MATCH(B202,July!$D$3:$AH$3)+1)-INDEX(July!$B$5:$AH$169,MATCH("Patrick Janssen",July!$B$5:$B$169)+1,MATCH(B202,July!$D$3:$AH$3)+2)-INDEX(July!$B$5:$AH$169,MATCH("Patrick Ziesen",July!$B$5:$B$169)+1,MATCH(B202,July!$D$3:$AH$3)+2)-INDEX(July!$B$5:$AH$169,MATCH("Frido Meijer",July!$B$5:$B$169)+1,MATCH(B202,July!$D$3:$AH$3)+2)</f>
        <v>8</v>
      </c>
      <c r="I202" s="130">
        <v>0</v>
      </c>
      <c r="J202" s="130">
        <v>0</v>
      </c>
      <c r="L202" s="124"/>
      <c r="M202" s="111"/>
      <c r="N202" s="111">
        <f t="shared" si="61"/>
        <v>0</v>
      </c>
      <c r="P202" s="112">
        <f t="shared" ref="P202:P229" si="66">IFERROR((L202+(M202/60)+N202)/(D202-F202-G202-H202-I202-J202),"")</f>
        <v>0</v>
      </c>
      <c r="Q202" s="112">
        <f t="shared" ref="Q202:Q229" si="67">IFERROR((L202+(M202/60)+N202)/(D202-(G202+H202)),"")</f>
        <v>0</v>
      </c>
    </row>
    <row r="203" spans="2:18" x14ac:dyDescent="0.25">
      <c r="B203" s="110">
        <f>DATE(Title!$F$12,$S$11,S9)</f>
        <v>41460</v>
      </c>
      <c r="C203" s="111">
        <f>IF(WEEKDAY(B203)=1,0,IF(WEEKDAY(B203)=4,'Hours Scheduled'!$J$44-1,IF(WEEKDAY(B203)=7,0,'Hours Scheduled'!$J$44)))</f>
        <v>21</v>
      </c>
      <c r="D203" s="17">
        <f t="shared" si="64"/>
        <v>157.5</v>
      </c>
      <c r="E203" s="127">
        <f t="shared" si="65"/>
        <v>152</v>
      </c>
      <c r="F203" s="111"/>
      <c r="G203" s="130">
        <f>INDEX(July!$C$3:$AH$169,3,MATCH(B203,July!$D$3:$AH$3)+1)+INDEX(July!$C$3:$AH$169,8,MATCH(B203,July!$D$3:$AH$3)+1)+INDEX(July!$C$3:$AH$169,13,MATCH(B203,July!$D$3:$AH$3)+1)+INDEX(July!$C$3:$AH$169,18,MATCH(B203,July!$D$3:$AH$3)+1)+INDEX(July!$C$3:$AH$169,23,MATCH(B203,July!$D$3:$AH$3)+1)+INDEX(July!$C$3:$AH$169,28,MATCH(B203,July!$D$3:$AH$3)+1)+INDEX(July!$C$3:$AH$169,33,MATCH(B203,July!$D$3:$AH$3)+1)+INDEX(July!$C$3:$AH$169,38,MATCH(B203,July!$D$3:$AH$3)+1)+INDEX(July!$C$3:$AH$169,43,MATCH(B203,July!$D$3:$AH$3)+1)+INDEX(July!$C$3:$AH$169,48,MATCH(B203,July!$D$3:$AH$3)+1)+INDEX(July!$C$3:$AH$169,53,MATCH(B203,July!$D$3:$AH$3)+1)+INDEX(July!$C$3:$AH$169,58,MATCH(B203,July!$D$3:$AH$3)+1)+INDEX(July!$C$3:$AH$169,63,MATCH(B203,July!$D$3:$AH$3)+1)+INDEX(July!$C$3:$AH$169,68,MATCH(B203,July!$D$3:$AH$3)+1)+INDEX(July!$C$3:$AH$169,73,MATCH(B203,July!$D$3:$AH$3)+1)+INDEX(July!$C$3:$AH$169,78,MATCH(B203,July!$D$3:$AH$3)+1)+INDEX(July!$C$3:$AH$169,83,MATCH(B203,July!$D$3:$AH$3)+1)+INDEX(July!$C$3:$AH$169,88,MATCH(B203,July!$D$3:$AH$3)+1)+INDEX(July!$C$3:$AH$169,93,MATCH(B203,July!$D$3:$AH$3)+1)+INDEX(July!$C$3:$AH$169,98,MATCH(B203,July!$D$3:$AH$3)+1)+INDEX(July!$C$3:$AH$169,103,MATCH(B203,July!$D$3:$AH$3)+1)+INDEX(July!$C$3:$AH$169,108,MATCH(B203,July!$D$3:$AH$3)+1)+INDEX(July!$C$3:$AH$169,113,MATCH(B203,July!$D$3:$AH$3)+1)+INDEX(July!$C$3:$AH$169,118,MATCH(B203,July!$D$3:$AH$3)+1)+INDEX(July!$C$3:$AH$169,123,MATCH(B203,July!$D$3:$AH$3)+1)+INDEX(July!$C$3:$AH$169,128,MATCH(B203,July!$D$3:$AH$3)+1)+INDEX(July!$C$3:$AH$169,133,MATCH(B203,July!$D$3:$AH$3)+1)+INDEX(July!$C$3:$AH$169,138,MATCH(B203,July!$D$3:$AH$3)+1)+INDEX(July!$C$3:$AH$169,143,MATCH(B203,July!$D$3:$AH$3)+1)+INDEX(July!$C$3:$AH$169,148,MATCH(B203,July!$D$3:$AH$3)+1)-INDEX(July!$B$5:$AH$169,MATCH("Patrick Janssen",July!$B$5:$B$169),MATCH(B203,July!$D$3:$AH$3)+2)-INDEX(July!$B$5:$AH$169,MATCH("Patrick Ziesen",July!$B$5:$B$169),MATCH(B203,July!$D$3:$AH$3)+2)-INDEX(July!$B$5:$AH$169,MATCH("Frido Meijer",July!$B$5:$B$169),MATCH(B203,July!$D$3:$AH$3)+2)</f>
        <v>16</v>
      </c>
      <c r="H203" s="130">
        <f>INDEX(July!$C$3:$AH$169,4,MATCH(B203,July!$D$3:$AH$3)+1)+INDEX(July!$C$3:$AH$169,9,MATCH(B203,July!$D$3:$AH$3)+1)+INDEX(July!$C$3:$AH$169,14,MATCH(B203,July!$D$3:$AH$3)+1)+INDEX(July!$C$3:$AH$169,19,MATCH(B203,July!$D$3:$AH$3)+1)+INDEX(July!$C$3:$AH$169,24,MATCH(B203,July!$D$3:$AH$3)+1)+INDEX(July!$C$3:$AH$169,29,MATCH(B203,July!$D$3:$AH$3)+1)+INDEX(July!$C$3:$AH$169,34,MATCH(B203,July!$D$3:$AH$3)+1)+INDEX(July!$C$3:$AH$169,39,MATCH(B203,July!$D$3:$AH$3)+1)+INDEX(July!$C$3:$AH$169,44,MATCH(B203,July!$D$3:$AH$3)+1)+INDEX(July!$C$3:$AH$169,49,MATCH(B203,July!$D$3:$AH$3)+1)+INDEX(July!$C$3:$AH$169,54,MATCH(B203,July!$D$3:$AH$3)+1)+INDEX(July!$C$3:$AH$169,59,MATCH(B203,July!$D$3:$AH$3)+1)+INDEX(July!$C$3:$AH$169,64,MATCH(B203,July!$D$3:$AH$3)+1)+INDEX(July!$C$3:$AH$169,69,MATCH(B203,July!$D$3:$AH$3)+1)+INDEX(July!$C$3:$AH$169,74,MATCH(B203,July!$D$3:$AH$3)+1)+INDEX(July!$C$3:$AH$169,79,MATCH(B203,July!$D$3:$AH$3)+1)+INDEX(July!$C$3:$AH$169,84,MATCH(B203,July!$D$3:$AH$3)+1)+INDEX(July!$C$3:$AH$169,89,MATCH(B203,July!$D$3:$AH$3)+1)+INDEX(July!$C$3:$AH$169,94,MATCH(B203,July!$D$3:$AH$3)+1)+INDEX(July!$C$3:$AH$169,99,MATCH(B203,July!$D$3:$AH$3)+1)+INDEX(July!$C$3:$AH$169,104,MATCH(B203,July!$D$3:$AH$3)+1)+INDEX(July!$C$3:$AH$169,109,MATCH(B203,July!$D$3:$AH$3)+1)+INDEX(July!$C$3:$AH$169,114,MATCH(B203,July!$D$3:$AH$3)+1)+INDEX(July!$C$3:$AH$169,119,MATCH(B203,July!$D$3:$AH$3)+1)+INDEX(July!$C$3:$AH$169,124,MATCH(B203,July!$D$3:$AH$3)+1)+INDEX(July!$C$3:$AH$169,129,MATCH(B203,July!$D$3:$AH$3)+1)+INDEX(July!$C$3:$AH$169,134,MATCH(B203,July!$D$3:$AH$3)+1)+INDEX(July!$C$3:$AH$169,139,MATCH(B203,July!$D$3:$AH$3)+1)+INDEX(July!$C$3:$AH$169,144,MATCH(B203,July!$D$3:$AH$3)+1)+INDEX(July!$C$3:$AH$169,149,MATCH(B203,July!$D$3:$AH$3)+1)-INDEX(July!$B$5:$AH$169,MATCH("Patrick Janssen",July!$B$5:$B$169)+1,MATCH(B203,July!$D$3:$AH$3)+2)-INDEX(July!$B$5:$AH$169,MATCH("Patrick Ziesen",July!$B$5:$B$169)+1,MATCH(B203,July!$D$3:$AH$3)+2)-INDEX(July!$B$5:$AH$169,MATCH("Frido Meijer",July!$B$5:$B$169)+1,MATCH(B203,July!$D$3:$AH$3)+2)</f>
        <v>0</v>
      </c>
      <c r="I203" s="130">
        <v>0</v>
      </c>
      <c r="J203" s="130">
        <v>0</v>
      </c>
      <c r="L203" s="124"/>
      <c r="M203" s="111"/>
      <c r="N203" s="111">
        <f t="shared" si="61"/>
        <v>0</v>
      </c>
      <c r="P203" s="112">
        <f t="shared" si="66"/>
        <v>0</v>
      </c>
      <c r="Q203" s="112">
        <f t="shared" si="67"/>
        <v>0</v>
      </c>
    </row>
    <row r="204" spans="2:18" x14ac:dyDescent="0.25">
      <c r="B204" s="110">
        <f>DATE(Title!$F$12,$S$11,S10)</f>
        <v>41461</v>
      </c>
      <c r="C204" s="111">
        <f>IF(WEEKDAY(B204)=1,0,IF(WEEKDAY(B204)=4,'Hours Scheduled'!$J$44-1,IF(WEEKDAY(B204)=7,0,'Hours Scheduled'!$J$44)))</f>
        <v>0</v>
      </c>
      <c r="D204" s="17">
        <f t="shared" si="64"/>
        <v>0</v>
      </c>
      <c r="E204" s="127">
        <f t="shared" si="65"/>
        <v>0</v>
      </c>
      <c r="F204" s="111"/>
      <c r="G204" s="130">
        <f>INDEX(July!$C$3:$AH$169,3,MATCH(B204,July!$D$3:$AH$3)+1)+INDEX(July!$C$3:$AH$169,8,MATCH(B204,July!$D$3:$AH$3)+1)+INDEX(July!$C$3:$AH$169,13,MATCH(B204,July!$D$3:$AH$3)+1)+INDEX(July!$C$3:$AH$169,18,MATCH(B204,July!$D$3:$AH$3)+1)+INDEX(July!$C$3:$AH$169,23,MATCH(B204,July!$D$3:$AH$3)+1)+INDEX(July!$C$3:$AH$169,28,MATCH(B204,July!$D$3:$AH$3)+1)+INDEX(July!$C$3:$AH$169,33,MATCH(B204,July!$D$3:$AH$3)+1)+INDEX(July!$C$3:$AH$169,38,MATCH(B204,July!$D$3:$AH$3)+1)+INDEX(July!$C$3:$AH$169,43,MATCH(B204,July!$D$3:$AH$3)+1)+INDEX(July!$C$3:$AH$169,48,MATCH(B204,July!$D$3:$AH$3)+1)+INDEX(July!$C$3:$AH$169,53,MATCH(B204,July!$D$3:$AH$3)+1)+INDEX(July!$C$3:$AH$169,58,MATCH(B204,July!$D$3:$AH$3)+1)+INDEX(July!$C$3:$AH$169,63,MATCH(B204,July!$D$3:$AH$3)+1)+INDEX(July!$C$3:$AH$169,68,MATCH(B204,July!$D$3:$AH$3)+1)+INDEX(July!$C$3:$AH$169,73,MATCH(B204,July!$D$3:$AH$3)+1)+INDEX(July!$C$3:$AH$169,78,MATCH(B204,July!$D$3:$AH$3)+1)+INDEX(July!$C$3:$AH$169,83,MATCH(B204,July!$D$3:$AH$3)+1)+INDEX(July!$C$3:$AH$169,88,MATCH(B204,July!$D$3:$AH$3)+1)+INDEX(July!$C$3:$AH$169,93,MATCH(B204,July!$D$3:$AH$3)+1)+INDEX(July!$C$3:$AH$169,98,MATCH(B204,July!$D$3:$AH$3)+1)+INDEX(July!$C$3:$AH$169,103,MATCH(B204,July!$D$3:$AH$3)+1)+INDEX(July!$C$3:$AH$169,108,MATCH(B204,July!$D$3:$AH$3)+1)+INDEX(July!$C$3:$AH$169,113,MATCH(B204,July!$D$3:$AH$3)+1)+INDEX(July!$C$3:$AH$169,118,MATCH(B204,July!$D$3:$AH$3)+1)+INDEX(July!$C$3:$AH$169,123,MATCH(B204,July!$D$3:$AH$3)+1)+INDEX(July!$C$3:$AH$169,128,MATCH(B204,July!$D$3:$AH$3)+1)+INDEX(July!$C$3:$AH$169,133,MATCH(B204,July!$D$3:$AH$3)+1)+INDEX(July!$C$3:$AH$169,138,MATCH(B204,July!$D$3:$AH$3)+1)+INDEX(July!$C$3:$AH$169,143,MATCH(B204,July!$D$3:$AH$3)+1)+INDEX(July!$C$3:$AH$169,148,MATCH(B204,July!$D$3:$AH$3)+1)-INDEX(July!$B$5:$AH$169,MATCH("Patrick Janssen",July!$B$5:$B$169),MATCH(B204,July!$D$3:$AH$3)+2)-INDEX(July!$B$5:$AH$169,MATCH("Patrick Ziesen",July!$B$5:$B$169),MATCH(B204,July!$D$3:$AH$3)+2)-INDEX(July!$B$5:$AH$169,MATCH("Frido Meijer",July!$B$5:$B$169),MATCH(B204,July!$D$3:$AH$3)+2)</f>
        <v>0</v>
      </c>
      <c r="H204" s="130">
        <f>INDEX(July!$C$3:$AH$169,4,MATCH(B204,July!$D$3:$AH$3)+1)+INDEX(July!$C$3:$AH$169,9,MATCH(B204,July!$D$3:$AH$3)+1)+INDEX(July!$C$3:$AH$169,14,MATCH(B204,July!$D$3:$AH$3)+1)+INDEX(July!$C$3:$AH$169,19,MATCH(B204,July!$D$3:$AH$3)+1)+INDEX(July!$C$3:$AH$169,24,MATCH(B204,July!$D$3:$AH$3)+1)+INDEX(July!$C$3:$AH$169,29,MATCH(B204,July!$D$3:$AH$3)+1)+INDEX(July!$C$3:$AH$169,34,MATCH(B204,July!$D$3:$AH$3)+1)+INDEX(July!$C$3:$AH$169,39,MATCH(B204,July!$D$3:$AH$3)+1)+INDEX(July!$C$3:$AH$169,44,MATCH(B204,July!$D$3:$AH$3)+1)+INDEX(July!$C$3:$AH$169,49,MATCH(B204,July!$D$3:$AH$3)+1)+INDEX(July!$C$3:$AH$169,54,MATCH(B204,July!$D$3:$AH$3)+1)+INDEX(July!$C$3:$AH$169,59,MATCH(B204,July!$D$3:$AH$3)+1)+INDEX(July!$C$3:$AH$169,64,MATCH(B204,July!$D$3:$AH$3)+1)+INDEX(July!$C$3:$AH$169,69,MATCH(B204,July!$D$3:$AH$3)+1)+INDEX(July!$C$3:$AH$169,74,MATCH(B204,July!$D$3:$AH$3)+1)+INDEX(July!$C$3:$AH$169,79,MATCH(B204,July!$D$3:$AH$3)+1)+INDEX(July!$C$3:$AH$169,84,MATCH(B204,July!$D$3:$AH$3)+1)+INDEX(July!$C$3:$AH$169,89,MATCH(B204,July!$D$3:$AH$3)+1)+INDEX(July!$C$3:$AH$169,94,MATCH(B204,July!$D$3:$AH$3)+1)+INDEX(July!$C$3:$AH$169,99,MATCH(B204,July!$D$3:$AH$3)+1)+INDEX(July!$C$3:$AH$169,104,MATCH(B204,July!$D$3:$AH$3)+1)+INDEX(July!$C$3:$AH$169,109,MATCH(B204,July!$D$3:$AH$3)+1)+INDEX(July!$C$3:$AH$169,114,MATCH(B204,July!$D$3:$AH$3)+1)+INDEX(July!$C$3:$AH$169,119,MATCH(B204,July!$D$3:$AH$3)+1)+INDEX(July!$C$3:$AH$169,124,MATCH(B204,July!$D$3:$AH$3)+1)+INDEX(July!$C$3:$AH$169,129,MATCH(B204,July!$D$3:$AH$3)+1)+INDEX(July!$C$3:$AH$169,134,MATCH(B204,July!$D$3:$AH$3)+1)+INDEX(July!$C$3:$AH$169,139,MATCH(B204,July!$D$3:$AH$3)+1)+INDEX(July!$C$3:$AH$169,144,MATCH(B204,July!$D$3:$AH$3)+1)+INDEX(July!$C$3:$AH$169,149,MATCH(B204,July!$D$3:$AH$3)+1)-INDEX(July!$B$5:$AH$169,MATCH("Patrick Janssen",July!$B$5:$B$169)+1,MATCH(B204,July!$D$3:$AH$3)+2)-INDEX(July!$B$5:$AH$169,MATCH("Patrick Ziesen",July!$B$5:$B$169)+1,MATCH(B204,July!$D$3:$AH$3)+2)-INDEX(July!$B$5:$AH$169,MATCH("Frido Meijer",July!$B$5:$B$169)+1,MATCH(B204,July!$D$3:$AH$3)+2)</f>
        <v>0</v>
      </c>
      <c r="I204" s="130">
        <v>0</v>
      </c>
      <c r="J204" s="130">
        <v>0</v>
      </c>
      <c r="L204" s="124"/>
      <c r="M204" s="111"/>
      <c r="N204" s="111">
        <f t="shared" si="61"/>
        <v>0</v>
      </c>
      <c r="P204" s="112" t="str">
        <f t="shared" si="66"/>
        <v/>
      </c>
      <c r="Q204" s="112" t="str">
        <f t="shared" si="67"/>
        <v/>
      </c>
    </row>
    <row r="205" spans="2:18" x14ac:dyDescent="0.25">
      <c r="B205" s="110">
        <f>DATE(Title!$F$12,$S$11,S11)</f>
        <v>41462</v>
      </c>
      <c r="C205" s="111">
        <f>IF(WEEKDAY(B205)=1,0,IF(WEEKDAY(B205)=4,'Hours Scheduled'!$J$44-1,IF(WEEKDAY(B205)=7,0,'Hours Scheduled'!$J$44)))</f>
        <v>0</v>
      </c>
      <c r="D205" s="17">
        <f t="shared" si="64"/>
        <v>0</v>
      </c>
      <c r="E205" s="127">
        <f t="shared" si="65"/>
        <v>0</v>
      </c>
      <c r="F205" s="111"/>
      <c r="G205" s="130">
        <f>INDEX(July!$C$3:$AH$169,3,MATCH(B205,July!$D$3:$AH$3)+1)+INDEX(July!$C$3:$AH$169,8,MATCH(B205,July!$D$3:$AH$3)+1)+INDEX(July!$C$3:$AH$169,13,MATCH(B205,July!$D$3:$AH$3)+1)+INDEX(July!$C$3:$AH$169,18,MATCH(B205,July!$D$3:$AH$3)+1)+INDEX(July!$C$3:$AH$169,23,MATCH(B205,July!$D$3:$AH$3)+1)+INDEX(July!$C$3:$AH$169,28,MATCH(B205,July!$D$3:$AH$3)+1)+INDEX(July!$C$3:$AH$169,33,MATCH(B205,July!$D$3:$AH$3)+1)+INDEX(July!$C$3:$AH$169,38,MATCH(B205,July!$D$3:$AH$3)+1)+INDEX(July!$C$3:$AH$169,43,MATCH(B205,July!$D$3:$AH$3)+1)+INDEX(July!$C$3:$AH$169,48,MATCH(B205,July!$D$3:$AH$3)+1)+INDEX(July!$C$3:$AH$169,53,MATCH(B205,July!$D$3:$AH$3)+1)+INDEX(July!$C$3:$AH$169,58,MATCH(B205,July!$D$3:$AH$3)+1)+INDEX(July!$C$3:$AH$169,63,MATCH(B205,July!$D$3:$AH$3)+1)+INDEX(July!$C$3:$AH$169,68,MATCH(B205,July!$D$3:$AH$3)+1)+INDEX(July!$C$3:$AH$169,73,MATCH(B205,July!$D$3:$AH$3)+1)+INDEX(July!$C$3:$AH$169,78,MATCH(B205,July!$D$3:$AH$3)+1)+INDEX(July!$C$3:$AH$169,83,MATCH(B205,July!$D$3:$AH$3)+1)+INDEX(July!$C$3:$AH$169,88,MATCH(B205,July!$D$3:$AH$3)+1)+INDEX(July!$C$3:$AH$169,93,MATCH(B205,July!$D$3:$AH$3)+1)+INDEX(July!$C$3:$AH$169,98,MATCH(B205,July!$D$3:$AH$3)+1)+INDEX(July!$C$3:$AH$169,103,MATCH(B205,July!$D$3:$AH$3)+1)+INDEX(July!$C$3:$AH$169,108,MATCH(B205,July!$D$3:$AH$3)+1)+INDEX(July!$C$3:$AH$169,113,MATCH(B205,July!$D$3:$AH$3)+1)+INDEX(July!$C$3:$AH$169,118,MATCH(B205,July!$D$3:$AH$3)+1)+INDEX(July!$C$3:$AH$169,123,MATCH(B205,July!$D$3:$AH$3)+1)+INDEX(July!$C$3:$AH$169,128,MATCH(B205,July!$D$3:$AH$3)+1)+INDEX(July!$C$3:$AH$169,133,MATCH(B205,July!$D$3:$AH$3)+1)+INDEX(July!$C$3:$AH$169,138,MATCH(B205,July!$D$3:$AH$3)+1)+INDEX(July!$C$3:$AH$169,143,MATCH(B205,July!$D$3:$AH$3)+1)+INDEX(July!$C$3:$AH$169,148,MATCH(B205,July!$D$3:$AH$3)+1)-INDEX(July!$B$5:$AH$169,MATCH("Patrick Janssen",July!$B$5:$B$169),MATCH(B205,July!$D$3:$AH$3)+2)-INDEX(July!$B$5:$AH$169,MATCH("Patrick Ziesen",July!$B$5:$B$169),MATCH(B205,July!$D$3:$AH$3)+2)-INDEX(July!$B$5:$AH$169,MATCH("Frido Meijer",July!$B$5:$B$169),MATCH(B205,July!$D$3:$AH$3)+2)</f>
        <v>0</v>
      </c>
      <c r="H205" s="130">
        <f>INDEX(July!$C$3:$AH$169,4,MATCH(B205,July!$D$3:$AH$3)+1)+INDEX(July!$C$3:$AH$169,9,MATCH(B205,July!$D$3:$AH$3)+1)+INDEX(July!$C$3:$AH$169,14,MATCH(B205,July!$D$3:$AH$3)+1)+INDEX(July!$C$3:$AH$169,19,MATCH(B205,July!$D$3:$AH$3)+1)+INDEX(July!$C$3:$AH$169,24,MATCH(B205,July!$D$3:$AH$3)+1)+INDEX(July!$C$3:$AH$169,29,MATCH(B205,July!$D$3:$AH$3)+1)+INDEX(July!$C$3:$AH$169,34,MATCH(B205,July!$D$3:$AH$3)+1)+INDEX(July!$C$3:$AH$169,39,MATCH(B205,July!$D$3:$AH$3)+1)+INDEX(July!$C$3:$AH$169,44,MATCH(B205,July!$D$3:$AH$3)+1)+INDEX(July!$C$3:$AH$169,49,MATCH(B205,July!$D$3:$AH$3)+1)+INDEX(July!$C$3:$AH$169,54,MATCH(B205,July!$D$3:$AH$3)+1)+INDEX(July!$C$3:$AH$169,59,MATCH(B205,July!$D$3:$AH$3)+1)+INDEX(July!$C$3:$AH$169,64,MATCH(B205,July!$D$3:$AH$3)+1)+INDEX(July!$C$3:$AH$169,69,MATCH(B205,July!$D$3:$AH$3)+1)+INDEX(July!$C$3:$AH$169,74,MATCH(B205,July!$D$3:$AH$3)+1)+INDEX(July!$C$3:$AH$169,79,MATCH(B205,July!$D$3:$AH$3)+1)+INDEX(July!$C$3:$AH$169,84,MATCH(B205,July!$D$3:$AH$3)+1)+INDEX(July!$C$3:$AH$169,89,MATCH(B205,July!$D$3:$AH$3)+1)+INDEX(July!$C$3:$AH$169,94,MATCH(B205,July!$D$3:$AH$3)+1)+INDEX(July!$C$3:$AH$169,99,MATCH(B205,July!$D$3:$AH$3)+1)+INDEX(July!$C$3:$AH$169,104,MATCH(B205,July!$D$3:$AH$3)+1)+INDEX(July!$C$3:$AH$169,109,MATCH(B205,July!$D$3:$AH$3)+1)+INDEX(July!$C$3:$AH$169,114,MATCH(B205,July!$D$3:$AH$3)+1)+INDEX(July!$C$3:$AH$169,119,MATCH(B205,July!$D$3:$AH$3)+1)+INDEX(July!$C$3:$AH$169,124,MATCH(B205,July!$D$3:$AH$3)+1)+INDEX(July!$C$3:$AH$169,129,MATCH(B205,July!$D$3:$AH$3)+1)+INDEX(July!$C$3:$AH$169,134,MATCH(B205,July!$D$3:$AH$3)+1)+INDEX(July!$C$3:$AH$169,139,MATCH(B205,July!$D$3:$AH$3)+1)+INDEX(July!$C$3:$AH$169,144,MATCH(B205,July!$D$3:$AH$3)+1)+INDEX(July!$C$3:$AH$169,149,MATCH(B205,July!$D$3:$AH$3)+1)-INDEX(July!$B$5:$AH$169,MATCH("Patrick Janssen",July!$B$5:$B$169)+1,MATCH(B205,July!$D$3:$AH$3)+2)-INDEX(July!$B$5:$AH$169,MATCH("Patrick Ziesen",July!$B$5:$B$169)+1,MATCH(B205,July!$D$3:$AH$3)+2)-INDEX(July!$B$5:$AH$169,MATCH("Frido Meijer",July!$B$5:$B$169)+1,MATCH(B205,July!$D$3:$AH$3)+2)</f>
        <v>0</v>
      </c>
      <c r="I205" s="130">
        <v>0</v>
      </c>
      <c r="J205" s="130">
        <v>0</v>
      </c>
      <c r="L205" s="124"/>
      <c r="M205" s="111"/>
      <c r="N205" s="111">
        <f t="shared" si="61"/>
        <v>0</v>
      </c>
      <c r="P205" s="112" t="str">
        <f t="shared" si="66"/>
        <v/>
      </c>
      <c r="Q205" s="112" t="str">
        <f t="shared" si="67"/>
        <v/>
      </c>
    </row>
    <row r="206" spans="2:18" x14ac:dyDescent="0.25">
      <c r="B206" s="110">
        <f>DATE(Title!$F$12,$S$11,S12)</f>
        <v>41463</v>
      </c>
      <c r="C206" s="111">
        <f>IF(WEEKDAY(B206)=1,0,IF(WEEKDAY(B206)=4,'Hours Scheduled'!$J$44-1,IF(WEEKDAY(B206)=7,0,'Hours Scheduled'!$J$44)))</f>
        <v>21</v>
      </c>
      <c r="D206" s="17">
        <f t="shared" si="64"/>
        <v>157.5</v>
      </c>
      <c r="E206" s="127">
        <f t="shared" si="65"/>
        <v>150</v>
      </c>
      <c r="F206" s="111"/>
      <c r="G206" s="130">
        <f>INDEX(July!$C$3:$AH$169,3,MATCH(B206,July!$D$3:$AH$3)+1)+INDEX(July!$C$3:$AH$169,8,MATCH(B206,July!$D$3:$AH$3)+1)+INDEX(July!$C$3:$AH$169,13,MATCH(B206,July!$D$3:$AH$3)+1)+INDEX(July!$C$3:$AH$169,18,MATCH(B206,July!$D$3:$AH$3)+1)+INDEX(July!$C$3:$AH$169,23,MATCH(B206,July!$D$3:$AH$3)+1)+INDEX(July!$C$3:$AH$169,28,MATCH(B206,July!$D$3:$AH$3)+1)+INDEX(July!$C$3:$AH$169,33,MATCH(B206,July!$D$3:$AH$3)+1)+INDEX(July!$C$3:$AH$169,38,MATCH(B206,July!$D$3:$AH$3)+1)+INDEX(July!$C$3:$AH$169,43,MATCH(B206,July!$D$3:$AH$3)+1)+INDEX(July!$C$3:$AH$169,48,MATCH(B206,July!$D$3:$AH$3)+1)+INDEX(July!$C$3:$AH$169,53,MATCH(B206,July!$D$3:$AH$3)+1)+INDEX(July!$C$3:$AH$169,58,MATCH(B206,July!$D$3:$AH$3)+1)+INDEX(July!$C$3:$AH$169,63,MATCH(B206,July!$D$3:$AH$3)+1)+INDEX(July!$C$3:$AH$169,68,MATCH(B206,July!$D$3:$AH$3)+1)+INDEX(July!$C$3:$AH$169,73,MATCH(B206,July!$D$3:$AH$3)+1)+INDEX(July!$C$3:$AH$169,78,MATCH(B206,July!$D$3:$AH$3)+1)+INDEX(July!$C$3:$AH$169,83,MATCH(B206,July!$D$3:$AH$3)+1)+INDEX(July!$C$3:$AH$169,88,MATCH(B206,July!$D$3:$AH$3)+1)+INDEX(July!$C$3:$AH$169,93,MATCH(B206,July!$D$3:$AH$3)+1)+INDEX(July!$C$3:$AH$169,98,MATCH(B206,July!$D$3:$AH$3)+1)+INDEX(July!$C$3:$AH$169,103,MATCH(B206,July!$D$3:$AH$3)+1)+INDEX(July!$C$3:$AH$169,108,MATCH(B206,July!$D$3:$AH$3)+1)+INDEX(July!$C$3:$AH$169,113,MATCH(B206,July!$D$3:$AH$3)+1)+INDEX(July!$C$3:$AH$169,118,MATCH(B206,July!$D$3:$AH$3)+1)+INDEX(July!$C$3:$AH$169,123,MATCH(B206,July!$D$3:$AH$3)+1)+INDEX(July!$C$3:$AH$169,128,MATCH(B206,July!$D$3:$AH$3)+1)+INDEX(July!$C$3:$AH$169,133,MATCH(B206,July!$D$3:$AH$3)+1)+INDEX(July!$C$3:$AH$169,138,MATCH(B206,July!$D$3:$AH$3)+1)+INDEX(July!$C$3:$AH$169,143,MATCH(B206,July!$D$3:$AH$3)+1)+INDEX(July!$C$3:$AH$169,148,MATCH(B206,July!$D$3:$AH$3)+1)-INDEX(July!$B$5:$AH$169,MATCH("Patrick Janssen",July!$B$5:$B$169),MATCH(B206,July!$D$3:$AH$3)+2)-INDEX(July!$B$5:$AH$169,MATCH("Patrick Ziesen",July!$B$5:$B$169),MATCH(B206,July!$D$3:$AH$3)+2)-INDEX(July!$B$5:$AH$169,MATCH("Frido Meijer",July!$B$5:$B$169),MATCH(B206,July!$D$3:$AH$3)+2)</f>
        <v>18</v>
      </c>
      <c r="H206" s="130">
        <f>INDEX(July!$C$3:$AH$169,4,MATCH(B206,July!$D$3:$AH$3)+1)+INDEX(July!$C$3:$AH$169,9,MATCH(B206,July!$D$3:$AH$3)+1)+INDEX(July!$C$3:$AH$169,14,MATCH(B206,July!$D$3:$AH$3)+1)+INDEX(July!$C$3:$AH$169,19,MATCH(B206,July!$D$3:$AH$3)+1)+INDEX(July!$C$3:$AH$169,24,MATCH(B206,July!$D$3:$AH$3)+1)+INDEX(July!$C$3:$AH$169,29,MATCH(B206,July!$D$3:$AH$3)+1)+INDEX(July!$C$3:$AH$169,34,MATCH(B206,July!$D$3:$AH$3)+1)+INDEX(July!$C$3:$AH$169,39,MATCH(B206,July!$D$3:$AH$3)+1)+INDEX(July!$C$3:$AH$169,44,MATCH(B206,July!$D$3:$AH$3)+1)+INDEX(July!$C$3:$AH$169,49,MATCH(B206,July!$D$3:$AH$3)+1)+INDEX(July!$C$3:$AH$169,54,MATCH(B206,July!$D$3:$AH$3)+1)+INDEX(July!$C$3:$AH$169,59,MATCH(B206,July!$D$3:$AH$3)+1)+INDEX(July!$C$3:$AH$169,64,MATCH(B206,July!$D$3:$AH$3)+1)+INDEX(July!$C$3:$AH$169,69,MATCH(B206,July!$D$3:$AH$3)+1)+INDEX(July!$C$3:$AH$169,74,MATCH(B206,July!$D$3:$AH$3)+1)+INDEX(July!$C$3:$AH$169,79,MATCH(B206,July!$D$3:$AH$3)+1)+INDEX(July!$C$3:$AH$169,84,MATCH(B206,July!$D$3:$AH$3)+1)+INDEX(July!$C$3:$AH$169,89,MATCH(B206,July!$D$3:$AH$3)+1)+INDEX(July!$C$3:$AH$169,94,MATCH(B206,July!$D$3:$AH$3)+1)+INDEX(July!$C$3:$AH$169,99,MATCH(B206,July!$D$3:$AH$3)+1)+INDEX(July!$C$3:$AH$169,104,MATCH(B206,July!$D$3:$AH$3)+1)+INDEX(July!$C$3:$AH$169,109,MATCH(B206,July!$D$3:$AH$3)+1)+INDEX(July!$C$3:$AH$169,114,MATCH(B206,July!$D$3:$AH$3)+1)+INDEX(July!$C$3:$AH$169,119,MATCH(B206,July!$D$3:$AH$3)+1)+INDEX(July!$C$3:$AH$169,124,MATCH(B206,July!$D$3:$AH$3)+1)+INDEX(July!$C$3:$AH$169,129,MATCH(B206,July!$D$3:$AH$3)+1)+INDEX(July!$C$3:$AH$169,134,MATCH(B206,July!$D$3:$AH$3)+1)+INDEX(July!$C$3:$AH$169,139,MATCH(B206,July!$D$3:$AH$3)+1)+INDEX(July!$C$3:$AH$169,144,MATCH(B206,July!$D$3:$AH$3)+1)+INDEX(July!$C$3:$AH$169,149,MATCH(B206,July!$D$3:$AH$3)+1)-INDEX(July!$B$5:$AH$169,MATCH("Patrick Janssen",July!$B$5:$B$169)+1,MATCH(B206,July!$D$3:$AH$3)+2)-INDEX(July!$B$5:$AH$169,MATCH("Patrick Ziesen",July!$B$5:$B$169)+1,MATCH(B206,July!$D$3:$AH$3)+2)-INDEX(July!$B$5:$AH$169,MATCH("Frido Meijer",July!$B$5:$B$169)+1,MATCH(B206,July!$D$3:$AH$3)+2)</f>
        <v>0</v>
      </c>
      <c r="I206" s="130">
        <v>0</v>
      </c>
      <c r="J206" s="130">
        <v>0</v>
      </c>
      <c r="L206" s="124"/>
      <c r="M206" s="111"/>
      <c r="N206" s="111">
        <f t="shared" si="61"/>
        <v>0</v>
      </c>
      <c r="P206" s="112">
        <f t="shared" si="66"/>
        <v>0</v>
      </c>
      <c r="Q206" s="112">
        <f t="shared" si="67"/>
        <v>0</v>
      </c>
    </row>
    <row r="207" spans="2:18" x14ac:dyDescent="0.25">
      <c r="B207" s="110">
        <f>DATE(Title!$F$12,$S$11,S13)</f>
        <v>41464</v>
      </c>
      <c r="C207" s="111">
        <f>IF(WEEKDAY(B207)=1,0,IF(WEEKDAY(B207)=4,'Hours Scheduled'!$J$44-1,IF(WEEKDAY(B207)=7,0,'Hours Scheduled'!$J$44)))</f>
        <v>21</v>
      </c>
      <c r="D207" s="17">
        <f t="shared" si="64"/>
        <v>157.5</v>
      </c>
      <c r="E207" s="127">
        <f t="shared" si="65"/>
        <v>154</v>
      </c>
      <c r="F207" s="111"/>
      <c r="G207" s="130">
        <f>INDEX(July!$C$3:$AH$169,3,MATCH(B207,July!$D$3:$AH$3)+1)+INDEX(July!$C$3:$AH$169,8,MATCH(B207,July!$D$3:$AH$3)+1)+INDEX(July!$C$3:$AH$169,13,MATCH(B207,July!$D$3:$AH$3)+1)+INDEX(July!$C$3:$AH$169,18,MATCH(B207,July!$D$3:$AH$3)+1)+INDEX(July!$C$3:$AH$169,23,MATCH(B207,July!$D$3:$AH$3)+1)+INDEX(July!$C$3:$AH$169,28,MATCH(B207,July!$D$3:$AH$3)+1)+INDEX(July!$C$3:$AH$169,33,MATCH(B207,July!$D$3:$AH$3)+1)+INDEX(July!$C$3:$AH$169,38,MATCH(B207,July!$D$3:$AH$3)+1)+INDEX(July!$C$3:$AH$169,43,MATCH(B207,July!$D$3:$AH$3)+1)+INDEX(July!$C$3:$AH$169,48,MATCH(B207,July!$D$3:$AH$3)+1)+INDEX(July!$C$3:$AH$169,53,MATCH(B207,July!$D$3:$AH$3)+1)+INDEX(July!$C$3:$AH$169,58,MATCH(B207,July!$D$3:$AH$3)+1)+INDEX(July!$C$3:$AH$169,63,MATCH(B207,July!$D$3:$AH$3)+1)+INDEX(July!$C$3:$AH$169,68,MATCH(B207,July!$D$3:$AH$3)+1)+INDEX(July!$C$3:$AH$169,73,MATCH(B207,July!$D$3:$AH$3)+1)+INDEX(July!$C$3:$AH$169,78,MATCH(B207,July!$D$3:$AH$3)+1)+INDEX(July!$C$3:$AH$169,83,MATCH(B207,July!$D$3:$AH$3)+1)+INDEX(July!$C$3:$AH$169,88,MATCH(B207,July!$D$3:$AH$3)+1)+INDEX(July!$C$3:$AH$169,93,MATCH(B207,July!$D$3:$AH$3)+1)+INDEX(July!$C$3:$AH$169,98,MATCH(B207,July!$D$3:$AH$3)+1)+INDEX(July!$C$3:$AH$169,103,MATCH(B207,July!$D$3:$AH$3)+1)+INDEX(July!$C$3:$AH$169,108,MATCH(B207,July!$D$3:$AH$3)+1)+INDEX(July!$C$3:$AH$169,113,MATCH(B207,July!$D$3:$AH$3)+1)+INDEX(July!$C$3:$AH$169,118,MATCH(B207,July!$D$3:$AH$3)+1)+INDEX(July!$C$3:$AH$169,123,MATCH(B207,July!$D$3:$AH$3)+1)+INDEX(July!$C$3:$AH$169,128,MATCH(B207,July!$D$3:$AH$3)+1)+INDEX(July!$C$3:$AH$169,133,MATCH(B207,July!$D$3:$AH$3)+1)+INDEX(July!$C$3:$AH$169,138,MATCH(B207,July!$D$3:$AH$3)+1)+INDEX(July!$C$3:$AH$169,143,MATCH(B207,July!$D$3:$AH$3)+1)+INDEX(July!$C$3:$AH$169,148,MATCH(B207,July!$D$3:$AH$3)+1)-INDEX(July!$B$5:$AH$169,MATCH("Patrick Janssen",July!$B$5:$B$169),MATCH(B207,July!$D$3:$AH$3)+2)-INDEX(July!$B$5:$AH$169,MATCH("Patrick Ziesen",July!$B$5:$B$169),MATCH(B207,July!$D$3:$AH$3)+2)-INDEX(July!$B$5:$AH$169,MATCH("Frido Meijer",July!$B$5:$B$169),MATCH(B207,July!$D$3:$AH$3)+2)</f>
        <v>14</v>
      </c>
      <c r="H207" s="130">
        <f>INDEX(July!$C$3:$AH$169,4,MATCH(B207,July!$D$3:$AH$3)+1)+INDEX(July!$C$3:$AH$169,9,MATCH(B207,July!$D$3:$AH$3)+1)+INDEX(July!$C$3:$AH$169,14,MATCH(B207,July!$D$3:$AH$3)+1)+INDEX(July!$C$3:$AH$169,19,MATCH(B207,July!$D$3:$AH$3)+1)+INDEX(July!$C$3:$AH$169,24,MATCH(B207,July!$D$3:$AH$3)+1)+INDEX(July!$C$3:$AH$169,29,MATCH(B207,July!$D$3:$AH$3)+1)+INDEX(July!$C$3:$AH$169,34,MATCH(B207,July!$D$3:$AH$3)+1)+INDEX(July!$C$3:$AH$169,39,MATCH(B207,July!$D$3:$AH$3)+1)+INDEX(July!$C$3:$AH$169,44,MATCH(B207,July!$D$3:$AH$3)+1)+INDEX(July!$C$3:$AH$169,49,MATCH(B207,July!$D$3:$AH$3)+1)+INDEX(July!$C$3:$AH$169,54,MATCH(B207,July!$D$3:$AH$3)+1)+INDEX(July!$C$3:$AH$169,59,MATCH(B207,July!$D$3:$AH$3)+1)+INDEX(July!$C$3:$AH$169,64,MATCH(B207,July!$D$3:$AH$3)+1)+INDEX(July!$C$3:$AH$169,69,MATCH(B207,July!$D$3:$AH$3)+1)+INDEX(July!$C$3:$AH$169,74,MATCH(B207,July!$D$3:$AH$3)+1)+INDEX(July!$C$3:$AH$169,79,MATCH(B207,July!$D$3:$AH$3)+1)+INDEX(July!$C$3:$AH$169,84,MATCH(B207,July!$D$3:$AH$3)+1)+INDEX(July!$C$3:$AH$169,89,MATCH(B207,July!$D$3:$AH$3)+1)+INDEX(July!$C$3:$AH$169,94,MATCH(B207,July!$D$3:$AH$3)+1)+INDEX(July!$C$3:$AH$169,99,MATCH(B207,July!$D$3:$AH$3)+1)+INDEX(July!$C$3:$AH$169,104,MATCH(B207,July!$D$3:$AH$3)+1)+INDEX(July!$C$3:$AH$169,109,MATCH(B207,July!$D$3:$AH$3)+1)+INDEX(July!$C$3:$AH$169,114,MATCH(B207,July!$D$3:$AH$3)+1)+INDEX(July!$C$3:$AH$169,119,MATCH(B207,July!$D$3:$AH$3)+1)+INDEX(July!$C$3:$AH$169,124,MATCH(B207,July!$D$3:$AH$3)+1)+INDEX(July!$C$3:$AH$169,129,MATCH(B207,July!$D$3:$AH$3)+1)+INDEX(July!$C$3:$AH$169,134,MATCH(B207,July!$D$3:$AH$3)+1)+INDEX(July!$C$3:$AH$169,139,MATCH(B207,July!$D$3:$AH$3)+1)+INDEX(July!$C$3:$AH$169,144,MATCH(B207,July!$D$3:$AH$3)+1)+INDEX(July!$C$3:$AH$169,149,MATCH(B207,July!$D$3:$AH$3)+1)-INDEX(July!$B$5:$AH$169,MATCH("Patrick Janssen",July!$B$5:$B$169)+1,MATCH(B207,July!$D$3:$AH$3)+2)-INDEX(July!$B$5:$AH$169,MATCH("Patrick Ziesen",July!$B$5:$B$169)+1,MATCH(B207,July!$D$3:$AH$3)+2)-INDEX(July!$B$5:$AH$169,MATCH("Frido Meijer",July!$B$5:$B$169)+1,MATCH(B207,July!$D$3:$AH$3)+2)</f>
        <v>0</v>
      </c>
      <c r="I207" s="130">
        <v>0</v>
      </c>
      <c r="J207" s="130">
        <v>0</v>
      </c>
      <c r="L207" s="124"/>
      <c r="M207" s="111"/>
      <c r="N207" s="111">
        <f t="shared" si="61"/>
        <v>0</v>
      </c>
      <c r="P207" s="112">
        <f t="shared" si="66"/>
        <v>0</v>
      </c>
      <c r="Q207" s="112">
        <f t="shared" si="67"/>
        <v>0</v>
      </c>
    </row>
    <row r="208" spans="2:18" x14ac:dyDescent="0.25">
      <c r="B208" s="110">
        <f>DATE(Title!$F$12,$S$11,S14)</f>
        <v>41465</v>
      </c>
      <c r="C208" s="111">
        <f>IF(WEEKDAY(B208)=1,0,IF(WEEKDAY(B208)=4,'Hours Scheduled'!$J$44-1,IF(WEEKDAY(B208)=7,0,'Hours Scheduled'!$J$44)))</f>
        <v>20</v>
      </c>
      <c r="D208" s="17">
        <f t="shared" si="64"/>
        <v>150</v>
      </c>
      <c r="E208" s="127">
        <f t="shared" si="65"/>
        <v>142</v>
      </c>
      <c r="F208" s="111"/>
      <c r="G208" s="130">
        <f>INDEX(July!$C$3:$AH$169,3,MATCH(B208,July!$D$3:$AH$3)+1)+INDEX(July!$C$3:$AH$169,8,MATCH(B208,July!$D$3:$AH$3)+1)+INDEX(July!$C$3:$AH$169,13,MATCH(B208,July!$D$3:$AH$3)+1)+INDEX(July!$C$3:$AH$169,18,MATCH(B208,July!$D$3:$AH$3)+1)+INDEX(July!$C$3:$AH$169,23,MATCH(B208,July!$D$3:$AH$3)+1)+INDEX(July!$C$3:$AH$169,28,MATCH(B208,July!$D$3:$AH$3)+1)+INDEX(July!$C$3:$AH$169,33,MATCH(B208,July!$D$3:$AH$3)+1)+INDEX(July!$C$3:$AH$169,38,MATCH(B208,July!$D$3:$AH$3)+1)+INDEX(July!$C$3:$AH$169,43,MATCH(B208,July!$D$3:$AH$3)+1)+INDEX(July!$C$3:$AH$169,48,MATCH(B208,July!$D$3:$AH$3)+1)+INDEX(July!$C$3:$AH$169,53,MATCH(B208,July!$D$3:$AH$3)+1)+INDEX(July!$C$3:$AH$169,58,MATCH(B208,July!$D$3:$AH$3)+1)+INDEX(July!$C$3:$AH$169,63,MATCH(B208,July!$D$3:$AH$3)+1)+INDEX(July!$C$3:$AH$169,68,MATCH(B208,July!$D$3:$AH$3)+1)+INDEX(July!$C$3:$AH$169,73,MATCH(B208,July!$D$3:$AH$3)+1)+INDEX(July!$C$3:$AH$169,78,MATCH(B208,July!$D$3:$AH$3)+1)+INDEX(July!$C$3:$AH$169,83,MATCH(B208,July!$D$3:$AH$3)+1)+INDEX(July!$C$3:$AH$169,88,MATCH(B208,July!$D$3:$AH$3)+1)+INDEX(July!$C$3:$AH$169,93,MATCH(B208,July!$D$3:$AH$3)+1)+INDEX(July!$C$3:$AH$169,98,MATCH(B208,July!$D$3:$AH$3)+1)+INDEX(July!$C$3:$AH$169,103,MATCH(B208,July!$D$3:$AH$3)+1)+INDEX(July!$C$3:$AH$169,108,MATCH(B208,July!$D$3:$AH$3)+1)+INDEX(July!$C$3:$AH$169,113,MATCH(B208,July!$D$3:$AH$3)+1)+INDEX(July!$C$3:$AH$169,118,MATCH(B208,July!$D$3:$AH$3)+1)+INDEX(July!$C$3:$AH$169,123,MATCH(B208,July!$D$3:$AH$3)+1)+INDEX(July!$C$3:$AH$169,128,MATCH(B208,July!$D$3:$AH$3)+1)+INDEX(July!$C$3:$AH$169,133,MATCH(B208,July!$D$3:$AH$3)+1)+INDEX(July!$C$3:$AH$169,138,MATCH(B208,July!$D$3:$AH$3)+1)+INDEX(July!$C$3:$AH$169,143,MATCH(B208,July!$D$3:$AH$3)+1)+INDEX(July!$C$3:$AH$169,148,MATCH(B208,July!$D$3:$AH$3)+1)-INDEX(July!$B$5:$AH$169,MATCH("Patrick Janssen",July!$B$5:$B$169),MATCH(B208,July!$D$3:$AH$3)+2)-INDEX(July!$B$5:$AH$169,MATCH("Patrick Ziesen",July!$B$5:$B$169),MATCH(B208,July!$D$3:$AH$3)+2)-INDEX(July!$B$5:$AH$169,MATCH("Frido Meijer",July!$B$5:$B$169),MATCH(B208,July!$D$3:$AH$3)+2)</f>
        <v>18</v>
      </c>
      <c r="H208" s="130">
        <f>INDEX(July!$C$3:$AH$169,4,MATCH(B208,July!$D$3:$AH$3)+1)+INDEX(July!$C$3:$AH$169,9,MATCH(B208,July!$D$3:$AH$3)+1)+INDEX(July!$C$3:$AH$169,14,MATCH(B208,July!$D$3:$AH$3)+1)+INDEX(July!$C$3:$AH$169,19,MATCH(B208,July!$D$3:$AH$3)+1)+INDEX(July!$C$3:$AH$169,24,MATCH(B208,July!$D$3:$AH$3)+1)+INDEX(July!$C$3:$AH$169,29,MATCH(B208,July!$D$3:$AH$3)+1)+INDEX(July!$C$3:$AH$169,34,MATCH(B208,July!$D$3:$AH$3)+1)+INDEX(July!$C$3:$AH$169,39,MATCH(B208,July!$D$3:$AH$3)+1)+INDEX(July!$C$3:$AH$169,44,MATCH(B208,July!$D$3:$AH$3)+1)+INDEX(July!$C$3:$AH$169,49,MATCH(B208,July!$D$3:$AH$3)+1)+INDEX(July!$C$3:$AH$169,54,MATCH(B208,July!$D$3:$AH$3)+1)+INDEX(July!$C$3:$AH$169,59,MATCH(B208,July!$D$3:$AH$3)+1)+INDEX(July!$C$3:$AH$169,64,MATCH(B208,July!$D$3:$AH$3)+1)+INDEX(July!$C$3:$AH$169,69,MATCH(B208,July!$D$3:$AH$3)+1)+INDEX(July!$C$3:$AH$169,74,MATCH(B208,July!$D$3:$AH$3)+1)+INDEX(July!$C$3:$AH$169,79,MATCH(B208,July!$D$3:$AH$3)+1)+INDEX(July!$C$3:$AH$169,84,MATCH(B208,July!$D$3:$AH$3)+1)+INDEX(July!$C$3:$AH$169,89,MATCH(B208,July!$D$3:$AH$3)+1)+INDEX(July!$C$3:$AH$169,94,MATCH(B208,July!$D$3:$AH$3)+1)+INDEX(July!$C$3:$AH$169,99,MATCH(B208,July!$D$3:$AH$3)+1)+INDEX(July!$C$3:$AH$169,104,MATCH(B208,July!$D$3:$AH$3)+1)+INDEX(July!$C$3:$AH$169,109,MATCH(B208,July!$D$3:$AH$3)+1)+INDEX(July!$C$3:$AH$169,114,MATCH(B208,July!$D$3:$AH$3)+1)+INDEX(July!$C$3:$AH$169,119,MATCH(B208,July!$D$3:$AH$3)+1)+INDEX(July!$C$3:$AH$169,124,MATCH(B208,July!$D$3:$AH$3)+1)+INDEX(July!$C$3:$AH$169,129,MATCH(B208,July!$D$3:$AH$3)+1)+INDEX(July!$C$3:$AH$169,134,MATCH(B208,July!$D$3:$AH$3)+1)+INDEX(July!$C$3:$AH$169,139,MATCH(B208,July!$D$3:$AH$3)+1)+INDEX(July!$C$3:$AH$169,144,MATCH(B208,July!$D$3:$AH$3)+1)+INDEX(July!$C$3:$AH$169,149,MATCH(B208,July!$D$3:$AH$3)+1)-INDEX(July!$B$5:$AH$169,MATCH("Patrick Janssen",July!$B$5:$B$169)+1,MATCH(B208,July!$D$3:$AH$3)+2)-INDEX(July!$B$5:$AH$169,MATCH("Patrick Ziesen",July!$B$5:$B$169)+1,MATCH(B208,July!$D$3:$AH$3)+2)-INDEX(July!$B$5:$AH$169,MATCH("Frido Meijer",July!$B$5:$B$169)+1,MATCH(B208,July!$D$3:$AH$3)+2)</f>
        <v>0</v>
      </c>
      <c r="I208" s="130">
        <v>0</v>
      </c>
      <c r="J208" s="130">
        <v>0</v>
      </c>
      <c r="L208" s="124"/>
      <c r="M208" s="111"/>
      <c r="N208" s="111">
        <f t="shared" si="61"/>
        <v>0</v>
      </c>
      <c r="P208" s="112">
        <f t="shared" si="66"/>
        <v>0</v>
      </c>
      <c r="Q208" s="112">
        <f t="shared" si="67"/>
        <v>0</v>
      </c>
    </row>
    <row r="209" spans="2:17" x14ac:dyDescent="0.25">
      <c r="B209" s="110">
        <f>DATE(Title!$F$12,$S$11,S15)</f>
        <v>41466</v>
      </c>
      <c r="C209" s="111">
        <f>IF(WEEKDAY(B209)=1,0,IF(WEEKDAY(B209)=4,'Hours Scheduled'!$J$44-1,IF(WEEKDAY(B209)=7,0,'Hours Scheduled'!$J$44)))</f>
        <v>21</v>
      </c>
      <c r="D209" s="17">
        <f t="shared" si="64"/>
        <v>157.5</v>
      </c>
      <c r="E209" s="127">
        <f t="shared" si="65"/>
        <v>158</v>
      </c>
      <c r="F209" s="111"/>
      <c r="G209" s="130">
        <f>INDEX(July!$C$3:$AH$169,3,MATCH(B209,July!$D$3:$AH$3)+1)+INDEX(July!$C$3:$AH$169,8,MATCH(B209,July!$D$3:$AH$3)+1)+INDEX(July!$C$3:$AH$169,13,MATCH(B209,July!$D$3:$AH$3)+1)+INDEX(July!$C$3:$AH$169,18,MATCH(B209,July!$D$3:$AH$3)+1)+INDEX(July!$C$3:$AH$169,23,MATCH(B209,July!$D$3:$AH$3)+1)+INDEX(July!$C$3:$AH$169,28,MATCH(B209,July!$D$3:$AH$3)+1)+INDEX(July!$C$3:$AH$169,33,MATCH(B209,July!$D$3:$AH$3)+1)+INDEX(July!$C$3:$AH$169,38,MATCH(B209,July!$D$3:$AH$3)+1)+INDEX(July!$C$3:$AH$169,43,MATCH(B209,July!$D$3:$AH$3)+1)+INDEX(July!$C$3:$AH$169,48,MATCH(B209,July!$D$3:$AH$3)+1)+INDEX(July!$C$3:$AH$169,53,MATCH(B209,July!$D$3:$AH$3)+1)+INDEX(July!$C$3:$AH$169,58,MATCH(B209,July!$D$3:$AH$3)+1)+INDEX(July!$C$3:$AH$169,63,MATCH(B209,July!$D$3:$AH$3)+1)+INDEX(July!$C$3:$AH$169,68,MATCH(B209,July!$D$3:$AH$3)+1)+INDEX(July!$C$3:$AH$169,73,MATCH(B209,July!$D$3:$AH$3)+1)+INDEX(July!$C$3:$AH$169,78,MATCH(B209,July!$D$3:$AH$3)+1)+INDEX(July!$C$3:$AH$169,83,MATCH(B209,July!$D$3:$AH$3)+1)+INDEX(July!$C$3:$AH$169,88,MATCH(B209,July!$D$3:$AH$3)+1)+INDEX(July!$C$3:$AH$169,93,MATCH(B209,July!$D$3:$AH$3)+1)+INDEX(July!$C$3:$AH$169,98,MATCH(B209,July!$D$3:$AH$3)+1)+INDEX(July!$C$3:$AH$169,103,MATCH(B209,July!$D$3:$AH$3)+1)+INDEX(July!$C$3:$AH$169,108,MATCH(B209,July!$D$3:$AH$3)+1)+INDEX(July!$C$3:$AH$169,113,MATCH(B209,July!$D$3:$AH$3)+1)+INDEX(July!$C$3:$AH$169,118,MATCH(B209,July!$D$3:$AH$3)+1)+INDEX(July!$C$3:$AH$169,123,MATCH(B209,July!$D$3:$AH$3)+1)+INDEX(July!$C$3:$AH$169,128,MATCH(B209,July!$D$3:$AH$3)+1)+INDEX(July!$C$3:$AH$169,133,MATCH(B209,July!$D$3:$AH$3)+1)+INDEX(July!$C$3:$AH$169,138,MATCH(B209,July!$D$3:$AH$3)+1)+INDEX(July!$C$3:$AH$169,143,MATCH(B209,July!$D$3:$AH$3)+1)+INDEX(July!$C$3:$AH$169,148,MATCH(B209,July!$D$3:$AH$3)+1)-INDEX(July!$B$5:$AH$169,MATCH("Patrick Janssen",July!$B$5:$B$169),MATCH(B209,July!$D$3:$AH$3)+2)-INDEX(July!$B$5:$AH$169,MATCH("Patrick Ziesen",July!$B$5:$B$169),MATCH(B209,July!$D$3:$AH$3)+2)-INDEX(July!$B$5:$AH$169,MATCH("Frido Meijer",July!$B$5:$B$169),MATCH(B209,July!$D$3:$AH$3)+2)</f>
        <v>10</v>
      </c>
      <c r="H209" s="130">
        <f>INDEX(July!$C$3:$AH$169,4,MATCH(B209,July!$D$3:$AH$3)+1)+INDEX(July!$C$3:$AH$169,9,MATCH(B209,July!$D$3:$AH$3)+1)+INDEX(July!$C$3:$AH$169,14,MATCH(B209,July!$D$3:$AH$3)+1)+INDEX(July!$C$3:$AH$169,19,MATCH(B209,July!$D$3:$AH$3)+1)+INDEX(July!$C$3:$AH$169,24,MATCH(B209,July!$D$3:$AH$3)+1)+INDEX(July!$C$3:$AH$169,29,MATCH(B209,July!$D$3:$AH$3)+1)+INDEX(July!$C$3:$AH$169,34,MATCH(B209,July!$D$3:$AH$3)+1)+INDEX(July!$C$3:$AH$169,39,MATCH(B209,July!$D$3:$AH$3)+1)+INDEX(July!$C$3:$AH$169,44,MATCH(B209,July!$D$3:$AH$3)+1)+INDEX(July!$C$3:$AH$169,49,MATCH(B209,July!$D$3:$AH$3)+1)+INDEX(July!$C$3:$AH$169,54,MATCH(B209,July!$D$3:$AH$3)+1)+INDEX(July!$C$3:$AH$169,59,MATCH(B209,July!$D$3:$AH$3)+1)+INDEX(July!$C$3:$AH$169,64,MATCH(B209,July!$D$3:$AH$3)+1)+INDEX(July!$C$3:$AH$169,69,MATCH(B209,July!$D$3:$AH$3)+1)+INDEX(July!$C$3:$AH$169,74,MATCH(B209,July!$D$3:$AH$3)+1)+INDEX(July!$C$3:$AH$169,79,MATCH(B209,July!$D$3:$AH$3)+1)+INDEX(July!$C$3:$AH$169,84,MATCH(B209,July!$D$3:$AH$3)+1)+INDEX(July!$C$3:$AH$169,89,MATCH(B209,July!$D$3:$AH$3)+1)+INDEX(July!$C$3:$AH$169,94,MATCH(B209,July!$D$3:$AH$3)+1)+INDEX(July!$C$3:$AH$169,99,MATCH(B209,July!$D$3:$AH$3)+1)+INDEX(July!$C$3:$AH$169,104,MATCH(B209,July!$D$3:$AH$3)+1)+INDEX(July!$C$3:$AH$169,109,MATCH(B209,July!$D$3:$AH$3)+1)+INDEX(July!$C$3:$AH$169,114,MATCH(B209,July!$D$3:$AH$3)+1)+INDEX(July!$C$3:$AH$169,119,MATCH(B209,July!$D$3:$AH$3)+1)+INDEX(July!$C$3:$AH$169,124,MATCH(B209,July!$D$3:$AH$3)+1)+INDEX(July!$C$3:$AH$169,129,MATCH(B209,July!$D$3:$AH$3)+1)+INDEX(July!$C$3:$AH$169,134,MATCH(B209,July!$D$3:$AH$3)+1)+INDEX(July!$C$3:$AH$169,139,MATCH(B209,July!$D$3:$AH$3)+1)+INDEX(July!$C$3:$AH$169,144,MATCH(B209,July!$D$3:$AH$3)+1)+INDEX(July!$C$3:$AH$169,149,MATCH(B209,July!$D$3:$AH$3)+1)-INDEX(July!$B$5:$AH$169,MATCH("Patrick Janssen",July!$B$5:$B$169)+1,MATCH(B209,July!$D$3:$AH$3)+2)-INDEX(July!$B$5:$AH$169,MATCH("Patrick Ziesen",July!$B$5:$B$169)+1,MATCH(B209,July!$D$3:$AH$3)+2)-INDEX(July!$B$5:$AH$169,MATCH("Frido Meijer",July!$B$5:$B$169)+1,MATCH(B209,July!$D$3:$AH$3)+2)</f>
        <v>0</v>
      </c>
      <c r="I209" s="130">
        <v>0</v>
      </c>
      <c r="J209" s="130">
        <v>0</v>
      </c>
      <c r="L209" s="124"/>
      <c r="M209" s="111"/>
      <c r="N209" s="111">
        <f t="shared" si="61"/>
        <v>0</v>
      </c>
      <c r="P209" s="112">
        <f t="shared" si="66"/>
        <v>0</v>
      </c>
      <c r="Q209" s="112">
        <f t="shared" si="67"/>
        <v>0</v>
      </c>
    </row>
    <row r="210" spans="2:17" x14ac:dyDescent="0.25">
      <c r="B210" s="110">
        <f>DATE(Title!$F$12,$S$11,S16)</f>
        <v>41467</v>
      </c>
      <c r="C210" s="111">
        <f>IF(WEEKDAY(B210)=1,0,IF(WEEKDAY(B210)=4,'Hours Scheduled'!$J$44-1,IF(WEEKDAY(B210)=7,0,'Hours Scheduled'!$J$44)))</f>
        <v>21</v>
      </c>
      <c r="D210" s="17">
        <f t="shared" si="64"/>
        <v>157.5</v>
      </c>
      <c r="E210" s="127">
        <f t="shared" si="65"/>
        <v>154</v>
      </c>
      <c r="F210" s="111"/>
      <c r="G210" s="130">
        <f>INDEX(July!$C$3:$AH$169,3,MATCH(B210,July!$D$3:$AH$3)+1)+INDEX(July!$C$3:$AH$169,8,MATCH(B210,July!$D$3:$AH$3)+1)+INDEX(July!$C$3:$AH$169,13,MATCH(B210,July!$D$3:$AH$3)+1)+INDEX(July!$C$3:$AH$169,18,MATCH(B210,July!$D$3:$AH$3)+1)+INDEX(July!$C$3:$AH$169,23,MATCH(B210,July!$D$3:$AH$3)+1)+INDEX(July!$C$3:$AH$169,28,MATCH(B210,July!$D$3:$AH$3)+1)+INDEX(July!$C$3:$AH$169,33,MATCH(B210,July!$D$3:$AH$3)+1)+INDEX(July!$C$3:$AH$169,38,MATCH(B210,July!$D$3:$AH$3)+1)+INDEX(July!$C$3:$AH$169,43,MATCH(B210,July!$D$3:$AH$3)+1)+INDEX(July!$C$3:$AH$169,48,MATCH(B210,July!$D$3:$AH$3)+1)+INDEX(July!$C$3:$AH$169,53,MATCH(B210,July!$D$3:$AH$3)+1)+INDEX(July!$C$3:$AH$169,58,MATCH(B210,July!$D$3:$AH$3)+1)+INDEX(July!$C$3:$AH$169,63,MATCH(B210,July!$D$3:$AH$3)+1)+INDEX(July!$C$3:$AH$169,68,MATCH(B210,July!$D$3:$AH$3)+1)+INDEX(July!$C$3:$AH$169,73,MATCH(B210,July!$D$3:$AH$3)+1)+INDEX(July!$C$3:$AH$169,78,MATCH(B210,July!$D$3:$AH$3)+1)+INDEX(July!$C$3:$AH$169,83,MATCH(B210,July!$D$3:$AH$3)+1)+INDEX(July!$C$3:$AH$169,88,MATCH(B210,July!$D$3:$AH$3)+1)+INDEX(July!$C$3:$AH$169,93,MATCH(B210,July!$D$3:$AH$3)+1)+INDEX(July!$C$3:$AH$169,98,MATCH(B210,July!$D$3:$AH$3)+1)+INDEX(July!$C$3:$AH$169,103,MATCH(B210,July!$D$3:$AH$3)+1)+INDEX(July!$C$3:$AH$169,108,MATCH(B210,July!$D$3:$AH$3)+1)+INDEX(July!$C$3:$AH$169,113,MATCH(B210,July!$D$3:$AH$3)+1)+INDEX(July!$C$3:$AH$169,118,MATCH(B210,July!$D$3:$AH$3)+1)+INDEX(July!$C$3:$AH$169,123,MATCH(B210,July!$D$3:$AH$3)+1)+INDEX(July!$C$3:$AH$169,128,MATCH(B210,July!$D$3:$AH$3)+1)+INDEX(July!$C$3:$AH$169,133,MATCH(B210,July!$D$3:$AH$3)+1)+INDEX(July!$C$3:$AH$169,138,MATCH(B210,July!$D$3:$AH$3)+1)+INDEX(July!$C$3:$AH$169,143,MATCH(B210,July!$D$3:$AH$3)+1)+INDEX(July!$C$3:$AH$169,148,MATCH(B210,July!$D$3:$AH$3)+1)-INDEX(July!$B$5:$AH$169,MATCH("Patrick Janssen",July!$B$5:$B$169),MATCH(B210,July!$D$3:$AH$3)+2)-INDEX(July!$B$5:$AH$169,MATCH("Patrick Ziesen",July!$B$5:$B$169),MATCH(B210,July!$D$3:$AH$3)+2)-INDEX(July!$B$5:$AH$169,MATCH("Frido Meijer",July!$B$5:$B$169),MATCH(B210,July!$D$3:$AH$3)+2)</f>
        <v>14</v>
      </c>
      <c r="H210" s="130">
        <f>INDEX(July!$C$3:$AH$169,4,MATCH(B210,July!$D$3:$AH$3)+1)+INDEX(July!$C$3:$AH$169,9,MATCH(B210,July!$D$3:$AH$3)+1)+INDEX(July!$C$3:$AH$169,14,MATCH(B210,July!$D$3:$AH$3)+1)+INDEX(July!$C$3:$AH$169,19,MATCH(B210,July!$D$3:$AH$3)+1)+INDEX(July!$C$3:$AH$169,24,MATCH(B210,July!$D$3:$AH$3)+1)+INDEX(July!$C$3:$AH$169,29,MATCH(B210,July!$D$3:$AH$3)+1)+INDEX(July!$C$3:$AH$169,34,MATCH(B210,July!$D$3:$AH$3)+1)+INDEX(July!$C$3:$AH$169,39,MATCH(B210,July!$D$3:$AH$3)+1)+INDEX(July!$C$3:$AH$169,44,MATCH(B210,July!$D$3:$AH$3)+1)+INDEX(July!$C$3:$AH$169,49,MATCH(B210,July!$D$3:$AH$3)+1)+INDEX(July!$C$3:$AH$169,54,MATCH(B210,July!$D$3:$AH$3)+1)+INDEX(July!$C$3:$AH$169,59,MATCH(B210,July!$D$3:$AH$3)+1)+INDEX(July!$C$3:$AH$169,64,MATCH(B210,July!$D$3:$AH$3)+1)+INDEX(July!$C$3:$AH$169,69,MATCH(B210,July!$D$3:$AH$3)+1)+INDEX(July!$C$3:$AH$169,74,MATCH(B210,July!$D$3:$AH$3)+1)+INDEX(July!$C$3:$AH$169,79,MATCH(B210,July!$D$3:$AH$3)+1)+INDEX(July!$C$3:$AH$169,84,MATCH(B210,July!$D$3:$AH$3)+1)+INDEX(July!$C$3:$AH$169,89,MATCH(B210,July!$D$3:$AH$3)+1)+INDEX(July!$C$3:$AH$169,94,MATCH(B210,July!$D$3:$AH$3)+1)+INDEX(July!$C$3:$AH$169,99,MATCH(B210,July!$D$3:$AH$3)+1)+INDEX(July!$C$3:$AH$169,104,MATCH(B210,July!$D$3:$AH$3)+1)+INDEX(July!$C$3:$AH$169,109,MATCH(B210,July!$D$3:$AH$3)+1)+INDEX(July!$C$3:$AH$169,114,MATCH(B210,July!$D$3:$AH$3)+1)+INDEX(July!$C$3:$AH$169,119,MATCH(B210,July!$D$3:$AH$3)+1)+INDEX(July!$C$3:$AH$169,124,MATCH(B210,July!$D$3:$AH$3)+1)+INDEX(July!$C$3:$AH$169,129,MATCH(B210,July!$D$3:$AH$3)+1)+INDEX(July!$C$3:$AH$169,134,MATCH(B210,July!$D$3:$AH$3)+1)+INDEX(July!$C$3:$AH$169,139,MATCH(B210,July!$D$3:$AH$3)+1)+INDEX(July!$C$3:$AH$169,144,MATCH(B210,July!$D$3:$AH$3)+1)+INDEX(July!$C$3:$AH$169,149,MATCH(B210,July!$D$3:$AH$3)+1)-INDEX(July!$B$5:$AH$169,MATCH("Patrick Janssen",July!$B$5:$B$169)+1,MATCH(B210,July!$D$3:$AH$3)+2)-INDEX(July!$B$5:$AH$169,MATCH("Patrick Ziesen",July!$B$5:$B$169)+1,MATCH(B210,July!$D$3:$AH$3)+2)-INDEX(July!$B$5:$AH$169,MATCH("Frido Meijer",July!$B$5:$B$169)+1,MATCH(B210,July!$D$3:$AH$3)+2)</f>
        <v>0</v>
      </c>
      <c r="I210" s="130">
        <v>0</v>
      </c>
      <c r="J210" s="130">
        <v>0</v>
      </c>
      <c r="L210" s="124"/>
      <c r="M210" s="111"/>
      <c r="N210" s="111">
        <f t="shared" si="61"/>
        <v>0</v>
      </c>
      <c r="P210" s="112">
        <f t="shared" si="66"/>
        <v>0</v>
      </c>
      <c r="Q210" s="112">
        <f t="shared" si="67"/>
        <v>0</v>
      </c>
    </row>
    <row r="211" spans="2:17" x14ac:dyDescent="0.25">
      <c r="B211" s="110">
        <f>DATE(Title!$F$12,$S$11,S17)</f>
        <v>41468</v>
      </c>
      <c r="C211" s="111">
        <f>IF(WEEKDAY(B211)=1,0,IF(WEEKDAY(B211)=4,'Hours Scheduled'!$J$44-1,IF(WEEKDAY(B211)=7,0,'Hours Scheduled'!$J$44)))</f>
        <v>0</v>
      </c>
      <c r="D211" s="17">
        <f t="shared" si="64"/>
        <v>0</v>
      </c>
      <c r="E211" s="127">
        <f t="shared" si="65"/>
        <v>0</v>
      </c>
      <c r="F211" s="111"/>
      <c r="G211" s="130">
        <f>INDEX(July!$C$3:$AH$169,3,MATCH(B211,July!$D$3:$AH$3)+1)+INDEX(July!$C$3:$AH$169,8,MATCH(B211,July!$D$3:$AH$3)+1)+INDEX(July!$C$3:$AH$169,13,MATCH(B211,July!$D$3:$AH$3)+1)+INDEX(July!$C$3:$AH$169,18,MATCH(B211,July!$D$3:$AH$3)+1)+INDEX(July!$C$3:$AH$169,23,MATCH(B211,July!$D$3:$AH$3)+1)+INDEX(July!$C$3:$AH$169,28,MATCH(B211,July!$D$3:$AH$3)+1)+INDEX(July!$C$3:$AH$169,33,MATCH(B211,July!$D$3:$AH$3)+1)+INDEX(July!$C$3:$AH$169,38,MATCH(B211,July!$D$3:$AH$3)+1)+INDEX(July!$C$3:$AH$169,43,MATCH(B211,July!$D$3:$AH$3)+1)+INDEX(July!$C$3:$AH$169,48,MATCH(B211,July!$D$3:$AH$3)+1)+INDEX(July!$C$3:$AH$169,53,MATCH(B211,July!$D$3:$AH$3)+1)+INDEX(July!$C$3:$AH$169,58,MATCH(B211,July!$D$3:$AH$3)+1)+INDEX(July!$C$3:$AH$169,63,MATCH(B211,July!$D$3:$AH$3)+1)+INDEX(July!$C$3:$AH$169,68,MATCH(B211,July!$D$3:$AH$3)+1)+INDEX(July!$C$3:$AH$169,73,MATCH(B211,July!$D$3:$AH$3)+1)+INDEX(July!$C$3:$AH$169,78,MATCH(B211,July!$D$3:$AH$3)+1)+INDEX(July!$C$3:$AH$169,83,MATCH(B211,July!$D$3:$AH$3)+1)+INDEX(July!$C$3:$AH$169,88,MATCH(B211,July!$D$3:$AH$3)+1)+INDEX(July!$C$3:$AH$169,93,MATCH(B211,July!$D$3:$AH$3)+1)+INDEX(July!$C$3:$AH$169,98,MATCH(B211,July!$D$3:$AH$3)+1)+INDEX(July!$C$3:$AH$169,103,MATCH(B211,July!$D$3:$AH$3)+1)+INDEX(July!$C$3:$AH$169,108,MATCH(B211,July!$D$3:$AH$3)+1)+INDEX(July!$C$3:$AH$169,113,MATCH(B211,July!$D$3:$AH$3)+1)+INDEX(July!$C$3:$AH$169,118,MATCH(B211,July!$D$3:$AH$3)+1)+INDEX(July!$C$3:$AH$169,123,MATCH(B211,July!$D$3:$AH$3)+1)+INDEX(July!$C$3:$AH$169,128,MATCH(B211,July!$D$3:$AH$3)+1)+INDEX(July!$C$3:$AH$169,133,MATCH(B211,July!$D$3:$AH$3)+1)+INDEX(July!$C$3:$AH$169,138,MATCH(B211,July!$D$3:$AH$3)+1)+INDEX(July!$C$3:$AH$169,143,MATCH(B211,July!$D$3:$AH$3)+1)+INDEX(July!$C$3:$AH$169,148,MATCH(B211,July!$D$3:$AH$3)+1)-INDEX(July!$B$5:$AH$169,MATCH("Patrick Janssen",July!$B$5:$B$169),MATCH(B211,July!$D$3:$AH$3)+2)-INDEX(July!$B$5:$AH$169,MATCH("Patrick Ziesen",July!$B$5:$B$169),MATCH(B211,July!$D$3:$AH$3)+2)-INDEX(July!$B$5:$AH$169,MATCH("Frido Meijer",July!$B$5:$B$169),MATCH(B211,July!$D$3:$AH$3)+2)</f>
        <v>0</v>
      </c>
      <c r="H211" s="130">
        <f>INDEX(July!$C$3:$AH$169,4,MATCH(B211,July!$D$3:$AH$3)+1)+INDEX(July!$C$3:$AH$169,9,MATCH(B211,July!$D$3:$AH$3)+1)+INDEX(July!$C$3:$AH$169,14,MATCH(B211,July!$D$3:$AH$3)+1)+INDEX(July!$C$3:$AH$169,19,MATCH(B211,July!$D$3:$AH$3)+1)+INDEX(July!$C$3:$AH$169,24,MATCH(B211,July!$D$3:$AH$3)+1)+INDEX(July!$C$3:$AH$169,29,MATCH(B211,July!$D$3:$AH$3)+1)+INDEX(July!$C$3:$AH$169,34,MATCH(B211,July!$D$3:$AH$3)+1)+INDEX(July!$C$3:$AH$169,39,MATCH(B211,July!$D$3:$AH$3)+1)+INDEX(July!$C$3:$AH$169,44,MATCH(B211,July!$D$3:$AH$3)+1)+INDEX(July!$C$3:$AH$169,49,MATCH(B211,July!$D$3:$AH$3)+1)+INDEX(July!$C$3:$AH$169,54,MATCH(B211,July!$D$3:$AH$3)+1)+INDEX(July!$C$3:$AH$169,59,MATCH(B211,July!$D$3:$AH$3)+1)+INDEX(July!$C$3:$AH$169,64,MATCH(B211,July!$D$3:$AH$3)+1)+INDEX(July!$C$3:$AH$169,69,MATCH(B211,July!$D$3:$AH$3)+1)+INDEX(July!$C$3:$AH$169,74,MATCH(B211,July!$D$3:$AH$3)+1)+INDEX(July!$C$3:$AH$169,79,MATCH(B211,July!$D$3:$AH$3)+1)+INDEX(July!$C$3:$AH$169,84,MATCH(B211,July!$D$3:$AH$3)+1)+INDEX(July!$C$3:$AH$169,89,MATCH(B211,July!$D$3:$AH$3)+1)+INDEX(July!$C$3:$AH$169,94,MATCH(B211,July!$D$3:$AH$3)+1)+INDEX(July!$C$3:$AH$169,99,MATCH(B211,July!$D$3:$AH$3)+1)+INDEX(July!$C$3:$AH$169,104,MATCH(B211,July!$D$3:$AH$3)+1)+INDEX(July!$C$3:$AH$169,109,MATCH(B211,July!$D$3:$AH$3)+1)+INDEX(July!$C$3:$AH$169,114,MATCH(B211,July!$D$3:$AH$3)+1)+INDEX(July!$C$3:$AH$169,119,MATCH(B211,July!$D$3:$AH$3)+1)+INDEX(July!$C$3:$AH$169,124,MATCH(B211,July!$D$3:$AH$3)+1)+INDEX(July!$C$3:$AH$169,129,MATCH(B211,July!$D$3:$AH$3)+1)+INDEX(July!$C$3:$AH$169,134,MATCH(B211,July!$D$3:$AH$3)+1)+INDEX(July!$C$3:$AH$169,139,MATCH(B211,July!$D$3:$AH$3)+1)+INDEX(July!$C$3:$AH$169,144,MATCH(B211,July!$D$3:$AH$3)+1)+INDEX(July!$C$3:$AH$169,149,MATCH(B211,July!$D$3:$AH$3)+1)-INDEX(July!$B$5:$AH$169,MATCH("Patrick Janssen",July!$B$5:$B$169)+1,MATCH(B211,July!$D$3:$AH$3)+2)-INDEX(July!$B$5:$AH$169,MATCH("Patrick Ziesen",July!$B$5:$B$169)+1,MATCH(B211,July!$D$3:$AH$3)+2)-INDEX(July!$B$5:$AH$169,MATCH("Frido Meijer",July!$B$5:$B$169)+1,MATCH(B211,July!$D$3:$AH$3)+2)</f>
        <v>0</v>
      </c>
      <c r="I211" s="130">
        <v>0</v>
      </c>
      <c r="J211" s="130">
        <v>0</v>
      </c>
      <c r="L211" s="124"/>
      <c r="M211" s="111"/>
      <c r="N211" s="111">
        <f t="shared" si="61"/>
        <v>0</v>
      </c>
      <c r="P211" s="112" t="str">
        <f t="shared" si="66"/>
        <v/>
      </c>
      <c r="Q211" s="112" t="str">
        <f t="shared" si="67"/>
        <v/>
      </c>
    </row>
    <row r="212" spans="2:17" x14ac:dyDescent="0.25">
      <c r="B212" s="110">
        <f>DATE(Title!$F$12,$S$11,S18)</f>
        <v>41469</v>
      </c>
      <c r="C212" s="111">
        <f>IF(WEEKDAY(B212)=1,0,IF(WEEKDAY(B212)=4,'Hours Scheduled'!$J$44-1,IF(WEEKDAY(B212)=7,0,'Hours Scheduled'!$J$44)))</f>
        <v>0</v>
      </c>
      <c r="D212" s="17">
        <f t="shared" si="64"/>
        <v>0</v>
      </c>
      <c r="E212" s="127">
        <f t="shared" si="65"/>
        <v>0</v>
      </c>
      <c r="F212" s="111"/>
      <c r="G212" s="130">
        <f>INDEX(July!$C$3:$AH$169,3,MATCH(B212,July!$D$3:$AH$3)+1)+INDEX(July!$C$3:$AH$169,8,MATCH(B212,July!$D$3:$AH$3)+1)+INDEX(July!$C$3:$AH$169,13,MATCH(B212,July!$D$3:$AH$3)+1)+INDEX(July!$C$3:$AH$169,18,MATCH(B212,July!$D$3:$AH$3)+1)+INDEX(July!$C$3:$AH$169,23,MATCH(B212,July!$D$3:$AH$3)+1)+INDEX(July!$C$3:$AH$169,28,MATCH(B212,July!$D$3:$AH$3)+1)+INDEX(July!$C$3:$AH$169,33,MATCH(B212,July!$D$3:$AH$3)+1)+INDEX(July!$C$3:$AH$169,38,MATCH(B212,July!$D$3:$AH$3)+1)+INDEX(July!$C$3:$AH$169,43,MATCH(B212,July!$D$3:$AH$3)+1)+INDEX(July!$C$3:$AH$169,48,MATCH(B212,July!$D$3:$AH$3)+1)+INDEX(July!$C$3:$AH$169,53,MATCH(B212,July!$D$3:$AH$3)+1)+INDEX(July!$C$3:$AH$169,58,MATCH(B212,July!$D$3:$AH$3)+1)+INDEX(July!$C$3:$AH$169,63,MATCH(B212,July!$D$3:$AH$3)+1)+INDEX(July!$C$3:$AH$169,68,MATCH(B212,July!$D$3:$AH$3)+1)+INDEX(July!$C$3:$AH$169,73,MATCH(B212,July!$D$3:$AH$3)+1)+INDEX(July!$C$3:$AH$169,78,MATCH(B212,July!$D$3:$AH$3)+1)+INDEX(July!$C$3:$AH$169,83,MATCH(B212,July!$D$3:$AH$3)+1)+INDEX(July!$C$3:$AH$169,88,MATCH(B212,July!$D$3:$AH$3)+1)+INDEX(July!$C$3:$AH$169,93,MATCH(B212,July!$D$3:$AH$3)+1)+INDEX(July!$C$3:$AH$169,98,MATCH(B212,July!$D$3:$AH$3)+1)+INDEX(July!$C$3:$AH$169,103,MATCH(B212,July!$D$3:$AH$3)+1)+INDEX(July!$C$3:$AH$169,108,MATCH(B212,July!$D$3:$AH$3)+1)+INDEX(July!$C$3:$AH$169,113,MATCH(B212,July!$D$3:$AH$3)+1)+INDEX(July!$C$3:$AH$169,118,MATCH(B212,July!$D$3:$AH$3)+1)+INDEX(July!$C$3:$AH$169,123,MATCH(B212,July!$D$3:$AH$3)+1)+INDEX(July!$C$3:$AH$169,128,MATCH(B212,July!$D$3:$AH$3)+1)+INDEX(July!$C$3:$AH$169,133,MATCH(B212,July!$D$3:$AH$3)+1)+INDEX(July!$C$3:$AH$169,138,MATCH(B212,July!$D$3:$AH$3)+1)+INDEX(July!$C$3:$AH$169,143,MATCH(B212,July!$D$3:$AH$3)+1)+INDEX(July!$C$3:$AH$169,148,MATCH(B212,July!$D$3:$AH$3)+1)-INDEX(July!$B$5:$AH$169,MATCH("Patrick Janssen",July!$B$5:$B$169),MATCH(B212,July!$D$3:$AH$3)+2)-INDEX(July!$B$5:$AH$169,MATCH("Patrick Ziesen",July!$B$5:$B$169),MATCH(B212,July!$D$3:$AH$3)+2)-INDEX(July!$B$5:$AH$169,MATCH("Frido Meijer",July!$B$5:$B$169),MATCH(B212,July!$D$3:$AH$3)+2)</f>
        <v>0</v>
      </c>
      <c r="H212" s="130">
        <f>INDEX(July!$C$3:$AH$169,4,MATCH(B212,July!$D$3:$AH$3)+1)+INDEX(July!$C$3:$AH$169,9,MATCH(B212,July!$D$3:$AH$3)+1)+INDEX(July!$C$3:$AH$169,14,MATCH(B212,July!$D$3:$AH$3)+1)+INDEX(July!$C$3:$AH$169,19,MATCH(B212,July!$D$3:$AH$3)+1)+INDEX(July!$C$3:$AH$169,24,MATCH(B212,July!$D$3:$AH$3)+1)+INDEX(July!$C$3:$AH$169,29,MATCH(B212,July!$D$3:$AH$3)+1)+INDEX(July!$C$3:$AH$169,34,MATCH(B212,July!$D$3:$AH$3)+1)+INDEX(July!$C$3:$AH$169,39,MATCH(B212,July!$D$3:$AH$3)+1)+INDEX(July!$C$3:$AH$169,44,MATCH(B212,July!$D$3:$AH$3)+1)+INDEX(July!$C$3:$AH$169,49,MATCH(B212,July!$D$3:$AH$3)+1)+INDEX(July!$C$3:$AH$169,54,MATCH(B212,July!$D$3:$AH$3)+1)+INDEX(July!$C$3:$AH$169,59,MATCH(B212,July!$D$3:$AH$3)+1)+INDEX(July!$C$3:$AH$169,64,MATCH(B212,July!$D$3:$AH$3)+1)+INDEX(July!$C$3:$AH$169,69,MATCH(B212,July!$D$3:$AH$3)+1)+INDEX(July!$C$3:$AH$169,74,MATCH(B212,July!$D$3:$AH$3)+1)+INDEX(July!$C$3:$AH$169,79,MATCH(B212,July!$D$3:$AH$3)+1)+INDEX(July!$C$3:$AH$169,84,MATCH(B212,July!$D$3:$AH$3)+1)+INDEX(July!$C$3:$AH$169,89,MATCH(B212,July!$D$3:$AH$3)+1)+INDEX(July!$C$3:$AH$169,94,MATCH(B212,July!$D$3:$AH$3)+1)+INDEX(July!$C$3:$AH$169,99,MATCH(B212,July!$D$3:$AH$3)+1)+INDEX(July!$C$3:$AH$169,104,MATCH(B212,July!$D$3:$AH$3)+1)+INDEX(July!$C$3:$AH$169,109,MATCH(B212,July!$D$3:$AH$3)+1)+INDEX(July!$C$3:$AH$169,114,MATCH(B212,July!$D$3:$AH$3)+1)+INDEX(July!$C$3:$AH$169,119,MATCH(B212,July!$D$3:$AH$3)+1)+INDEX(July!$C$3:$AH$169,124,MATCH(B212,July!$D$3:$AH$3)+1)+INDEX(July!$C$3:$AH$169,129,MATCH(B212,July!$D$3:$AH$3)+1)+INDEX(July!$C$3:$AH$169,134,MATCH(B212,July!$D$3:$AH$3)+1)+INDEX(July!$C$3:$AH$169,139,MATCH(B212,July!$D$3:$AH$3)+1)+INDEX(July!$C$3:$AH$169,144,MATCH(B212,July!$D$3:$AH$3)+1)+INDEX(July!$C$3:$AH$169,149,MATCH(B212,July!$D$3:$AH$3)+1)-INDEX(July!$B$5:$AH$169,MATCH("Patrick Janssen",July!$B$5:$B$169)+1,MATCH(B212,July!$D$3:$AH$3)+2)-INDEX(July!$B$5:$AH$169,MATCH("Patrick Ziesen",July!$B$5:$B$169)+1,MATCH(B212,July!$D$3:$AH$3)+2)-INDEX(July!$B$5:$AH$169,MATCH("Frido Meijer",July!$B$5:$B$169)+1,MATCH(B212,July!$D$3:$AH$3)+2)</f>
        <v>0</v>
      </c>
      <c r="I212" s="130">
        <v>0</v>
      </c>
      <c r="J212" s="130">
        <v>0</v>
      </c>
      <c r="L212" s="124"/>
      <c r="M212" s="111"/>
      <c r="N212" s="111">
        <f t="shared" si="61"/>
        <v>0</v>
      </c>
      <c r="P212" s="112" t="str">
        <f t="shared" si="66"/>
        <v/>
      </c>
      <c r="Q212" s="112" t="str">
        <f t="shared" si="67"/>
        <v/>
      </c>
    </row>
    <row r="213" spans="2:17" x14ac:dyDescent="0.25">
      <c r="B213" s="110">
        <f>DATE(Title!$F$12,$S$11,S19)</f>
        <v>41470</v>
      </c>
      <c r="C213" s="111">
        <f>IF(WEEKDAY(B213)=1,0,IF(WEEKDAY(B213)=4,'Hours Scheduled'!$J$44-1,IF(WEEKDAY(B213)=7,0,'Hours Scheduled'!$J$44)))</f>
        <v>21</v>
      </c>
      <c r="D213" s="17">
        <f t="shared" si="64"/>
        <v>157.5</v>
      </c>
      <c r="E213" s="127">
        <f t="shared" si="65"/>
        <v>148</v>
      </c>
      <c r="F213" s="111"/>
      <c r="G213" s="130">
        <f>INDEX(July!$C$3:$AH$169,3,MATCH(B213,July!$D$3:$AH$3)+1)+INDEX(July!$C$3:$AH$169,8,MATCH(B213,July!$D$3:$AH$3)+1)+INDEX(July!$C$3:$AH$169,13,MATCH(B213,July!$D$3:$AH$3)+1)+INDEX(July!$C$3:$AH$169,18,MATCH(B213,July!$D$3:$AH$3)+1)+INDEX(July!$C$3:$AH$169,23,MATCH(B213,July!$D$3:$AH$3)+1)+INDEX(July!$C$3:$AH$169,28,MATCH(B213,July!$D$3:$AH$3)+1)+INDEX(July!$C$3:$AH$169,33,MATCH(B213,July!$D$3:$AH$3)+1)+INDEX(July!$C$3:$AH$169,38,MATCH(B213,July!$D$3:$AH$3)+1)+INDEX(July!$C$3:$AH$169,43,MATCH(B213,July!$D$3:$AH$3)+1)+INDEX(July!$C$3:$AH$169,48,MATCH(B213,July!$D$3:$AH$3)+1)+INDEX(July!$C$3:$AH$169,53,MATCH(B213,July!$D$3:$AH$3)+1)+INDEX(July!$C$3:$AH$169,58,MATCH(B213,July!$D$3:$AH$3)+1)+INDEX(July!$C$3:$AH$169,63,MATCH(B213,July!$D$3:$AH$3)+1)+INDEX(July!$C$3:$AH$169,68,MATCH(B213,July!$D$3:$AH$3)+1)+INDEX(July!$C$3:$AH$169,73,MATCH(B213,July!$D$3:$AH$3)+1)+INDEX(July!$C$3:$AH$169,78,MATCH(B213,July!$D$3:$AH$3)+1)+INDEX(July!$C$3:$AH$169,83,MATCH(B213,July!$D$3:$AH$3)+1)+INDEX(July!$C$3:$AH$169,88,MATCH(B213,July!$D$3:$AH$3)+1)+INDEX(July!$C$3:$AH$169,93,MATCH(B213,July!$D$3:$AH$3)+1)+INDEX(July!$C$3:$AH$169,98,MATCH(B213,July!$D$3:$AH$3)+1)+INDEX(July!$C$3:$AH$169,103,MATCH(B213,July!$D$3:$AH$3)+1)+INDEX(July!$C$3:$AH$169,108,MATCH(B213,July!$D$3:$AH$3)+1)+INDEX(July!$C$3:$AH$169,113,MATCH(B213,July!$D$3:$AH$3)+1)+INDEX(July!$C$3:$AH$169,118,MATCH(B213,July!$D$3:$AH$3)+1)+INDEX(July!$C$3:$AH$169,123,MATCH(B213,July!$D$3:$AH$3)+1)+INDEX(July!$C$3:$AH$169,128,MATCH(B213,July!$D$3:$AH$3)+1)+INDEX(July!$C$3:$AH$169,133,MATCH(B213,July!$D$3:$AH$3)+1)+INDEX(July!$C$3:$AH$169,138,MATCH(B213,July!$D$3:$AH$3)+1)+INDEX(July!$C$3:$AH$169,143,MATCH(B213,July!$D$3:$AH$3)+1)+INDEX(July!$C$3:$AH$169,148,MATCH(B213,July!$D$3:$AH$3)+1)-INDEX(July!$B$5:$AH$169,MATCH("Patrick Janssen",July!$B$5:$B$169),MATCH(B213,July!$D$3:$AH$3)+2)-INDEX(July!$B$5:$AH$169,MATCH("Patrick Ziesen",July!$B$5:$B$169),MATCH(B213,July!$D$3:$AH$3)+2)-INDEX(July!$B$5:$AH$169,MATCH("Frido Meijer",July!$B$5:$B$169),MATCH(B213,July!$D$3:$AH$3)+2)</f>
        <v>20</v>
      </c>
      <c r="H213" s="130">
        <f>INDEX(July!$C$3:$AH$169,4,MATCH(B213,July!$D$3:$AH$3)+1)+INDEX(July!$C$3:$AH$169,9,MATCH(B213,July!$D$3:$AH$3)+1)+INDEX(July!$C$3:$AH$169,14,MATCH(B213,July!$D$3:$AH$3)+1)+INDEX(July!$C$3:$AH$169,19,MATCH(B213,July!$D$3:$AH$3)+1)+INDEX(July!$C$3:$AH$169,24,MATCH(B213,July!$D$3:$AH$3)+1)+INDEX(July!$C$3:$AH$169,29,MATCH(B213,July!$D$3:$AH$3)+1)+INDEX(July!$C$3:$AH$169,34,MATCH(B213,July!$D$3:$AH$3)+1)+INDEX(July!$C$3:$AH$169,39,MATCH(B213,July!$D$3:$AH$3)+1)+INDEX(July!$C$3:$AH$169,44,MATCH(B213,July!$D$3:$AH$3)+1)+INDEX(July!$C$3:$AH$169,49,MATCH(B213,July!$D$3:$AH$3)+1)+INDEX(July!$C$3:$AH$169,54,MATCH(B213,July!$D$3:$AH$3)+1)+INDEX(July!$C$3:$AH$169,59,MATCH(B213,July!$D$3:$AH$3)+1)+INDEX(July!$C$3:$AH$169,64,MATCH(B213,July!$D$3:$AH$3)+1)+INDEX(July!$C$3:$AH$169,69,MATCH(B213,July!$D$3:$AH$3)+1)+INDEX(July!$C$3:$AH$169,74,MATCH(B213,July!$D$3:$AH$3)+1)+INDEX(July!$C$3:$AH$169,79,MATCH(B213,July!$D$3:$AH$3)+1)+INDEX(July!$C$3:$AH$169,84,MATCH(B213,July!$D$3:$AH$3)+1)+INDEX(July!$C$3:$AH$169,89,MATCH(B213,July!$D$3:$AH$3)+1)+INDEX(July!$C$3:$AH$169,94,MATCH(B213,July!$D$3:$AH$3)+1)+INDEX(July!$C$3:$AH$169,99,MATCH(B213,July!$D$3:$AH$3)+1)+INDEX(July!$C$3:$AH$169,104,MATCH(B213,July!$D$3:$AH$3)+1)+INDEX(July!$C$3:$AH$169,109,MATCH(B213,July!$D$3:$AH$3)+1)+INDEX(July!$C$3:$AH$169,114,MATCH(B213,July!$D$3:$AH$3)+1)+INDEX(July!$C$3:$AH$169,119,MATCH(B213,July!$D$3:$AH$3)+1)+INDEX(July!$C$3:$AH$169,124,MATCH(B213,July!$D$3:$AH$3)+1)+INDEX(July!$C$3:$AH$169,129,MATCH(B213,July!$D$3:$AH$3)+1)+INDEX(July!$C$3:$AH$169,134,MATCH(B213,July!$D$3:$AH$3)+1)+INDEX(July!$C$3:$AH$169,139,MATCH(B213,July!$D$3:$AH$3)+1)+INDEX(July!$C$3:$AH$169,144,MATCH(B213,July!$D$3:$AH$3)+1)+INDEX(July!$C$3:$AH$169,149,MATCH(B213,July!$D$3:$AH$3)+1)-INDEX(July!$B$5:$AH$169,MATCH("Patrick Janssen",July!$B$5:$B$169)+1,MATCH(B213,July!$D$3:$AH$3)+2)-INDEX(July!$B$5:$AH$169,MATCH("Patrick Ziesen",July!$B$5:$B$169)+1,MATCH(B213,July!$D$3:$AH$3)+2)-INDEX(July!$B$5:$AH$169,MATCH("Frido Meijer",July!$B$5:$B$169)+1,MATCH(B213,July!$D$3:$AH$3)+2)</f>
        <v>0</v>
      </c>
      <c r="I213" s="130">
        <v>0</v>
      </c>
      <c r="J213" s="130">
        <v>0</v>
      </c>
      <c r="L213" s="124"/>
      <c r="M213" s="111"/>
      <c r="N213" s="111">
        <f t="shared" si="61"/>
        <v>0</v>
      </c>
      <c r="P213" s="112">
        <f t="shared" si="66"/>
        <v>0</v>
      </c>
      <c r="Q213" s="112">
        <f t="shared" si="67"/>
        <v>0</v>
      </c>
    </row>
    <row r="214" spans="2:17" x14ac:dyDescent="0.25">
      <c r="B214" s="110">
        <f>DATE(Title!$F$12,$S$11,S20)</f>
        <v>41471</v>
      </c>
      <c r="C214" s="111">
        <f>IF(WEEKDAY(B214)=1,0,IF(WEEKDAY(B214)=4,'Hours Scheduled'!$J$44-1,IF(WEEKDAY(B214)=7,0,'Hours Scheduled'!$J$44)))</f>
        <v>21</v>
      </c>
      <c r="D214" s="17">
        <f t="shared" si="64"/>
        <v>157.5</v>
      </c>
      <c r="E214" s="127">
        <f t="shared" si="65"/>
        <v>160</v>
      </c>
      <c r="F214" s="111"/>
      <c r="G214" s="130">
        <f>INDEX(July!$C$3:$AH$169,3,MATCH(B214,July!$D$3:$AH$3)+1)+INDEX(July!$C$3:$AH$169,8,MATCH(B214,July!$D$3:$AH$3)+1)+INDEX(July!$C$3:$AH$169,13,MATCH(B214,July!$D$3:$AH$3)+1)+INDEX(July!$C$3:$AH$169,18,MATCH(B214,July!$D$3:$AH$3)+1)+INDEX(July!$C$3:$AH$169,23,MATCH(B214,July!$D$3:$AH$3)+1)+INDEX(July!$C$3:$AH$169,28,MATCH(B214,July!$D$3:$AH$3)+1)+INDEX(July!$C$3:$AH$169,33,MATCH(B214,July!$D$3:$AH$3)+1)+INDEX(July!$C$3:$AH$169,38,MATCH(B214,July!$D$3:$AH$3)+1)+INDEX(July!$C$3:$AH$169,43,MATCH(B214,July!$D$3:$AH$3)+1)+INDEX(July!$C$3:$AH$169,48,MATCH(B214,July!$D$3:$AH$3)+1)+INDEX(July!$C$3:$AH$169,53,MATCH(B214,July!$D$3:$AH$3)+1)+INDEX(July!$C$3:$AH$169,58,MATCH(B214,July!$D$3:$AH$3)+1)+INDEX(July!$C$3:$AH$169,63,MATCH(B214,July!$D$3:$AH$3)+1)+INDEX(July!$C$3:$AH$169,68,MATCH(B214,July!$D$3:$AH$3)+1)+INDEX(July!$C$3:$AH$169,73,MATCH(B214,July!$D$3:$AH$3)+1)+INDEX(July!$C$3:$AH$169,78,MATCH(B214,July!$D$3:$AH$3)+1)+INDEX(July!$C$3:$AH$169,83,MATCH(B214,July!$D$3:$AH$3)+1)+INDEX(July!$C$3:$AH$169,88,MATCH(B214,July!$D$3:$AH$3)+1)+INDEX(July!$C$3:$AH$169,93,MATCH(B214,July!$D$3:$AH$3)+1)+INDEX(July!$C$3:$AH$169,98,MATCH(B214,July!$D$3:$AH$3)+1)+INDEX(July!$C$3:$AH$169,103,MATCH(B214,July!$D$3:$AH$3)+1)+INDEX(July!$C$3:$AH$169,108,MATCH(B214,July!$D$3:$AH$3)+1)+INDEX(July!$C$3:$AH$169,113,MATCH(B214,July!$D$3:$AH$3)+1)+INDEX(July!$C$3:$AH$169,118,MATCH(B214,July!$D$3:$AH$3)+1)+INDEX(July!$C$3:$AH$169,123,MATCH(B214,July!$D$3:$AH$3)+1)+INDEX(July!$C$3:$AH$169,128,MATCH(B214,July!$D$3:$AH$3)+1)+INDEX(July!$C$3:$AH$169,133,MATCH(B214,July!$D$3:$AH$3)+1)+INDEX(July!$C$3:$AH$169,138,MATCH(B214,July!$D$3:$AH$3)+1)+INDEX(July!$C$3:$AH$169,143,MATCH(B214,July!$D$3:$AH$3)+1)+INDEX(July!$C$3:$AH$169,148,MATCH(B214,July!$D$3:$AH$3)+1)-INDEX(July!$B$5:$AH$169,MATCH("Patrick Janssen",July!$B$5:$B$169),MATCH(B214,July!$D$3:$AH$3)+2)-INDEX(July!$B$5:$AH$169,MATCH("Patrick Ziesen",July!$B$5:$B$169),MATCH(B214,July!$D$3:$AH$3)+2)-INDEX(July!$B$5:$AH$169,MATCH("Frido Meijer",July!$B$5:$B$169),MATCH(B214,July!$D$3:$AH$3)+2)</f>
        <v>8</v>
      </c>
      <c r="H214" s="130">
        <f>INDEX(July!$C$3:$AH$169,4,MATCH(B214,July!$D$3:$AH$3)+1)+INDEX(July!$C$3:$AH$169,9,MATCH(B214,July!$D$3:$AH$3)+1)+INDEX(July!$C$3:$AH$169,14,MATCH(B214,July!$D$3:$AH$3)+1)+INDEX(July!$C$3:$AH$169,19,MATCH(B214,July!$D$3:$AH$3)+1)+INDEX(July!$C$3:$AH$169,24,MATCH(B214,July!$D$3:$AH$3)+1)+INDEX(July!$C$3:$AH$169,29,MATCH(B214,July!$D$3:$AH$3)+1)+INDEX(July!$C$3:$AH$169,34,MATCH(B214,July!$D$3:$AH$3)+1)+INDEX(July!$C$3:$AH$169,39,MATCH(B214,July!$D$3:$AH$3)+1)+INDEX(July!$C$3:$AH$169,44,MATCH(B214,July!$D$3:$AH$3)+1)+INDEX(July!$C$3:$AH$169,49,MATCH(B214,July!$D$3:$AH$3)+1)+INDEX(July!$C$3:$AH$169,54,MATCH(B214,July!$D$3:$AH$3)+1)+INDEX(July!$C$3:$AH$169,59,MATCH(B214,July!$D$3:$AH$3)+1)+INDEX(July!$C$3:$AH$169,64,MATCH(B214,July!$D$3:$AH$3)+1)+INDEX(July!$C$3:$AH$169,69,MATCH(B214,July!$D$3:$AH$3)+1)+INDEX(July!$C$3:$AH$169,74,MATCH(B214,July!$D$3:$AH$3)+1)+INDEX(July!$C$3:$AH$169,79,MATCH(B214,July!$D$3:$AH$3)+1)+INDEX(July!$C$3:$AH$169,84,MATCH(B214,July!$D$3:$AH$3)+1)+INDEX(July!$C$3:$AH$169,89,MATCH(B214,July!$D$3:$AH$3)+1)+INDEX(July!$C$3:$AH$169,94,MATCH(B214,July!$D$3:$AH$3)+1)+INDEX(July!$C$3:$AH$169,99,MATCH(B214,July!$D$3:$AH$3)+1)+INDEX(July!$C$3:$AH$169,104,MATCH(B214,July!$D$3:$AH$3)+1)+INDEX(July!$C$3:$AH$169,109,MATCH(B214,July!$D$3:$AH$3)+1)+INDEX(July!$C$3:$AH$169,114,MATCH(B214,July!$D$3:$AH$3)+1)+INDEX(July!$C$3:$AH$169,119,MATCH(B214,July!$D$3:$AH$3)+1)+INDEX(July!$C$3:$AH$169,124,MATCH(B214,July!$D$3:$AH$3)+1)+INDEX(July!$C$3:$AH$169,129,MATCH(B214,July!$D$3:$AH$3)+1)+INDEX(July!$C$3:$AH$169,134,MATCH(B214,July!$D$3:$AH$3)+1)+INDEX(July!$C$3:$AH$169,139,MATCH(B214,July!$D$3:$AH$3)+1)+INDEX(July!$C$3:$AH$169,144,MATCH(B214,July!$D$3:$AH$3)+1)+INDEX(July!$C$3:$AH$169,149,MATCH(B214,July!$D$3:$AH$3)+1)-INDEX(July!$B$5:$AH$169,MATCH("Patrick Janssen",July!$B$5:$B$169)+1,MATCH(B214,July!$D$3:$AH$3)+2)-INDEX(July!$B$5:$AH$169,MATCH("Patrick Ziesen",July!$B$5:$B$169)+1,MATCH(B214,July!$D$3:$AH$3)+2)-INDEX(July!$B$5:$AH$169,MATCH("Frido Meijer",July!$B$5:$B$169)+1,MATCH(B214,July!$D$3:$AH$3)+2)</f>
        <v>0</v>
      </c>
      <c r="I214" s="130">
        <v>0</v>
      </c>
      <c r="J214" s="130">
        <v>0</v>
      </c>
      <c r="L214" s="124"/>
      <c r="M214" s="111"/>
      <c r="N214" s="111">
        <f t="shared" si="61"/>
        <v>0</v>
      </c>
      <c r="P214" s="112">
        <f t="shared" si="66"/>
        <v>0</v>
      </c>
      <c r="Q214" s="112">
        <f t="shared" si="67"/>
        <v>0</v>
      </c>
    </row>
    <row r="215" spans="2:17" x14ac:dyDescent="0.25">
      <c r="B215" s="110">
        <f>DATE(Title!$F$12,$S$11,S21)</f>
        <v>41472</v>
      </c>
      <c r="C215" s="111">
        <f>IF(WEEKDAY(B215)=1,0,IF(WEEKDAY(B215)=4,'Hours Scheduled'!$J$44-1,IF(WEEKDAY(B215)=7,0,'Hours Scheduled'!$J$44)))</f>
        <v>20</v>
      </c>
      <c r="D215" s="17">
        <f t="shared" si="64"/>
        <v>150</v>
      </c>
      <c r="E215" s="127">
        <f t="shared" si="65"/>
        <v>152</v>
      </c>
      <c r="F215" s="111"/>
      <c r="G215" s="130">
        <f>INDEX(July!$C$3:$AH$169,3,MATCH(B215,July!$D$3:$AH$3)+1)+INDEX(July!$C$3:$AH$169,8,MATCH(B215,July!$D$3:$AH$3)+1)+INDEX(July!$C$3:$AH$169,13,MATCH(B215,July!$D$3:$AH$3)+1)+INDEX(July!$C$3:$AH$169,18,MATCH(B215,July!$D$3:$AH$3)+1)+INDEX(July!$C$3:$AH$169,23,MATCH(B215,July!$D$3:$AH$3)+1)+INDEX(July!$C$3:$AH$169,28,MATCH(B215,July!$D$3:$AH$3)+1)+INDEX(July!$C$3:$AH$169,33,MATCH(B215,July!$D$3:$AH$3)+1)+INDEX(July!$C$3:$AH$169,38,MATCH(B215,July!$D$3:$AH$3)+1)+INDEX(July!$C$3:$AH$169,43,MATCH(B215,July!$D$3:$AH$3)+1)+INDEX(July!$C$3:$AH$169,48,MATCH(B215,July!$D$3:$AH$3)+1)+INDEX(July!$C$3:$AH$169,53,MATCH(B215,July!$D$3:$AH$3)+1)+INDEX(July!$C$3:$AH$169,58,MATCH(B215,July!$D$3:$AH$3)+1)+INDEX(July!$C$3:$AH$169,63,MATCH(B215,July!$D$3:$AH$3)+1)+INDEX(July!$C$3:$AH$169,68,MATCH(B215,July!$D$3:$AH$3)+1)+INDEX(July!$C$3:$AH$169,73,MATCH(B215,July!$D$3:$AH$3)+1)+INDEX(July!$C$3:$AH$169,78,MATCH(B215,July!$D$3:$AH$3)+1)+INDEX(July!$C$3:$AH$169,83,MATCH(B215,July!$D$3:$AH$3)+1)+INDEX(July!$C$3:$AH$169,88,MATCH(B215,July!$D$3:$AH$3)+1)+INDEX(July!$C$3:$AH$169,93,MATCH(B215,July!$D$3:$AH$3)+1)+INDEX(July!$C$3:$AH$169,98,MATCH(B215,July!$D$3:$AH$3)+1)+INDEX(July!$C$3:$AH$169,103,MATCH(B215,July!$D$3:$AH$3)+1)+INDEX(July!$C$3:$AH$169,108,MATCH(B215,July!$D$3:$AH$3)+1)+INDEX(July!$C$3:$AH$169,113,MATCH(B215,July!$D$3:$AH$3)+1)+INDEX(July!$C$3:$AH$169,118,MATCH(B215,July!$D$3:$AH$3)+1)+INDEX(July!$C$3:$AH$169,123,MATCH(B215,July!$D$3:$AH$3)+1)+INDEX(July!$C$3:$AH$169,128,MATCH(B215,July!$D$3:$AH$3)+1)+INDEX(July!$C$3:$AH$169,133,MATCH(B215,July!$D$3:$AH$3)+1)+INDEX(July!$C$3:$AH$169,138,MATCH(B215,July!$D$3:$AH$3)+1)+INDEX(July!$C$3:$AH$169,143,MATCH(B215,July!$D$3:$AH$3)+1)+INDEX(July!$C$3:$AH$169,148,MATCH(B215,July!$D$3:$AH$3)+1)-INDEX(July!$B$5:$AH$169,MATCH("Patrick Janssen",July!$B$5:$B$169),MATCH(B215,July!$D$3:$AH$3)+2)-INDEX(July!$B$5:$AH$169,MATCH("Patrick Ziesen",July!$B$5:$B$169),MATCH(B215,July!$D$3:$AH$3)+2)-INDEX(July!$B$5:$AH$169,MATCH("Frido Meijer",July!$B$5:$B$169),MATCH(B215,July!$D$3:$AH$3)+2)</f>
        <v>8</v>
      </c>
      <c r="H215" s="130">
        <f>INDEX(July!$C$3:$AH$169,4,MATCH(B215,July!$D$3:$AH$3)+1)+INDEX(July!$C$3:$AH$169,9,MATCH(B215,July!$D$3:$AH$3)+1)+INDEX(July!$C$3:$AH$169,14,MATCH(B215,July!$D$3:$AH$3)+1)+INDEX(July!$C$3:$AH$169,19,MATCH(B215,July!$D$3:$AH$3)+1)+INDEX(July!$C$3:$AH$169,24,MATCH(B215,July!$D$3:$AH$3)+1)+INDEX(July!$C$3:$AH$169,29,MATCH(B215,July!$D$3:$AH$3)+1)+INDEX(July!$C$3:$AH$169,34,MATCH(B215,July!$D$3:$AH$3)+1)+INDEX(July!$C$3:$AH$169,39,MATCH(B215,July!$D$3:$AH$3)+1)+INDEX(July!$C$3:$AH$169,44,MATCH(B215,July!$D$3:$AH$3)+1)+INDEX(July!$C$3:$AH$169,49,MATCH(B215,July!$D$3:$AH$3)+1)+INDEX(July!$C$3:$AH$169,54,MATCH(B215,July!$D$3:$AH$3)+1)+INDEX(July!$C$3:$AH$169,59,MATCH(B215,July!$D$3:$AH$3)+1)+INDEX(July!$C$3:$AH$169,64,MATCH(B215,July!$D$3:$AH$3)+1)+INDEX(July!$C$3:$AH$169,69,MATCH(B215,July!$D$3:$AH$3)+1)+INDEX(July!$C$3:$AH$169,74,MATCH(B215,July!$D$3:$AH$3)+1)+INDEX(July!$C$3:$AH$169,79,MATCH(B215,July!$D$3:$AH$3)+1)+INDEX(July!$C$3:$AH$169,84,MATCH(B215,July!$D$3:$AH$3)+1)+INDEX(July!$C$3:$AH$169,89,MATCH(B215,July!$D$3:$AH$3)+1)+INDEX(July!$C$3:$AH$169,94,MATCH(B215,July!$D$3:$AH$3)+1)+INDEX(July!$C$3:$AH$169,99,MATCH(B215,July!$D$3:$AH$3)+1)+INDEX(July!$C$3:$AH$169,104,MATCH(B215,July!$D$3:$AH$3)+1)+INDEX(July!$C$3:$AH$169,109,MATCH(B215,July!$D$3:$AH$3)+1)+INDEX(July!$C$3:$AH$169,114,MATCH(B215,July!$D$3:$AH$3)+1)+INDEX(July!$C$3:$AH$169,119,MATCH(B215,July!$D$3:$AH$3)+1)+INDEX(July!$C$3:$AH$169,124,MATCH(B215,July!$D$3:$AH$3)+1)+INDEX(July!$C$3:$AH$169,129,MATCH(B215,July!$D$3:$AH$3)+1)+INDEX(July!$C$3:$AH$169,134,MATCH(B215,July!$D$3:$AH$3)+1)+INDEX(July!$C$3:$AH$169,139,MATCH(B215,July!$D$3:$AH$3)+1)+INDEX(July!$C$3:$AH$169,144,MATCH(B215,July!$D$3:$AH$3)+1)+INDEX(July!$C$3:$AH$169,149,MATCH(B215,July!$D$3:$AH$3)+1)-INDEX(July!$B$5:$AH$169,MATCH("Patrick Janssen",July!$B$5:$B$169)+1,MATCH(B215,July!$D$3:$AH$3)+2)-INDEX(July!$B$5:$AH$169,MATCH("Patrick Ziesen",July!$B$5:$B$169)+1,MATCH(B215,July!$D$3:$AH$3)+2)-INDEX(July!$B$5:$AH$169,MATCH("Frido Meijer",July!$B$5:$B$169)+1,MATCH(B215,July!$D$3:$AH$3)+2)</f>
        <v>0</v>
      </c>
      <c r="I215" s="130">
        <v>0</v>
      </c>
      <c r="J215" s="130">
        <v>0</v>
      </c>
      <c r="L215" s="124"/>
      <c r="M215" s="111"/>
      <c r="N215" s="111">
        <f t="shared" si="61"/>
        <v>0</v>
      </c>
      <c r="P215" s="112">
        <f t="shared" si="66"/>
        <v>0</v>
      </c>
      <c r="Q215" s="112">
        <f t="shared" si="67"/>
        <v>0</v>
      </c>
    </row>
    <row r="216" spans="2:17" x14ac:dyDescent="0.25">
      <c r="B216" s="110">
        <f>DATE(Title!$F$12,$S$11,S22)</f>
        <v>41473</v>
      </c>
      <c r="C216" s="111">
        <f>IF(WEEKDAY(B216)=1,0,IF(WEEKDAY(B216)=4,'Hours Scheduled'!$J$44-1,IF(WEEKDAY(B216)=7,0,'Hours Scheduled'!$J$44)))</f>
        <v>21</v>
      </c>
      <c r="D216" s="17">
        <f t="shared" si="64"/>
        <v>157.5</v>
      </c>
      <c r="E216" s="127">
        <f t="shared" si="65"/>
        <v>160</v>
      </c>
      <c r="F216" s="111"/>
      <c r="G216" s="130">
        <f>INDEX(July!$C$3:$AH$169,3,MATCH(B216,July!$D$3:$AH$3)+1)+INDEX(July!$C$3:$AH$169,8,MATCH(B216,July!$D$3:$AH$3)+1)+INDEX(July!$C$3:$AH$169,13,MATCH(B216,July!$D$3:$AH$3)+1)+INDEX(July!$C$3:$AH$169,18,MATCH(B216,July!$D$3:$AH$3)+1)+INDEX(July!$C$3:$AH$169,23,MATCH(B216,July!$D$3:$AH$3)+1)+INDEX(July!$C$3:$AH$169,28,MATCH(B216,July!$D$3:$AH$3)+1)+INDEX(July!$C$3:$AH$169,33,MATCH(B216,July!$D$3:$AH$3)+1)+INDEX(July!$C$3:$AH$169,38,MATCH(B216,July!$D$3:$AH$3)+1)+INDEX(July!$C$3:$AH$169,43,MATCH(B216,July!$D$3:$AH$3)+1)+INDEX(July!$C$3:$AH$169,48,MATCH(B216,July!$D$3:$AH$3)+1)+INDEX(July!$C$3:$AH$169,53,MATCH(B216,July!$D$3:$AH$3)+1)+INDEX(July!$C$3:$AH$169,58,MATCH(B216,July!$D$3:$AH$3)+1)+INDEX(July!$C$3:$AH$169,63,MATCH(B216,July!$D$3:$AH$3)+1)+INDEX(July!$C$3:$AH$169,68,MATCH(B216,July!$D$3:$AH$3)+1)+INDEX(July!$C$3:$AH$169,73,MATCH(B216,July!$D$3:$AH$3)+1)+INDEX(July!$C$3:$AH$169,78,MATCH(B216,July!$D$3:$AH$3)+1)+INDEX(July!$C$3:$AH$169,83,MATCH(B216,July!$D$3:$AH$3)+1)+INDEX(July!$C$3:$AH$169,88,MATCH(B216,July!$D$3:$AH$3)+1)+INDEX(July!$C$3:$AH$169,93,MATCH(B216,July!$D$3:$AH$3)+1)+INDEX(July!$C$3:$AH$169,98,MATCH(B216,July!$D$3:$AH$3)+1)+INDEX(July!$C$3:$AH$169,103,MATCH(B216,July!$D$3:$AH$3)+1)+INDEX(July!$C$3:$AH$169,108,MATCH(B216,July!$D$3:$AH$3)+1)+INDEX(July!$C$3:$AH$169,113,MATCH(B216,July!$D$3:$AH$3)+1)+INDEX(July!$C$3:$AH$169,118,MATCH(B216,July!$D$3:$AH$3)+1)+INDEX(July!$C$3:$AH$169,123,MATCH(B216,July!$D$3:$AH$3)+1)+INDEX(July!$C$3:$AH$169,128,MATCH(B216,July!$D$3:$AH$3)+1)+INDEX(July!$C$3:$AH$169,133,MATCH(B216,July!$D$3:$AH$3)+1)+INDEX(July!$C$3:$AH$169,138,MATCH(B216,July!$D$3:$AH$3)+1)+INDEX(July!$C$3:$AH$169,143,MATCH(B216,July!$D$3:$AH$3)+1)+INDEX(July!$C$3:$AH$169,148,MATCH(B216,July!$D$3:$AH$3)+1)-INDEX(July!$B$5:$AH$169,MATCH("Patrick Janssen",July!$B$5:$B$169),MATCH(B216,July!$D$3:$AH$3)+2)-INDEX(July!$B$5:$AH$169,MATCH("Patrick Ziesen",July!$B$5:$B$169),MATCH(B216,July!$D$3:$AH$3)+2)-INDEX(July!$B$5:$AH$169,MATCH("Frido Meijer",July!$B$5:$B$169),MATCH(B216,July!$D$3:$AH$3)+2)</f>
        <v>8</v>
      </c>
      <c r="H216" s="130">
        <f>INDEX(July!$C$3:$AH$169,4,MATCH(B216,July!$D$3:$AH$3)+1)+INDEX(July!$C$3:$AH$169,9,MATCH(B216,July!$D$3:$AH$3)+1)+INDEX(July!$C$3:$AH$169,14,MATCH(B216,July!$D$3:$AH$3)+1)+INDEX(July!$C$3:$AH$169,19,MATCH(B216,July!$D$3:$AH$3)+1)+INDEX(July!$C$3:$AH$169,24,MATCH(B216,July!$D$3:$AH$3)+1)+INDEX(July!$C$3:$AH$169,29,MATCH(B216,July!$D$3:$AH$3)+1)+INDEX(July!$C$3:$AH$169,34,MATCH(B216,July!$D$3:$AH$3)+1)+INDEX(July!$C$3:$AH$169,39,MATCH(B216,July!$D$3:$AH$3)+1)+INDEX(July!$C$3:$AH$169,44,MATCH(B216,July!$D$3:$AH$3)+1)+INDEX(July!$C$3:$AH$169,49,MATCH(B216,July!$D$3:$AH$3)+1)+INDEX(July!$C$3:$AH$169,54,MATCH(B216,July!$D$3:$AH$3)+1)+INDEX(July!$C$3:$AH$169,59,MATCH(B216,July!$D$3:$AH$3)+1)+INDEX(July!$C$3:$AH$169,64,MATCH(B216,July!$D$3:$AH$3)+1)+INDEX(July!$C$3:$AH$169,69,MATCH(B216,July!$D$3:$AH$3)+1)+INDEX(July!$C$3:$AH$169,74,MATCH(B216,July!$D$3:$AH$3)+1)+INDEX(July!$C$3:$AH$169,79,MATCH(B216,July!$D$3:$AH$3)+1)+INDEX(July!$C$3:$AH$169,84,MATCH(B216,July!$D$3:$AH$3)+1)+INDEX(July!$C$3:$AH$169,89,MATCH(B216,July!$D$3:$AH$3)+1)+INDEX(July!$C$3:$AH$169,94,MATCH(B216,July!$D$3:$AH$3)+1)+INDEX(July!$C$3:$AH$169,99,MATCH(B216,July!$D$3:$AH$3)+1)+INDEX(July!$C$3:$AH$169,104,MATCH(B216,July!$D$3:$AH$3)+1)+INDEX(July!$C$3:$AH$169,109,MATCH(B216,July!$D$3:$AH$3)+1)+INDEX(July!$C$3:$AH$169,114,MATCH(B216,July!$D$3:$AH$3)+1)+INDEX(July!$C$3:$AH$169,119,MATCH(B216,July!$D$3:$AH$3)+1)+INDEX(July!$C$3:$AH$169,124,MATCH(B216,July!$D$3:$AH$3)+1)+INDEX(July!$C$3:$AH$169,129,MATCH(B216,July!$D$3:$AH$3)+1)+INDEX(July!$C$3:$AH$169,134,MATCH(B216,July!$D$3:$AH$3)+1)+INDEX(July!$C$3:$AH$169,139,MATCH(B216,July!$D$3:$AH$3)+1)+INDEX(July!$C$3:$AH$169,144,MATCH(B216,July!$D$3:$AH$3)+1)+INDEX(July!$C$3:$AH$169,149,MATCH(B216,July!$D$3:$AH$3)+1)-INDEX(July!$B$5:$AH$169,MATCH("Patrick Janssen",July!$B$5:$B$169)+1,MATCH(B216,July!$D$3:$AH$3)+2)-INDEX(July!$B$5:$AH$169,MATCH("Patrick Ziesen",July!$B$5:$B$169)+1,MATCH(B216,July!$D$3:$AH$3)+2)-INDEX(July!$B$5:$AH$169,MATCH("Frido Meijer",July!$B$5:$B$169)+1,MATCH(B216,July!$D$3:$AH$3)+2)</f>
        <v>0</v>
      </c>
      <c r="I216" s="130">
        <v>0</v>
      </c>
      <c r="J216" s="130">
        <v>0</v>
      </c>
      <c r="L216" s="124"/>
      <c r="M216" s="111"/>
      <c r="N216" s="111">
        <f t="shared" si="61"/>
        <v>0</v>
      </c>
      <c r="P216" s="112">
        <f t="shared" si="66"/>
        <v>0</v>
      </c>
      <c r="Q216" s="112">
        <f t="shared" si="67"/>
        <v>0</v>
      </c>
    </row>
    <row r="217" spans="2:17" x14ac:dyDescent="0.25">
      <c r="B217" s="110">
        <f>DATE(Title!$F$12,$S$11,S23)</f>
        <v>41474</v>
      </c>
      <c r="C217" s="111">
        <f>IF(WEEKDAY(B217)=1,0,IF(WEEKDAY(B217)=4,'Hours Scheduled'!$J$44-1,IF(WEEKDAY(B217)=7,0,'Hours Scheduled'!$J$44)))</f>
        <v>21</v>
      </c>
      <c r="D217" s="17">
        <f t="shared" si="64"/>
        <v>157.5</v>
      </c>
      <c r="E217" s="127">
        <f t="shared" si="65"/>
        <v>140</v>
      </c>
      <c r="F217" s="111"/>
      <c r="G217" s="130">
        <f>INDEX(July!$C$3:$AH$169,3,MATCH(B217,July!$D$3:$AH$3)+1)+INDEX(July!$C$3:$AH$169,8,MATCH(B217,July!$D$3:$AH$3)+1)+INDEX(July!$C$3:$AH$169,13,MATCH(B217,July!$D$3:$AH$3)+1)+INDEX(July!$C$3:$AH$169,18,MATCH(B217,July!$D$3:$AH$3)+1)+INDEX(July!$C$3:$AH$169,23,MATCH(B217,July!$D$3:$AH$3)+1)+INDEX(July!$C$3:$AH$169,28,MATCH(B217,July!$D$3:$AH$3)+1)+INDEX(July!$C$3:$AH$169,33,MATCH(B217,July!$D$3:$AH$3)+1)+INDEX(July!$C$3:$AH$169,38,MATCH(B217,July!$D$3:$AH$3)+1)+INDEX(July!$C$3:$AH$169,43,MATCH(B217,July!$D$3:$AH$3)+1)+INDEX(July!$C$3:$AH$169,48,MATCH(B217,July!$D$3:$AH$3)+1)+INDEX(July!$C$3:$AH$169,53,MATCH(B217,July!$D$3:$AH$3)+1)+INDEX(July!$C$3:$AH$169,58,MATCH(B217,July!$D$3:$AH$3)+1)+INDEX(July!$C$3:$AH$169,63,MATCH(B217,July!$D$3:$AH$3)+1)+INDEX(July!$C$3:$AH$169,68,MATCH(B217,July!$D$3:$AH$3)+1)+INDEX(July!$C$3:$AH$169,73,MATCH(B217,July!$D$3:$AH$3)+1)+INDEX(July!$C$3:$AH$169,78,MATCH(B217,July!$D$3:$AH$3)+1)+INDEX(July!$C$3:$AH$169,83,MATCH(B217,July!$D$3:$AH$3)+1)+INDEX(July!$C$3:$AH$169,88,MATCH(B217,July!$D$3:$AH$3)+1)+INDEX(July!$C$3:$AH$169,93,MATCH(B217,July!$D$3:$AH$3)+1)+INDEX(July!$C$3:$AH$169,98,MATCH(B217,July!$D$3:$AH$3)+1)+INDEX(July!$C$3:$AH$169,103,MATCH(B217,July!$D$3:$AH$3)+1)+INDEX(July!$C$3:$AH$169,108,MATCH(B217,July!$D$3:$AH$3)+1)+INDEX(July!$C$3:$AH$169,113,MATCH(B217,July!$D$3:$AH$3)+1)+INDEX(July!$C$3:$AH$169,118,MATCH(B217,July!$D$3:$AH$3)+1)+INDEX(July!$C$3:$AH$169,123,MATCH(B217,July!$D$3:$AH$3)+1)+INDEX(July!$C$3:$AH$169,128,MATCH(B217,July!$D$3:$AH$3)+1)+INDEX(July!$C$3:$AH$169,133,MATCH(B217,July!$D$3:$AH$3)+1)+INDEX(July!$C$3:$AH$169,138,MATCH(B217,July!$D$3:$AH$3)+1)+INDEX(July!$C$3:$AH$169,143,MATCH(B217,July!$D$3:$AH$3)+1)+INDEX(July!$C$3:$AH$169,148,MATCH(B217,July!$D$3:$AH$3)+1)-INDEX(July!$B$5:$AH$169,MATCH("Patrick Janssen",July!$B$5:$B$169),MATCH(B217,July!$D$3:$AH$3)+2)-INDEX(July!$B$5:$AH$169,MATCH("Patrick Ziesen",July!$B$5:$B$169),MATCH(B217,July!$D$3:$AH$3)+2)-INDEX(July!$B$5:$AH$169,MATCH("Frido Meijer",July!$B$5:$B$169),MATCH(B217,July!$D$3:$AH$3)+2)</f>
        <v>28</v>
      </c>
      <c r="H217" s="130">
        <f>INDEX(July!$C$3:$AH$169,4,MATCH(B217,July!$D$3:$AH$3)+1)+INDEX(July!$C$3:$AH$169,9,MATCH(B217,July!$D$3:$AH$3)+1)+INDEX(July!$C$3:$AH$169,14,MATCH(B217,July!$D$3:$AH$3)+1)+INDEX(July!$C$3:$AH$169,19,MATCH(B217,July!$D$3:$AH$3)+1)+INDEX(July!$C$3:$AH$169,24,MATCH(B217,July!$D$3:$AH$3)+1)+INDEX(July!$C$3:$AH$169,29,MATCH(B217,July!$D$3:$AH$3)+1)+INDEX(July!$C$3:$AH$169,34,MATCH(B217,July!$D$3:$AH$3)+1)+INDEX(July!$C$3:$AH$169,39,MATCH(B217,July!$D$3:$AH$3)+1)+INDEX(July!$C$3:$AH$169,44,MATCH(B217,July!$D$3:$AH$3)+1)+INDEX(July!$C$3:$AH$169,49,MATCH(B217,July!$D$3:$AH$3)+1)+INDEX(July!$C$3:$AH$169,54,MATCH(B217,July!$D$3:$AH$3)+1)+INDEX(July!$C$3:$AH$169,59,MATCH(B217,July!$D$3:$AH$3)+1)+INDEX(July!$C$3:$AH$169,64,MATCH(B217,July!$D$3:$AH$3)+1)+INDEX(July!$C$3:$AH$169,69,MATCH(B217,July!$D$3:$AH$3)+1)+INDEX(July!$C$3:$AH$169,74,MATCH(B217,July!$D$3:$AH$3)+1)+INDEX(July!$C$3:$AH$169,79,MATCH(B217,July!$D$3:$AH$3)+1)+INDEX(July!$C$3:$AH$169,84,MATCH(B217,July!$D$3:$AH$3)+1)+INDEX(July!$C$3:$AH$169,89,MATCH(B217,July!$D$3:$AH$3)+1)+INDEX(July!$C$3:$AH$169,94,MATCH(B217,July!$D$3:$AH$3)+1)+INDEX(July!$C$3:$AH$169,99,MATCH(B217,July!$D$3:$AH$3)+1)+INDEX(July!$C$3:$AH$169,104,MATCH(B217,July!$D$3:$AH$3)+1)+INDEX(July!$C$3:$AH$169,109,MATCH(B217,July!$D$3:$AH$3)+1)+INDEX(July!$C$3:$AH$169,114,MATCH(B217,July!$D$3:$AH$3)+1)+INDEX(July!$C$3:$AH$169,119,MATCH(B217,July!$D$3:$AH$3)+1)+INDEX(July!$C$3:$AH$169,124,MATCH(B217,July!$D$3:$AH$3)+1)+INDEX(July!$C$3:$AH$169,129,MATCH(B217,July!$D$3:$AH$3)+1)+INDEX(July!$C$3:$AH$169,134,MATCH(B217,July!$D$3:$AH$3)+1)+INDEX(July!$C$3:$AH$169,139,MATCH(B217,July!$D$3:$AH$3)+1)+INDEX(July!$C$3:$AH$169,144,MATCH(B217,July!$D$3:$AH$3)+1)+INDEX(July!$C$3:$AH$169,149,MATCH(B217,July!$D$3:$AH$3)+1)-INDEX(July!$B$5:$AH$169,MATCH("Patrick Janssen",July!$B$5:$B$169)+1,MATCH(B217,July!$D$3:$AH$3)+2)-INDEX(July!$B$5:$AH$169,MATCH("Patrick Ziesen",July!$B$5:$B$169)+1,MATCH(B217,July!$D$3:$AH$3)+2)-INDEX(July!$B$5:$AH$169,MATCH("Frido Meijer",July!$B$5:$B$169)+1,MATCH(B217,July!$D$3:$AH$3)+2)</f>
        <v>0</v>
      </c>
      <c r="I217" s="130">
        <v>0</v>
      </c>
      <c r="J217" s="130">
        <v>0</v>
      </c>
      <c r="L217" s="124"/>
      <c r="M217" s="111"/>
      <c r="N217" s="111">
        <f t="shared" si="61"/>
        <v>0</v>
      </c>
      <c r="P217" s="112">
        <f t="shared" si="66"/>
        <v>0</v>
      </c>
      <c r="Q217" s="112">
        <f t="shared" si="67"/>
        <v>0</v>
      </c>
    </row>
    <row r="218" spans="2:17" x14ac:dyDescent="0.25">
      <c r="B218" s="110">
        <f>DATE(Title!$F$12,$S$11,S24)</f>
        <v>41475</v>
      </c>
      <c r="C218" s="111">
        <f>IF(WEEKDAY(B218)=1,0,IF(WEEKDAY(B218)=4,'Hours Scheduled'!$J$44-1,IF(WEEKDAY(B218)=7,0,'Hours Scheduled'!$J$44)))</f>
        <v>0</v>
      </c>
      <c r="D218" s="17">
        <f t="shared" si="64"/>
        <v>0</v>
      </c>
      <c r="E218" s="127">
        <f t="shared" si="65"/>
        <v>0</v>
      </c>
      <c r="F218" s="111"/>
      <c r="G218" s="130">
        <f>INDEX(July!$C$3:$AH$169,3,MATCH(B218,July!$D$3:$AH$3)+1)+INDEX(July!$C$3:$AH$169,8,MATCH(B218,July!$D$3:$AH$3)+1)+INDEX(July!$C$3:$AH$169,13,MATCH(B218,July!$D$3:$AH$3)+1)+INDEX(July!$C$3:$AH$169,18,MATCH(B218,July!$D$3:$AH$3)+1)+INDEX(July!$C$3:$AH$169,23,MATCH(B218,July!$D$3:$AH$3)+1)+INDEX(July!$C$3:$AH$169,28,MATCH(B218,July!$D$3:$AH$3)+1)+INDEX(July!$C$3:$AH$169,33,MATCH(B218,July!$D$3:$AH$3)+1)+INDEX(July!$C$3:$AH$169,38,MATCH(B218,July!$D$3:$AH$3)+1)+INDEX(July!$C$3:$AH$169,43,MATCH(B218,July!$D$3:$AH$3)+1)+INDEX(July!$C$3:$AH$169,48,MATCH(B218,July!$D$3:$AH$3)+1)+INDEX(July!$C$3:$AH$169,53,MATCH(B218,July!$D$3:$AH$3)+1)+INDEX(July!$C$3:$AH$169,58,MATCH(B218,July!$D$3:$AH$3)+1)+INDEX(July!$C$3:$AH$169,63,MATCH(B218,July!$D$3:$AH$3)+1)+INDEX(July!$C$3:$AH$169,68,MATCH(B218,July!$D$3:$AH$3)+1)+INDEX(July!$C$3:$AH$169,73,MATCH(B218,July!$D$3:$AH$3)+1)+INDEX(July!$C$3:$AH$169,78,MATCH(B218,July!$D$3:$AH$3)+1)+INDEX(July!$C$3:$AH$169,83,MATCH(B218,July!$D$3:$AH$3)+1)+INDEX(July!$C$3:$AH$169,88,MATCH(B218,July!$D$3:$AH$3)+1)+INDEX(July!$C$3:$AH$169,93,MATCH(B218,July!$D$3:$AH$3)+1)+INDEX(July!$C$3:$AH$169,98,MATCH(B218,July!$D$3:$AH$3)+1)+INDEX(July!$C$3:$AH$169,103,MATCH(B218,July!$D$3:$AH$3)+1)+INDEX(July!$C$3:$AH$169,108,MATCH(B218,July!$D$3:$AH$3)+1)+INDEX(July!$C$3:$AH$169,113,MATCH(B218,July!$D$3:$AH$3)+1)+INDEX(July!$C$3:$AH$169,118,MATCH(B218,July!$D$3:$AH$3)+1)+INDEX(July!$C$3:$AH$169,123,MATCH(B218,July!$D$3:$AH$3)+1)+INDEX(July!$C$3:$AH$169,128,MATCH(B218,July!$D$3:$AH$3)+1)+INDEX(July!$C$3:$AH$169,133,MATCH(B218,July!$D$3:$AH$3)+1)+INDEX(July!$C$3:$AH$169,138,MATCH(B218,July!$D$3:$AH$3)+1)+INDEX(July!$C$3:$AH$169,143,MATCH(B218,July!$D$3:$AH$3)+1)+INDEX(July!$C$3:$AH$169,148,MATCH(B218,July!$D$3:$AH$3)+1)-INDEX(July!$B$5:$AH$169,MATCH("Patrick Janssen",July!$B$5:$B$169),MATCH(B218,July!$D$3:$AH$3)+2)-INDEX(July!$B$5:$AH$169,MATCH("Patrick Ziesen",July!$B$5:$B$169),MATCH(B218,July!$D$3:$AH$3)+2)-INDEX(July!$B$5:$AH$169,MATCH("Frido Meijer",July!$B$5:$B$169),MATCH(B218,July!$D$3:$AH$3)+2)</f>
        <v>0</v>
      </c>
      <c r="H218" s="130">
        <f>INDEX(July!$C$3:$AH$169,4,MATCH(B218,July!$D$3:$AH$3)+1)+INDEX(July!$C$3:$AH$169,9,MATCH(B218,July!$D$3:$AH$3)+1)+INDEX(July!$C$3:$AH$169,14,MATCH(B218,July!$D$3:$AH$3)+1)+INDEX(July!$C$3:$AH$169,19,MATCH(B218,July!$D$3:$AH$3)+1)+INDEX(July!$C$3:$AH$169,24,MATCH(B218,July!$D$3:$AH$3)+1)+INDEX(July!$C$3:$AH$169,29,MATCH(B218,July!$D$3:$AH$3)+1)+INDEX(July!$C$3:$AH$169,34,MATCH(B218,July!$D$3:$AH$3)+1)+INDEX(July!$C$3:$AH$169,39,MATCH(B218,July!$D$3:$AH$3)+1)+INDEX(July!$C$3:$AH$169,44,MATCH(B218,July!$D$3:$AH$3)+1)+INDEX(July!$C$3:$AH$169,49,MATCH(B218,July!$D$3:$AH$3)+1)+INDEX(July!$C$3:$AH$169,54,MATCH(B218,July!$D$3:$AH$3)+1)+INDEX(July!$C$3:$AH$169,59,MATCH(B218,July!$D$3:$AH$3)+1)+INDEX(July!$C$3:$AH$169,64,MATCH(B218,July!$D$3:$AH$3)+1)+INDEX(July!$C$3:$AH$169,69,MATCH(B218,July!$D$3:$AH$3)+1)+INDEX(July!$C$3:$AH$169,74,MATCH(B218,July!$D$3:$AH$3)+1)+INDEX(July!$C$3:$AH$169,79,MATCH(B218,July!$D$3:$AH$3)+1)+INDEX(July!$C$3:$AH$169,84,MATCH(B218,July!$D$3:$AH$3)+1)+INDEX(July!$C$3:$AH$169,89,MATCH(B218,July!$D$3:$AH$3)+1)+INDEX(July!$C$3:$AH$169,94,MATCH(B218,July!$D$3:$AH$3)+1)+INDEX(July!$C$3:$AH$169,99,MATCH(B218,July!$D$3:$AH$3)+1)+INDEX(July!$C$3:$AH$169,104,MATCH(B218,July!$D$3:$AH$3)+1)+INDEX(July!$C$3:$AH$169,109,MATCH(B218,July!$D$3:$AH$3)+1)+INDEX(July!$C$3:$AH$169,114,MATCH(B218,July!$D$3:$AH$3)+1)+INDEX(July!$C$3:$AH$169,119,MATCH(B218,July!$D$3:$AH$3)+1)+INDEX(July!$C$3:$AH$169,124,MATCH(B218,July!$D$3:$AH$3)+1)+INDEX(July!$C$3:$AH$169,129,MATCH(B218,July!$D$3:$AH$3)+1)+INDEX(July!$C$3:$AH$169,134,MATCH(B218,July!$D$3:$AH$3)+1)+INDEX(July!$C$3:$AH$169,139,MATCH(B218,July!$D$3:$AH$3)+1)+INDEX(July!$C$3:$AH$169,144,MATCH(B218,July!$D$3:$AH$3)+1)+INDEX(July!$C$3:$AH$169,149,MATCH(B218,July!$D$3:$AH$3)+1)-INDEX(July!$B$5:$AH$169,MATCH("Patrick Janssen",July!$B$5:$B$169)+1,MATCH(B218,July!$D$3:$AH$3)+2)-INDEX(July!$B$5:$AH$169,MATCH("Patrick Ziesen",July!$B$5:$B$169)+1,MATCH(B218,July!$D$3:$AH$3)+2)-INDEX(July!$B$5:$AH$169,MATCH("Frido Meijer",July!$B$5:$B$169)+1,MATCH(B218,July!$D$3:$AH$3)+2)</f>
        <v>0</v>
      </c>
      <c r="I218" s="130">
        <v>0</v>
      </c>
      <c r="J218" s="130">
        <v>0</v>
      </c>
      <c r="L218" s="124"/>
      <c r="M218" s="111"/>
      <c r="N218" s="111">
        <f t="shared" si="61"/>
        <v>0</v>
      </c>
      <c r="P218" s="112" t="str">
        <f t="shared" si="66"/>
        <v/>
      </c>
      <c r="Q218" s="112" t="str">
        <f t="shared" si="67"/>
        <v/>
      </c>
    </row>
    <row r="219" spans="2:17" x14ac:dyDescent="0.25">
      <c r="B219" s="110">
        <f>DATE(Title!$F$12,$S$11,S25)</f>
        <v>41476</v>
      </c>
      <c r="C219" s="111">
        <f>IF(WEEKDAY(B219)=1,0,IF(WEEKDAY(B219)=4,'Hours Scheduled'!$J$44-1,IF(WEEKDAY(B219)=7,0,'Hours Scheduled'!$J$44)))</f>
        <v>0</v>
      </c>
      <c r="D219" s="17">
        <f t="shared" si="64"/>
        <v>0</v>
      </c>
      <c r="E219" s="127">
        <f t="shared" si="65"/>
        <v>0</v>
      </c>
      <c r="F219" s="111"/>
      <c r="G219" s="130">
        <f>INDEX(July!$C$3:$AH$169,3,MATCH(B219,July!$D$3:$AH$3)+1)+INDEX(July!$C$3:$AH$169,8,MATCH(B219,July!$D$3:$AH$3)+1)+INDEX(July!$C$3:$AH$169,13,MATCH(B219,July!$D$3:$AH$3)+1)+INDEX(July!$C$3:$AH$169,18,MATCH(B219,July!$D$3:$AH$3)+1)+INDEX(July!$C$3:$AH$169,23,MATCH(B219,July!$D$3:$AH$3)+1)+INDEX(July!$C$3:$AH$169,28,MATCH(B219,July!$D$3:$AH$3)+1)+INDEX(July!$C$3:$AH$169,33,MATCH(B219,July!$D$3:$AH$3)+1)+INDEX(July!$C$3:$AH$169,38,MATCH(B219,July!$D$3:$AH$3)+1)+INDEX(July!$C$3:$AH$169,43,MATCH(B219,July!$D$3:$AH$3)+1)+INDEX(July!$C$3:$AH$169,48,MATCH(B219,July!$D$3:$AH$3)+1)+INDEX(July!$C$3:$AH$169,53,MATCH(B219,July!$D$3:$AH$3)+1)+INDEX(July!$C$3:$AH$169,58,MATCH(B219,July!$D$3:$AH$3)+1)+INDEX(July!$C$3:$AH$169,63,MATCH(B219,July!$D$3:$AH$3)+1)+INDEX(July!$C$3:$AH$169,68,MATCH(B219,July!$D$3:$AH$3)+1)+INDEX(July!$C$3:$AH$169,73,MATCH(B219,July!$D$3:$AH$3)+1)+INDEX(July!$C$3:$AH$169,78,MATCH(B219,July!$D$3:$AH$3)+1)+INDEX(July!$C$3:$AH$169,83,MATCH(B219,July!$D$3:$AH$3)+1)+INDEX(July!$C$3:$AH$169,88,MATCH(B219,July!$D$3:$AH$3)+1)+INDEX(July!$C$3:$AH$169,93,MATCH(B219,July!$D$3:$AH$3)+1)+INDEX(July!$C$3:$AH$169,98,MATCH(B219,July!$D$3:$AH$3)+1)+INDEX(July!$C$3:$AH$169,103,MATCH(B219,July!$D$3:$AH$3)+1)+INDEX(July!$C$3:$AH$169,108,MATCH(B219,July!$D$3:$AH$3)+1)+INDEX(July!$C$3:$AH$169,113,MATCH(B219,July!$D$3:$AH$3)+1)+INDEX(July!$C$3:$AH$169,118,MATCH(B219,July!$D$3:$AH$3)+1)+INDEX(July!$C$3:$AH$169,123,MATCH(B219,July!$D$3:$AH$3)+1)+INDEX(July!$C$3:$AH$169,128,MATCH(B219,July!$D$3:$AH$3)+1)+INDEX(July!$C$3:$AH$169,133,MATCH(B219,July!$D$3:$AH$3)+1)+INDEX(July!$C$3:$AH$169,138,MATCH(B219,July!$D$3:$AH$3)+1)+INDEX(July!$C$3:$AH$169,143,MATCH(B219,July!$D$3:$AH$3)+1)+INDEX(July!$C$3:$AH$169,148,MATCH(B219,July!$D$3:$AH$3)+1)-INDEX(July!$B$5:$AH$169,MATCH("Patrick Janssen",July!$B$5:$B$169),MATCH(B219,July!$D$3:$AH$3)+2)-INDEX(July!$B$5:$AH$169,MATCH("Patrick Ziesen",July!$B$5:$B$169),MATCH(B219,July!$D$3:$AH$3)+2)-INDEX(July!$B$5:$AH$169,MATCH("Frido Meijer",July!$B$5:$B$169),MATCH(B219,July!$D$3:$AH$3)+2)</f>
        <v>0</v>
      </c>
      <c r="H219" s="130">
        <f>INDEX(July!$C$3:$AH$169,4,MATCH(B219,July!$D$3:$AH$3)+1)+INDEX(July!$C$3:$AH$169,9,MATCH(B219,July!$D$3:$AH$3)+1)+INDEX(July!$C$3:$AH$169,14,MATCH(B219,July!$D$3:$AH$3)+1)+INDEX(July!$C$3:$AH$169,19,MATCH(B219,July!$D$3:$AH$3)+1)+INDEX(July!$C$3:$AH$169,24,MATCH(B219,July!$D$3:$AH$3)+1)+INDEX(July!$C$3:$AH$169,29,MATCH(B219,July!$D$3:$AH$3)+1)+INDEX(July!$C$3:$AH$169,34,MATCH(B219,July!$D$3:$AH$3)+1)+INDEX(July!$C$3:$AH$169,39,MATCH(B219,July!$D$3:$AH$3)+1)+INDEX(July!$C$3:$AH$169,44,MATCH(B219,July!$D$3:$AH$3)+1)+INDEX(July!$C$3:$AH$169,49,MATCH(B219,July!$D$3:$AH$3)+1)+INDEX(July!$C$3:$AH$169,54,MATCH(B219,July!$D$3:$AH$3)+1)+INDEX(July!$C$3:$AH$169,59,MATCH(B219,July!$D$3:$AH$3)+1)+INDEX(July!$C$3:$AH$169,64,MATCH(B219,July!$D$3:$AH$3)+1)+INDEX(July!$C$3:$AH$169,69,MATCH(B219,July!$D$3:$AH$3)+1)+INDEX(July!$C$3:$AH$169,74,MATCH(B219,July!$D$3:$AH$3)+1)+INDEX(July!$C$3:$AH$169,79,MATCH(B219,July!$D$3:$AH$3)+1)+INDEX(July!$C$3:$AH$169,84,MATCH(B219,July!$D$3:$AH$3)+1)+INDEX(July!$C$3:$AH$169,89,MATCH(B219,July!$D$3:$AH$3)+1)+INDEX(July!$C$3:$AH$169,94,MATCH(B219,July!$D$3:$AH$3)+1)+INDEX(July!$C$3:$AH$169,99,MATCH(B219,July!$D$3:$AH$3)+1)+INDEX(July!$C$3:$AH$169,104,MATCH(B219,July!$D$3:$AH$3)+1)+INDEX(July!$C$3:$AH$169,109,MATCH(B219,July!$D$3:$AH$3)+1)+INDEX(July!$C$3:$AH$169,114,MATCH(B219,July!$D$3:$AH$3)+1)+INDEX(July!$C$3:$AH$169,119,MATCH(B219,July!$D$3:$AH$3)+1)+INDEX(July!$C$3:$AH$169,124,MATCH(B219,July!$D$3:$AH$3)+1)+INDEX(July!$C$3:$AH$169,129,MATCH(B219,July!$D$3:$AH$3)+1)+INDEX(July!$C$3:$AH$169,134,MATCH(B219,July!$D$3:$AH$3)+1)+INDEX(July!$C$3:$AH$169,139,MATCH(B219,July!$D$3:$AH$3)+1)+INDEX(July!$C$3:$AH$169,144,MATCH(B219,July!$D$3:$AH$3)+1)+INDEX(July!$C$3:$AH$169,149,MATCH(B219,July!$D$3:$AH$3)+1)-INDEX(July!$B$5:$AH$169,MATCH("Patrick Janssen",July!$B$5:$B$169)+1,MATCH(B219,July!$D$3:$AH$3)+2)-INDEX(July!$B$5:$AH$169,MATCH("Patrick Ziesen",July!$B$5:$B$169)+1,MATCH(B219,July!$D$3:$AH$3)+2)-INDEX(July!$B$5:$AH$169,MATCH("Frido Meijer",July!$B$5:$B$169)+1,MATCH(B219,July!$D$3:$AH$3)+2)</f>
        <v>0</v>
      </c>
      <c r="I219" s="130">
        <v>0</v>
      </c>
      <c r="J219" s="130">
        <v>0</v>
      </c>
      <c r="L219" s="124"/>
      <c r="M219" s="111"/>
      <c r="N219" s="111">
        <f t="shared" si="61"/>
        <v>0</v>
      </c>
      <c r="P219" s="112" t="str">
        <f t="shared" si="66"/>
        <v/>
      </c>
      <c r="Q219" s="112" t="str">
        <f t="shared" si="67"/>
        <v/>
      </c>
    </row>
    <row r="220" spans="2:17" x14ac:dyDescent="0.25">
      <c r="B220" s="110">
        <f>DATE(Title!$F$12,$S$11,S26)</f>
        <v>41477</v>
      </c>
      <c r="C220" s="111">
        <f>IF(WEEKDAY(B220)=1,0,IF(WEEKDAY(B220)=4,'Hours Scheduled'!$J$44-1,IF(WEEKDAY(B220)=7,0,'Hours Scheduled'!$J$44)))</f>
        <v>21</v>
      </c>
      <c r="D220" s="17">
        <f t="shared" si="64"/>
        <v>157.5</v>
      </c>
      <c r="E220" s="127">
        <f t="shared" si="65"/>
        <v>152</v>
      </c>
      <c r="F220" s="111"/>
      <c r="G220" s="130">
        <f>INDEX(July!$C$3:$AH$169,3,MATCH(B220,July!$D$3:$AH$3)+1)+INDEX(July!$C$3:$AH$169,8,MATCH(B220,July!$D$3:$AH$3)+1)+INDEX(July!$C$3:$AH$169,13,MATCH(B220,July!$D$3:$AH$3)+1)+INDEX(July!$C$3:$AH$169,18,MATCH(B220,July!$D$3:$AH$3)+1)+INDEX(July!$C$3:$AH$169,23,MATCH(B220,July!$D$3:$AH$3)+1)+INDEX(July!$C$3:$AH$169,28,MATCH(B220,July!$D$3:$AH$3)+1)+INDEX(July!$C$3:$AH$169,33,MATCH(B220,July!$D$3:$AH$3)+1)+INDEX(July!$C$3:$AH$169,38,MATCH(B220,July!$D$3:$AH$3)+1)+INDEX(July!$C$3:$AH$169,43,MATCH(B220,July!$D$3:$AH$3)+1)+INDEX(July!$C$3:$AH$169,48,MATCH(B220,July!$D$3:$AH$3)+1)+INDEX(July!$C$3:$AH$169,53,MATCH(B220,July!$D$3:$AH$3)+1)+INDEX(July!$C$3:$AH$169,58,MATCH(B220,July!$D$3:$AH$3)+1)+INDEX(July!$C$3:$AH$169,63,MATCH(B220,July!$D$3:$AH$3)+1)+INDEX(July!$C$3:$AH$169,68,MATCH(B220,July!$D$3:$AH$3)+1)+INDEX(July!$C$3:$AH$169,73,MATCH(B220,July!$D$3:$AH$3)+1)+INDEX(July!$C$3:$AH$169,78,MATCH(B220,July!$D$3:$AH$3)+1)+INDEX(July!$C$3:$AH$169,83,MATCH(B220,July!$D$3:$AH$3)+1)+INDEX(July!$C$3:$AH$169,88,MATCH(B220,July!$D$3:$AH$3)+1)+INDEX(July!$C$3:$AH$169,93,MATCH(B220,July!$D$3:$AH$3)+1)+INDEX(July!$C$3:$AH$169,98,MATCH(B220,July!$D$3:$AH$3)+1)+INDEX(July!$C$3:$AH$169,103,MATCH(B220,July!$D$3:$AH$3)+1)+INDEX(July!$C$3:$AH$169,108,MATCH(B220,July!$D$3:$AH$3)+1)+INDEX(July!$C$3:$AH$169,113,MATCH(B220,July!$D$3:$AH$3)+1)+INDEX(July!$C$3:$AH$169,118,MATCH(B220,July!$D$3:$AH$3)+1)+INDEX(July!$C$3:$AH$169,123,MATCH(B220,July!$D$3:$AH$3)+1)+INDEX(July!$C$3:$AH$169,128,MATCH(B220,July!$D$3:$AH$3)+1)+INDEX(July!$C$3:$AH$169,133,MATCH(B220,July!$D$3:$AH$3)+1)+INDEX(July!$C$3:$AH$169,138,MATCH(B220,July!$D$3:$AH$3)+1)+INDEX(July!$C$3:$AH$169,143,MATCH(B220,July!$D$3:$AH$3)+1)+INDEX(July!$C$3:$AH$169,148,MATCH(B220,July!$D$3:$AH$3)+1)-INDEX(July!$B$5:$AH$169,MATCH("Patrick Janssen",July!$B$5:$B$169),MATCH(B220,July!$D$3:$AH$3)+2)-INDEX(July!$B$5:$AH$169,MATCH("Patrick Ziesen",July!$B$5:$B$169),MATCH(B220,July!$D$3:$AH$3)+2)-INDEX(July!$B$5:$AH$169,MATCH("Frido Meijer",July!$B$5:$B$169),MATCH(B220,July!$D$3:$AH$3)+2)</f>
        <v>16</v>
      </c>
      <c r="H220" s="130">
        <f>INDEX(July!$C$3:$AH$169,4,MATCH(B220,July!$D$3:$AH$3)+1)+INDEX(July!$C$3:$AH$169,9,MATCH(B220,July!$D$3:$AH$3)+1)+INDEX(July!$C$3:$AH$169,14,MATCH(B220,July!$D$3:$AH$3)+1)+INDEX(July!$C$3:$AH$169,19,MATCH(B220,July!$D$3:$AH$3)+1)+INDEX(July!$C$3:$AH$169,24,MATCH(B220,July!$D$3:$AH$3)+1)+INDEX(July!$C$3:$AH$169,29,MATCH(B220,July!$D$3:$AH$3)+1)+INDEX(July!$C$3:$AH$169,34,MATCH(B220,July!$D$3:$AH$3)+1)+INDEX(July!$C$3:$AH$169,39,MATCH(B220,July!$D$3:$AH$3)+1)+INDEX(July!$C$3:$AH$169,44,MATCH(B220,July!$D$3:$AH$3)+1)+INDEX(July!$C$3:$AH$169,49,MATCH(B220,July!$D$3:$AH$3)+1)+INDEX(July!$C$3:$AH$169,54,MATCH(B220,July!$D$3:$AH$3)+1)+INDEX(July!$C$3:$AH$169,59,MATCH(B220,July!$D$3:$AH$3)+1)+INDEX(July!$C$3:$AH$169,64,MATCH(B220,July!$D$3:$AH$3)+1)+INDEX(July!$C$3:$AH$169,69,MATCH(B220,July!$D$3:$AH$3)+1)+INDEX(July!$C$3:$AH$169,74,MATCH(B220,July!$D$3:$AH$3)+1)+INDEX(July!$C$3:$AH$169,79,MATCH(B220,July!$D$3:$AH$3)+1)+INDEX(July!$C$3:$AH$169,84,MATCH(B220,July!$D$3:$AH$3)+1)+INDEX(July!$C$3:$AH$169,89,MATCH(B220,July!$D$3:$AH$3)+1)+INDEX(July!$C$3:$AH$169,94,MATCH(B220,July!$D$3:$AH$3)+1)+INDEX(July!$C$3:$AH$169,99,MATCH(B220,July!$D$3:$AH$3)+1)+INDEX(July!$C$3:$AH$169,104,MATCH(B220,July!$D$3:$AH$3)+1)+INDEX(July!$C$3:$AH$169,109,MATCH(B220,July!$D$3:$AH$3)+1)+INDEX(July!$C$3:$AH$169,114,MATCH(B220,July!$D$3:$AH$3)+1)+INDEX(July!$C$3:$AH$169,119,MATCH(B220,July!$D$3:$AH$3)+1)+INDEX(July!$C$3:$AH$169,124,MATCH(B220,July!$D$3:$AH$3)+1)+INDEX(July!$C$3:$AH$169,129,MATCH(B220,July!$D$3:$AH$3)+1)+INDEX(July!$C$3:$AH$169,134,MATCH(B220,July!$D$3:$AH$3)+1)+INDEX(July!$C$3:$AH$169,139,MATCH(B220,July!$D$3:$AH$3)+1)+INDEX(July!$C$3:$AH$169,144,MATCH(B220,July!$D$3:$AH$3)+1)+INDEX(July!$C$3:$AH$169,149,MATCH(B220,July!$D$3:$AH$3)+1)-INDEX(July!$B$5:$AH$169,MATCH("Patrick Janssen",July!$B$5:$B$169)+1,MATCH(B220,July!$D$3:$AH$3)+2)-INDEX(July!$B$5:$AH$169,MATCH("Patrick Ziesen",July!$B$5:$B$169)+1,MATCH(B220,July!$D$3:$AH$3)+2)-INDEX(July!$B$5:$AH$169,MATCH("Frido Meijer",July!$B$5:$B$169)+1,MATCH(B220,July!$D$3:$AH$3)+2)</f>
        <v>0</v>
      </c>
      <c r="I220" s="130">
        <v>0</v>
      </c>
      <c r="J220" s="130">
        <v>0</v>
      </c>
      <c r="L220" s="124"/>
      <c r="M220" s="111"/>
      <c r="N220" s="111">
        <f t="shared" si="61"/>
        <v>0</v>
      </c>
      <c r="P220" s="112">
        <f t="shared" si="66"/>
        <v>0</v>
      </c>
      <c r="Q220" s="112">
        <f t="shared" si="67"/>
        <v>0</v>
      </c>
    </row>
    <row r="221" spans="2:17" x14ac:dyDescent="0.25">
      <c r="B221" s="110">
        <f>DATE(Title!$F$12,$S$11,S27)</f>
        <v>41478</v>
      </c>
      <c r="C221" s="111">
        <f>IF(WEEKDAY(B221)=1,0,IF(WEEKDAY(B221)=4,'Hours Scheduled'!$J$44-1,IF(WEEKDAY(B221)=7,0,'Hours Scheduled'!$J$44)))</f>
        <v>21</v>
      </c>
      <c r="D221" s="17">
        <f t="shared" si="64"/>
        <v>157.5</v>
      </c>
      <c r="E221" s="127">
        <f t="shared" si="65"/>
        <v>152</v>
      </c>
      <c r="F221" s="111"/>
      <c r="G221" s="130">
        <f>INDEX(July!$C$3:$AH$169,3,MATCH(B221,July!$D$3:$AH$3)+1)+INDEX(July!$C$3:$AH$169,8,MATCH(B221,July!$D$3:$AH$3)+1)+INDEX(July!$C$3:$AH$169,13,MATCH(B221,July!$D$3:$AH$3)+1)+INDEX(July!$C$3:$AH$169,18,MATCH(B221,July!$D$3:$AH$3)+1)+INDEX(July!$C$3:$AH$169,23,MATCH(B221,July!$D$3:$AH$3)+1)+INDEX(July!$C$3:$AH$169,28,MATCH(B221,July!$D$3:$AH$3)+1)+INDEX(July!$C$3:$AH$169,33,MATCH(B221,July!$D$3:$AH$3)+1)+INDEX(July!$C$3:$AH$169,38,MATCH(B221,July!$D$3:$AH$3)+1)+INDEX(July!$C$3:$AH$169,43,MATCH(B221,July!$D$3:$AH$3)+1)+INDEX(July!$C$3:$AH$169,48,MATCH(B221,July!$D$3:$AH$3)+1)+INDEX(July!$C$3:$AH$169,53,MATCH(B221,July!$D$3:$AH$3)+1)+INDEX(July!$C$3:$AH$169,58,MATCH(B221,July!$D$3:$AH$3)+1)+INDEX(July!$C$3:$AH$169,63,MATCH(B221,July!$D$3:$AH$3)+1)+INDEX(July!$C$3:$AH$169,68,MATCH(B221,July!$D$3:$AH$3)+1)+INDEX(July!$C$3:$AH$169,73,MATCH(B221,July!$D$3:$AH$3)+1)+INDEX(July!$C$3:$AH$169,78,MATCH(B221,July!$D$3:$AH$3)+1)+INDEX(July!$C$3:$AH$169,83,MATCH(B221,July!$D$3:$AH$3)+1)+INDEX(July!$C$3:$AH$169,88,MATCH(B221,July!$D$3:$AH$3)+1)+INDEX(July!$C$3:$AH$169,93,MATCH(B221,July!$D$3:$AH$3)+1)+INDEX(July!$C$3:$AH$169,98,MATCH(B221,July!$D$3:$AH$3)+1)+INDEX(July!$C$3:$AH$169,103,MATCH(B221,July!$D$3:$AH$3)+1)+INDEX(July!$C$3:$AH$169,108,MATCH(B221,July!$D$3:$AH$3)+1)+INDEX(July!$C$3:$AH$169,113,MATCH(B221,July!$D$3:$AH$3)+1)+INDEX(July!$C$3:$AH$169,118,MATCH(B221,July!$D$3:$AH$3)+1)+INDEX(July!$C$3:$AH$169,123,MATCH(B221,July!$D$3:$AH$3)+1)+INDEX(July!$C$3:$AH$169,128,MATCH(B221,July!$D$3:$AH$3)+1)+INDEX(July!$C$3:$AH$169,133,MATCH(B221,July!$D$3:$AH$3)+1)+INDEX(July!$C$3:$AH$169,138,MATCH(B221,July!$D$3:$AH$3)+1)+INDEX(July!$C$3:$AH$169,143,MATCH(B221,July!$D$3:$AH$3)+1)+INDEX(July!$C$3:$AH$169,148,MATCH(B221,July!$D$3:$AH$3)+1)-INDEX(July!$B$5:$AH$169,MATCH("Patrick Janssen",July!$B$5:$B$169),MATCH(B221,July!$D$3:$AH$3)+2)-INDEX(July!$B$5:$AH$169,MATCH("Patrick Ziesen",July!$B$5:$B$169),MATCH(B221,July!$D$3:$AH$3)+2)-INDEX(July!$B$5:$AH$169,MATCH("Frido Meijer",July!$B$5:$B$169),MATCH(B221,July!$D$3:$AH$3)+2)</f>
        <v>16</v>
      </c>
      <c r="H221" s="130">
        <f>INDEX(July!$C$3:$AH$169,4,MATCH(B221,July!$D$3:$AH$3)+1)+INDEX(July!$C$3:$AH$169,9,MATCH(B221,July!$D$3:$AH$3)+1)+INDEX(July!$C$3:$AH$169,14,MATCH(B221,July!$D$3:$AH$3)+1)+INDEX(July!$C$3:$AH$169,19,MATCH(B221,July!$D$3:$AH$3)+1)+INDEX(July!$C$3:$AH$169,24,MATCH(B221,July!$D$3:$AH$3)+1)+INDEX(July!$C$3:$AH$169,29,MATCH(B221,July!$D$3:$AH$3)+1)+INDEX(July!$C$3:$AH$169,34,MATCH(B221,July!$D$3:$AH$3)+1)+INDEX(July!$C$3:$AH$169,39,MATCH(B221,July!$D$3:$AH$3)+1)+INDEX(July!$C$3:$AH$169,44,MATCH(B221,July!$D$3:$AH$3)+1)+INDEX(July!$C$3:$AH$169,49,MATCH(B221,July!$D$3:$AH$3)+1)+INDEX(July!$C$3:$AH$169,54,MATCH(B221,July!$D$3:$AH$3)+1)+INDEX(July!$C$3:$AH$169,59,MATCH(B221,July!$D$3:$AH$3)+1)+INDEX(July!$C$3:$AH$169,64,MATCH(B221,July!$D$3:$AH$3)+1)+INDEX(July!$C$3:$AH$169,69,MATCH(B221,July!$D$3:$AH$3)+1)+INDEX(July!$C$3:$AH$169,74,MATCH(B221,July!$D$3:$AH$3)+1)+INDEX(July!$C$3:$AH$169,79,MATCH(B221,July!$D$3:$AH$3)+1)+INDEX(July!$C$3:$AH$169,84,MATCH(B221,July!$D$3:$AH$3)+1)+INDEX(July!$C$3:$AH$169,89,MATCH(B221,July!$D$3:$AH$3)+1)+INDEX(July!$C$3:$AH$169,94,MATCH(B221,July!$D$3:$AH$3)+1)+INDEX(July!$C$3:$AH$169,99,MATCH(B221,July!$D$3:$AH$3)+1)+INDEX(July!$C$3:$AH$169,104,MATCH(B221,July!$D$3:$AH$3)+1)+INDEX(July!$C$3:$AH$169,109,MATCH(B221,July!$D$3:$AH$3)+1)+INDEX(July!$C$3:$AH$169,114,MATCH(B221,July!$D$3:$AH$3)+1)+INDEX(July!$C$3:$AH$169,119,MATCH(B221,July!$D$3:$AH$3)+1)+INDEX(July!$C$3:$AH$169,124,MATCH(B221,July!$D$3:$AH$3)+1)+INDEX(July!$C$3:$AH$169,129,MATCH(B221,July!$D$3:$AH$3)+1)+INDEX(July!$C$3:$AH$169,134,MATCH(B221,July!$D$3:$AH$3)+1)+INDEX(July!$C$3:$AH$169,139,MATCH(B221,July!$D$3:$AH$3)+1)+INDEX(July!$C$3:$AH$169,144,MATCH(B221,July!$D$3:$AH$3)+1)+INDEX(July!$C$3:$AH$169,149,MATCH(B221,July!$D$3:$AH$3)+1)-INDEX(July!$B$5:$AH$169,MATCH("Patrick Janssen",July!$B$5:$B$169)+1,MATCH(B221,July!$D$3:$AH$3)+2)-INDEX(July!$B$5:$AH$169,MATCH("Patrick Ziesen",July!$B$5:$B$169)+1,MATCH(B221,July!$D$3:$AH$3)+2)-INDEX(July!$B$5:$AH$169,MATCH("Frido Meijer",July!$B$5:$B$169)+1,MATCH(B221,July!$D$3:$AH$3)+2)</f>
        <v>0</v>
      </c>
      <c r="I221" s="130">
        <v>0</v>
      </c>
      <c r="J221" s="130">
        <v>0</v>
      </c>
      <c r="L221" s="124"/>
      <c r="M221" s="111"/>
      <c r="N221" s="111">
        <f t="shared" si="61"/>
        <v>0</v>
      </c>
      <c r="P221" s="112">
        <f t="shared" si="66"/>
        <v>0</v>
      </c>
      <c r="Q221" s="112">
        <f t="shared" si="67"/>
        <v>0</v>
      </c>
    </row>
    <row r="222" spans="2:17" x14ac:dyDescent="0.25">
      <c r="B222" s="110">
        <f>DATE(Title!$F$12,$S$11,S28)</f>
        <v>41479</v>
      </c>
      <c r="C222" s="111">
        <f>IF(WEEKDAY(B222)=1,0,IF(WEEKDAY(B222)=4,'Hours Scheduled'!$J$44-1,IF(WEEKDAY(B222)=7,0,'Hours Scheduled'!$J$44)))</f>
        <v>20</v>
      </c>
      <c r="D222" s="17">
        <f t="shared" si="64"/>
        <v>150</v>
      </c>
      <c r="E222" s="127">
        <f t="shared" si="65"/>
        <v>144</v>
      </c>
      <c r="F222" s="111"/>
      <c r="G222" s="130">
        <f>INDEX(July!$C$3:$AH$169,3,MATCH(B222,July!$D$3:$AH$3)+1)+INDEX(July!$C$3:$AH$169,8,MATCH(B222,July!$D$3:$AH$3)+1)+INDEX(July!$C$3:$AH$169,13,MATCH(B222,July!$D$3:$AH$3)+1)+INDEX(July!$C$3:$AH$169,18,MATCH(B222,July!$D$3:$AH$3)+1)+INDEX(July!$C$3:$AH$169,23,MATCH(B222,July!$D$3:$AH$3)+1)+INDEX(July!$C$3:$AH$169,28,MATCH(B222,July!$D$3:$AH$3)+1)+INDEX(July!$C$3:$AH$169,33,MATCH(B222,July!$D$3:$AH$3)+1)+INDEX(July!$C$3:$AH$169,38,MATCH(B222,July!$D$3:$AH$3)+1)+INDEX(July!$C$3:$AH$169,43,MATCH(B222,July!$D$3:$AH$3)+1)+INDEX(July!$C$3:$AH$169,48,MATCH(B222,July!$D$3:$AH$3)+1)+INDEX(July!$C$3:$AH$169,53,MATCH(B222,July!$D$3:$AH$3)+1)+INDEX(July!$C$3:$AH$169,58,MATCH(B222,July!$D$3:$AH$3)+1)+INDEX(July!$C$3:$AH$169,63,MATCH(B222,July!$D$3:$AH$3)+1)+INDEX(July!$C$3:$AH$169,68,MATCH(B222,July!$D$3:$AH$3)+1)+INDEX(July!$C$3:$AH$169,73,MATCH(B222,July!$D$3:$AH$3)+1)+INDEX(July!$C$3:$AH$169,78,MATCH(B222,July!$D$3:$AH$3)+1)+INDEX(July!$C$3:$AH$169,83,MATCH(B222,July!$D$3:$AH$3)+1)+INDEX(July!$C$3:$AH$169,88,MATCH(B222,July!$D$3:$AH$3)+1)+INDEX(July!$C$3:$AH$169,93,MATCH(B222,July!$D$3:$AH$3)+1)+INDEX(July!$C$3:$AH$169,98,MATCH(B222,July!$D$3:$AH$3)+1)+INDEX(July!$C$3:$AH$169,103,MATCH(B222,July!$D$3:$AH$3)+1)+INDEX(July!$C$3:$AH$169,108,MATCH(B222,July!$D$3:$AH$3)+1)+INDEX(July!$C$3:$AH$169,113,MATCH(B222,July!$D$3:$AH$3)+1)+INDEX(July!$C$3:$AH$169,118,MATCH(B222,July!$D$3:$AH$3)+1)+INDEX(July!$C$3:$AH$169,123,MATCH(B222,July!$D$3:$AH$3)+1)+INDEX(July!$C$3:$AH$169,128,MATCH(B222,July!$D$3:$AH$3)+1)+INDEX(July!$C$3:$AH$169,133,MATCH(B222,July!$D$3:$AH$3)+1)+INDEX(July!$C$3:$AH$169,138,MATCH(B222,July!$D$3:$AH$3)+1)+INDEX(July!$C$3:$AH$169,143,MATCH(B222,July!$D$3:$AH$3)+1)+INDEX(July!$C$3:$AH$169,148,MATCH(B222,July!$D$3:$AH$3)+1)-INDEX(July!$B$5:$AH$169,MATCH("Patrick Janssen",July!$B$5:$B$169),MATCH(B222,July!$D$3:$AH$3)+2)-INDEX(July!$B$5:$AH$169,MATCH("Patrick Ziesen",July!$B$5:$B$169),MATCH(B222,July!$D$3:$AH$3)+2)-INDEX(July!$B$5:$AH$169,MATCH("Frido Meijer",July!$B$5:$B$169),MATCH(B222,July!$D$3:$AH$3)+2)</f>
        <v>16</v>
      </c>
      <c r="H222" s="130">
        <f>INDEX(July!$C$3:$AH$169,4,MATCH(B222,July!$D$3:$AH$3)+1)+INDEX(July!$C$3:$AH$169,9,MATCH(B222,July!$D$3:$AH$3)+1)+INDEX(July!$C$3:$AH$169,14,MATCH(B222,July!$D$3:$AH$3)+1)+INDEX(July!$C$3:$AH$169,19,MATCH(B222,July!$D$3:$AH$3)+1)+INDEX(July!$C$3:$AH$169,24,MATCH(B222,July!$D$3:$AH$3)+1)+INDEX(July!$C$3:$AH$169,29,MATCH(B222,July!$D$3:$AH$3)+1)+INDEX(July!$C$3:$AH$169,34,MATCH(B222,July!$D$3:$AH$3)+1)+INDEX(July!$C$3:$AH$169,39,MATCH(B222,July!$D$3:$AH$3)+1)+INDEX(July!$C$3:$AH$169,44,MATCH(B222,July!$D$3:$AH$3)+1)+INDEX(July!$C$3:$AH$169,49,MATCH(B222,July!$D$3:$AH$3)+1)+INDEX(July!$C$3:$AH$169,54,MATCH(B222,July!$D$3:$AH$3)+1)+INDEX(July!$C$3:$AH$169,59,MATCH(B222,July!$D$3:$AH$3)+1)+INDEX(July!$C$3:$AH$169,64,MATCH(B222,July!$D$3:$AH$3)+1)+INDEX(July!$C$3:$AH$169,69,MATCH(B222,July!$D$3:$AH$3)+1)+INDEX(July!$C$3:$AH$169,74,MATCH(B222,July!$D$3:$AH$3)+1)+INDEX(July!$C$3:$AH$169,79,MATCH(B222,July!$D$3:$AH$3)+1)+INDEX(July!$C$3:$AH$169,84,MATCH(B222,July!$D$3:$AH$3)+1)+INDEX(July!$C$3:$AH$169,89,MATCH(B222,July!$D$3:$AH$3)+1)+INDEX(July!$C$3:$AH$169,94,MATCH(B222,July!$D$3:$AH$3)+1)+INDEX(July!$C$3:$AH$169,99,MATCH(B222,July!$D$3:$AH$3)+1)+INDEX(July!$C$3:$AH$169,104,MATCH(B222,July!$D$3:$AH$3)+1)+INDEX(July!$C$3:$AH$169,109,MATCH(B222,July!$D$3:$AH$3)+1)+INDEX(July!$C$3:$AH$169,114,MATCH(B222,July!$D$3:$AH$3)+1)+INDEX(July!$C$3:$AH$169,119,MATCH(B222,July!$D$3:$AH$3)+1)+INDEX(July!$C$3:$AH$169,124,MATCH(B222,July!$D$3:$AH$3)+1)+INDEX(July!$C$3:$AH$169,129,MATCH(B222,July!$D$3:$AH$3)+1)+INDEX(July!$C$3:$AH$169,134,MATCH(B222,July!$D$3:$AH$3)+1)+INDEX(July!$C$3:$AH$169,139,MATCH(B222,July!$D$3:$AH$3)+1)+INDEX(July!$C$3:$AH$169,144,MATCH(B222,July!$D$3:$AH$3)+1)+INDEX(July!$C$3:$AH$169,149,MATCH(B222,July!$D$3:$AH$3)+1)-INDEX(July!$B$5:$AH$169,MATCH("Patrick Janssen",July!$B$5:$B$169)+1,MATCH(B222,July!$D$3:$AH$3)+2)-INDEX(July!$B$5:$AH$169,MATCH("Patrick Ziesen",July!$B$5:$B$169)+1,MATCH(B222,July!$D$3:$AH$3)+2)-INDEX(July!$B$5:$AH$169,MATCH("Frido Meijer",July!$B$5:$B$169)+1,MATCH(B222,July!$D$3:$AH$3)+2)</f>
        <v>0</v>
      </c>
      <c r="I222" s="130">
        <v>0</v>
      </c>
      <c r="J222" s="130">
        <v>0</v>
      </c>
      <c r="L222" s="124"/>
      <c r="M222" s="111"/>
      <c r="N222" s="111">
        <f t="shared" si="61"/>
        <v>0</v>
      </c>
      <c r="P222" s="112">
        <f t="shared" si="66"/>
        <v>0</v>
      </c>
      <c r="Q222" s="112">
        <f t="shared" si="67"/>
        <v>0</v>
      </c>
    </row>
    <row r="223" spans="2:17" x14ac:dyDescent="0.25">
      <c r="B223" s="110">
        <f>DATE(Title!$F$12,$S$11,S29)</f>
        <v>41480</v>
      </c>
      <c r="C223" s="111">
        <f>IF(WEEKDAY(B223)=1,0,IF(WEEKDAY(B223)=4,'Hours Scheduled'!$J$44-1,IF(WEEKDAY(B223)=7,0,'Hours Scheduled'!$J$44)))</f>
        <v>21</v>
      </c>
      <c r="D223" s="17">
        <f t="shared" si="64"/>
        <v>157.5</v>
      </c>
      <c r="E223" s="127">
        <f t="shared" si="65"/>
        <v>156</v>
      </c>
      <c r="F223" s="111"/>
      <c r="G223" s="130">
        <f>INDEX(July!$C$3:$AH$169,3,MATCH(B223,July!$D$3:$AH$3)+1)+INDEX(July!$C$3:$AH$169,8,MATCH(B223,July!$D$3:$AH$3)+1)+INDEX(July!$C$3:$AH$169,13,MATCH(B223,July!$D$3:$AH$3)+1)+INDEX(July!$C$3:$AH$169,18,MATCH(B223,July!$D$3:$AH$3)+1)+INDEX(July!$C$3:$AH$169,23,MATCH(B223,July!$D$3:$AH$3)+1)+INDEX(July!$C$3:$AH$169,28,MATCH(B223,July!$D$3:$AH$3)+1)+INDEX(July!$C$3:$AH$169,33,MATCH(B223,July!$D$3:$AH$3)+1)+INDEX(July!$C$3:$AH$169,38,MATCH(B223,July!$D$3:$AH$3)+1)+INDEX(July!$C$3:$AH$169,43,MATCH(B223,July!$D$3:$AH$3)+1)+INDEX(July!$C$3:$AH$169,48,MATCH(B223,July!$D$3:$AH$3)+1)+INDEX(July!$C$3:$AH$169,53,MATCH(B223,July!$D$3:$AH$3)+1)+INDEX(July!$C$3:$AH$169,58,MATCH(B223,July!$D$3:$AH$3)+1)+INDEX(July!$C$3:$AH$169,63,MATCH(B223,July!$D$3:$AH$3)+1)+INDEX(July!$C$3:$AH$169,68,MATCH(B223,July!$D$3:$AH$3)+1)+INDEX(July!$C$3:$AH$169,73,MATCH(B223,July!$D$3:$AH$3)+1)+INDEX(July!$C$3:$AH$169,78,MATCH(B223,July!$D$3:$AH$3)+1)+INDEX(July!$C$3:$AH$169,83,MATCH(B223,July!$D$3:$AH$3)+1)+INDEX(July!$C$3:$AH$169,88,MATCH(B223,July!$D$3:$AH$3)+1)+INDEX(July!$C$3:$AH$169,93,MATCH(B223,July!$D$3:$AH$3)+1)+INDEX(July!$C$3:$AH$169,98,MATCH(B223,July!$D$3:$AH$3)+1)+INDEX(July!$C$3:$AH$169,103,MATCH(B223,July!$D$3:$AH$3)+1)+INDEX(July!$C$3:$AH$169,108,MATCH(B223,July!$D$3:$AH$3)+1)+INDEX(July!$C$3:$AH$169,113,MATCH(B223,July!$D$3:$AH$3)+1)+INDEX(July!$C$3:$AH$169,118,MATCH(B223,July!$D$3:$AH$3)+1)+INDEX(July!$C$3:$AH$169,123,MATCH(B223,July!$D$3:$AH$3)+1)+INDEX(July!$C$3:$AH$169,128,MATCH(B223,July!$D$3:$AH$3)+1)+INDEX(July!$C$3:$AH$169,133,MATCH(B223,July!$D$3:$AH$3)+1)+INDEX(July!$C$3:$AH$169,138,MATCH(B223,July!$D$3:$AH$3)+1)+INDEX(July!$C$3:$AH$169,143,MATCH(B223,July!$D$3:$AH$3)+1)+INDEX(July!$C$3:$AH$169,148,MATCH(B223,July!$D$3:$AH$3)+1)-INDEX(July!$B$5:$AH$169,MATCH("Patrick Janssen",July!$B$5:$B$169),MATCH(B223,July!$D$3:$AH$3)+2)-INDEX(July!$B$5:$AH$169,MATCH("Patrick Ziesen",July!$B$5:$B$169),MATCH(B223,July!$D$3:$AH$3)+2)-INDEX(July!$B$5:$AH$169,MATCH("Frido Meijer",July!$B$5:$B$169),MATCH(B223,July!$D$3:$AH$3)+2)</f>
        <v>12</v>
      </c>
      <c r="H223" s="130">
        <f>INDEX(July!$C$3:$AH$169,4,MATCH(B223,July!$D$3:$AH$3)+1)+INDEX(July!$C$3:$AH$169,9,MATCH(B223,July!$D$3:$AH$3)+1)+INDEX(July!$C$3:$AH$169,14,MATCH(B223,July!$D$3:$AH$3)+1)+INDEX(July!$C$3:$AH$169,19,MATCH(B223,July!$D$3:$AH$3)+1)+INDEX(July!$C$3:$AH$169,24,MATCH(B223,July!$D$3:$AH$3)+1)+INDEX(July!$C$3:$AH$169,29,MATCH(B223,July!$D$3:$AH$3)+1)+INDEX(July!$C$3:$AH$169,34,MATCH(B223,July!$D$3:$AH$3)+1)+INDEX(July!$C$3:$AH$169,39,MATCH(B223,July!$D$3:$AH$3)+1)+INDEX(July!$C$3:$AH$169,44,MATCH(B223,July!$D$3:$AH$3)+1)+INDEX(July!$C$3:$AH$169,49,MATCH(B223,July!$D$3:$AH$3)+1)+INDEX(July!$C$3:$AH$169,54,MATCH(B223,July!$D$3:$AH$3)+1)+INDEX(July!$C$3:$AH$169,59,MATCH(B223,July!$D$3:$AH$3)+1)+INDEX(July!$C$3:$AH$169,64,MATCH(B223,July!$D$3:$AH$3)+1)+INDEX(July!$C$3:$AH$169,69,MATCH(B223,July!$D$3:$AH$3)+1)+INDEX(July!$C$3:$AH$169,74,MATCH(B223,July!$D$3:$AH$3)+1)+INDEX(July!$C$3:$AH$169,79,MATCH(B223,July!$D$3:$AH$3)+1)+INDEX(July!$C$3:$AH$169,84,MATCH(B223,July!$D$3:$AH$3)+1)+INDEX(July!$C$3:$AH$169,89,MATCH(B223,July!$D$3:$AH$3)+1)+INDEX(July!$C$3:$AH$169,94,MATCH(B223,July!$D$3:$AH$3)+1)+INDEX(July!$C$3:$AH$169,99,MATCH(B223,July!$D$3:$AH$3)+1)+INDEX(July!$C$3:$AH$169,104,MATCH(B223,July!$D$3:$AH$3)+1)+INDEX(July!$C$3:$AH$169,109,MATCH(B223,July!$D$3:$AH$3)+1)+INDEX(July!$C$3:$AH$169,114,MATCH(B223,July!$D$3:$AH$3)+1)+INDEX(July!$C$3:$AH$169,119,MATCH(B223,July!$D$3:$AH$3)+1)+INDEX(July!$C$3:$AH$169,124,MATCH(B223,July!$D$3:$AH$3)+1)+INDEX(July!$C$3:$AH$169,129,MATCH(B223,July!$D$3:$AH$3)+1)+INDEX(July!$C$3:$AH$169,134,MATCH(B223,July!$D$3:$AH$3)+1)+INDEX(July!$C$3:$AH$169,139,MATCH(B223,July!$D$3:$AH$3)+1)+INDEX(July!$C$3:$AH$169,144,MATCH(B223,July!$D$3:$AH$3)+1)+INDEX(July!$C$3:$AH$169,149,MATCH(B223,July!$D$3:$AH$3)+1)-INDEX(July!$B$5:$AH$169,MATCH("Patrick Janssen",July!$B$5:$B$169)+1,MATCH(B223,July!$D$3:$AH$3)+2)-INDEX(July!$B$5:$AH$169,MATCH("Patrick Ziesen",July!$B$5:$B$169)+1,MATCH(B223,July!$D$3:$AH$3)+2)-INDEX(July!$B$5:$AH$169,MATCH("Frido Meijer",July!$B$5:$B$169)+1,MATCH(B223,July!$D$3:$AH$3)+2)</f>
        <v>0</v>
      </c>
      <c r="I223" s="130">
        <v>0</v>
      </c>
      <c r="J223" s="130">
        <v>0</v>
      </c>
      <c r="L223" s="124"/>
      <c r="M223" s="111"/>
      <c r="N223" s="111">
        <f t="shared" si="61"/>
        <v>0</v>
      </c>
      <c r="P223" s="112">
        <f t="shared" si="66"/>
        <v>0</v>
      </c>
      <c r="Q223" s="112">
        <f t="shared" si="67"/>
        <v>0</v>
      </c>
    </row>
    <row r="224" spans="2:17" x14ac:dyDescent="0.25">
      <c r="B224" s="110">
        <f>DATE(Title!$F$12,$S$11,S30)</f>
        <v>41481</v>
      </c>
      <c r="C224" s="111">
        <f>IF(WEEKDAY(B224)=1,0,IF(WEEKDAY(B224)=4,'Hours Scheduled'!$J$44-1,IF(WEEKDAY(B224)=7,0,'Hours Scheduled'!$J$44)))</f>
        <v>21</v>
      </c>
      <c r="D224" s="17">
        <f t="shared" si="64"/>
        <v>157.5</v>
      </c>
      <c r="E224" s="127">
        <f t="shared" si="65"/>
        <v>152</v>
      </c>
      <c r="F224" s="111"/>
      <c r="G224" s="130">
        <f>INDEX(July!$C$3:$AH$169,3,MATCH(B224,July!$D$3:$AH$3)+1)+INDEX(July!$C$3:$AH$169,8,MATCH(B224,July!$D$3:$AH$3)+1)+INDEX(July!$C$3:$AH$169,13,MATCH(B224,July!$D$3:$AH$3)+1)+INDEX(July!$C$3:$AH$169,18,MATCH(B224,July!$D$3:$AH$3)+1)+INDEX(July!$C$3:$AH$169,23,MATCH(B224,July!$D$3:$AH$3)+1)+INDEX(July!$C$3:$AH$169,28,MATCH(B224,July!$D$3:$AH$3)+1)+INDEX(July!$C$3:$AH$169,33,MATCH(B224,July!$D$3:$AH$3)+1)+INDEX(July!$C$3:$AH$169,38,MATCH(B224,July!$D$3:$AH$3)+1)+INDEX(July!$C$3:$AH$169,43,MATCH(B224,July!$D$3:$AH$3)+1)+INDEX(July!$C$3:$AH$169,48,MATCH(B224,July!$D$3:$AH$3)+1)+INDEX(July!$C$3:$AH$169,53,MATCH(B224,July!$D$3:$AH$3)+1)+INDEX(July!$C$3:$AH$169,58,MATCH(B224,July!$D$3:$AH$3)+1)+INDEX(July!$C$3:$AH$169,63,MATCH(B224,July!$D$3:$AH$3)+1)+INDEX(July!$C$3:$AH$169,68,MATCH(B224,July!$D$3:$AH$3)+1)+INDEX(July!$C$3:$AH$169,73,MATCH(B224,July!$D$3:$AH$3)+1)+INDEX(July!$C$3:$AH$169,78,MATCH(B224,July!$D$3:$AH$3)+1)+INDEX(July!$C$3:$AH$169,83,MATCH(B224,July!$D$3:$AH$3)+1)+INDEX(July!$C$3:$AH$169,88,MATCH(B224,July!$D$3:$AH$3)+1)+INDEX(July!$C$3:$AH$169,93,MATCH(B224,July!$D$3:$AH$3)+1)+INDEX(July!$C$3:$AH$169,98,MATCH(B224,July!$D$3:$AH$3)+1)+INDEX(July!$C$3:$AH$169,103,MATCH(B224,July!$D$3:$AH$3)+1)+INDEX(July!$C$3:$AH$169,108,MATCH(B224,July!$D$3:$AH$3)+1)+INDEX(July!$C$3:$AH$169,113,MATCH(B224,July!$D$3:$AH$3)+1)+INDEX(July!$C$3:$AH$169,118,MATCH(B224,July!$D$3:$AH$3)+1)+INDEX(July!$C$3:$AH$169,123,MATCH(B224,July!$D$3:$AH$3)+1)+INDEX(July!$C$3:$AH$169,128,MATCH(B224,July!$D$3:$AH$3)+1)+INDEX(July!$C$3:$AH$169,133,MATCH(B224,July!$D$3:$AH$3)+1)+INDEX(July!$C$3:$AH$169,138,MATCH(B224,July!$D$3:$AH$3)+1)+INDEX(July!$C$3:$AH$169,143,MATCH(B224,July!$D$3:$AH$3)+1)+INDEX(July!$C$3:$AH$169,148,MATCH(B224,July!$D$3:$AH$3)+1)-INDEX(July!$B$5:$AH$169,MATCH("Patrick Janssen",July!$B$5:$B$169),MATCH(B224,July!$D$3:$AH$3)+2)-INDEX(July!$B$5:$AH$169,MATCH("Patrick Ziesen",July!$B$5:$B$169),MATCH(B224,July!$D$3:$AH$3)+2)-INDEX(July!$B$5:$AH$169,MATCH("Frido Meijer",July!$B$5:$B$169),MATCH(B224,July!$D$3:$AH$3)+2)</f>
        <v>16</v>
      </c>
      <c r="H224" s="130">
        <f>INDEX(July!$C$3:$AH$169,4,MATCH(B224,July!$D$3:$AH$3)+1)+INDEX(July!$C$3:$AH$169,9,MATCH(B224,July!$D$3:$AH$3)+1)+INDEX(July!$C$3:$AH$169,14,MATCH(B224,July!$D$3:$AH$3)+1)+INDEX(July!$C$3:$AH$169,19,MATCH(B224,July!$D$3:$AH$3)+1)+INDEX(July!$C$3:$AH$169,24,MATCH(B224,July!$D$3:$AH$3)+1)+INDEX(July!$C$3:$AH$169,29,MATCH(B224,July!$D$3:$AH$3)+1)+INDEX(July!$C$3:$AH$169,34,MATCH(B224,July!$D$3:$AH$3)+1)+INDEX(July!$C$3:$AH$169,39,MATCH(B224,July!$D$3:$AH$3)+1)+INDEX(July!$C$3:$AH$169,44,MATCH(B224,July!$D$3:$AH$3)+1)+INDEX(July!$C$3:$AH$169,49,MATCH(B224,July!$D$3:$AH$3)+1)+INDEX(July!$C$3:$AH$169,54,MATCH(B224,July!$D$3:$AH$3)+1)+INDEX(July!$C$3:$AH$169,59,MATCH(B224,July!$D$3:$AH$3)+1)+INDEX(July!$C$3:$AH$169,64,MATCH(B224,July!$D$3:$AH$3)+1)+INDEX(July!$C$3:$AH$169,69,MATCH(B224,July!$D$3:$AH$3)+1)+INDEX(July!$C$3:$AH$169,74,MATCH(B224,July!$D$3:$AH$3)+1)+INDEX(July!$C$3:$AH$169,79,MATCH(B224,July!$D$3:$AH$3)+1)+INDEX(July!$C$3:$AH$169,84,MATCH(B224,July!$D$3:$AH$3)+1)+INDEX(July!$C$3:$AH$169,89,MATCH(B224,July!$D$3:$AH$3)+1)+INDEX(July!$C$3:$AH$169,94,MATCH(B224,July!$D$3:$AH$3)+1)+INDEX(July!$C$3:$AH$169,99,MATCH(B224,July!$D$3:$AH$3)+1)+INDEX(July!$C$3:$AH$169,104,MATCH(B224,July!$D$3:$AH$3)+1)+INDEX(July!$C$3:$AH$169,109,MATCH(B224,July!$D$3:$AH$3)+1)+INDEX(July!$C$3:$AH$169,114,MATCH(B224,July!$D$3:$AH$3)+1)+INDEX(July!$C$3:$AH$169,119,MATCH(B224,July!$D$3:$AH$3)+1)+INDEX(July!$C$3:$AH$169,124,MATCH(B224,July!$D$3:$AH$3)+1)+INDEX(July!$C$3:$AH$169,129,MATCH(B224,July!$D$3:$AH$3)+1)+INDEX(July!$C$3:$AH$169,134,MATCH(B224,July!$D$3:$AH$3)+1)+INDEX(July!$C$3:$AH$169,139,MATCH(B224,July!$D$3:$AH$3)+1)+INDEX(July!$C$3:$AH$169,144,MATCH(B224,July!$D$3:$AH$3)+1)+INDEX(July!$C$3:$AH$169,149,MATCH(B224,July!$D$3:$AH$3)+1)-INDEX(July!$B$5:$AH$169,MATCH("Patrick Janssen",July!$B$5:$B$169)+1,MATCH(B224,July!$D$3:$AH$3)+2)-INDEX(July!$B$5:$AH$169,MATCH("Patrick Ziesen",July!$B$5:$B$169)+1,MATCH(B224,July!$D$3:$AH$3)+2)-INDEX(July!$B$5:$AH$169,MATCH("Frido Meijer",July!$B$5:$B$169)+1,MATCH(B224,July!$D$3:$AH$3)+2)</f>
        <v>0</v>
      </c>
      <c r="I224" s="130">
        <v>0</v>
      </c>
      <c r="J224" s="130">
        <v>0</v>
      </c>
      <c r="L224" s="124"/>
      <c r="M224" s="111"/>
      <c r="N224" s="111">
        <f t="shared" si="61"/>
        <v>0</v>
      </c>
      <c r="P224" s="112">
        <f t="shared" si="66"/>
        <v>0</v>
      </c>
      <c r="Q224" s="112">
        <f t="shared" si="67"/>
        <v>0</v>
      </c>
    </row>
    <row r="225" spans="2:17" x14ac:dyDescent="0.25">
      <c r="B225" s="110">
        <f>DATE(Title!$F$12,$S$11,S31)</f>
        <v>41482</v>
      </c>
      <c r="C225" s="111">
        <f>IF(WEEKDAY(B225)=1,0,IF(WEEKDAY(B225)=4,'Hours Scheduled'!$J$44-1,IF(WEEKDAY(B225)=7,0,'Hours Scheduled'!$J$44)))</f>
        <v>0</v>
      </c>
      <c r="D225" s="17">
        <f t="shared" si="64"/>
        <v>0</v>
      </c>
      <c r="E225" s="127">
        <f>C225*8-G225-H225</f>
        <v>0</v>
      </c>
      <c r="F225" s="111"/>
      <c r="G225" s="130">
        <f>INDEX(July!$C$3:$AH$169,3,MATCH(B225,July!$D$3:$AH$3)+1)+INDEX(July!$C$3:$AH$169,8,MATCH(B225,July!$D$3:$AH$3)+1)+INDEX(July!$C$3:$AH$169,13,MATCH(B225,July!$D$3:$AH$3)+1)+INDEX(July!$C$3:$AH$169,18,MATCH(B225,July!$D$3:$AH$3)+1)+INDEX(July!$C$3:$AH$169,23,MATCH(B225,July!$D$3:$AH$3)+1)+INDEX(July!$C$3:$AH$169,28,MATCH(B225,July!$D$3:$AH$3)+1)+INDEX(July!$C$3:$AH$169,33,MATCH(B225,July!$D$3:$AH$3)+1)+INDEX(July!$C$3:$AH$169,38,MATCH(B225,July!$D$3:$AH$3)+1)+INDEX(July!$C$3:$AH$169,43,MATCH(B225,July!$D$3:$AH$3)+1)+INDEX(July!$C$3:$AH$169,48,MATCH(B225,July!$D$3:$AH$3)+1)+INDEX(July!$C$3:$AH$169,53,MATCH(B225,July!$D$3:$AH$3)+1)+INDEX(July!$C$3:$AH$169,58,MATCH(B225,July!$D$3:$AH$3)+1)+INDEX(July!$C$3:$AH$169,63,MATCH(B225,July!$D$3:$AH$3)+1)+INDEX(July!$C$3:$AH$169,68,MATCH(B225,July!$D$3:$AH$3)+1)+INDEX(July!$C$3:$AH$169,73,MATCH(B225,July!$D$3:$AH$3)+1)+INDEX(July!$C$3:$AH$169,78,MATCH(B225,July!$D$3:$AH$3)+1)+INDEX(July!$C$3:$AH$169,83,MATCH(B225,July!$D$3:$AH$3)+1)+INDEX(July!$C$3:$AH$169,88,MATCH(B225,July!$D$3:$AH$3)+1)+INDEX(July!$C$3:$AH$169,93,MATCH(B225,July!$D$3:$AH$3)+1)+INDEX(July!$C$3:$AH$169,98,MATCH(B225,July!$D$3:$AH$3)+1)+INDEX(July!$C$3:$AH$169,103,MATCH(B225,July!$D$3:$AH$3)+1)+INDEX(July!$C$3:$AH$169,108,MATCH(B225,July!$D$3:$AH$3)+1)+INDEX(July!$C$3:$AH$169,113,MATCH(B225,July!$D$3:$AH$3)+1)+INDEX(July!$C$3:$AH$169,118,MATCH(B225,July!$D$3:$AH$3)+1)+INDEX(July!$C$3:$AH$169,123,MATCH(B225,July!$D$3:$AH$3)+1)+INDEX(July!$C$3:$AH$169,128,MATCH(B225,July!$D$3:$AH$3)+1)+INDEX(July!$C$3:$AH$169,133,MATCH(B225,July!$D$3:$AH$3)+1)+INDEX(July!$C$3:$AH$169,138,MATCH(B225,July!$D$3:$AH$3)+1)+INDEX(July!$C$3:$AH$169,143,MATCH(B225,July!$D$3:$AH$3)+1)+INDEX(July!$C$3:$AH$169,148,MATCH(B225,July!$D$3:$AH$3)+1)-INDEX(July!$B$5:$AH$169,MATCH("Patrick Janssen",July!$B$5:$B$169),MATCH(B225,July!$D$3:$AH$3)+2)-INDEX(July!$B$5:$AH$169,MATCH("Patrick Ziesen",July!$B$5:$B$169),MATCH(B225,July!$D$3:$AH$3)+2)-INDEX(July!$B$5:$AH$169,MATCH("Frido Meijer",July!$B$5:$B$169),MATCH(B225,July!$D$3:$AH$3)+2)</f>
        <v>0</v>
      </c>
      <c r="H225" s="130">
        <f>INDEX(July!$C$3:$AH$169,4,MATCH(B225,July!$D$3:$AH$3)+1)+INDEX(July!$C$3:$AH$169,9,MATCH(B225,July!$D$3:$AH$3)+1)+INDEX(July!$C$3:$AH$169,14,MATCH(B225,July!$D$3:$AH$3)+1)+INDEX(July!$C$3:$AH$169,19,MATCH(B225,July!$D$3:$AH$3)+1)+INDEX(July!$C$3:$AH$169,24,MATCH(B225,July!$D$3:$AH$3)+1)+INDEX(July!$C$3:$AH$169,29,MATCH(B225,July!$D$3:$AH$3)+1)+INDEX(July!$C$3:$AH$169,34,MATCH(B225,July!$D$3:$AH$3)+1)+INDEX(July!$C$3:$AH$169,39,MATCH(B225,July!$D$3:$AH$3)+1)+INDEX(July!$C$3:$AH$169,44,MATCH(B225,July!$D$3:$AH$3)+1)+INDEX(July!$C$3:$AH$169,49,MATCH(B225,July!$D$3:$AH$3)+1)+INDEX(July!$C$3:$AH$169,54,MATCH(B225,July!$D$3:$AH$3)+1)+INDEX(July!$C$3:$AH$169,59,MATCH(B225,July!$D$3:$AH$3)+1)+INDEX(July!$C$3:$AH$169,64,MATCH(B225,July!$D$3:$AH$3)+1)+INDEX(July!$C$3:$AH$169,69,MATCH(B225,July!$D$3:$AH$3)+1)+INDEX(July!$C$3:$AH$169,74,MATCH(B225,July!$D$3:$AH$3)+1)+INDEX(July!$C$3:$AH$169,79,MATCH(B225,July!$D$3:$AH$3)+1)+INDEX(July!$C$3:$AH$169,84,MATCH(B225,July!$D$3:$AH$3)+1)+INDEX(July!$C$3:$AH$169,89,MATCH(B225,July!$D$3:$AH$3)+1)+INDEX(July!$C$3:$AH$169,94,MATCH(B225,July!$D$3:$AH$3)+1)+INDEX(July!$C$3:$AH$169,99,MATCH(B225,July!$D$3:$AH$3)+1)+INDEX(July!$C$3:$AH$169,104,MATCH(B225,July!$D$3:$AH$3)+1)+INDEX(July!$C$3:$AH$169,109,MATCH(B225,July!$D$3:$AH$3)+1)+INDEX(July!$C$3:$AH$169,114,MATCH(B225,July!$D$3:$AH$3)+1)+INDEX(July!$C$3:$AH$169,119,MATCH(B225,July!$D$3:$AH$3)+1)+INDEX(July!$C$3:$AH$169,124,MATCH(B225,July!$D$3:$AH$3)+1)+INDEX(July!$C$3:$AH$169,129,MATCH(B225,July!$D$3:$AH$3)+1)+INDEX(July!$C$3:$AH$169,134,MATCH(B225,July!$D$3:$AH$3)+1)+INDEX(July!$C$3:$AH$169,139,MATCH(B225,July!$D$3:$AH$3)+1)+INDEX(July!$C$3:$AH$169,144,MATCH(B225,July!$D$3:$AH$3)+1)+INDEX(July!$C$3:$AH$169,149,MATCH(B225,July!$D$3:$AH$3)+1)-INDEX(July!$B$5:$AH$169,MATCH("Patrick Janssen",July!$B$5:$B$169)+1,MATCH(B225,July!$D$3:$AH$3)+2)-INDEX(July!$B$5:$AH$169,MATCH("Patrick Ziesen",July!$B$5:$B$169)+1,MATCH(B225,July!$D$3:$AH$3)+2)-INDEX(July!$B$5:$AH$169,MATCH("Frido Meijer",July!$B$5:$B$169)+1,MATCH(B225,July!$D$3:$AH$3)+2)</f>
        <v>0</v>
      </c>
      <c r="I225" s="130">
        <v>0</v>
      </c>
      <c r="J225" s="130">
        <v>0</v>
      </c>
      <c r="L225" s="124"/>
      <c r="M225" s="111"/>
      <c r="N225" s="111">
        <f t="shared" si="61"/>
        <v>0</v>
      </c>
      <c r="P225" s="112" t="str">
        <f t="shared" si="66"/>
        <v/>
      </c>
      <c r="Q225" s="112" t="str">
        <f t="shared" si="67"/>
        <v/>
      </c>
    </row>
    <row r="226" spans="2:17" x14ac:dyDescent="0.25">
      <c r="B226" s="110">
        <f>DATE(Title!$F$12,$S$11,S32)</f>
        <v>41483</v>
      </c>
      <c r="C226" s="111">
        <f>IF(WEEKDAY(B226)=1,0,IF(WEEKDAY(B226)=4,'Hours Scheduled'!$J$44-1,IF(WEEKDAY(B226)=7,0,'Hours Scheduled'!$J$44)))</f>
        <v>0</v>
      </c>
      <c r="D226" s="17">
        <f t="shared" si="64"/>
        <v>0</v>
      </c>
      <c r="E226" s="127">
        <f t="shared" si="65"/>
        <v>0</v>
      </c>
      <c r="F226" s="111"/>
      <c r="G226" s="130">
        <f>INDEX(July!$C$3:$AH$169,3,MATCH(B226,July!$D$3:$AH$3)+1)+INDEX(July!$C$3:$AH$169,8,MATCH(B226,July!$D$3:$AH$3)+1)+INDEX(July!$C$3:$AH$169,13,MATCH(B226,July!$D$3:$AH$3)+1)+INDEX(July!$C$3:$AH$169,18,MATCH(B226,July!$D$3:$AH$3)+1)+INDEX(July!$C$3:$AH$169,23,MATCH(B226,July!$D$3:$AH$3)+1)+INDEX(July!$C$3:$AH$169,28,MATCH(B226,July!$D$3:$AH$3)+1)+INDEX(July!$C$3:$AH$169,33,MATCH(B226,July!$D$3:$AH$3)+1)+INDEX(July!$C$3:$AH$169,38,MATCH(B226,July!$D$3:$AH$3)+1)+INDEX(July!$C$3:$AH$169,43,MATCH(B226,July!$D$3:$AH$3)+1)+INDEX(July!$C$3:$AH$169,48,MATCH(B226,July!$D$3:$AH$3)+1)+INDEX(July!$C$3:$AH$169,53,MATCH(B226,July!$D$3:$AH$3)+1)+INDEX(July!$C$3:$AH$169,58,MATCH(B226,July!$D$3:$AH$3)+1)+INDEX(July!$C$3:$AH$169,63,MATCH(B226,July!$D$3:$AH$3)+1)+INDEX(July!$C$3:$AH$169,68,MATCH(B226,July!$D$3:$AH$3)+1)+INDEX(July!$C$3:$AH$169,73,MATCH(B226,July!$D$3:$AH$3)+1)+INDEX(July!$C$3:$AH$169,78,MATCH(B226,July!$D$3:$AH$3)+1)+INDEX(July!$C$3:$AH$169,83,MATCH(B226,July!$D$3:$AH$3)+1)+INDEX(July!$C$3:$AH$169,88,MATCH(B226,July!$D$3:$AH$3)+1)+INDEX(July!$C$3:$AH$169,93,MATCH(B226,July!$D$3:$AH$3)+1)+INDEX(July!$C$3:$AH$169,98,MATCH(B226,July!$D$3:$AH$3)+1)+INDEX(July!$C$3:$AH$169,103,MATCH(B226,July!$D$3:$AH$3)+1)+INDEX(July!$C$3:$AH$169,108,MATCH(B226,July!$D$3:$AH$3)+1)+INDEX(July!$C$3:$AH$169,113,MATCH(B226,July!$D$3:$AH$3)+1)+INDEX(July!$C$3:$AH$169,118,MATCH(B226,July!$D$3:$AH$3)+1)+INDEX(July!$C$3:$AH$169,123,MATCH(B226,July!$D$3:$AH$3)+1)+INDEX(July!$C$3:$AH$169,128,MATCH(B226,July!$D$3:$AH$3)+1)+INDEX(July!$C$3:$AH$169,133,MATCH(B226,July!$D$3:$AH$3)+1)+INDEX(July!$C$3:$AH$169,138,MATCH(B226,July!$D$3:$AH$3)+1)+INDEX(July!$C$3:$AH$169,143,MATCH(B226,July!$D$3:$AH$3)+1)+INDEX(July!$C$3:$AH$169,148,MATCH(B226,July!$D$3:$AH$3)+1)-INDEX(July!$B$5:$AH$169,MATCH("Patrick Janssen",July!$B$5:$B$169),MATCH(B226,July!$D$3:$AH$3)+2)-INDEX(July!$B$5:$AH$169,MATCH("Patrick Ziesen",July!$B$5:$B$169),MATCH(B226,July!$D$3:$AH$3)+2)-INDEX(July!$B$5:$AH$169,MATCH("Frido Meijer",July!$B$5:$B$169),MATCH(B226,July!$D$3:$AH$3)+2)</f>
        <v>0</v>
      </c>
      <c r="H226" s="130">
        <f>INDEX(July!$C$3:$AH$169,4,MATCH(B226,July!$D$3:$AH$3)+1)+INDEX(July!$C$3:$AH$169,9,MATCH(B226,July!$D$3:$AH$3)+1)+INDEX(July!$C$3:$AH$169,14,MATCH(B226,July!$D$3:$AH$3)+1)+INDEX(July!$C$3:$AH$169,19,MATCH(B226,July!$D$3:$AH$3)+1)+INDEX(July!$C$3:$AH$169,24,MATCH(B226,July!$D$3:$AH$3)+1)+INDEX(July!$C$3:$AH$169,29,MATCH(B226,July!$D$3:$AH$3)+1)+INDEX(July!$C$3:$AH$169,34,MATCH(B226,July!$D$3:$AH$3)+1)+INDEX(July!$C$3:$AH$169,39,MATCH(B226,July!$D$3:$AH$3)+1)+INDEX(July!$C$3:$AH$169,44,MATCH(B226,July!$D$3:$AH$3)+1)+INDEX(July!$C$3:$AH$169,49,MATCH(B226,July!$D$3:$AH$3)+1)+INDEX(July!$C$3:$AH$169,54,MATCH(B226,July!$D$3:$AH$3)+1)+INDEX(July!$C$3:$AH$169,59,MATCH(B226,July!$D$3:$AH$3)+1)+INDEX(July!$C$3:$AH$169,64,MATCH(B226,July!$D$3:$AH$3)+1)+INDEX(July!$C$3:$AH$169,69,MATCH(B226,July!$D$3:$AH$3)+1)+INDEX(July!$C$3:$AH$169,74,MATCH(B226,July!$D$3:$AH$3)+1)+INDEX(July!$C$3:$AH$169,79,MATCH(B226,July!$D$3:$AH$3)+1)+INDEX(July!$C$3:$AH$169,84,MATCH(B226,July!$D$3:$AH$3)+1)+INDEX(July!$C$3:$AH$169,89,MATCH(B226,July!$D$3:$AH$3)+1)+INDEX(July!$C$3:$AH$169,94,MATCH(B226,July!$D$3:$AH$3)+1)+INDEX(July!$C$3:$AH$169,99,MATCH(B226,July!$D$3:$AH$3)+1)+INDEX(July!$C$3:$AH$169,104,MATCH(B226,July!$D$3:$AH$3)+1)+INDEX(July!$C$3:$AH$169,109,MATCH(B226,July!$D$3:$AH$3)+1)+INDEX(July!$C$3:$AH$169,114,MATCH(B226,July!$D$3:$AH$3)+1)+INDEX(July!$C$3:$AH$169,119,MATCH(B226,July!$D$3:$AH$3)+1)+INDEX(July!$C$3:$AH$169,124,MATCH(B226,July!$D$3:$AH$3)+1)+INDEX(July!$C$3:$AH$169,129,MATCH(B226,July!$D$3:$AH$3)+1)+INDEX(July!$C$3:$AH$169,134,MATCH(B226,July!$D$3:$AH$3)+1)+INDEX(July!$C$3:$AH$169,139,MATCH(B226,July!$D$3:$AH$3)+1)+INDEX(July!$C$3:$AH$169,144,MATCH(B226,July!$D$3:$AH$3)+1)+INDEX(July!$C$3:$AH$169,149,MATCH(B226,July!$D$3:$AH$3)+1)-INDEX(July!$B$5:$AH$169,MATCH("Patrick Janssen",July!$B$5:$B$169)+1,MATCH(B226,July!$D$3:$AH$3)+2)-INDEX(July!$B$5:$AH$169,MATCH("Patrick Ziesen",July!$B$5:$B$169)+1,MATCH(B226,July!$D$3:$AH$3)+2)-INDEX(July!$B$5:$AH$169,MATCH("Frido Meijer",July!$B$5:$B$169)+1,MATCH(B226,July!$D$3:$AH$3)+2)</f>
        <v>0</v>
      </c>
      <c r="I226" s="130">
        <v>0</v>
      </c>
      <c r="J226" s="130">
        <v>0</v>
      </c>
      <c r="L226" s="124"/>
      <c r="M226" s="111"/>
      <c r="N226" s="111">
        <f t="shared" si="61"/>
        <v>0</v>
      </c>
      <c r="P226" s="112" t="str">
        <f t="shared" si="66"/>
        <v/>
      </c>
      <c r="Q226" s="112" t="str">
        <f t="shared" si="67"/>
        <v/>
      </c>
    </row>
    <row r="227" spans="2:17" x14ac:dyDescent="0.25">
      <c r="B227" s="110">
        <f>DATE(Title!$F$12,$S$11,S33)</f>
        <v>41484</v>
      </c>
      <c r="C227" s="111">
        <f>IF(WEEKDAY(B227)=1,0,IF(WEEKDAY(B227)=4,'Hours Scheduled'!$J$44-1,IF(WEEKDAY(B227)=7,0,'Hours Scheduled'!$J$44)))</f>
        <v>21</v>
      </c>
      <c r="D227" s="17">
        <f t="shared" si="64"/>
        <v>157.5</v>
      </c>
      <c r="E227" s="127">
        <f t="shared" si="65"/>
        <v>144</v>
      </c>
      <c r="F227" s="111"/>
      <c r="G227" s="130">
        <f>INDEX(July!$C$3:$AH$169,3,MATCH(B227,July!$D$3:$AH$3)+1)+INDEX(July!$C$3:$AH$169,8,MATCH(B227,July!$D$3:$AH$3)+1)+INDEX(July!$C$3:$AH$169,13,MATCH(B227,July!$D$3:$AH$3)+1)+INDEX(July!$C$3:$AH$169,18,MATCH(B227,July!$D$3:$AH$3)+1)+INDEX(July!$C$3:$AH$169,23,MATCH(B227,July!$D$3:$AH$3)+1)+INDEX(July!$C$3:$AH$169,28,MATCH(B227,July!$D$3:$AH$3)+1)+INDEX(July!$C$3:$AH$169,33,MATCH(B227,July!$D$3:$AH$3)+1)+INDEX(July!$C$3:$AH$169,38,MATCH(B227,July!$D$3:$AH$3)+1)+INDEX(July!$C$3:$AH$169,43,MATCH(B227,July!$D$3:$AH$3)+1)+INDEX(July!$C$3:$AH$169,48,MATCH(B227,July!$D$3:$AH$3)+1)+INDEX(July!$C$3:$AH$169,53,MATCH(B227,July!$D$3:$AH$3)+1)+INDEX(July!$C$3:$AH$169,58,MATCH(B227,July!$D$3:$AH$3)+1)+INDEX(July!$C$3:$AH$169,63,MATCH(B227,July!$D$3:$AH$3)+1)+INDEX(July!$C$3:$AH$169,68,MATCH(B227,July!$D$3:$AH$3)+1)+INDEX(July!$C$3:$AH$169,73,MATCH(B227,July!$D$3:$AH$3)+1)+INDEX(July!$C$3:$AH$169,78,MATCH(B227,July!$D$3:$AH$3)+1)+INDEX(July!$C$3:$AH$169,83,MATCH(B227,July!$D$3:$AH$3)+1)+INDEX(July!$C$3:$AH$169,88,MATCH(B227,July!$D$3:$AH$3)+1)+INDEX(July!$C$3:$AH$169,93,MATCH(B227,July!$D$3:$AH$3)+1)+INDEX(July!$C$3:$AH$169,98,MATCH(B227,July!$D$3:$AH$3)+1)+INDEX(July!$C$3:$AH$169,103,MATCH(B227,July!$D$3:$AH$3)+1)+INDEX(July!$C$3:$AH$169,108,MATCH(B227,July!$D$3:$AH$3)+1)+INDEX(July!$C$3:$AH$169,113,MATCH(B227,July!$D$3:$AH$3)+1)+INDEX(July!$C$3:$AH$169,118,MATCH(B227,July!$D$3:$AH$3)+1)+INDEX(July!$C$3:$AH$169,123,MATCH(B227,July!$D$3:$AH$3)+1)+INDEX(July!$C$3:$AH$169,128,MATCH(B227,July!$D$3:$AH$3)+1)+INDEX(July!$C$3:$AH$169,133,MATCH(B227,July!$D$3:$AH$3)+1)+INDEX(July!$C$3:$AH$169,138,MATCH(B227,July!$D$3:$AH$3)+1)+INDEX(July!$C$3:$AH$169,143,MATCH(B227,July!$D$3:$AH$3)+1)+INDEX(July!$C$3:$AH$169,148,MATCH(B227,July!$D$3:$AH$3)+1)-INDEX(July!$B$5:$AH$169,MATCH("Patrick Janssen",July!$B$5:$B$169),MATCH(B227,July!$D$3:$AH$3)+2)-INDEX(July!$B$5:$AH$169,MATCH("Patrick Ziesen",July!$B$5:$B$169),MATCH(B227,July!$D$3:$AH$3)+2)-INDEX(July!$B$5:$AH$169,MATCH("Frido Meijer",July!$B$5:$B$169),MATCH(B227,July!$D$3:$AH$3)+2)</f>
        <v>24</v>
      </c>
      <c r="H227" s="130">
        <f>INDEX(July!$C$3:$AH$169,4,MATCH(B227,July!$D$3:$AH$3)+1)+INDEX(July!$C$3:$AH$169,9,MATCH(B227,July!$D$3:$AH$3)+1)+INDEX(July!$C$3:$AH$169,14,MATCH(B227,July!$D$3:$AH$3)+1)+INDEX(July!$C$3:$AH$169,19,MATCH(B227,July!$D$3:$AH$3)+1)+INDEX(July!$C$3:$AH$169,24,MATCH(B227,July!$D$3:$AH$3)+1)+INDEX(July!$C$3:$AH$169,29,MATCH(B227,July!$D$3:$AH$3)+1)+INDEX(July!$C$3:$AH$169,34,MATCH(B227,July!$D$3:$AH$3)+1)+INDEX(July!$C$3:$AH$169,39,MATCH(B227,July!$D$3:$AH$3)+1)+INDEX(July!$C$3:$AH$169,44,MATCH(B227,July!$D$3:$AH$3)+1)+INDEX(July!$C$3:$AH$169,49,MATCH(B227,July!$D$3:$AH$3)+1)+INDEX(July!$C$3:$AH$169,54,MATCH(B227,July!$D$3:$AH$3)+1)+INDEX(July!$C$3:$AH$169,59,MATCH(B227,July!$D$3:$AH$3)+1)+INDEX(July!$C$3:$AH$169,64,MATCH(B227,July!$D$3:$AH$3)+1)+INDEX(July!$C$3:$AH$169,69,MATCH(B227,July!$D$3:$AH$3)+1)+INDEX(July!$C$3:$AH$169,74,MATCH(B227,July!$D$3:$AH$3)+1)+INDEX(July!$C$3:$AH$169,79,MATCH(B227,July!$D$3:$AH$3)+1)+INDEX(July!$C$3:$AH$169,84,MATCH(B227,July!$D$3:$AH$3)+1)+INDEX(July!$C$3:$AH$169,89,MATCH(B227,July!$D$3:$AH$3)+1)+INDEX(July!$C$3:$AH$169,94,MATCH(B227,July!$D$3:$AH$3)+1)+INDEX(July!$C$3:$AH$169,99,MATCH(B227,July!$D$3:$AH$3)+1)+INDEX(July!$C$3:$AH$169,104,MATCH(B227,July!$D$3:$AH$3)+1)+INDEX(July!$C$3:$AH$169,109,MATCH(B227,July!$D$3:$AH$3)+1)+INDEX(July!$C$3:$AH$169,114,MATCH(B227,July!$D$3:$AH$3)+1)+INDEX(July!$C$3:$AH$169,119,MATCH(B227,July!$D$3:$AH$3)+1)+INDEX(July!$C$3:$AH$169,124,MATCH(B227,July!$D$3:$AH$3)+1)+INDEX(July!$C$3:$AH$169,129,MATCH(B227,July!$D$3:$AH$3)+1)+INDEX(July!$C$3:$AH$169,134,MATCH(B227,July!$D$3:$AH$3)+1)+INDEX(July!$C$3:$AH$169,139,MATCH(B227,July!$D$3:$AH$3)+1)+INDEX(July!$C$3:$AH$169,144,MATCH(B227,July!$D$3:$AH$3)+1)+INDEX(July!$C$3:$AH$169,149,MATCH(B227,July!$D$3:$AH$3)+1)-INDEX(July!$B$5:$AH$169,MATCH("Patrick Janssen",July!$B$5:$B$169)+1,MATCH(B227,July!$D$3:$AH$3)+2)-INDEX(July!$B$5:$AH$169,MATCH("Patrick Ziesen",July!$B$5:$B$169)+1,MATCH(B227,July!$D$3:$AH$3)+2)-INDEX(July!$B$5:$AH$169,MATCH("Frido Meijer",July!$B$5:$B$169)+1,MATCH(B227,July!$D$3:$AH$3)+2)</f>
        <v>0</v>
      </c>
      <c r="I227" s="130">
        <v>0</v>
      </c>
      <c r="J227" s="130">
        <v>0</v>
      </c>
      <c r="L227" s="124"/>
      <c r="M227" s="111"/>
      <c r="N227" s="111">
        <f t="shared" si="61"/>
        <v>0</v>
      </c>
      <c r="P227" s="112">
        <f t="shared" si="66"/>
        <v>0</v>
      </c>
      <c r="Q227" s="112">
        <f t="shared" si="67"/>
        <v>0</v>
      </c>
    </row>
    <row r="228" spans="2:17" x14ac:dyDescent="0.25">
      <c r="B228" s="110">
        <f>DATE(Title!$F$12,$S$11,S34)</f>
        <v>41485</v>
      </c>
      <c r="C228" s="111">
        <f>IF(WEEKDAY(B228)=1,0,IF(WEEKDAY(B228)=4,'Hours Scheduled'!$J$44-1,IF(WEEKDAY(B228)=7,0,'Hours Scheduled'!$J$44)))</f>
        <v>21</v>
      </c>
      <c r="D228" s="17">
        <f t="shared" si="64"/>
        <v>157.5</v>
      </c>
      <c r="E228" s="127">
        <f t="shared" si="65"/>
        <v>144</v>
      </c>
      <c r="F228" s="111"/>
      <c r="G228" s="130">
        <f>INDEX(July!$C$3:$AH$169,3,MATCH(B228,July!$D$3:$AH$3)+1)+INDEX(July!$C$3:$AH$169,8,MATCH(B228,July!$D$3:$AH$3)+1)+INDEX(July!$C$3:$AH$169,13,MATCH(B228,July!$D$3:$AH$3)+1)+INDEX(July!$C$3:$AH$169,18,MATCH(B228,July!$D$3:$AH$3)+1)+INDEX(July!$C$3:$AH$169,23,MATCH(B228,July!$D$3:$AH$3)+1)+INDEX(July!$C$3:$AH$169,28,MATCH(B228,July!$D$3:$AH$3)+1)+INDEX(July!$C$3:$AH$169,33,MATCH(B228,July!$D$3:$AH$3)+1)+INDEX(July!$C$3:$AH$169,38,MATCH(B228,July!$D$3:$AH$3)+1)+INDEX(July!$C$3:$AH$169,43,MATCH(B228,July!$D$3:$AH$3)+1)+INDEX(July!$C$3:$AH$169,48,MATCH(B228,July!$D$3:$AH$3)+1)+INDEX(July!$C$3:$AH$169,53,MATCH(B228,July!$D$3:$AH$3)+1)+INDEX(July!$C$3:$AH$169,58,MATCH(B228,July!$D$3:$AH$3)+1)+INDEX(July!$C$3:$AH$169,63,MATCH(B228,July!$D$3:$AH$3)+1)+INDEX(July!$C$3:$AH$169,68,MATCH(B228,July!$D$3:$AH$3)+1)+INDEX(July!$C$3:$AH$169,73,MATCH(B228,July!$D$3:$AH$3)+1)+INDEX(July!$C$3:$AH$169,78,MATCH(B228,July!$D$3:$AH$3)+1)+INDEX(July!$C$3:$AH$169,83,MATCH(B228,July!$D$3:$AH$3)+1)+INDEX(July!$C$3:$AH$169,88,MATCH(B228,July!$D$3:$AH$3)+1)+INDEX(July!$C$3:$AH$169,93,MATCH(B228,July!$D$3:$AH$3)+1)+INDEX(July!$C$3:$AH$169,98,MATCH(B228,July!$D$3:$AH$3)+1)+INDEX(July!$C$3:$AH$169,103,MATCH(B228,July!$D$3:$AH$3)+1)+INDEX(July!$C$3:$AH$169,108,MATCH(B228,July!$D$3:$AH$3)+1)+INDEX(July!$C$3:$AH$169,113,MATCH(B228,July!$D$3:$AH$3)+1)+INDEX(July!$C$3:$AH$169,118,MATCH(B228,July!$D$3:$AH$3)+1)+INDEX(July!$C$3:$AH$169,123,MATCH(B228,July!$D$3:$AH$3)+1)+INDEX(July!$C$3:$AH$169,128,MATCH(B228,July!$D$3:$AH$3)+1)+INDEX(July!$C$3:$AH$169,133,MATCH(B228,July!$D$3:$AH$3)+1)+INDEX(July!$C$3:$AH$169,138,MATCH(B228,July!$D$3:$AH$3)+1)+INDEX(July!$C$3:$AH$169,143,MATCH(B228,July!$D$3:$AH$3)+1)+INDEX(July!$C$3:$AH$169,148,MATCH(B228,July!$D$3:$AH$3)+1)-INDEX(July!$B$5:$AH$169,MATCH("Patrick Janssen",July!$B$5:$B$169),MATCH(B228,July!$D$3:$AH$3)+2)-INDEX(July!$B$5:$AH$169,MATCH("Patrick Ziesen",July!$B$5:$B$169),MATCH(B228,July!$D$3:$AH$3)+2)-INDEX(July!$B$5:$AH$169,MATCH("Frido Meijer",July!$B$5:$B$169),MATCH(B228,July!$D$3:$AH$3)+2)</f>
        <v>24</v>
      </c>
      <c r="H228" s="130">
        <f>INDEX(July!$C$3:$AH$169,4,MATCH(B228,July!$D$3:$AH$3)+1)+INDEX(July!$C$3:$AH$169,9,MATCH(B228,July!$D$3:$AH$3)+1)+INDEX(July!$C$3:$AH$169,14,MATCH(B228,July!$D$3:$AH$3)+1)+INDEX(July!$C$3:$AH$169,19,MATCH(B228,July!$D$3:$AH$3)+1)+INDEX(July!$C$3:$AH$169,24,MATCH(B228,July!$D$3:$AH$3)+1)+INDEX(July!$C$3:$AH$169,29,MATCH(B228,July!$D$3:$AH$3)+1)+INDEX(July!$C$3:$AH$169,34,MATCH(B228,July!$D$3:$AH$3)+1)+INDEX(July!$C$3:$AH$169,39,MATCH(B228,July!$D$3:$AH$3)+1)+INDEX(July!$C$3:$AH$169,44,MATCH(B228,July!$D$3:$AH$3)+1)+INDEX(July!$C$3:$AH$169,49,MATCH(B228,July!$D$3:$AH$3)+1)+INDEX(July!$C$3:$AH$169,54,MATCH(B228,July!$D$3:$AH$3)+1)+INDEX(July!$C$3:$AH$169,59,MATCH(B228,July!$D$3:$AH$3)+1)+INDEX(July!$C$3:$AH$169,64,MATCH(B228,July!$D$3:$AH$3)+1)+INDEX(July!$C$3:$AH$169,69,MATCH(B228,July!$D$3:$AH$3)+1)+INDEX(July!$C$3:$AH$169,74,MATCH(B228,July!$D$3:$AH$3)+1)+INDEX(July!$C$3:$AH$169,79,MATCH(B228,July!$D$3:$AH$3)+1)+INDEX(July!$C$3:$AH$169,84,MATCH(B228,July!$D$3:$AH$3)+1)+INDEX(July!$C$3:$AH$169,89,MATCH(B228,July!$D$3:$AH$3)+1)+INDEX(July!$C$3:$AH$169,94,MATCH(B228,July!$D$3:$AH$3)+1)+INDEX(July!$C$3:$AH$169,99,MATCH(B228,July!$D$3:$AH$3)+1)+INDEX(July!$C$3:$AH$169,104,MATCH(B228,July!$D$3:$AH$3)+1)+INDEX(July!$C$3:$AH$169,109,MATCH(B228,July!$D$3:$AH$3)+1)+INDEX(July!$C$3:$AH$169,114,MATCH(B228,July!$D$3:$AH$3)+1)+INDEX(July!$C$3:$AH$169,119,MATCH(B228,July!$D$3:$AH$3)+1)+INDEX(July!$C$3:$AH$169,124,MATCH(B228,July!$D$3:$AH$3)+1)+INDEX(July!$C$3:$AH$169,129,MATCH(B228,July!$D$3:$AH$3)+1)+INDEX(July!$C$3:$AH$169,134,MATCH(B228,July!$D$3:$AH$3)+1)+INDEX(July!$C$3:$AH$169,139,MATCH(B228,July!$D$3:$AH$3)+1)+INDEX(July!$C$3:$AH$169,144,MATCH(B228,July!$D$3:$AH$3)+1)+INDEX(July!$C$3:$AH$169,149,MATCH(B228,July!$D$3:$AH$3)+1)-INDEX(July!$B$5:$AH$169,MATCH("Patrick Janssen",July!$B$5:$B$169)+1,MATCH(B228,July!$D$3:$AH$3)+2)-INDEX(July!$B$5:$AH$169,MATCH("Patrick Ziesen",July!$B$5:$B$169)+1,MATCH(B228,July!$D$3:$AH$3)+2)-INDEX(July!$B$5:$AH$169,MATCH("Frido Meijer",July!$B$5:$B$169)+1,MATCH(B228,July!$D$3:$AH$3)+2)</f>
        <v>0</v>
      </c>
      <c r="I228" s="130">
        <v>0</v>
      </c>
      <c r="J228" s="130">
        <v>0</v>
      </c>
      <c r="L228" s="124"/>
      <c r="M228" s="111"/>
      <c r="N228" s="111">
        <f t="shared" si="61"/>
        <v>0</v>
      </c>
      <c r="P228" s="112">
        <f t="shared" si="66"/>
        <v>0</v>
      </c>
      <c r="Q228" s="112">
        <f>IFERROR((L228+(M228/60)+N228)/(D228-(G228+H228)),"")</f>
        <v>0</v>
      </c>
    </row>
    <row r="229" spans="2:17" ht="15.75" thickBot="1" x14ac:dyDescent="0.3">
      <c r="B229" s="110">
        <f>DATE(Title!$F$12,$S$11,S35)</f>
        <v>41486</v>
      </c>
      <c r="C229" s="111">
        <f>IF(WEEKDAY(B229)=1,0,IF(WEEKDAY(B229)=4,'Hours Scheduled'!$J$44-1,IF(WEEKDAY(B229)=7,0,'Hours Scheduled'!$J$44)))</f>
        <v>20</v>
      </c>
      <c r="D229" s="17">
        <f t="shared" si="64"/>
        <v>150</v>
      </c>
      <c r="E229" s="127">
        <f t="shared" si="65"/>
        <v>136</v>
      </c>
      <c r="F229" s="113"/>
      <c r="G229" s="132">
        <f>INDEX(July!$C$3:$AH$169,3,MATCH(B229,July!$D$3:$AH$3)+1)+INDEX(July!$C$3:$AH$169,8,MATCH(B229,July!$D$3:$AH$3)+1)+INDEX(July!$C$3:$AH$169,13,MATCH(B229,July!$D$3:$AH$3)+1)+INDEX(July!$C$3:$AH$169,18,MATCH(B229,July!$D$3:$AH$3)+1)+INDEX(July!$C$3:$AH$169,23,MATCH(B229,July!$D$3:$AH$3)+1)+INDEX(July!$C$3:$AH$169,28,MATCH(B229,July!$D$3:$AH$3)+1)+INDEX(July!$C$3:$AH$169,33,MATCH(B229,July!$D$3:$AH$3)+1)+INDEX(July!$C$3:$AH$169,38,MATCH(B229,July!$D$3:$AH$3)+1)+INDEX(July!$C$3:$AH$169,43,MATCH(B229,July!$D$3:$AH$3)+1)+INDEX(July!$C$3:$AH$169,48,MATCH(B229,July!$D$3:$AH$3)+1)+INDEX(July!$C$3:$AH$169,53,MATCH(B229,July!$D$3:$AH$3)+1)+INDEX(July!$C$3:$AH$169,58,MATCH(B229,July!$D$3:$AH$3)+1)+INDEX(July!$C$3:$AH$169,63,MATCH(B229,July!$D$3:$AH$3)+1)+INDEX(July!$C$3:$AH$169,68,MATCH(B229,July!$D$3:$AH$3)+1)+INDEX(July!$C$3:$AH$169,73,MATCH(B229,July!$D$3:$AH$3)+1)+INDEX(July!$C$3:$AH$169,78,MATCH(B229,July!$D$3:$AH$3)+1)+INDEX(July!$C$3:$AH$169,83,MATCH(B229,July!$D$3:$AH$3)+1)+INDEX(July!$C$3:$AH$169,88,MATCH(B229,July!$D$3:$AH$3)+1)+INDEX(July!$C$3:$AH$169,93,MATCH(B229,July!$D$3:$AH$3)+1)+INDEX(July!$C$3:$AH$169,98,MATCH(B229,July!$D$3:$AH$3)+1)+INDEX(July!$C$3:$AH$169,103,MATCH(B229,July!$D$3:$AH$3)+1)+INDEX(July!$C$3:$AH$169,108,MATCH(B229,July!$D$3:$AH$3)+1)+INDEX(July!$C$3:$AH$169,113,MATCH(B229,July!$D$3:$AH$3)+1)+INDEX(July!$C$3:$AH$169,118,MATCH(B229,July!$D$3:$AH$3)+1)+INDEX(July!$C$3:$AH$169,123,MATCH(B229,July!$D$3:$AH$3)+1)+INDEX(July!$C$3:$AH$169,128,MATCH(B229,July!$D$3:$AH$3)+1)+INDEX(July!$C$3:$AH$169,133,MATCH(B229,July!$D$3:$AH$3)+1)+INDEX(July!$C$3:$AH$169,138,MATCH(B229,July!$D$3:$AH$3)+1)+INDEX(July!$C$3:$AH$169,143,MATCH(B229,July!$D$3:$AH$3)+1)+INDEX(July!$C$3:$AH$169,148,MATCH(B229,July!$D$3:$AH$3)+1)-INDEX(July!$B$5:$AH$169,MATCH("Patrick Janssen",July!$B$5:$B$169),MATCH(B229,July!$D$3:$AH$3)+2)-INDEX(July!$B$5:$AH$169,MATCH("Patrick Ziesen",July!$B$5:$B$169),MATCH(B229,July!$D$3:$AH$3)+2)-INDEX(July!$B$5:$AH$169,MATCH("Frido Meijer",July!$B$5:$B$169),MATCH(B229,July!$D$3:$AH$3)+2)</f>
        <v>24</v>
      </c>
      <c r="H229" s="132">
        <f>INDEX(July!$C$3:$AH$169,4,MATCH(B229,July!$D$3:$AH$3)+1)+INDEX(July!$C$3:$AH$169,9,MATCH(B229,July!$D$3:$AH$3)+1)+INDEX(July!$C$3:$AH$169,14,MATCH(B229,July!$D$3:$AH$3)+1)+INDEX(July!$C$3:$AH$169,19,MATCH(B229,July!$D$3:$AH$3)+1)+INDEX(July!$C$3:$AH$169,24,MATCH(B229,July!$D$3:$AH$3)+1)+INDEX(July!$C$3:$AH$169,29,MATCH(B229,July!$D$3:$AH$3)+1)+INDEX(July!$C$3:$AH$169,34,MATCH(B229,July!$D$3:$AH$3)+1)+INDEX(July!$C$3:$AH$169,39,MATCH(B229,July!$D$3:$AH$3)+1)+INDEX(July!$C$3:$AH$169,44,MATCH(B229,July!$D$3:$AH$3)+1)+INDEX(July!$C$3:$AH$169,49,MATCH(B229,July!$D$3:$AH$3)+1)+INDEX(July!$C$3:$AH$169,54,MATCH(B229,July!$D$3:$AH$3)+1)+INDEX(July!$C$3:$AH$169,59,MATCH(B229,July!$D$3:$AH$3)+1)+INDEX(July!$C$3:$AH$169,64,MATCH(B229,July!$D$3:$AH$3)+1)+INDEX(July!$C$3:$AH$169,69,MATCH(B229,July!$D$3:$AH$3)+1)+INDEX(July!$C$3:$AH$169,74,MATCH(B229,July!$D$3:$AH$3)+1)+INDEX(July!$C$3:$AH$169,79,MATCH(B229,July!$D$3:$AH$3)+1)+INDEX(July!$C$3:$AH$169,84,MATCH(B229,July!$D$3:$AH$3)+1)+INDEX(July!$C$3:$AH$169,89,MATCH(B229,July!$D$3:$AH$3)+1)+INDEX(July!$C$3:$AH$169,94,MATCH(B229,July!$D$3:$AH$3)+1)+INDEX(July!$C$3:$AH$169,99,MATCH(B229,July!$D$3:$AH$3)+1)+INDEX(July!$C$3:$AH$169,104,MATCH(B229,July!$D$3:$AH$3)+1)+INDEX(July!$C$3:$AH$169,109,MATCH(B229,July!$D$3:$AH$3)+1)+INDEX(July!$C$3:$AH$169,114,MATCH(B229,July!$D$3:$AH$3)+1)+INDEX(July!$C$3:$AH$169,119,MATCH(B229,July!$D$3:$AH$3)+1)+INDEX(July!$C$3:$AH$169,124,MATCH(B229,July!$D$3:$AH$3)+1)+INDEX(July!$C$3:$AH$169,129,MATCH(B229,July!$D$3:$AH$3)+1)+INDEX(July!$C$3:$AH$169,134,MATCH(B229,July!$D$3:$AH$3)+1)+INDEX(July!$C$3:$AH$169,139,MATCH(B229,July!$D$3:$AH$3)+1)+INDEX(July!$C$3:$AH$169,144,MATCH(B229,July!$D$3:$AH$3)+1)+INDEX(July!$C$3:$AH$169,149,MATCH(B229,July!$D$3:$AH$3)+1)-INDEX(July!$B$5:$AH$169,MATCH("Patrick Janssen",July!$B$5:$B$169)+1,MATCH(B229,July!$D$3:$AH$3)+2)-INDEX(July!$B$5:$AH$169,MATCH("Patrick Ziesen",July!$B$5:$B$169)+1,MATCH(B229,July!$D$3:$AH$3)+2)-INDEX(July!$B$5:$AH$169,MATCH("Frido Meijer",July!$B$5:$B$169)+1,MATCH(B229,July!$D$3:$AH$3)+2)</f>
        <v>0</v>
      </c>
      <c r="I229" s="132">
        <v>0</v>
      </c>
      <c r="J229" s="132">
        <v>0</v>
      </c>
      <c r="L229" s="124"/>
      <c r="M229" s="111"/>
      <c r="N229" s="111">
        <f t="shared" si="61"/>
        <v>0</v>
      </c>
      <c r="P229" s="112">
        <f t="shared" si="66"/>
        <v>0</v>
      </c>
      <c r="Q229" s="112">
        <f t="shared" si="67"/>
        <v>0</v>
      </c>
    </row>
    <row r="230" spans="2:17" ht="15.75" x14ac:dyDescent="0.25">
      <c r="B230" s="146" t="s">
        <v>7</v>
      </c>
      <c r="C230" s="114">
        <f>SUM(C199:C229)</f>
        <v>478</v>
      </c>
      <c r="D230" s="107">
        <f t="shared" si="64"/>
        <v>3585</v>
      </c>
      <c r="E230" s="140">
        <f t="shared" si="65"/>
        <v>3404</v>
      </c>
      <c r="F230" s="114">
        <f>SUM(F199:F229)</f>
        <v>0</v>
      </c>
      <c r="G230" s="133">
        <f t="shared" ref="G230:J230" si="68">SUM(G199:G229)</f>
        <v>412</v>
      </c>
      <c r="H230" s="133">
        <f t="shared" si="68"/>
        <v>8</v>
      </c>
      <c r="I230" s="133">
        <f t="shared" si="68"/>
        <v>0</v>
      </c>
      <c r="J230" s="133">
        <f t="shared" si="68"/>
        <v>0</v>
      </c>
      <c r="K230" s="115"/>
      <c r="L230" s="124"/>
      <c r="M230" s="111"/>
      <c r="N230" s="114">
        <f t="shared" ref="N230" si="69">SUM(N199:N229)</f>
        <v>0</v>
      </c>
      <c r="O230" s="115"/>
      <c r="P230" s="116">
        <f t="shared" ref="P230" si="70">(L230+(M230/60)+N230)/(D230-F230-G230-H230-I230-J230)</f>
        <v>0</v>
      </c>
      <c r="Q230" s="116">
        <f t="shared" ref="Q230" si="71">(L230+(M230/60)+N230)/(D230-(G230+H230))</f>
        <v>0</v>
      </c>
    </row>
    <row r="231" spans="2:17" x14ac:dyDescent="0.25">
      <c r="B231"/>
      <c r="J231"/>
    </row>
    <row r="232" spans="2:17" x14ac:dyDescent="0.25">
      <c r="B232" s="110">
        <f>DATE(Title!$F$12,$S$12,S5)</f>
        <v>41487</v>
      </c>
      <c r="C232" s="111">
        <f>IF(WEEKDAY(B232)=1,0,IF(WEEKDAY(B232)=4,'Hours Scheduled'!$K$44-1,IF(WEEKDAY(B232)=7,0,'Hours Scheduled'!$K$44)))</f>
        <v>21</v>
      </c>
      <c r="D232" s="17">
        <f>C232*7.5</f>
        <v>157.5</v>
      </c>
      <c r="E232" s="127">
        <f>C232*8-G232-H232</f>
        <v>148</v>
      </c>
      <c r="F232" s="111"/>
      <c r="G232" s="130">
        <f>INDEX(August!$C$3:$AH$169,3,MATCH(B232,August!$D$3:$AH$3)+1)+INDEX(August!$C$3:$AH$169,8,MATCH(B232,August!$D$3:$AH$3)+1)+INDEX(August!$C$3:$AH$169,13,MATCH(B232,August!$D$3:$AH$3)+1)+INDEX(August!$C$3:$AH$169,18,MATCH(B232,August!$D$3:$AH$3)+1)+INDEX(August!$C$3:$AH$169,23,MATCH(B232,August!$D$3:$AH$3)+1)+INDEX(August!$C$3:$AH$169,28,MATCH(B232,August!$D$3:$AH$3)+1)+INDEX(August!$C$3:$AH$169,33,MATCH(B232,August!$D$3:$AH$3)+1)+INDEX(August!$C$3:$AH$169,38,MATCH(B232,August!$D$3:$AH$3)+1)+INDEX(August!$C$3:$AH$169,43,MATCH(B232,August!$D$3:$AH$3)+1)+INDEX(August!$C$3:$AH$169,48,MATCH(B232,August!$D$3:$AH$3)+1)+INDEX(August!$C$3:$AH$169,53,MATCH(B232,August!$D$3:$AH$3)+1)+INDEX(August!$C$3:$AH$169,58,MATCH(B232,August!$D$3:$AH$3)+1)+INDEX(August!$C$3:$AH$169,63,MATCH(B232,August!$D$3:$AH$3)+1)+INDEX(August!$C$3:$AH$169,68,MATCH(B232,August!$D$3:$AH$3)+1)+INDEX(August!$C$3:$AH$169,73,MATCH(B232,August!$D$3:$AH$3)+1)+INDEX(August!$C$3:$AH$169,78,MATCH(B232,August!$D$3:$AH$3)+1)+INDEX(August!$C$3:$AH$169,83,MATCH(B232,August!$D$3:$AH$3)+1)+INDEX(August!$C$3:$AH$169,88,MATCH(B232,August!$D$3:$AH$3)+1)+INDEX(August!$C$3:$AH$169,93,MATCH(B232,August!$D$3:$AH$3)+1)+INDEX(August!$C$3:$AH$169,98,MATCH(B232,August!$D$3:$AH$3)+1)+INDEX(August!$C$3:$AH$169,103,MATCH(B232,August!$D$3:$AH$3)+1)+INDEX(August!$C$3:$AH$169,108,MATCH(B232,August!$D$3:$AH$3)+1)+INDEX(August!$C$3:$AH$169,113,MATCH(B232,August!$D$3:$AH$3)+1)+INDEX(August!$C$3:$AH$169,118,MATCH(B232,August!$D$3:$AH$3)+1)+INDEX(August!$C$3:$AH$169,123,MATCH(B232,August!$D$3:$AH$3)+1)+INDEX(August!$C$3:$AH$169,128,MATCH(B232,August!$D$3:$AH$3)+1)+INDEX(August!$C$3:$AH$169,133,MATCH(B232,August!$D$3:$AH$3)+1)+INDEX(August!$C$3:$AH$169,138,MATCH(B232,August!$D$3:$AH$3)+1)+INDEX(August!$C$3:$AH$169,143,MATCH(B232,August!$D$3:$AH$3)+1)+INDEX(August!$C$3:$AH$169,148,MATCH(B232,August!$D$3:$AH$3)+1)-INDEX(August!$B$5:$AH$169,MATCH("Patrick Janssen",August!$B$5:$B$169),MATCH(B232,August!$D$3:$AH$3)+2)-INDEX(August!$B$5:$AH$169,MATCH("Patrick Ziesen",August!$B$5:$B$169),MATCH(B232,August!$D$3:$AH$3)+2)-INDEX(August!$B$5:$AH$169,MATCH("Frido Meijer",August!$B$5:$B$169),MATCH(B232,August!$D$3:$AH$3)+2)</f>
        <v>20</v>
      </c>
      <c r="H232" s="130">
        <f>INDEX(August!$C$3:$AH$169,4,MATCH(B232,August!$D$3:$AH$3)+1)+INDEX(August!$C$3:$AH$169,9,MATCH(B232,August!$D$3:$AH$3)+1)+INDEX(August!$C$3:$AH$169,14,MATCH(B232,August!$D$3:$AH$3)+1)+INDEX(August!$C$3:$AH$169,19,MATCH(B232,August!$D$3:$AH$3)+1)+INDEX(August!$C$3:$AH$169,24,MATCH(B232,August!$D$3:$AH$3)+1)+INDEX(August!$C$3:$AH$169,29,MATCH(B232,August!$D$3:$AH$3)+1)+INDEX(August!$C$3:$AH$169,34,MATCH(B232,August!$D$3:$AH$3)+1)+INDEX(August!$C$3:$AH$169,39,MATCH(B232,August!$D$3:$AH$3)+1)+INDEX(August!$C$3:$AH$169,44,MATCH(B232,August!$D$3:$AH$3)+1)+INDEX(August!$C$3:$AH$169,49,MATCH(B232,August!$D$3:$AH$3)+1)+INDEX(August!$C$3:$AH$169,54,MATCH(B232,August!$D$3:$AH$3)+1)+INDEX(August!$C$3:$AH$169,59,MATCH(B232,August!$D$3:$AH$3)+1)+INDEX(August!$C$3:$AH$169,64,MATCH(B232,August!$D$3:$AH$3)+1)+INDEX(August!$C$3:$AH$169,69,MATCH(B232,August!$D$3:$AH$3)+1)+INDEX(August!$C$3:$AH$169,74,MATCH(B232,August!$D$3:$AH$3)+1)+INDEX(August!$C$3:$AH$169,79,MATCH(B232,August!$D$3:$AH$3)+1)+INDEX(August!$C$3:$AH$169,84,MATCH(B232,August!$D$3:$AH$3)+1)+INDEX(August!$C$3:$AH$169,89,MATCH(B232,August!$D$3:$AH$3)+1)+INDEX(August!$C$3:$AH$169,94,MATCH(B232,August!$D$3:$AH$3)+1)+INDEX(August!$C$3:$AH$169,99,MATCH(B232,August!$D$3:$AH$3)+1)+INDEX(August!$C$3:$AH$169,104,MATCH(B232,August!$D$3:$AH$3)+1)+INDEX(August!$C$3:$AH$169,109,MATCH(B232,August!$D$3:$AH$3)+1)+INDEX(August!$C$3:$AH$169,114,MATCH(B232,August!$D$3:$AH$3)+1)+INDEX(August!$C$3:$AH$169,119,MATCH(B232,August!$D$3:$AH$3)+1)+INDEX(August!$C$3:$AH$169,124,MATCH(B232,August!$D$3:$AH$3)+1)+INDEX(August!$C$3:$AH$169,129,MATCH(B232,August!$D$3:$AH$3)+1)+INDEX(August!$C$3:$AH$169,134,MATCH(B232,August!$D$3:$AH$3)+1)+INDEX(August!$C$3:$AH$169,139,MATCH(B232,August!$D$3:$AH$3)+1)+INDEX(August!$C$3:$AH$169,144,MATCH(B232,August!$D$3:$AH$3)+1)+INDEX(August!$C$3:$AH$169,149,MATCH(B232,August!$D$3:$AH$3)+1)-INDEX(August!$B$5:$AH$169,MATCH("Patrick Janssen",August!$B$5:$B$169)+1,MATCH(B232,August!$D$3:$AH$3)+2)-INDEX(August!$B$5:$AH$169,MATCH("Patrick Ziesen",August!$B$5:$B$169)+1,MATCH(B232,August!$D$3:$AH$3)+2)-INDEX(August!$B$5:$AH$169,MATCH("Frido Meijer",August!$B$5:$B$169)+1,MATCH(B232,August!$D$3:$AH$3)+2)</f>
        <v>0</v>
      </c>
      <c r="I232" s="130">
        <v>0</v>
      </c>
      <c r="J232" s="130">
        <v>0</v>
      </c>
      <c r="L232" s="124"/>
      <c r="M232" s="111"/>
      <c r="N232" s="111">
        <f t="shared" ref="N232:N262" si="72">IF(L232="",0,6*7.5)</f>
        <v>0</v>
      </c>
      <c r="P232" s="112">
        <f>IFERROR((L232+(M232/60)+N232)/(D232-F232-G232-H232-I232-J232),"")</f>
        <v>0</v>
      </c>
      <c r="Q232" s="112">
        <f>IFERROR((L232+(M232/60)+N232)/(D232-(G232+H232)),"")</f>
        <v>0</v>
      </c>
    </row>
    <row r="233" spans="2:17" x14ac:dyDescent="0.25">
      <c r="B233" s="110">
        <f>DATE(Title!$F$12,$S$12,S6)</f>
        <v>41488</v>
      </c>
      <c r="C233" s="111">
        <f>IF(WEEKDAY(B233)=1,0,IF(WEEKDAY(B233)=4,'Hours Scheduled'!$K$44-1,IF(WEEKDAY(B233)=7,0,'Hours Scheduled'!$K$44)))</f>
        <v>21</v>
      </c>
      <c r="D233" s="17">
        <f t="shared" ref="D233:D263" si="73">C233*7.5</f>
        <v>157.5</v>
      </c>
      <c r="E233" s="127">
        <f>C233*8-G233-H233</f>
        <v>128</v>
      </c>
      <c r="F233" s="111"/>
      <c r="G233" s="130">
        <f>INDEX(August!$C$3:$AH$169,3,MATCH(B233,August!$D$3:$AH$3)+1)+INDEX(August!$C$3:$AH$169,8,MATCH(B233,August!$D$3:$AH$3)+1)+INDEX(August!$C$3:$AH$169,13,MATCH(B233,August!$D$3:$AH$3)+1)+INDEX(August!$C$3:$AH$169,18,MATCH(B233,August!$D$3:$AH$3)+1)+INDEX(August!$C$3:$AH$169,23,MATCH(B233,August!$D$3:$AH$3)+1)+INDEX(August!$C$3:$AH$169,28,MATCH(B233,August!$D$3:$AH$3)+1)+INDEX(August!$C$3:$AH$169,33,MATCH(B233,August!$D$3:$AH$3)+1)+INDEX(August!$C$3:$AH$169,38,MATCH(B233,August!$D$3:$AH$3)+1)+INDEX(August!$C$3:$AH$169,43,MATCH(B233,August!$D$3:$AH$3)+1)+INDEX(August!$C$3:$AH$169,48,MATCH(B233,August!$D$3:$AH$3)+1)+INDEX(August!$C$3:$AH$169,53,MATCH(B233,August!$D$3:$AH$3)+1)+INDEX(August!$C$3:$AH$169,58,MATCH(B233,August!$D$3:$AH$3)+1)+INDEX(August!$C$3:$AH$169,63,MATCH(B233,August!$D$3:$AH$3)+1)+INDEX(August!$C$3:$AH$169,68,MATCH(B233,August!$D$3:$AH$3)+1)+INDEX(August!$C$3:$AH$169,73,MATCH(B233,August!$D$3:$AH$3)+1)+INDEX(August!$C$3:$AH$169,78,MATCH(B233,August!$D$3:$AH$3)+1)+INDEX(August!$C$3:$AH$169,83,MATCH(B233,August!$D$3:$AH$3)+1)+INDEX(August!$C$3:$AH$169,88,MATCH(B233,August!$D$3:$AH$3)+1)+INDEX(August!$C$3:$AH$169,93,MATCH(B233,August!$D$3:$AH$3)+1)+INDEX(August!$C$3:$AH$169,98,MATCH(B233,August!$D$3:$AH$3)+1)+INDEX(August!$C$3:$AH$169,103,MATCH(B233,August!$D$3:$AH$3)+1)+INDEX(August!$C$3:$AH$169,108,MATCH(B233,August!$D$3:$AH$3)+1)+INDEX(August!$C$3:$AH$169,113,MATCH(B233,August!$D$3:$AH$3)+1)+INDEX(August!$C$3:$AH$169,118,MATCH(B233,August!$D$3:$AH$3)+1)+INDEX(August!$C$3:$AH$169,123,MATCH(B233,August!$D$3:$AH$3)+1)+INDEX(August!$C$3:$AH$169,128,MATCH(B233,August!$D$3:$AH$3)+1)+INDEX(August!$C$3:$AH$169,133,MATCH(B233,August!$D$3:$AH$3)+1)+INDEX(August!$C$3:$AH$169,138,MATCH(B233,August!$D$3:$AH$3)+1)+INDEX(August!$C$3:$AH$169,143,MATCH(B233,August!$D$3:$AH$3)+1)+INDEX(August!$C$3:$AH$169,148,MATCH(B233,August!$D$3:$AH$3)+1)-INDEX(August!$B$5:$AH$169,MATCH("Patrick Janssen",August!$B$5:$B$169),MATCH(B233,August!$D$3:$AH$3)+2)-INDEX(August!$B$5:$AH$169,MATCH("Patrick Ziesen",August!$B$5:$B$169),MATCH(B233,August!$D$3:$AH$3)+2)-INDEX(August!$B$5:$AH$169,MATCH("Frido Meijer",August!$B$5:$B$169),MATCH(B233,August!$D$3:$AH$3)+2)</f>
        <v>40</v>
      </c>
      <c r="H233" s="130">
        <f>INDEX(August!$C$3:$AH$169,4,MATCH(B233,August!$D$3:$AH$3)+1)+INDEX(August!$C$3:$AH$169,9,MATCH(B233,August!$D$3:$AH$3)+1)+INDEX(August!$C$3:$AH$169,14,MATCH(B233,August!$D$3:$AH$3)+1)+INDEX(August!$C$3:$AH$169,19,MATCH(B233,August!$D$3:$AH$3)+1)+INDEX(August!$C$3:$AH$169,24,MATCH(B233,August!$D$3:$AH$3)+1)+INDEX(August!$C$3:$AH$169,29,MATCH(B233,August!$D$3:$AH$3)+1)+INDEX(August!$C$3:$AH$169,34,MATCH(B233,August!$D$3:$AH$3)+1)+INDEX(August!$C$3:$AH$169,39,MATCH(B233,August!$D$3:$AH$3)+1)+INDEX(August!$C$3:$AH$169,44,MATCH(B233,August!$D$3:$AH$3)+1)+INDEX(August!$C$3:$AH$169,49,MATCH(B233,August!$D$3:$AH$3)+1)+INDEX(August!$C$3:$AH$169,54,MATCH(B233,August!$D$3:$AH$3)+1)+INDEX(August!$C$3:$AH$169,59,MATCH(B233,August!$D$3:$AH$3)+1)+INDEX(August!$C$3:$AH$169,64,MATCH(B233,August!$D$3:$AH$3)+1)+INDEX(August!$C$3:$AH$169,69,MATCH(B233,August!$D$3:$AH$3)+1)+INDEX(August!$C$3:$AH$169,74,MATCH(B233,August!$D$3:$AH$3)+1)+INDEX(August!$C$3:$AH$169,79,MATCH(B233,August!$D$3:$AH$3)+1)+INDEX(August!$C$3:$AH$169,84,MATCH(B233,August!$D$3:$AH$3)+1)+INDEX(August!$C$3:$AH$169,89,MATCH(B233,August!$D$3:$AH$3)+1)+INDEX(August!$C$3:$AH$169,94,MATCH(B233,August!$D$3:$AH$3)+1)+INDEX(August!$C$3:$AH$169,99,MATCH(B233,August!$D$3:$AH$3)+1)+INDEX(August!$C$3:$AH$169,104,MATCH(B233,August!$D$3:$AH$3)+1)+INDEX(August!$C$3:$AH$169,109,MATCH(B233,August!$D$3:$AH$3)+1)+INDEX(August!$C$3:$AH$169,114,MATCH(B233,August!$D$3:$AH$3)+1)+INDEX(August!$C$3:$AH$169,119,MATCH(B233,August!$D$3:$AH$3)+1)+INDEX(August!$C$3:$AH$169,124,MATCH(B233,August!$D$3:$AH$3)+1)+INDEX(August!$C$3:$AH$169,129,MATCH(B233,August!$D$3:$AH$3)+1)+INDEX(August!$C$3:$AH$169,134,MATCH(B233,August!$D$3:$AH$3)+1)+INDEX(August!$C$3:$AH$169,139,MATCH(B233,August!$D$3:$AH$3)+1)+INDEX(August!$C$3:$AH$169,144,MATCH(B233,August!$D$3:$AH$3)+1)+INDEX(August!$C$3:$AH$169,149,MATCH(B233,August!$D$3:$AH$3)+1)-INDEX(August!$B$5:$AH$169,MATCH("Patrick Janssen",August!$B$5:$B$169)+1,MATCH(B233,August!$D$3:$AH$3)+2)-INDEX(August!$B$5:$AH$169,MATCH("Patrick Ziesen",August!$B$5:$B$169)+1,MATCH(B233,August!$D$3:$AH$3)+2)-INDEX(August!$B$5:$AH$169,MATCH("Frido Meijer",August!$B$5:$B$169)+1,MATCH(B233,August!$D$3:$AH$3)+2)</f>
        <v>0</v>
      </c>
      <c r="I233" s="130">
        <v>0</v>
      </c>
      <c r="J233" s="130">
        <v>0</v>
      </c>
      <c r="L233" s="124"/>
      <c r="M233" s="111"/>
      <c r="N233" s="111">
        <f t="shared" si="72"/>
        <v>0</v>
      </c>
      <c r="P233" s="112">
        <f t="shared" ref="P233:P262" si="74">IFERROR((L233+(M233/60)+N233)/(D233-F233-G233-H233-I233-J233),"")</f>
        <v>0</v>
      </c>
      <c r="Q233" s="112">
        <f t="shared" ref="Q233:Q262" si="75">IFERROR((L233+(M233/60)+N233)/(D233-(G233+H233)),"")</f>
        <v>0</v>
      </c>
    </row>
    <row r="234" spans="2:17" x14ac:dyDescent="0.25">
      <c r="B234" s="110">
        <f>DATE(Title!$F$12,$S$12,S7)</f>
        <v>41489</v>
      </c>
      <c r="C234" s="111">
        <f>IF(WEEKDAY(B234)=1,0,IF(WEEKDAY(B234)=4,'Hours Scheduled'!$K$44-1,IF(WEEKDAY(B234)=7,0,'Hours Scheduled'!$K$44)))</f>
        <v>0</v>
      </c>
      <c r="D234" s="17">
        <f t="shared" si="73"/>
        <v>0</v>
      </c>
      <c r="E234" s="127">
        <f t="shared" ref="E234:E263" si="76">C234*8-G234-H234</f>
        <v>0</v>
      </c>
      <c r="F234" s="111"/>
      <c r="G234" s="130">
        <f>INDEX(August!$C$3:$AH$169,3,MATCH(B234,August!$D$3:$AH$3)+1)+INDEX(August!$C$3:$AH$169,8,MATCH(B234,August!$D$3:$AH$3)+1)+INDEX(August!$C$3:$AH$169,13,MATCH(B234,August!$D$3:$AH$3)+1)+INDEX(August!$C$3:$AH$169,18,MATCH(B234,August!$D$3:$AH$3)+1)+INDEX(August!$C$3:$AH$169,23,MATCH(B234,August!$D$3:$AH$3)+1)+INDEX(August!$C$3:$AH$169,28,MATCH(B234,August!$D$3:$AH$3)+1)+INDEX(August!$C$3:$AH$169,33,MATCH(B234,August!$D$3:$AH$3)+1)+INDEX(August!$C$3:$AH$169,38,MATCH(B234,August!$D$3:$AH$3)+1)+INDEX(August!$C$3:$AH$169,43,MATCH(B234,August!$D$3:$AH$3)+1)+INDEX(August!$C$3:$AH$169,48,MATCH(B234,August!$D$3:$AH$3)+1)+INDEX(August!$C$3:$AH$169,53,MATCH(B234,August!$D$3:$AH$3)+1)+INDEX(August!$C$3:$AH$169,58,MATCH(B234,August!$D$3:$AH$3)+1)+INDEX(August!$C$3:$AH$169,63,MATCH(B234,August!$D$3:$AH$3)+1)+INDEX(August!$C$3:$AH$169,68,MATCH(B234,August!$D$3:$AH$3)+1)+INDEX(August!$C$3:$AH$169,73,MATCH(B234,August!$D$3:$AH$3)+1)+INDEX(August!$C$3:$AH$169,78,MATCH(B234,August!$D$3:$AH$3)+1)+INDEX(August!$C$3:$AH$169,83,MATCH(B234,August!$D$3:$AH$3)+1)+INDEX(August!$C$3:$AH$169,88,MATCH(B234,August!$D$3:$AH$3)+1)+INDEX(August!$C$3:$AH$169,93,MATCH(B234,August!$D$3:$AH$3)+1)+INDEX(August!$C$3:$AH$169,98,MATCH(B234,August!$D$3:$AH$3)+1)+INDEX(August!$C$3:$AH$169,103,MATCH(B234,August!$D$3:$AH$3)+1)+INDEX(August!$C$3:$AH$169,108,MATCH(B234,August!$D$3:$AH$3)+1)+INDEX(August!$C$3:$AH$169,113,MATCH(B234,August!$D$3:$AH$3)+1)+INDEX(August!$C$3:$AH$169,118,MATCH(B234,August!$D$3:$AH$3)+1)+INDEX(August!$C$3:$AH$169,123,MATCH(B234,August!$D$3:$AH$3)+1)+INDEX(August!$C$3:$AH$169,128,MATCH(B234,August!$D$3:$AH$3)+1)+INDEX(August!$C$3:$AH$169,133,MATCH(B234,August!$D$3:$AH$3)+1)+INDEX(August!$C$3:$AH$169,138,MATCH(B234,August!$D$3:$AH$3)+1)+INDEX(August!$C$3:$AH$169,143,MATCH(B234,August!$D$3:$AH$3)+1)+INDEX(August!$C$3:$AH$169,148,MATCH(B234,August!$D$3:$AH$3)+1)-INDEX(August!$B$5:$AH$169,MATCH("Patrick Janssen",August!$B$5:$B$169),MATCH(B234,August!$D$3:$AH$3)+2)-INDEX(August!$B$5:$AH$169,MATCH("Patrick Ziesen",August!$B$5:$B$169),MATCH(B234,August!$D$3:$AH$3)+2)-INDEX(August!$B$5:$AH$169,MATCH("Frido Meijer",August!$B$5:$B$169),MATCH(B234,August!$D$3:$AH$3)+2)</f>
        <v>0</v>
      </c>
      <c r="H234" s="130">
        <f>INDEX(August!$C$3:$AH$169,4,MATCH(B234,August!$D$3:$AH$3)+1)+INDEX(August!$C$3:$AH$169,9,MATCH(B234,August!$D$3:$AH$3)+1)+INDEX(August!$C$3:$AH$169,14,MATCH(B234,August!$D$3:$AH$3)+1)+INDEX(August!$C$3:$AH$169,19,MATCH(B234,August!$D$3:$AH$3)+1)+INDEX(August!$C$3:$AH$169,24,MATCH(B234,August!$D$3:$AH$3)+1)+INDEX(August!$C$3:$AH$169,29,MATCH(B234,August!$D$3:$AH$3)+1)+INDEX(August!$C$3:$AH$169,34,MATCH(B234,August!$D$3:$AH$3)+1)+INDEX(August!$C$3:$AH$169,39,MATCH(B234,August!$D$3:$AH$3)+1)+INDEX(August!$C$3:$AH$169,44,MATCH(B234,August!$D$3:$AH$3)+1)+INDEX(August!$C$3:$AH$169,49,MATCH(B234,August!$D$3:$AH$3)+1)+INDEX(August!$C$3:$AH$169,54,MATCH(B234,August!$D$3:$AH$3)+1)+INDEX(August!$C$3:$AH$169,59,MATCH(B234,August!$D$3:$AH$3)+1)+INDEX(August!$C$3:$AH$169,64,MATCH(B234,August!$D$3:$AH$3)+1)+INDEX(August!$C$3:$AH$169,69,MATCH(B234,August!$D$3:$AH$3)+1)+INDEX(August!$C$3:$AH$169,74,MATCH(B234,August!$D$3:$AH$3)+1)+INDEX(August!$C$3:$AH$169,79,MATCH(B234,August!$D$3:$AH$3)+1)+INDEX(August!$C$3:$AH$169,84,MATCH(B234,August!$D$3:$AH$3)+1)+INDEX(August!$C$3:$AH$169,89,MATCH(B234,August!$D$3:$AH$3)+1)+INDEX(August!$C$3:$AH$169,94,MATCH(B234,August!$D$3:$AH$3)+1)+INDEX(August!$C$3:$AH$169,99,MATCH(B234,August!$D$3:$AH$3)+1)+INDEX(August!$C$3:$AH$169,104,MATCH(B234,August!$D$3:$AH$3)+1)+INDEX(August!$C$3:$AH$169,109,MATCH(B234,August!$D$3:$AH$3)+1)+INDEX(August!$C$3:$AH$169,114,MATCH(B234,August!$D$3:$AH$3)+1)+INDEX(August!$C$3:$AH$169,119,MATCH(B234,August!$D$3:$AH$3)+1)+INDEX(August!$C$3:$AH$169,124,MATCH(B234,August!$D$3:$AH$3)+1)+INDEX(August!$C$3:$AH$169,129,MATCH(B234,August!$D$3:$AH$3)+1)+INDEX(August!$C$3:$AH$169,134,MATCH(B234,August!$D$3:$AH$3)+1)+INDEX(August!$C$3:$AH$169,139,MATCH(B234,August!$D$3:$AH$3)+1)+INDEX(August!$C$3:$AH$169,144,MATCH(B234,August!$D$3:$AH$3)+1)+INDEX(August!$C$3:$AH$169,149,MATCH(B234,August!$D$3:$AH$3)+1)-INDEX(August!$B$5:$AH$169,MATCH("Patrick Janssen",August!$B$5:$B$169)+1,MATCH(B234,August!$D$3:$AH$3)+2)-INDEX(August!$B$5:$AH$169,MATCH("Patrick Ziesen",August!$B$5:$B$169)+1,MATCH(B234,August!$D$3:$AH$3)+2)-INDEX(August!$B$5:$AH$169,MATCH("Frido Meijer",August!$B$5:$B$169)+1,MATCH(B234,August!$D$3:$AH$3)+2)</f>
        <v>0</v>
      </c>
      <c r="I234" s="130">
        <v>0</v>
      </c>
      <c r="J234" s="130">
        <v>0</v>
      </c>
      <c r="L234" s="124"/>
      <c r="M234" s="111"/>
      <c r="N234" s="111">
        <f t="shared" si="72"/>
        <v>0</v>
      </c>
      <c r="P234" s="112" t="str">
        <f t="shared" si="74"/>
        <v/>
      </c>
      <c r="Q234" s="112" t="str">
        <f t="shared" si="75"/>
        <v/>
      </c>
    </row>
    <row r="235" spans="2:17" x14ac:dyDescent="0.25">
      <c r="B235" s="110">
        <f>DATE(Title!$F$12,$S$12,S8)</f>
        <v>41490</v>
      </c>
      <c r="C235" s="111">
        <f>IF(WEEKDAY(B235)=1,0,IF(WEEKDAY(B235)=4,'Hours Scheduled'!$K$44-1,IF(WEEKDAY(B235)=7,0,'Hours Scheduled'!$K$44)))</f>
        <v>0</v>
      </c>
      <c r="D235" s="17">
        <f t="shared" si="73"/>
        <v>0</v>
      </c>
      <c r="E235" s="127">
        <f t="shared" si="76"/>
        <v>0</v>
      </c>
      <c r="F235" s="111"/>
      <c r="G235" s="130">
        <f>INDEX(August!$C$3:$AH$169,3,MATCH(B235,August!$D$3:$AH$3)+1)+INDEX(August!$C$3:$AH$169,8,MATCH(B235,August!$D$3:$AH$3)+1)+INDEX(August!$C$3:$AH$169,13,MATCH(B235,August!$D$3:$AH$3)+1)+INDEX(August!$C$3:$AH$169,18,MATCH(B235,August!$D$3:$AH$3)+1)+INDEX(August!$C$3:$AH$169,23,MATCH(B235,August!$D$3:$AH$3)+1)+INDEX(August!$C$3:$AH$169,28,MATCH(B235,August!$D$3:$AH$3)+1)+INDEX(August!$C$3:$AH$169,33,MATCH(B235,August!$D$3:$AH$3)+1)+INDEX(August!$C$3:$AH$169,38,MATCH(B235,August!$D$3:$AH$3)+1)+INDEX(August!$C$3:$AH$169,43,MATCH(B235,August!$D$3:$AH$3)+1)+INDEX(August!$C$3:$AH$169,48,MATCH(B235,August!$D$3:$AH$3)+1)+INDEX(August!$C$3:$AH$169,53,MATCH(B235,August!$D$3:$AH$3)+1)+INDEX(August!$C$3:$AH$169,58,MATCH(B235,August!$D$3:$AH$3)+1)+INDEX(August!$C$3:$AH$169,63,MATCH(B235,August!$D$3:$AH$3)+1)+INDEX(August!$C$3:$AH$169,68,MATCH(B235,August!$D$3:$AH$3)+1)+INDEX(August!$C$3:$AH$169,73,MATCH(B235,August!$D$3:$AH$3)+1)+INDEX(August!$C$3:$AH$169,78,MATCH(B235,August!$D$3:$AH$3)+1)+INDEX(August!$C$3:$AH$169,83,MATCH(B235,August!$D$3:$AH$3)+1)+INDEX(August!$C$3:$AH$169,88,MATCH(B235,August!$D$3:$AH$3)+1)+INDEX(August!$C$3:$AH$169,93,MATCH(B235,August!$D$3:$AH$3)+1)+INDEX(August!$C$3:$AH$169,98,MATCH(B235,August!$D$3:$AH$3)+1)+INDEX(August!$C$3:$AH$169,103,MATCH(B235,August!$D$3:$AH$3)+1)+INDEX(August!$C$3:$AH$169,108,MATCH(B235,August!$D$3:$AH$3)+1)+INDEX(August!$C$3:$AH$169,113,MATCH(B235,August!$D$3:$AH$3)+1)+INDEX(August!$C$3:$AH$169,118,MATCH(B235,August!$D$3:$AH$3)+1)+INDEX(August!$C$3:$AH$169,123,MATCH(B235,August!$D$3:$AH$3)+1)+INDEX(August!$C$3:$AH$169,128,MATCH(B235,August!$D$3:$AH$3)+1)+INDEX(August!$C$3:$AH$169,133,MATCH(B235,August!$D$3:$AH$3)+1)+INDEX(August!$C$3:$AH$169,138,MATCH(B235,August!$D$3:$AH$3)+1)+INDEX(August!$C$3:$AH$169,143,MATCH(B235,August!$D$3:$AH$3)+1)+INDEX(August!$C$3:$AH$169,148,MATCH(B235,August!$D$3:$AH$3)+1)-INDEX(August!$B$5:$AH$169,MATCH("Patrick Janssen",August!$B$5:$B$169),MATCH(B235,August!$D$3:$AH$3)+2)-INDEX(August!$B$5:$AH$169,MATCH("Patrick Ziesen",August!$B$5:$B$169),MATCH(B235,August!$D$3:$AH$3)+2)-INDEX(August!$B$5:$AH$169,MATCH("Frido Meijer",August!$B$5:$B$169),MATCH(B235,August!$D$3:$AH$3)+2)</f>
        <v>0</v>
      </c>
      <c r="H235" s="130">
        <f>INDEX(August!$C$3:$AH$169,4,MATCH(B235,August!$D$3:$AH$3)+1)+INDEX(August!$C$3:$AH$169,9,MATCH(B235,August!$D$3:$AH$3)+1)+INDEX(August!$C$3:$AH$169,14,MATCH(B235,August!$D$3:$AH$3)+1)+INDEX(August!$C$3:$AH$169,19,MATCH(B235,August!$D$3:$AH$3)+1)+INDEX(August!$C$3:$AH$169,24,MATCH(B235,August!$D$3:$AH$3)+1)+INDEX(August!$C$3:$AH$169,29,MATCH(B235,August!$D$3:$AH$3)+1)+INDEX(August!$C$3:$AH$169,34,MATCH(B235,August!$D$3:$AH$3)+1)+INDEX(August!$C$3:$AH$169,39,MATCH(B235,August!$D$3:$AH$3)+1)+INDEX(August!$C$3:$AH$169,44,MATCH(B235,August!$D$3:$AH$3)+1)+INDEX(August!$C$3:$AH$169,49,MATCH(B235,August!$D$3:$AH$3)+1)+INDEX(August!$C$3:$AH$169,54,MATCH(B235,August!$D$3:$AH$3)+1)+INDEX(August!$C$3:$AH$169,59,MATCH(B235,August!$D$3:$AH$3)+1)+INDEX(August!$C$3:$AH$169,64,MATCH(B235,August!$D$3:$AH$3)+1)+INDEX(August!$C$3:$AH$169,69,MATCH(B235,August!$D$3:$AH$3)+1)+INDEX(August!$C$3:$AH$169,74,MATCH(B235,August!$D$3:$AH$3)+1)+INDEX(August!$C$3:$AH$169,79,MATCH(B235,August!$D$3:$AH$3)+1)+INDEX(August!$C$3:$AH$169,84,MATCH(B235,August!$D$3:$AH$3)+1)+INDEX(August!$C$3:$AH$169,89,MATCH(B235,August!$D$3:$AH$3)+1)+INDEX(August!$C$3:$AH$169,94,MATCH(B235,August!$D$3:$AH$3)+1)+INDEX(August!$C$3:$AH$169,99,MATCH(B235,August!$D$3:$AH$3)+1)+INDEX(August!$C$3:$AH$169,104,MATCH(B235,August!$D$3:$AH$3)+1)+INDEX(August!$C$3:$AH$169,109,MATCH(B235,August!$D$3:$AH$3)+1)+INDEX(August!$C$3:$AH$169,114,MATCH(B235,August!$D$3:$AH$3)+1)+INDEX(August!$C$3:$AH$169,119,MATCH(B235,August!$D$3:$AH$3)+1)+INDEX(August!$C$3:$AH$169,124,MATCH(B235,August!$D$3:$AH$3)+1)+INDEX(August!$C$3:$AH$169,129,MATCH(B235,August!$D$3:$AH$3)+1)+INDEX(August!$C$3:$AH$169,134,MATCH(B235,August!$D$3:$AH$3)+1)+INDEX(August!$C$3:$AH$169,139,MATCH(B235,August!$D$3:$AH$3)+1)+INDEX(August!$C$3:$AH$169,144,MATCH(B235,August!$D$3:$AH$3)+1)+INDEX(August!$C$3:$AH$169,149,MATCH(B235,August!$D$3:$AH$3)+1)-INDEX(August!$B$5:$AH$169,MATCH("Patrick Janssen",August!$B$5:$B$169)+1,MATCH(B235,August!$D$3:$AH$3)+2)-INDEX(August!$B$5:$AH$169,MATCH("Patrick Ziesen",August!$B$5:$B$169)+1,MATCH(B235,August!$D$3:$AH$3)+2)-INDEX(August!$B$5:$AH$169,MATCH("Frido Meijer",August!$B$5:$B$169)+1,MATCH(B235,August!$D$3:$AH$3)+2)</f>
        <v>0</v>
      </c>
      <c r="I235" s="130">
        <v>0</v>
      </c>
      <c r="J235" s="130">
        <v>0</v>
      </c>
      <c r="L235" s="111"/>
      <c r="M235" s="111"/>
      <c r="N235" s="111">
        <f t="shared" si="72"/>
        <v>0</v>
      </c>
      <c r="P235" s="112" t="str">
        <f t="shared" si="74"/>
        <v/>
      </c>
      <c r="Q235" s="112" t="str">
        <f t="shared" si="75"/>
        <v/>
      </c>
    </row>
    <row r="236" spans="2:17" x14ac:dyDescent="0.25">
      <c r="B236" s="110">
        <f>DATE(Title!$F$12,$S$12,S9)</f>
        <v>41491</v>
      </c>
      <c r="C236" s="111">
        <f>IF(WEEKDAY(B236)=1,0,IF(WEEKDAY(B236)=4,'Hours Scheduled'!$K$44-1,IF(WEEKDAY(B236)=7,0,'Hours Scheduled'!$K$44)))</f>
        <v>21</v>
      </c>
      <c r="D236" s="17">
        <f t="shared" si="73"/>
        <v>157.5</v>
      </c>
      <c r="E236" s="127">
        <f t="shared" si="76"/>
        <v>136</v>
      </c>
      <c r="F236" s="111"/>
      <c r="G236" s="130">
        <f>INDEX(August!$C$3:$AH$169,3,MATCH(B236,August!$D$3:$AH$3)+1)+INDEX(August!$C$3:$AH$169,8,MATCH(B236,August!$D$3:$AH$3)+1)+INDEX(August!$C$3:$AH$169,13,MATCH(B236,August!$D$3:$AH$3)+1)+INDEX(August!$C$3:$AH$169,18,MATCH(B236,August!$D$3:$AH$3)+1)+INDEX(August!$C$3:$AH$169,23,MATCH(B236,August!$D$3:$AH$3)+1)+INDEX(August!$C$3:$AH$169,28,MATCH(B236,August!$D$3:$AH$3)+1)+INDEX(August!$C$3:$AH$169,33,MATCH(B236,August!$D$3:$AH$3)+1)+INDEX(August!$C$3:$AH$169,38,MATCH(B236,August!$D$3:$AH$3)+1)+INDEX(August!$C$3:$AH$169,43,MATCH(B236,August!$D$3:$AH$3)+1)+INDEX(August!$C$3:$AH$169,48,MATCH(B236,August!$D$3:$AH$3)+1)+INDEX(August!$C$3:$AH$169,53,MATCH(B236,August!$D$3:$AH$3)+1)+INDEX(August!$C$3:$AH$169,58,MATCH(B236,August!$D$3:$AH$3)+1)+INDEX(August!$C$3:$AH$169,63,MATCH(B236,August!$D$3:$AH$3)+1)+INDEX(August!$C$3:$AH$169,68,MATCH(B236,August!$D$3:$AH$3)+1)+INDEX(August!$C$3:$AH$169,73,MATCH(B236,August!$D$3:$AH$3)+1)+INDEX(August!$C$3:$AH$169,78,MATCH(B236,August!$D$3:$AH$3)+1)+INDEX(August!$C$3:$AH$169,83,MATCH(B236,August!$D$3:$AH$3)+1)+INDEX(August!$C$3:$AH$169,88,MATCH(B236,August!$D$3:$AH$3)+1)+INDEX(August!$C$3:$AH$169,93,MATCH(B236,August!$D$3:$AH$3)+1)+INDEX(August!$C$3:$AH$169,98,MATCH(B236,August!$D$3:$AH$3)+1)+INDEX(August!$C$3:$AH$169,103,MATCH(B236,August!$D$3:$AH$3)+1)+INDEX(August!$C$3:$AH$169,108,MATCH(B236,August!$D$3:$AH$3)+1)+INDEX(August!$C$3:$AH$169,113,MATCH(B236,August!$D$3:$AH$3)+1)+INDEX(August!$C$3:$AH$169,118,MATCH(B236,August!$D$3:$AH$3)+1)+INDEX(August!$C$3:$AH$169,123,MATCH(B236,August!$D$3:$AH$3)+1)+INDEX(August!$C$3:$AH$169,128,MATCH(B236,August!$D$3:$AH$3)+1)+INDEX(August!$C$3:$AH$169,133,MATCH(B236,August!$D$3:$AH$3)+1)+INDEX(August!$C$3:$AH$169,138,MATCH(B236,August!$D$3:$AH$3)+1)+INDEX(August!$C$3:$AH$169,143,MATCH(B236,August!$D$3:$AH$3)+1)+INDEX(August!$C$3:$AH$169,148,MATCH(B236,August!$D$3:$AH$3)+1)-INDEX(August!$B$5:$AH$169,MATCH("Patrick Janssen",August!$B$5:$B$169),MATCH(B236,August!$D$3:$AH$3)+2)-INDEX(August!$B$5:$AH$169,MATCH("Patrick Ziesen",August!$B$5:$B$169),MATCH(B236,August!$D$3:$AH$3)+2)-INDEX(August!$B$5:$AH$169,MATCH("Frido Meijer",August!$B$5:$B$169),MATCH(B236,August!$D$3:$AH$3)+2)</f>
        <v>32</v>
      </c>
      <c r="H236" s="130">
        <f>INDEX(August!$C$3:$AH$169,4,MATCH(B236,August!$D$3:$AH$3)+1)+INDEX(August!$C$3:$AH$169,9,MATCH(B236,August!$D$3:$AH$3)+1)+INDEX(August!$C$3:$AH$169,14,MATCH(B236,August!$D$3:$AH$3)+1)+INDEX(August!$C$3:$AH$169,19,MATCH(B236,August!$D$3:$AH$3)+1)+INDEX(August!$C$3:$AH$169,24,MATCH(B236,August!$D$3:$AH$3)+1)+INDEX(August!$C$3:$AH$169,29,MATCH(B236,August!$D$3:$AH$3)+1)+INDEX(August!$C$3:$AH$169,34,MATCH(B236,August!$D$3:$AH$3)+1)+INDEX(August!$C$3:$AH$169,39,MATCH(B236,August!$D$3:$AH$3)+1)+INDEX(August!$C$3:$AH$169,44,MATCH(B236,August!$D$3:$AH$3)+1)+INDEX(August!$C$3:$AH$169,49,MATCH(B236,August!$D$3:$AH$3)+1)+INDEX(August!$C$3:$AH$169,54,MATCH(B236,August!$D$3:$AH$3)+1)+INDEX(August!$C$3:$AH$169,59,MATCH(B236,August!$D$3:$AH$3)+1)+INDEX(August!$C$3:$AH$169,64,MATCH(B236,August!$D$3:$AH$3)+1)+INDEX(August!$C$3:$AH$169,69,MATCH(B236,August!$D$3:$AH$3)+1)+INDEX(August!$C$3:$AH$169,74,MATCH(B236,August!$D$3:$AH$3)+1)+INDEX(August!$C$3:$AH$169,79,MATCH(B236,August!$D$3:$AH$3)+1)+INDEX(August!$C$3:$AH$169,84,MATCH(B236,August!$D$3:$AH$3)+1)+INDEX(August!$C$3:$AH$169,89,MATCH(B236,August!$D$3:$AH$3)+1)+INDEX(August!$C$3:$AH$169,94,MATCH(B236,August!$D$3:$AH$3)+1)+INDEX(August!$C$3:$AH$169,99,MATCH(B236,August!$D$3:$AH$3)+1)+INDEX(August!$C$3:$AH$169,104,MATCH(B236,August!$D$3:$AH$3)+1)+INDEX(August!$C$3:$AH$169,109,MATCH(B236,August!$D$3:$AH$3)+1)+INDEX(August!$C$3:$AH$169,114,MATCH(B236,August!$D$3:$AH$3)+1)+INDEX(August!$C$3:$AH$169,119,MATCH(B236,August!$D$3:$AH$3)+1)+INDEX(August!$C$3:$AH$169,124,MATCH(B236,August!$D$3:$AH$3)+1)+INDEX(August!$C$3:$AH$169,129,MATCH(B236,August!$D$3:$AH$3)+1)+INDEX(August!$C$3:$AH$169,134,MATCH(B236,August!$D$3:$AH$3)+1)+INDEX(August!$C$3:$AH$169,139,MATCH(B236,August!$D$3:$AH$3)+1)+INDEX(August!$C$3:$AH$169,144,MATCH(B236,August!$D$3:$AH$3)+1)+INDEX(August!$C$3:$AH$169,149,MATCH(B236,August!$D$3:$AH$3)+1)-INDEX(August!$B$5:$AH$169,MATCH("Patrick Janssen",August!$B$5:$B$169)+1,MATCH(B236,August!$D$3:$AH$3)+2)-INDEX(August!$B$5:$AH$169,MATCH("Patrick Ziesen",August!$B$5:$B$169)+1,MATCH(B236,August!$D$3:$AH$3)+2)-INDEX(August!$B$5:$AH$169,MATCH("Frido Meijer",August!$B$5:$B$169)+1,MATCH(B236,August!$D$3:$AH$3)+2)</f>
        <v>0</v>
      </c>
      <c r="I236" s="130">
        <v>0</v>
      </c>
      <c r="J236" s="130">
        <v>0</v>
      </c>
      <c r="L236" s="111"/>
      <c r="M236" s="111"/>
      <c r="N236" s="111">
        <f t="shared" si="72"/>
        <v>0</v>
      </c>
      <c r="P236" s="112">
        <f t="shared" si="74"/>
        <v>0</v>
      </c>
      <c r="Q236" s="112">
        <f t="shared" si="75"/>
        <v>0</v>
      </c>
    </row>
    <row r="237" spans="2:17" x14ac:dyDescent="0.25">
      <c r="B237" s="110">
        <f>DATE(Title!$F$12,$S$12,S10)</f>
        <v>41492</v>
      </c>
      <c r="C237" s="111">
        <f>IF(WEEKDAY(B237)=1,0,IF(WEEKDAY(B237)=4,'Hours Scheduled'!$K$44-1,IF(WEEKDAY(B237)=7,0,'Hours Scheduled'!$K$44)))</f>
        <v>21</v>
      </c>
      <c r="D237" s="17">
        <f t="shared" si="73"/>
        <v>157.5</v>
      </c>
      <c r="E237" s="127">
        <f t="shared" si="76"/>
        <v>136</v>
      </c>
      <c r="F237" s="111"/>
      <c r="G237" s="130">
        <f>INDEX(August!$C$3:$AH$169,3,MATCH(B237,August!$D$3:$AH$3)+1)+INDEX(August!$C$3:$AH$169,8,MATCH(B237,August!$D$3:$AH$3)+1)+INDEX(August!$C$3:$AH$169,13,MATCH(B237,August!$D$3:$AH$3)+1)+INDEX(August!$C$3:$AH$169,18,MATCH(B237,August!$D$3:$AH$3)+1)+INDEX(August!$C$3:$AH$169,23,MATCH(B237,August!$D$3:$AH$3)+1)+INDEX(August!$C$3:$AH$169,28,MATCH(B237,August!$D$3:$AH$3)+1)+INDEX(August!$C$3:$AH$169,33,MATCH(B237,August!$D$3:$AH$3)+1)+INDEX(August!$C$3:$AH$169,38,MATCH(B237,August!$D$3:$AH$3)+1)+INDEX(August!$C$3:$AH$169,43,MATCH(B237,August!$D$3:$AH$3)+1)+INDEX(August!$C$3:$AH$169,48,MATCH(B237,August!$D$3:$AH$3)+1)+INDEX(August!$C$3:$AH$169,53,MATCH(B237,August!$D$3:$AH$3)+1)+INDEX(August!$C$3:$AH$169,58,MATCH(B237,August!$D$3:$AH$3)+1)+INDEX(August!$C$3:$AH$169,63,MATCH(B237,August!$D$3:$AH$3)+1)+INDEX(August!$C$3:$AH$169,68,MATCH(B237,August!$D$3:$AH$3)+1)+INDEX(August!$C$3:$AH$169,73,MATCH(B237,August!$D$3:$AH$3)+1)+INDEX(August!$C$3:$AH$169,78,MATCH(B237,August!$D$3:$AH$3)+1)+INDEX(August!$C$3:$AH$169,83,MATCH(B237,August!$D$3:$AH$3)+1)+INDEX(August!$C$3:$AH$169,88,MATCH(B237,August!$D$3:$AH$3)+1)+INDEX(August!$C$3:$AH$169,93,MATCH(B237,August!$D$3:$AH$3)+1)+INDEX(August!$C$3:$AH$169,98,MATCH(B237,August!$D$3:$AH$3)+1)+INDEX(August!$C$3:$AH$169,103,MATCH(B237,August!$D$3:$AH$3)+1)+INDEX(August!$C$3:$AH$169,108,MATCH(B237,August!$D$3:$AH$3)+1)+INDEX(August!$C$3:$AH$169,113,MATCH(B237,August!$D$3:$AH$3)+1)+INDEX(August!$C$3:$AH$169,118,MATCH(B237,August!$D$3:$AH$3)+1)+INDEX(August!$C$3:$AH$169,123,MATCH(B237,August!$D$3:$AH$3)+1)+INDEX(August!$C$3:$AH$169,128,MATCH(B237,August!$D$3:$AH$3)+1)+INDEX(August!$C$3:$AH$169,133,MATCH(B237,August!$D$3:$AH$3)+1)+INDEX(August!$C$3:$AH$169,138,MATCH(B237,August!$D$3:$AH$3)+1)+INDEX(August!$C$3:$AH$169,143,MATCH(B237,August!$D$3:$AH$3)+1)+INDEX(August!$C$3:$AH$169,148,MATCH(B237,August!$D$3:$AH$3)+1)-INDEX(August!$B$5:$AH$169,MATCH("Patrick Janssen",August!$B$5:$B$169),MATCH(B237,August!$D$3:$AH$3)+2)-INDEX(August!$B$5:$AH$169,MATCH("Patrick Ziesen",August!$B$5:$B$169),MATCH(B237,August!$D$3:$AH$3)+2)-INDEX(August!$B$5:$AH$169,MATCH("Frido Meijer",August!$B$5:$B$169),MATCH(B237,August!$D$3:$AH$3)+2)</f>
        <v>32</v>
      </c>
      <c r="H237" s="130">
        <f>INDEX(August!$C$3:$AH$169,4,MATCH(B237,August!$D$3:$AH$3)+1)+INDEX(August!$C$3:$AH$169,9,MATCH(B237,August!$D$3:$AH$3)+1)+INDEX(August!$C$3:$AH$169,14,MATCH(B237,August!$D$3:$AH$3)+1)+INDEX(August!$C$3:$AH$169,19,MATCH(B237,August!$D$3:$AH$3)+1)+INDEX(August!$C$3:$AH$169,24,MATCH(B237,August!$D$3:$AH$3)+1)+INDEX(August!$C$3:$AH$169,29,MATCH(B237,August!$D$3:$AH$3)+1)+INDEX(August!$C$3:$AH$169,34,MATCH(B237,August!$D$3:$AH$3)+1)+INDEX(August!$C$3:$AH$169,39,MATCH(B237,August!$D$3:$AH$3)+1)+INDEX(August!$C$3:$AH$169,44,MATCH(B237,August!$D$3:$AH$3)+1)+INDEX(August!$C$3:$AH$169,49,MATCH(B237,August!$D$3:$AH$3)+1)+INDEX(August!$C$3:$AH$169,54,MATCH(B237,August!$D$3:$AH$3)+1)+INDEX(August!$C$3:$AH$169,59,MATCH(B237,August!$D$3:$AH$3)+1)+INDEX(August!$C$3:$AH$169,64,MATCH(B237,August!$D$3:$AH$3)+1)+INDEX(August!$C$3:$AH$169,69,MATCH(B237,August!$D$3:$AH$3)+1)+INDEX(August!$C$3:$AH$169,74,MATCH(B237,August!$D$3:$AH$3)+1)+INDEX(August!$C$3:$AH$169,79,MATCH(B237,August!$D$3:$AH$3)+1)+INDEX(August!$C$3:$AH$169,84,MATCH(B237,August!$D$3:$AH$3)+1)+INDEX(August!$C$3:$AH$169,89,MATCH(B237,August!$D$3:$AH$3)+1)+INDEX(August!$C$3:$AH$169,94,MATCH(B237,August!$D$3:$AH$3)+1)+INDEX(August!$C$3:$AH$169,99,MATCH(B237,August!$D$3:$AH$3)+1)+INDEX(August!$C$3:$AH$169,104,MATCH(B237,August!$D$3:$AH$3)+1)+INDEX(August!$C$3:$AH$169,109,MATCH(B237,August!$D$3:$AH$3)+1)+INDEX(August!$C$3:$AH$169,114,MATCH(B237,August!$D$3:$AH$3)+1)+INDEX(August!$C$3:$AH$169,119,MATCH(B237,August!$D$3:$AH$3)+1)+INDEX(August!$C$3:$AH$169,124,MATCH(B237,August!$D$3:$AH$3)+1)+INDEX(August!$C$3:$AH$169,129,MATCH(B237,August!$D$3:$AH$3)+1)+INDEX(August!$C$3:$AH$169,134,MATCH(B237,August!$D$3:$AH$3)+1)+INDEX(August!$C$3:$AH$169,139,MATCH(B237,August!$D$3:$AH$3)+1)+INDEX(August!$C$3:$AH$169,144,MATCH(B237,August!$D$3:$AH$3)+1)+INDEX(August!$C$3:$AH$169,149,MATCH(B237,August!$D$3:$AH$3)+1)-INDEX(August!$B$5:$AH$169,MATCH("Patrick Janssen",August!$B$5:$B$169)+1,MATCH(B237,August!$D$3:$AH$3)+2)-INDEX(August!$B$5:$AH$169,MATCH("Patrick Ziesen",August!$B$5:$B$169)+1,MATCH(B237,August!$D$3:$AH$3)+2)-INDEX(August!$B$5:$AH$169,MATCH("Frido Meijer",August!$B$5:$B$169)+1,MATCH(B237,August!$D$3:$AH$3)+2)</f>
        <v>0</v>
      </c>
      <c r="I237" s="130">
        <v>0</v>
      </c>
      <c r="J237" s="130">
        <v>0</v>
      </c>
      <c r="L237" s="124"/>
      <c r="M237" s="111"/>
      <c r="N237" s="111">
        <f t="shared" si="72"/>
        <v>0</v>
      </c>
      <c r="P237" s="112">
        <f t="shared" si="74"/>
        <v>0</v>
      </c>
      <c r="Q237" s="112">
        <f t="shared" si="75"/>
        <v>0</v>
      </c>
    </row>
    <row r="238" spans="2:17" x14ac:dyDescent="0.25">
      <c r="B238" s="110">
        <f>DATE(Title!$F$12,$S$12,S11)</f>
        <v>41493</v>
      </c>
      <c r="C238" s="111">
        <f>IF(WEEKDAY(B238)=1,0,IF(WEEKDAY(B238)=4,'Hours Scheduled'!$K$44-1,IF(WEEKDAY(B238)=7,0,'Hours Scheduled'!$K$44)))</f>
        <v>20</v>
      </c>
      <c r="D238" s="17">
        <f t="shared" si="73"/>
        <v>150</v>
      </c>
      <c r="E238" s="127">
        <f t="shared" si="76"/>
        <v>128</v>
      </c>
      <c r="F238" s="111"/>
      <c r="G238" s="130">
        <f>INDEX(August!$C$3:$AH$169,3,MATCH(B238,August!$D$3:$AH$3)+1)+INDEX(August!$C$3:$AH$169,8,MATCH(B238,August!$D$3:$AH$3)+1)+INDEX(August!$C$3:$AH$169,13,MATCH(B238,August!$D$3:$AH$3)+1)+INDEX(August!$C$3:$AH$169,18,MATCH(B238,August!$D$3:$AH$3)+1)+INDEX(August!$C$3:$AH$169,23,MATCH(B238,August!$D$3:$AH$3)+1)+INDEX(August!$C$3:$AH$169,28,MATCH(B238,August!$D$3:$AH$3)+1)+INDEX(August!$C$3:$AH$169,33,MATCH(B238,August!$D$3:$AH$3)+1)+INDEX(August!$C$3:$AH$169,38,MATCH(B238,August!$D$3:$AH$3)+1)+INDEX(August!$C$3:$AH$169,43,MATCH(B238,August!$D$3:$AH$3)+1)+INDEX(August!$C$3:$AH$169,48,MATCH(B238,August!$D$3:$AH$3)+1)+INDEX(August!$C$3:$AH$169,53,MATCH(B238,August!$D$3:$AH$3)+1)+INDEX(August!$C$3:$AH$169,58,MATCH(B238,August!$D$3:$AH$3)+1)+INDEX(August!$C$3:$AH$169,63,MATCH(B238,August!$D$3:$AH$3)+1)+INDEX(August!$C$3:$AH$169,68,MATCH(B238,August!$D$3:$AH$3)+1)+INDEX(August!$C$3:$AH$169,73,MATCH(B238,August!$D$3:$AH$3)+1)+INDEX(August!$C$3:$AH$169,78,MATCH(B238,August!$D$3:$AH$3)+1)+INDEX(August!$C$3:$AH$169,83,MATCH(B238,August!$D$3:$AH$3)+1)+INDEX(August!$C$3:$AH$169,88,MATCH(B238,August!$D$3:$AH$3)+1)+INDEX(August!$C$3:$AH$169,93,MATCH(B238,August!$D$3:$AH$3)+1)+INDEX(August!$C$3:$AH$169,98,MATCH(B238,August!$D$3:$AH$3)+1)+INDEX(August!$C$3:$AH$169,103,MATCH(B238,August!$D$3:$AH$3)+1)+INDEX(August!$C$3:$AH$169,108,MATCH(B238,August!$D$3:$AH$3)+1)+INDEX(August!$C$3:$AH$169,113,MATCH(B238,August!$D$3:$AH$3)+1)+INDEX(August!$C$3:$AH$169,118,MATCH(B238,August!$D$3:$AH$3)+1)+INDEX(August!$C$3:$AH$169,123,MATCH(B238,August!$D$3:$AH$3)+1)+INDEX(August!$C$3:$AH$169,128,MATCH(B238,August!$D$3:$AH$3)+1)+INDEX(August!$C$3:$AH$169,133,MATCH(B238,August!$D$3:$AH$3)+1)+INDEX(August!$C$3:$AH$169,138,MATCH(B238,August!$D$3:$AH$3)+1)+INDEX(August!$C$3:$AH$169,143,MATCH(B238,August!$D$3:$AH$3)+1)+INDEX(August!$C$3:$AH$169,148,MATCH(B238,August!$D$3:$AH$3)+1)-INDEX(August!$B$5:$AH$169,MATCH("Patrick Janssen",August!$B$5:$B$169),MATCH(B238,August!$D$3:$AH$3)+2)-INDEX(August!$B$5:$AH$169,MATCH("Patrick Ziesen",August!$B$5:$B$169),MATCH(B238,August!$D$3:$AH$3)+2)-INDEX(August!$B$5:$AH$169,MATCH("Frido Meijer",August!$B$5:$B$169),MATCH(B238,August!$D$3:$AH$3)+2)</f>
        <v>32</v>
      </c>
      <c r="H238" s="130">
        <f>INDEX(August!$C$3:$AH$169,4,MATCH(B238,August!$D$3:$AH$3)+1)+INDEX(August!$C$3:$AH$169,9,MATCH(B238,August!$D$3:$AH$3)+1)+INDEX(August!$C$3:$AH$169,14,MATCH(B238,August!$D$3:$AH$3)+1)+INDEX(August!$C$3:$AH$169,19,MATCH(B238,August!$D$3:$AH$3)+1)+INDEX(August!$C$3:$AH$169,24,MATCH(B238,August!$D$3:$AH$3)+1)+INDEX(August!$C$3:$AH$169,29,MATCH(B238,August!$D$3:$AH$3)+1)+INDEX(August!$C$3:$AH$169,34,MATCH(B238,August!$D$3:$AH$3)+1)+INDEX(August!$C$3:$AH$169,39,MATCH(B238,August!$D$3:$AH$3)+1)+INDEX(August!$C$3:$AH$169,44,MATCH(B238,August!$D$3:$AH$3)+1)+INDEX(August!$C$3:$AH$169,49,MATCH(B238,August!$D$3:$AH$3)+1)+INDEX(August!$C$3:$AH$169,54,MATCH(B238,August!$D$3:$AH$3)+1)+INDEX(August!$C$3:$AH$169,59,MATCH(B238,August!$D$3:$AH$3)+1)+INDEX(August!$C$3:$AH$169,64,MATCH(B238,August!$D$3:$AH$3)+1)+INDEX(August!$C$3:$AH$169,69,MATCH(B238,August!$D$3:$AH$3)+1)+INDEX(August!$C$3:$AH$169,74,MATCH(B238,August!$D$3:$AH$3)+1)+INDEX(August!$C$3:$AH$169,79,MATCH(B238,August!$D$3:$AH$3)+1)+INDEX(August!$C$3:$AH$169,84,MATCH(B238,August!$D$3:$AH$3)+1)+INDEX(August!$C$3:$AH$169,89,MATCH(B238,August!$D$3:$AH$3)+1)+INDEX(August!$C$3:$AH$169,94,MATCH(B238,August!$D$3:$AH$3)+1)+INDEX(August!$C$3:$AH$169,99,MATCH(B238,August!$D$3:$AH$3)+1)+INDEX(August!$C$3:$AH$169,104,MATCH(B238,August!$D$3:$AH$3)+1)+INDEX(August!$C$3:$AH$169,109,MATCH(B238,August!$D$3:$AH$3)+1)+INDEX(August!$C$3:$AH$169,114,MATCH(B238,August!$D$3:$AH$3)+1)+INDEX(August!$C$3:$AH$169,119,MATCH(B238,August!$D$3:$AH$3)+1)+INDEX(August!$C$3:$AH$169,124,MATCH(B238,August!$D$3:$AH$3)+1)+INDEX(August!$C$3:$AH$169,129,MATCH(B238,August!$D$3:$AH$3)+1)+INDEX(August!$C$3:$AH$169,134,MATCH(B238,August!$D$3:$AH$3)+1)+INDEX(August!$C$3:$AH$169,139,MATCH(B238,August!$D$3:$AH$3)+1)+INDEX(August!$C$3:$AH$169,144,MATCH(B238,August!$D$3:$AH$3)+1)+INDEX(August!$C$3:$AH$169,149,MATCH(B238,August!$D$3:$AH$3)+1)-INDEX(August!$B$5:$AH$169,MATCH("Patrick Janssen",August!$B$5:$B$169)+1,MATCH(B238,August!$D$3:$AH$3)+2)-INDEX(August!$B$5:$AH$169,MATCH("Patrick Ziesen",August!$B$5:$B$169)+1,MATCH(B238,August!$D$3:$AH$3)+2)-INDEX(August!$B$5:$AH$169,MATCH("Frido Meijer",August!$B$5:$B$169)+1,MATCH(B238,August!$D$3:$AH$3)+2)</f>
        <v>0</v>
      </c>
      <c r="I238" s="130">
        <v>0</v>
      </c>
      <c r="J238" s="130">
        <v>0</v>
      </c>
      <c r="L238" s="124"/>
      <c r="M238" s="111"/>
      <c r="N238" s="111">
        <f t="shared" si="72"/>
        <v>0</v>
      </c>
      <c r="P238" s="112">
        <f t="shared" si="74"/>
        <v>0</v>
      </c>
      <c r="Q238" s="112">
        <f t="shared" si="75"/>
        <v>0</v>
      </c>
    </row>
    <row r="239" spans="2:17" x14ac:dyDescent="0.25">
      <c r="B239" s="110">
        <f>DATE(Title!$F$12,$S$12,S12)</f>
        <v>41494</v>
      </c>
      <c r="C239" s="111">
        <f>IF(WEEKDAY(B239)=1,0,IF(WEEKDAY(B239)=4,'Hours Scheduled'!$K$44-1,IF(WEEKDAY(B239)=7,0,'Hours Scheduled'!$K$44)))</f>
        <v>21</v>
      </c>
      <c r="D239" s="17">
        <f t="shared" si="73"/>
        <v>157.5</v>
      </c>
      <c r="E239" s="127">
        <f t="shared" si="76"/>
        <v>136</v>
      </c>
      <c r="F239" s="111"/>
      <c r="G239" s="130">
        <f>INDEX(August!$C$3:$AH$169,3,MATCH(B239,August!$D$3:$AH$3)+1)+INDEX(August!$C$3:$AH$169,8,MATCH(B239,August!$D$3:$AH$3)+1)+INDEX(August!$C$3:$AH$169,13,MATCH(B239,August!$D$3:$AH$3)+1)+INDEX(August!$C$3:$AH$169,18,MATCH(B239,August!$D$3:$AH$3)+1)+INDEX(August!$C$3:$AH$169,23,MATCH(B239,August!$D$3:$AH$3)+1)+INDEX(August!$C$3:$AH$169,28,MATCH(B239,August!$D$3:$AH$3)+1)+INDEX(August!$C$3:$AH$169,33,MATCH(B239,August!$D$3:$AH$3)+1)+INDEX(August!$C$3:$AH$169,38,MATCH(B239,August!$D$3:$AH$3)+1)+INDEX(August!$C$3:$AH$169,43,MATCH(B239,August!$D$3:$AH$3)+1)+INDEX(August!$C$3:$AH$169,48,MATCH(B239,August!$D$3:$AH$3)+1)+INDEX(August!$C$3:$AH$169,53,MATCH(B239,August!$D$3:$AH$3)+1)+INDEX(August!$C$3:$AH$169,58,MATCH(B239,August!$D$3:$AH$3)+1)+INDEX(August!$C$3:$AH$169,63,MATCH(B239,August!$D$3:$AH$3)+1)+INDEX(August!$C$3:$AH$169,68,MATCH(B239,August!$D$3:$AH$3)+1)+INDEX(August!$C$3:$AH$169,73,MATCH(B239,August!$D$3:$AH$3)+1)+INDEX(August!$C$3:$AH$169,78,MATCH(B239,August!$D$3:$AH$3)+1)+INDEX(August!$C$3:$AH$169,83,MATCH(B239,August!$D$3:$AH$3)+1)+INDEX(August!$C$3:$AH$169,88,MATCH(B239,August!$D$3:$AH$3)+1)+INDEX(August!$C$3:$AH$169,93,MATCH(B239,August!$D$3:$AH$3)+1)+INDEX(August!$C$3:$AH$169,98,MATCH(B239,August!$D$3:$AH$3)+1)+INDEX(August!$C$3:$AH$169,103,MATCH(B239,August!$D$3:$AH$3)+1)+INDEX(August!$C$3:$AH$169,108,MATCH(B239,August!$D$3:$AH$3)+1)+INDEX(August!$C$3:$AH$169,113,MATCH(B239,August!$D$3:$AH$3)+1)+INDEX(August!$C$3:$AH$169,118,MATCH(B239,August!$D$3:$AH$3)+1)+INDEX(August!$C$3:$AH$169,123,MATCH(B239,August!$D$3:$AH$3)+1)+INDEX(August!$C$3:$AH$169,128,MATCH(B239,August!$D$3:$AH$3)+1)+INDEX(August!$C$3:$AH$169,133,MATCH(B239,August!$D$3:$AH$3)+1)+INDEX(August!$C$3:$AH$169,138,MATCH(B239,August!$D$3:$AH$3)+1)+INDEX(August!$C$3:$AH$169,143,MATCH(B239,August!$D$3:$AH$3)+1)+INDEX(August!$C$3:$AH$169,148,MATCH(B239,August!$D$3:$AH$3)+1)-INDEX(August!$B$5:$AH$169,MATCH("Patrick Janssen",August!$B$5:$B$169),MATCH(B239,August!$D$3:$AH$3)+2)-INDEX(August!$B$5:$AH$169,MATCH("Patrick Ziesen",August!$B$5:$B$169),MATCH(B239,August!$D$3:$AH$3)+2)-INDEX(August!$B$5:$AH$169,MATCH("Frido Meijer",August!$B$5:$B$169),MATCH(B239,August!$D$3:$AH$3)+2)</f>
        <v>32</v>
      </c>
      <c r="H239" s="130">
        <f>INDEX(August!$C$3:$AH$169,4,MATCH(B239,August!$D$3:$AH$3)+1)+INDEX(August!$C$3:$AH$169,9,MATCH(B239,August!$D$3:$AH$3)+1)+INDEX(August!$C$3:$AH$169,14,MATCH(B239,August!$D$3:$AH$3)+1)+INDEX(August!$C$3:$AH$169,19,MATCH(B239,August!$D$3:$AH$3)+1)+INDEX(August!$C$3:$AH$169,24,MATCH(B239,August!$D$3:$AH$3)+1)+INDEX(August!$C$3:$AH$169,29,MATCH(B239,August!$D$3:$AH$3)+1)+INDEX(August!$C$3:$AH$169,34,MATCH(B239,August!$D$3:$AH$3)+1)+INDEX(August!$C$3:$AH$169,39,MATCH(B239,August!$D$3:$AH$3)+1)+INDEX(August!$C$3:$AH$169,44,MATCH(B239,August!$D$3:$AH$3)+1)+INDEX(August!$C$3:$AH$169,49,MATCH(B239,August!$D$3:$AH$3)+1)+INDEX(August!$C$3:$AH$169,54,MATCH(B239,August!$D$3:$AH$3)+1)+INDEX(August!$C$3:$AH$169,59,MATCH(B239,August!$D$3:$AH$3)+1)+INDEX(August!$C$3:$AH$169,64,MATCH(B239,August!$D$3:$AH$3)+1)+INDEX(August!$C$3:$AH$169,69,MATCH(B239,August!$D$3:$AH$3)+1)+INDEX(August!$C$3:$AH$169,74,MATCH(B239,August!$D$3:$AH$3)+1)+INDEX(August!$C$3:$AH$169,79,MATCH(B239,August!$D$3:$AH$3)+1)+INDEX(August!$C$3:$AH$169,84,MATCH(B239,August!$D$3:$AH$3)+1)+INDEX(August!$C$3:$AH$169,89,MATCH(B239,August!$D$3:$AH$3)+1)+INDEX(August!$C$3:$AH$169,94,MATCH(B239,August!$D$3:$AH$3)+1)+INDEX(August!$C$3:$AH$169,99,MATCH(B239,August!$D$3:$AH$3)+1)+INDEX(August!$C$3:$AH$169,104,MATCH(B239,August!$D$3:$AH$3)+1)+INDEX(August!$C$3:$AH$169,109,MATCH(B239,August!$D$3:$AH$3)+1)+INDEX(August!$C$3:$AH$169,114,MATCH(B239,August!$D$3:$AH$3)+1)+INDEX(August!$C$3:$AH$169,119,MATCH(B239,August!$D$3:$AH$3)+1)+INDEX(August!$C$3:$AH$169,124,MATCH(B239,August!$D$3:$AH$3)+1)+INDEX(August!$C$3:$AH$169,129,MATCH(B239,August!$D$3:$AH$3)+1)+INDEX(August!$C$3:$AH$169,134,MATCH(B239,August!$D$3:$AH$3)+1)+INDEX(August!$C$3:$AH$169,139,MATCH(B239,August!$D$3:$AH$3)+1)+INDEX(August!$C$3:$AH$169,144,MATCH(B239,August!$D$3:$AH$3)+1)+INDEX(August!$C$3:$AH$169,149,MATCH(B239,August!$D$3:$AH$3)+1)-INDEX(August!$B$5:$AH$169,MATCH("Patrick Janssen",August!$B$5:$B$169)+1,MATCH(B239,August!$D$3:$AH$3)+2)-INDEX(August!$B$5:$AH$169,MATCH("Patrick Ziesen",August!$B$5:$B$169)+1,MATCH(B239,August!$D$3:$AH$3)+2)-INDEX(August!$B$5:$AH$169,MATCH("Frido Meijer",August!$B$5:$B$169)+1,MATCH(B239,August!$D$3:$AH$3)+2)</f>
        <v>0</v>
      </c>
      <c r="I239" s="130">
        <v>0</v>
      </c>
      <c r="J239" s="130">
        <v>0</v>
      </c>
      <c r="L239" s="124"/>
      <c r="M239" s="111"/>
      <c r="N239" s="111">
        <f t="shared" si="72"/>
        <v>0</v>
      </c>
      <c r="P239" s="112">
        <f t="shared" si="74"/>
        <v>0</v>
      </c>
      <c r="Q239" s="112">
        <f t="shared" si="75"/>
        <v>0</v>
      </c>
    </row>
    <row r="240" spans="2:17" x14ac:dyDescent="0.25">
      <c r="B240" s="110">
        <f>DATE(Title!$F$12,$S$12,S13)</f>
        <v>41495</v>
      </c>
      <c r="C240" s="111">
        <f>IF(WEEKDAY(B240)=1,0,IF(WEEKDAY(B240)=4,'Hours Scheduled'!$K$44-1,IF(WEEKDAY(B240)=7,0,'Hours Scheduled'!$K$44)))</f>
        <v>21</v>
      </c>
      <c r="D240" s="17">
        <f t="shared" si="73"/>
        <v>157.5</v>
      </c>
      <c r="E240" s="127">
        <f t="shared" si="76"/>
        <v>128</v>
      </c>
      <c r="F240" s="111"/>
      <c r="G240" s="130">
        <f>INDEX(August!$C$3:$AH$169,3,MATCH(B240,August!$D$3:$AH$3)+1)+INDEX(August!$C$3:$AH$169,8,MATCH(B240,August!$D$3:$AH$3)+1)+INDEX(August!$C$3:$AH$169,13,MATCH(B240,August!$D$3:$AH$3)+1)+INDEX(August!$C$3:$AH$169,18,MATCH(B240,August!$D$3:$AH$3)+1)+INDEX(August!$C$3:$AH$169,23,MATCH(B240,August!$D$3:$AH$3)+1)+INDEX(August!$C$3:$AH$169,28,MATCH(B240,August!$D$3:$AH$3)+1)+INDEX(August!$C$3:$AH$169,33,MATCH(B240,August!$D$3:$AH$3)+1)+INDEX(August!$C$3:$AH$169,38,MATCH(B240,August!$D$3:$AH$3)+1)+INDEX(August!$C$3:$AH$169,43,MATCH(B240,August!$D$3:$AH$3)+1)+INDEX(August!$C$3:$AH$169,48,MATCH(B240,August!$D$3:$AH$3)+1)+INDEX(August!$C$3:$AH$169,53,MATCH(B240,August!$D$3:$AH$3)+1)+INDEX(August!$C$3:$AH$169,58,MATCH(B240,August!$D$3:$AH$3)+1)+INDEX(August!$C$3:$AH$169,63,MATCH(B240,August!$D$3:$AH$3)+1)+INDEX(August!$C$3:$AH$169,68,MATCH(B240,August!$D$3:$AH$3)+1)+INDEX(August!$C$3:$AH$169,73,MATCH(B240,August!$D$3:$AH$3)+1)+INDEX(August!$C$3:$AH$169,78,MATCH(B240,August!$D$3:$AH$3)+1)+INDEX(August!$C$3:$AH$169,83,MATCH(B240,August!$D$3:$AH$3)+1)+INDEX(August!$C$3:$AH$169,88,MATCH(B240,August!$D$3:$AH$3)+1)+INDEX(August!$C$3:$AH$169,93,MATCH(B240,August!$D$3:$AH$3)+1)+INDEX(August!$C$3:$AH$169,98,MATCH(B240,August!$D$3:$AH$3)+1)+INDEX(August!$C$3:$AH$169,103,MATCH(B240,August!$D$3:$AH$3)+1)+INDEX(August!$C$3:$AH$169,108,MATCH(B240,August!$D$3:$AH$3)+1)+INDEX(August!$C$3:$AH$169,113,MATCH(B240,August!$D$3:$AH$3)+1)+INDEX(August!$C$3:$AH$169,118,MATCH(B240,August!$D$3:$AH$3)+1)+INDEX(August!$C$3:$AH$169,123,MATCH(B240,August!$D$3:$AH$3)+1)+INDEX(August!$C$3:$AH$169,128,MATCH(B240,August!$D$3:$AH$3)+1)+INDEX(August!$C$3:$AH$169,133,MATCH(B240,August!$D$3:$AH$3)+1)+INDEX(August!$C$3:$AH$169,138,MATCH(B240,August!$D$3:$AH$3)+1)+INDEX(August!$C$3:$AH$169,143,MATCH(B240,August!$D$3:$AH$3)+1)+INDEX(August!$C$3:$AH$169,148,MATCH(B240,August!$D$3:$AH$3)+1)-INDEX(August!$B$5:$AH$169,MATCH("Patrick Janssen",August!$B$5:$B$169),MATCH(B240,August!$D$3:$AH$3)+2)-INDEX(August!$B$5:$AH$169,MATCH("Patrick Ziesen",August!$B$5:$B$169),MATCH(B240,August!$D$3:$AH$3)+2)-INDEX(August!$B$5:$AH$169,MATCH("Frido Meijer",August!$B$5:$B$169),MATCH(B240,August!$D$3:$AH$3)+2)</f>
        <v>40</v>
      </c>
      <c r="H240" s="130">
        <f>INDEX(August!$C$3:$AH$169,4,MATCH(B240,August!$D$3:$AH$3)+1)+INDEX(August!$C$3:$AH$169,9,MATCH(B240,August!$D$3:$AH$3)+1)+INDEX(August!$C$3:$AH$169,14,MATCH(B240,August!$D$3:$AH$3)+1)+INDEX(August!$C$3:$AH$169,19,MATCH(B240,August!$D$3:$AH$3)+1)+INDEX(August!$C$3:$AH$169,24,MATCH(B240,August!$D$3:$AH$3)+1)+INDEX(August!$C$3:$AH$169,29,MATCH(B240,August!$D$3:$AH$3)+1)+INDEX(August!$C$3:$AH$169,34,MATCH(B240,August!$D$3:$AH$3)+1)+INDEX(August!$C$3:$AH$169,39,MATCH(B240,August!$D$3:$AH$3)+1)+INDEX(August!$C$3:$AH$169,44,MATCH(B240,August!$D$3:$AH$3)+1)+INDEX(August!$C$3:$AH$169,49,MATCH(B240,August!$D$3:$AH$3)+1)+INDEX(August!$C$3:$AH$169,54,MATCH(B240,August!$D$3:$AH$3)+1)+INDEX(August!$C$3:$AH$169,59,MATCH(B240,August!$D$3:$AH$3)+1)+INDEX(August!$C$3:$AH$169,64,MATCH(B240,August!$D$3:$AH$3)+1)+INDEX(August!$C$3:$AH$169,69,MATCH(B240,August!$D$3:$AH$3)+1)+INDEX(August!$C$3:$AH$169,74,MATCH(B240,August!$D$3:$AH$3)+1)+INDEX(August!$C$3:$AH$169,79,MATCH(B240,August!$D$3:$AH$3)+1)+INDEX(August!$C$3:$AH$169,84,MATCH(B240,August!$D$3:$AH$3)+1)+INDEX(August!$C$3:$AH$169,89,MATCH(B240,August!$D$3:$AH$3)+1)+INDEX(August!$C$3:$AH$169,94,MATCH(B240,August!$D$3:$AH$3)+1)+INDEX(August!$C$3:$AH$169,99,MATCH(B240,August!$D$3:$AH$3)+1)+INDEX(August!$C$3:$AH$169,104,MATCH(B240,August!$D$3:$AH$3)+1)+INDEX(August!$C$3:$AH$169,109,MATCH(B240,August!$D$3:$AH$3)+1)+INDEX(August!$C$3:$AH$169,114,MATCH(B240,August!$D$3:$AH$3)+1)+INDEX(August!$C$3:$AH$169,119,MATCH(B240,August!$D$3:$AH$3)+1)+INDEX(August!$C$3:$AH$169,124,MATCH(B240,August!$D$3:$AH$3)+1)+INDEX(August!$C$3:$AH$169,129,MATCH(B240,August!$D$3:$AH$3)+1)+INDEX(August!$C$3:$AH$169,134,MATCH(B240,August!$D$3:$AH$3)+1)+INDEX(August!$C$3:$AH$169,139,MATCH(B240,August!$D$3:$AH$3)+1)+INDEX(August!$C$3:$AH$169,144,MATCH(B240,August!$D$3:$AH$3)+1)+INDEX(August!$C$3:$AH$169,149,MATCH(B240,August!$D$3:$AH$3)+1)-INDEX(August!$B$5:$AH$169,MATCH("Patrick Janssen",August!$B$5:$B$169)+1,MATCH(B240,August!$D$3:$AH$3)+2)-INDEX(August!$B$5:$AH$169,MATCH("Patrick Ziesen",August!$B$5:$B$169)+1,MATCH(B240,August!$D$3:$AH$3)+2)-INDEX(August!$B$5:$AH$169,MATCH("Frido Meijer",August!$B$5:$B$169)+1,MATCH(B240,August!$D$3:$AH$3)+2)</f>
        <v>0</v>
      </c>
      <c r="I240" s="130">
        <v>0</v>
      </c>
      <c r="J240" s="130">
        <v>0</v>
      </c>
      <c r="L240" s="124"/>
      <c r="M240" s="111"/>
      <c r="N240" s="111">
        <f t="shared" si="72"/>
        <v>0</v>
      </c>
      <c r="P240" s="112">
        <f t="shared" si="74"/>
        <v>0</v>
      </c>
      <c r="Q240" s="112">
        <f t="shared" si="75"/>
        <v>0</v>
      </c>
    </row>
    <row r="241" spans="2:17" x14ac:dyDescent="0.25">
      <c r="B241" s="110">
        <f>DATE(Title!$F$12,$S$12,S14)</f>
        <v>41496</v>
      </c>
      <c r="C241" s="111">
        <f>IF(WEEKDAY(B241)=1,0,IF(WEEKDAY(B241)=4,'Hours Scheduled'!$K$44-1,IF(WEEKDAY(B241)=7,0,'Hours Scheduled'!$K$44)))</f>
        <v>0</v>
      </c>
      <c r="D241" s="17">
        <f t="shared" si="73"/>
        <v>0</v>
      </c>
      <c r="E241" s="127">
        <f t="shared" si="76"/>
        <v>0</v>
      </c>
      <c r="F241" s="111"/>
      <c r="G241" s="130">
        <f>INDEX(August!$C$3:$AH$169,3,MATCH(B241,August!$D$3:$AH$3)+1)+INDEX(August!$C$3:$AH$169,8,MATCH(B241,August!$D$3:$AH$3)+1)+INDEX(August!$C$3:$AH$169,13,MATCH(B241,August!$D$3:$AH$3)+1)+INDEX(August!$C$3:$AH$169,18,MATCH(B241,August!$D$3:$AH$3)+1)+INDEX(August!$C$3:$AH$169,23,MATCH(B241,August!$D$3:$AH$3)+1)+INDEX(August!$C$3:$AH$169,28,MATCH(B241,August!$D$3:$AH$3)+1)+INDEX(August!$C$3:$AH$169,33,MATCH(B241,August!$D$3:$AH$3)+1)+INDEX(August!$C$3:$AH$169,38,MATCH(B241,August!$D$3:$AH$3)+1)+INDEX(August!$C$3:$AH$169,43,MATCH(B241,August!$D$3:$AH$3)+1)+INDEX(August!$C$3:$AH$169,48,MATCH(B241,August!$D$3:$AH$3)+1)+INDEX(August!$C$3:$AH$169,53,MATCH(B241,August!$D$3:$AH$3)+1)+INDEX(August!$C$3:$AH$169,58,MATCH(B241,August!$D$3:$AH$3)+1)+INDEX(August!$C$3:$AH$169,63,MATCH(B241,August!$D$3:$AH$3)+1)+INDEX(August!$C$3:$AH$169,68,MATCH(B241,August!$D$3:$AH$3)+1)+INDEX(August!$C$3:$AH$169,73,MATCH(B241,August!$D$3:$AH$3)+1)+INDEX(August!$C$3:$AH$169,78,MATCH(B241,August!$D$3:$AH$3)+1)+INDEX(August!$C$3:$AH$169,83,MATCH(B241,August!$D$3:$AH$3)+1)+INDEX(August!$C$3:$AH$169,88,MATCH(B241,August!$D$3:$AH$3)+1)+INDEX(August!$C$3:$AH$169,93,MATCH(B241,August!$D$3:$AH$3)+1)+INDEX(August!$C$3:$AH$169,98,MATCH(B241,August!$D$3:$AH$3)+1)+INDEX(August!$C$3:$AH$169,103,MATCH(B241,August!$D$3:$AH$3)+1)+INDEX(August!$C$3:$AH$169,108,MATCH(B241,August!$D$3:$AH$3)+1)+INDEX(August!$C$3:$AH$169,113,MATCH(B241,August!$D$3:$AH$3)+1)+INDEX(August!$C$3:$AH$169,118,MATCH(B241,August!$D$3:$AH$3)+1)+INDEX(August!$C$3:$AH$169,123,MATCH(B241,August!$D$3:$AH$3)+1)+INDEX(August!$C$3:$AH$169,128,MATCH(B241,August!$D$3:$AH$3)+1)+INDEX(August!$C$3:$AH$169,133,MATCH(B241,August!$D$3:$AH$3)+1)+INDEX(August!$C$3:$AH$169,138,MATCH(B241,August!$D$3:$AH$3)+1)+INDEX(August!$C$3:$AH$169,143,MATCH(B241,August!$D$3:$AH$3)+1)+INDEX(August!$C$3:$AH$169,148,MATCH(B241,August!$D$3:$AH$3)+1)-INDEX(August!$B$5:$AH$169,MATCH("Patrick Janssen",August!$B$5:$B$169),MATCH(B241,August!$D$3:$AH$3)+2)-INDEX(August!$B$5:$AH$169,MATCH("Patrick Ziesen",August!$B$5:$B$169),MATCH(B241,August!$D$3:$AH$3)+2)-INDEX(August!$B$5:$AH$169,MATCH("Frido Meijer",August!$B$5:$B$169),MATCH(B241,August!$D$3:$AH$3)+2)</f>
        <v>0</v>
      </c>
      <c r="H241" s="130">
        <f>INDEX(August!$C$3:$AH$169,4,MATCH(B241,August!$D$3:$AH$3)+1)+INDEX(August!$C$3:$AH$169,9,MATCH(B241,August!$D$3:$AH$3)+1)+INDEX(August!$C$3:$AH$169,14,MATCH(B241,August!$D$3:$AH$3)+1)+INDEX(August!$C$3:$AH$169,19,MATCH(B241,August!$D$3:$AH$3)+1)+INDEX(August!$C$3:$AH$169,24,MATCH(B241,August!$D$3:$AH$3)+1)+INDEX(August!$C$3:$AH$169,29,MATCH(B241,August!$D$3:$AH$3)+1)+INDEX(August!$C$3:$AH$169,34,MATCH(B241,August!$D$3:$AH$3)+1)+INDEX(August!$C$3:$AH$169,39,MATCH(B241,August!$D$3:$AH$3)+1)+INDEX(August!$C$3:$AH$169,44,MATCH(B241,August!$D$3:$AH$3)+1)+INDEX(August!$C$3:$AH$169,49,MATCH(B241,August!$D$3:$AH$3)+1)+INDEX(August!$C$3:$AH$169,54,MATCH(B241,August!$D$3:$AH$3)+1)+INDEX(August!$C$3:$AH$169,59,MATCH(B241,August!$D$3:$AH$3)+1)+INDEX(August!$C$3:$AH$169,64,MATCH(B241,August!$D$3:$AH$3)+1)+INDEX(August!$C$3:$AH$169,69,MATCH(B241,August!$D$3:$AH$3)+1)+INDEX(August!$C$3:$AH$169,74,MATCH(B241,August!$D$3:$AH$3)+1)+INDEX(August!$C$3:$AH$169,79,MATCH(B241,August!$D$3:$AH$3)+1)+INDEX(August!$C$3:$AH$169,84,MATCH(B241,August!$D$3:$AH$3)+1)+INDEX(August!$C$3:$AH$169,89,MATCH(B241,August!$D$3:$AH$3)+1)+INDEX(August!$C$3:$AH$169,94,MATCH(B241,August!$D$3:$AH$3)+1)+INDEX(August!$C$3:$AH$169,99,MATCH(B241,August!$D$3:$AH$3)+1)+INDEX(August!$C$3:$AH$169,104,MATCH(B241,August!$D$3:$AH$3)+1)+INDEX(August!$C$3:$AH$169,109,MATCH(B241,August!$D$3:$AH$3)+1)+INDEX(August!$C$3:$AH$169,114,MATCH(B241,August!$D$3:$AH$3)+1)+INDEX(August!$C$3:$AH$169,119,MATCH(B241,August!$D$3:$AH$3)+1)+INDEX(August!$C$3:$AH$169,124,MATCH(B241,August!$D$3:$AH$3)+1)+INDEX(August!$C$3:$AH$169,129,MATCH(B241,August!$D$3:$AH$3)+1)+INDEX(August!$C$3:$AH$169,134,MATCH(B241,August!$D$3:$AH$3)+1)+INDEX(August!$C$3:$AH$169,139,MATCH(B241,August!$D$3:$AH$3)+1)+INDEX(August!$C$3:$AH$169,144,MATCH(B241,August!$D$3:$AH$3)+1)+INDEX(August!$C$3:$AH$169,149,MATCH(B241,August!$D$3:$AH$3)+1)-INDEX(August!$B$5:$AH$169,MATCH("Patrick Janssen",August!$B$5:$B$169)+1,MATCH(B241,August!$D$3:$AH$3)+2)-INDEX(August!$B$5:$AH$169,MATCH("Patrick Ziesen",August!$B$5:$B$169)+1,MATCH(B241,August!$D$3:$AH$3)+2)-INDEX(August!$B$5:$AH$169,MATCH("Frido Meijer",August!$B$5:$B$169)+1,MATCH(B241,August!$D$3:$AH$3)+2)</f>
        <v>0</v>
      </c>
      <c r="I241" s="130">
        <v>0</v>
      </c>
      <c r="J241" s="130">
        <v>0</v>
      </c>
      <c r="L241" s="124"/>
      <c r="M241" s="111"/>
      <c r="N241" s="111">
        <f t="shared" si="72"/>
        <v>0</v>
      </c>
      <c r="P241" s="112" t="str">
        <f t="shared" si="74"/>
        <v/>
      </c>
      <c r="Q241" s="112" t="str">
        <f t="shared" si="75"/>
        <v/>
      </c>
    </row>
    <row r="242" spans="2:17" x14ac:dyDescent="0.25">
      <c r="B242" s="110">
        <f>DATE(Title!$F$12,$S$12,S15)</f>
        <v>41497</v>
      </c>
      <c r="C242" s="111">
        <f>IF(WEEKDAY(B242)=1,0,IF(WEEKDAY(B242)=4,'Hours Scheduled'!$K$44-1,IF(WEEKDAY(B242)=7,0,'Hours Scheduled'!$K$44)))</f>
        <v>0</v>
      </c>
      <c r="D242" s="17">
        <f t="shared" si="73"/>
        <v>0</v>
      </c>
      <c r="E242" s="127">
        <f t="shared" si="76"/>
        <v>0</v>
      </c>
      <c r="F242" s="111"/>
      <c r="G242" s="130">
        <f>INDEX(August!$C$3:$AH$169,3,MATCH(B242,August!$D$3:$AH$3)+1)+INDEX(August!$C$3:$AH$169,8,MATCH(B242,August!$D$3:$AH$3)+1)+INDEX(August!$C$3:$AH$169,13,MATCH(B242,August!$D$3:$AH$3)+1)+INDEX(August!$C$3:$AH$169,18,MATCH(B242,August!$D$3:$AH$3)+1)+INDEX(August!$C$3:$AH$169,23,MATCH(B242,August!$D$3:$AH$3)+1)+INDEX(August!$C$3:$AH$169,28,MATCH(B242,August!$D$3:$AH$3)+1)+INDEX(August!$C$3:$AH$169,33,MATCH(B242,August!$D$3:$AH$3)+1)+INDEX(August!$C$3:$AH$169,38,MATCH(B242,August!$D$3:$AH$3)+1)+INDEX(August!$C$3:$AH$169,43,MATCH(B242,August!$D$3:$AH$3)+1)+INDEX(August!$C$3:$AH$169,48,MATCH(B242,August!$D$3:$AH$3)+1)+INDEX(August!$C$3:$AH$169,53,MATCH(B242,August!$D$3:$AH$3)+1)+INDEX(August!$C$3:$AH$169,58,MATCH(B242,August!$D$3:$AH$3)+1)+INDEX(August!$C$3:$AH$169,63,MATCH(B242,August!$D$3:$AH$3)+1)+INDEX(August!$C$3:$AH$169,68,MATCH(B242,August!$D$3:$AH$3)+1)+INDEX(August!$C$3:$AH$169,73,MATCH(B242,August!$D$3:$AH$3)+1)+INDEX(August!$C$3:$AH$169,78,MATCH(B242,August!$D$3:$AH$3)+1)+INDEX(August!$C$3:$AH$169,83,MATCH(B242,August!$D$3:$AH$3)+1)+INDEX(August!$C$3:$AH$169,88,MATCH(B242,August!$D$3:$AH$3)+1)+INDEX(August!$C$3:$AH$169,93,MATCH(B242,August!$D$3:$AH$3)+1)+INDEX(August!$C$3:$AH$169,98,MATCH(B242,August!$D$3:$AH$3)+1)+INDEX(August!$C$3:$AH$169,103,MATCH(B242,August!$D$3:$AH$3)+1)+INDEX(August!$C$3:$AH$169,108,MATCH(B242,August!$D$3:$AH$3)+1)+INDEX(August!$C$3:$AH$169,113,MATCH(B242,August!$D$3:$AH$3)+1)+INDEX(August!$C$3:$AH$169,118,MATCH(B242,August!$D$3:$AH$3)+1)+INDEX(August!$C$3:$AH$169,123,MATCH(B242,August!$D$3:$AH$3)+1)+INDEX(August!$C$3:$AH$169,128,MATCH(B242,August!$D$3:$AH$3)+1)+INDEX(August!$C$3:$AH$169,133,MATCH(B242,August!$D$3:$AH$3)+1)+INDEX(August!$C$3:$AH$169,138,MATCH(B242,August!$D$3:$AH$3)+1)+INDEX(August!$C$3:$AH$169,143,MATCH(B242,August!$D$3:$AH$3)+1)+INDEX(August!$C$3:$AH$169,148,MATCH(B242,August!$D$3:$AH$3)+1)-INDEX(August!$B$5:$AH$169,MATCH("Patrick Janssen",August!$B$5:$B$169),MATCH(B242,August!$D$3:$AH$3)+2)-INDEX(August!$B$5:$AH$169,MATCH("Patrick Ziesen",August!$B$5:$B$169),MATCH(B242,August!$D$3:$AH$3)+2)-INDEX(August!$B$5:$AH$169,MATCH("Frido Meijer",August!$B$5:$B$169),MATCH(B242,August!$D$3:$AH$3)+2)</f>
        <v>0</v>
      </c>
      <c r="H242" s="130">
        <f>INDEX(August!$C$3:$AH$169,4,MATCH(B242,August!$D$3:$AH$3)+1)+INDEX(August!$C$3:$AH$169,9,MATCH(B242,August!$D$3:$AH$3)+1)+INDEX(August!$C$3:$AH$169,14,MATCH(B242,August!$D$3:$AH$3)+1)+INDEX(August!$C$3:$AH$169,19,MATCH(B242,August!$D$3:$AH$3)+1)+INDEX(August!$C$3:$AH$169,24,MATCH(B242,August!$D$3:$AH$3)+1)+INDEX(August!$C$3:$AH$169,29,MATCH(B242,August!$D$3:$AH$3)+1)+INDEX(August!$C$3:$AH$169,34,MATCH(B242,August!$D$3:$AH$3)+1)+INDEX(August!$C$3:$AH$169,39,MATCH(B242,August!$D$3:$AH$3)+1)+INDEX(August!$C$3:$AH$169,44,MATCH(B242,August!$D$3:$AH$3)+1)+INDEX(August!$C$3:$AH$169,49,MATCH(B242,August!$D$3:$AH$3)+1)+INDEX(August!$C$3:$AH$169,54,MATCH(B242,August!$D$3:$AH$3)+1)+INDEX(August!$C$3:$AH$169,59,MATCH(B242,August!$D$3:$AH$3)+1)+INDEX(August!$C$3:$AH$169,64,MATCH(B242,August!$D$3:$AH$3)+1)+INDEX(August!$C$3:$AH$169,69,MATCH(B242,August!$D$3:$AH$3)+1)+INDEX(August!$C$3:$AH$169,74,MATCH(B242,August!$D$3:$AH$3)+1)+INDEX(August!$C$3:$AH$169,79,MATCH(B242,August!$D$3:$AH$3)+1)+INDEX(August!$C$3:$AH$169,84,MATCH(B242,August!$D$3:$AH$3)+1)+INDEX(August!$C$3:$AH$169,89,MATCH(B242,August!$D$3:$AH$3)+1)+INDEX(August!$C$3:$AH$169,94,MATCH(B242,August!$D$3:$AH$3)+1)+INDEX(August!$C$3:$AH$169,99,MATCH(B242,August!$D$3:$AH$3)+1)+INDEX(August!$C$3:$AH$169,104,MATCH(B242,August!$D$3:$AH$3)+1)+INDEX(August!$C$3:$AH$169,109,MATCH(B242,August!$D$3:$AH$3)+1)+INDEX(August!$C$3:$AH$169,114,MATCH(B242,August!$D$3:$AH$3)+1)+INDEX(August!$C$3:$AH$169,119,MATCH(B242,August!$D$3:$AH$3)+1)+INDEX(August!$C$3:$AH$169,124,MATCH(B242,August!$D$3:$AH$3)+1)+INDEX(August!$C$3:$AH$169,129,MATCH(B242,August!$D$3:$AH$3)+1)+INDEX(August!$C$3:$AH$169,134,MATCH(B242,August!$D$3:$AH$3)+1)+INDEX(August!$C$3:$AH$169,139,MATCH(B242,August!$D$3:$AH$3)+1)+INDEX(August!$C$3:$AH$169,144,MATCH(B242,August!$D$3:$AH$3)+1)+INDEX(August!$C$3:$AH$169,149,MATCH(B242,August!$D$3:$AH$3)+1)-INDEX(August!$B$5:$AH$169,MATCH("Patrick Janssen",August!$B$5:$B$169)+1,MATCH(B242,August!$D$3:$AH$3)+2)-INDEX(August!$B$5:$AH$169,MATCH("Patrick Ziesen",August!$B$5:$B$169)+1,MATCH(B242,August!$D$3:$AH$3)+2)-INDEX(August!$B$5:$AH$169,MATCH("Frido Meijer",August!$B$5:$B$169)+1,MATCH(B242,August!$D$3:$AH$3)+2)</f>
        <v>0</v>
      </c>
      <c r="I242" s="130">
        <v>0</v>
      </c>
      <c r="J242" s="130">
        <v>0</v>
      </c>
      <c r="L242" s="111"/>
      <c r="M242" s="111"/>
      <c r="N242" s="111">
        <f t="shared" si="72"/>
        <v>0</v>
      </c>
      <c r="P242" s="112" t="str">
        <f t="shared" si="74"/>
        <v/>
      </c>
      <c r="Q242" s="112" t="str">
        <f t="shared" si="75"/>
        <v/>
      </c>
    </row>
    <row r="243" spans="2:17" x14ac:dyDescent="0.25">
      <c r="B243" s="110">
        <f>DATE(Title!$F$12,$S$12,S16)</f>
        <v>41498</v>
      </c>
      <c r="C243" s="111">
        <f>IF(WEEKDAY(B243)=1,0,IF(WEEKDAY(B243)=4,'Hours Scheduled'!$K$44-1,IF(WEEKDAY(B243)=7,0,'Hours Scheduled'!$K$44)))</f>
        <v>21</v>
      </c>
      <c r="D243" s="17">
        <f t="shared" si="73"/>
        <v>157.5</v>
      </c>
      <c r="E243" s="127">
        <f t="shared" si="76"/>
        <v>136</v>
      </c>
      <c r="F243" s="111"/>
      <c r="G243" s="130">
        <f>INDEX(August!$C$3:$AH$169,3,MATCH(B243,August!$D$3:$AH$3)+1)+INDEX(August!$C$3:$AH$169,8,MATCH(B243,August!$D$3:$AH$3)+1)+INDEX(August!$C$3:$AH$169,13,MATCH(B243,August!$D$3:$AH$3)+1)+INDEX(August!$C$3:$AH$169,18,MATCH(B243,August!$D$3:$AH$3)+1)+INDEX(August!$C$3:$AH$169,23,MATCH(B243,August!$D$3:$AH$3)+1)+INDEX(August!$C$3:$AH$169,28,MATCH(B243,August!$D$3:$AH$3)+1)+INDEX(August!$C$3:$AH$169,33,MATCH(B243,August!$D$3:$AH$3)+1)+INDEX(August!$C$3:$AH$169,38,MATCH(B243,August!$D$3:$AH$3)+1)+INDEX(August!$C$3:$AH$169,43,MATCH(B243,August!$D$3:$AH$3)+1)+INDEX(August!$C$3:$AH$169,48,MATCH(B243,August!$D$3:$AH$3)+1)+INDEX(August!$C$3:$AH$169,53,MATCH(B243,August!$D$3:$AH$3)+1)+INDEX(August!$C$3:$AH$169,58,MATCH(B243,August!$D$3:$AH$3)+1)+INDEX(August!$C$3:$AH$169,63,MATCH(B243,August!$D$3:$AH$3)+1)+INDEX(August!$C$3:$AH$169,68,MATCH(B243,August!$D$3:$AH$3)+1)+INDEX(August!$C$3:$AH$169,73,MATCH(B243,August!$D$3:$AH$3)+1)+INDEX(August!$C$3:$AH$169,78,MATCH(B243,August!$D$3:$AH$3)+1)+INDEX(August!$C$3:$AH$169,83,MATCH(B243,August!$D$3:$AH$3)+1)+INDEX(August!$C$3:$AH$169,88,MATCH(B243,August!$D$3:$AH$3)+1)+INDEX(August!$C$3:$AH$169,93,MATCH(B243,August!$D$3:$AH$3)+1)+INDEX(August!$C$3:$AH$169,98,MATCH(B243,August!$D$3:$AH$3)+1)+INDEX(August!$C$3:$AH$169,103,MATCH(B243,August!$D$3:$AH$3)+1)+INDEX(August!$C$3:$AH$169,108,MATCH(B243,August!$D$3:$AH$3)+1)+INDEX(August!$C$3:$AH$169,113,MATCH(B243,August!$D$3:$AH$3)+1)+INDEX(August!$C$3:$AH$169,118,MATCH(B243,August!$D$3:$AH$3)+1)+INDEX(August!$C$3:$AH$169,123,MATCH(B243,August!$D$3:$AH$3)+1)+INDEX(August!$C$3:$AH$169,128,MATCH(B243,August!$D$3:$AH$3)+1)+INDEX(August!$C$3:$AH$169,133,MATCH(B243,August!$D$3:$AH$3)+1)+INDEX(August!$C$3:$AH$169,138,MATCH(B243,August!$D$3:$AH$3)+1)+INDEX(August!$C$3:$AH$169,143,MATCH(B243,August!$D$3:$AH$3)+1)+INDEX(August!$C$3:$AH$169,148,MATCH(B243,August!$D$3:$AH$3)+1)-INDEX(August!$B$5:$AH$169,MATCH("Patrick Janssen",August!$B$5:$B$169),MATCH(B243,August!$D$3:$AH$3)+2)-INDEX(August!$B$5:$AH$169,MATCH("Patrick Ziesen",August!$B$5:$B$169),MATCH(B243,August!$D$3:$AH$3)+2)-INDEX(August!$B$5:$AH$169,MATCH("Frido Meijer",August!$B$5:$B$169),MATCH(B243,August!$D$3:$AH$3)+2)</f>
        <v>32</v>
      </c>
      <c r="H243" s="130">
        <f>INDEX(August!$C$3:$AH$169,4,MATCH(B243,August!$D$3:$AH$3)+1)+INDEX(August!$C$3:$AH$169,9,MATCH(B243,August!$D$3:$AH$3)+1)+INDEX(August!$C$3:$AH$169,14,MATCH(B243,August!$D$3:$AH$3)+1)+INDEX(August!$C$3:$AH$169,19,MATCH(B243,August!$D$3:$AH$3)+1)+INDEX(August!$C$3:$AH$169,24,MATCH(B243,August!$D$3:$AH$3)+1)+INDEX(August!$C$3:$AH$169,29,MATCH(B243,August!$D$3:$AH$3)+1)+INDEX(August!$C$3:$AH$169,34,MATCH(B243,August!$D$3:$AH$3)+1)+INDEX(August!$C$3:$AH$169,39,MATCH(B243,August!$D$3:$AH$3)+1)+INDEX(August!$C$3:$AH$169,44,MATCH(B243,August!$D$3:$AH$3)+1)+INDEX(August!$C$3:$AH$169,49,MATCH(B243,August!$D$3:$AH$3)+1)+INDEX(August!$C$3:$AH$169,54,MATCH(B243,August!$D$3:$AH$3)+1)+INDEX(August!$C$3:$AH$169,59,MATCH(B243,August!$D$3:$AH$3)+1)+INDEX(August!$C$3:$AH$169,64,MATCH(B243,August!$D$3:$AH$3)+1)+INDEX(August!$C$3:$AH$169,69,MATCH(B243,August!$D$3:$AH$3)+1)+INDEX(August!$C$3:$AH$169,74,MATCH(B243,August!$D$3:$AH$3)+1)+INDEX(August!$C$3:$AH$169,79,MATCH(B243,August!$D$3:$AH$3)+1)+INDEX(August!$C$3:$AH$169,84,MATCH(B243,August!$D$3:$AH$3)+1)+INDEX(August!$C$3:$AH$169,89,MATCH(B243,August!$D$3:$AH$3)+1)+INDEX(August!$C$3:$AH$169,94,MATCH(B243,August!$D$3:$AH$3)+1)+INDEX(August!$C$3:$AH$169,99,MATCH(B243,August!$D$3:$AH$3)+1)+INDEX(August!$C$3:$AH$169,104,MATCH(B243,August!$D$3:$AH$3)+1)+INDEX(August!$C$3:$AH$169,109,MATCH(B243,August!$D$3:$AH$3)+1)+INDEX(August!$C$3:$AH$169,114,MATCH(B243,August!$D$3:$AH$3)+1)+INDEX(August!$C$3:$AH$169,119,MATCH(B243,August!$D$3:$AH$3)+1)+INDEX(August!$C$3:$AH$169,124,MATCH(B243,August!$D$3:$AH$3)+1)+INDEX(August!$C$3:$AH$169,129,MATCH(B243,August!$D$3:$AH$3)+1)+INDEX(August!$C$3:$AH$169,134,MATCH(B243,August!$D$3:$AH$3)+1)+INDEX(August!$C$3:$AH$169,139,MATCH(B243,August!$D$3:$AH$3)+1)+INDEX(August!$C$3:$AH$169,144,MATCH(B243,August!$D$3:$AH$3)+1)+INDEX(August!$C$3:$AH$169,149,MATCH(B243,August!$D$3:$AH$3)+1)-INDEX(August!$B$5:$AH$169,MATCH("Patrick Janssen",August!$B$5:$B$169)+1,MATCH(B243,August!$D$3:$AH$3)+2)-INDEX(August!$B$5:$AH$169,MATCH("Patrick Ziesen",August!$B$5:$B$169)+1,MATCH(B243,August!$D$3:$AH$3)+2)-INDEX(August!$B$5:$AH$169,MATCH("Frido Meijer",August!$B$5:$B$169)+1,MATCH(B243,August!$D$3:$AH$3)+2)</f>
        <v>0</v>
      </c>
      <c r="I243" s="130">
        <v>0</v>
      </c>
      <c r="J243" s="130">
        <v>0</v>
      </c>
      <c r="L243" s="111"/>
      <c r="M243" s="111"/>
      <c r="N243" s="111">
        <f t="shared" si="72"/>
        <v>0</v>
      </c>
      <c r="P243" s="112">
        <f t="shared" si="74"/>
        <v>0</v>
      </c>
      <c r="Q243" s="112">
        <f t="shared" si="75"/>
        <v>0</v>
      </c>
    </row>
    <row r="244" spans="2:17" x14ac:dyDescent="0.25">
      <c r="B244" s="110">
        <f>DATE(Title!$F$12,$S$12,S17)</f>
        <v>41499</v>
      </c>
      <c r="C244" s="111">
        <f>IF(WEEKDAY(B244)=1,0,IF(WEEKDAY(B244)=4,'Hours Scheduled'!$K$44-1,IF(WEEKDAY(B244)=7,0,'Hours Scheduled'!$K$44)))</f>
        <v>21</v>
      </c>
      <c r="D244" s="17">
        <f t="shared" si="73"/>
        <v>157.5</v>
      </c>
      <c r="E244" s="127">
        <f t="shared" si="76"/>
        <v>136</v>
      </c>
      <c r="F244" s="111"/>
      <c r="G244" s="130">
        <f>INDEX(August!$C$3:$AH$169,3,MATCH(B244,August!$D$3:$AH$3)+1)+INDEX(August!$C$3:$AH$169,8,MATCH(B244,August!$D$3:$AH$3)+1)+INDEX(August!$C$3:$AH$169,13,MATCH(B244,August!$D$3:$AH$3)+1)+INDEX(August!$C$3:$AH$169,18,MATCH(B244,August!$D$3:$AH$3)+1)+INDEX(August!$C$3:$AH$169,23,MATCH(B244,August!$D$3:$AH$3)+1)+INDEX(August!$C$3:$AH$169,28,MATCH(B244,August!$D$3:$AH$3)+1)+INDEX(August!$C$3:$AH$169,33,MATCH(B244,August!$D$3:$AH$3)+1)+INDEX(August!$C$3:$AH$169,38,MATCH(B244,August!$D$3:$AH$3)+1)+INDEX(August!$C$3:$AH$169,43,MATCH(B244,August!$D$3:$AH$3)+1)+INDEX(August!$C$3:$AH$169,48,MATCH(B244,August!$D$3:$AH$3)+1)+INDEX(August!$C$3:$AH$169,53,MATCH(B244,August!$D$3:$AH$3)+1)+INDEX(August!$C$3:$AH$169,58,MATCH(B244,August!$D$3:$AH$3)+1)+INDEX(August!$C$3:$AH$169,63,MATCH(B244,August!$D$3:$AH$3)+1)+INDEX(August!$C$3:$AH$169,68,MATCH(B244,August!$D$3:$AH$3)+1)+INDEX(August!$C$3:$AH$169,73,MATCH(B244,August!$D$3:$AH$3)+1)+INDEX(August!$C$3:$AH$169,78,MATCH(B244,August!$D$3:$AH$3)+1)+INDEX(August!$C$3:$AH$169,83,MATCH(B244,August!$D$3:$AH$3)+1)+INDEX(August!$C$3:$AH$169,88,MATCH(B244,August!$D$3:$AH$3)+1)+INDEX(August!$C$3:$AH$169,93,MATCH(B244,August!$D$3:$AH$3)+1)+INDEX(August!$C$3:$AH$169,98,MATCH(B244,August!$D$3:$AH$3)+1)+INDEX(August!$C$3:$AH$169,103,MATCH(B244,August!$D$3:$AH$3)+1)+INDEX(August!$C$3:$AH$169,108,MATCH(B244,August!$D$3:$AH$3)+1)+INDEX(August!$C$3:$AH$169,113,MATCH(B244,August!$D$3:$AH$3)+1)+INDEX(August!$C$3:$AH$169,118,MATCH(B244,August!$D$3:$AH$3)+1)+INDEX(August!$C$3:$AH$169,123,MATCH(B244,August!$D$3:$AH$3)+1)+INDEX(August!$C$3:$AH$169,128,MATCH(B244,August!$D$3:$AH$3)+1)+INDEX(August!$C$3:$AH$169,133,MATCH(B244,August!$D$3:$AH$3)+1)+INDEX(August!$C$3:$AH$169,138,MATCH(B244,August!$D$3:$AH$3)+1)+INDEX(August!$C$3:$AH$169,143,MATCH(B244,August!$D$3:$AH$3)+1)+INDEX(August!$C$3:$AH$169,148,MATCH(B244,August!$D$3:$AH$3)+1)-INDEX(August!$B$5:$AH$169,MATCH("Patrick Janssen",August!$B$5:$B$169),MATCH(B244,August!$D$3:$AH$3)+2)-INDEX(August!$B$5:$AH$169,MATCH("Patrick Ziesen",August!$B$5:$B$169),MATCH(B244,August!$D$3:$AH$3)+2)-INDEX(August!$B$5:$AH$169,MATCH("Frido Meijer",August!$B$5:$B$169),MATCH(B244,August!$D$3:$AH$3)+2)</f>
        <v>32</v>
      </c>
      <c r="H244" s="130">
        <f>INDEX(August!$C$3:$AH$169,4,MATCH(B244,August!$D$3:$AH$3)+1)+INDEX(August!$C$3:$AH$169,9,MATCH(B244,August!$D$3:$AH$3)+1)+INDEX(August!$C$3:$AH$169,14,MATCH(B244,August!$D$3:$AH$3)+1)+INDEX(August!$C$3:$AH$169,19,MATCH(B244,August!$D$3:$AH$3)+1)+INDEX(August!$C$3:$AH$169,24,MATCH(B244,August!$D$3:$AH$3)+1)+INDEX(August!$C$3:$AH$169,29,MATCH(B244,August!$D$3:$AH$3)+1)+INDEX(August!$C$3:$AH$169,34,MATCH(B244,August!$D$3:$AH$3)+1)+INDEX(August!$C$3:$AH$169,39,MATCH(B244,August!$D$3:$AH$3)+1)+INDEX(August!$C$3:$AH$169,44,MATCH(B244,August!$D$3:$AH$3)+1)+INDEX(August!$C$3:$AH$169,49,MATCH(B244,August!$D$3:$AH$3)+1)+INDEX(August!$C$3:$AH$169,54,MATCH(B244,August!$D$3:$AH$3)+1)+INDEX(August!$C$3:$AH$169,59,MATCH(B244,August!$D$3:$AH$3)+1)+INDEX(August!$C$3:$AH$169,64,MATCH(B244,August!$D$3:$AH$3)+1)+INDEX(August!$C$3:$AH$169,69,MATCH(B244,August!$D$3:$AH$3)+1)+INDEX(August!$C$3:$AH$169,74,MATCH(B244,August!$D$3:$AH$3)+1)+INDEX(August!$C$3:$AH$169,79,MATCH(B244,August!$D$3:$AH$3)+1)+INDEX(August!$C$3:$AH$169,84,MATCH(B244,August!$D$3:$AH$3)+1)+INDEX(August!$C$3:$AH$169,89,MATCH(B244,August!$D$3:$AH$3)+1)+INDEX(August!$C$3:$AH$169,94,MATCH(B244,August!$D$3:$AH$3)+1)+INDEX(August!$C$3:$AH$169,99,MATCH(B244,August!$D$3:$AH$3)+1)+INDEX(August!$C$3:$AH$169,104,MATCH(B244,August!$D$3:$AH$3)+1)+INDEX(August!$C$3:$AH$169,109,MATCH(B244,August!$D$3:$AH$3)+1)+INDEX(August!$C$3:$AH$169,114,MATCH(B244,August!$D$3:$AH$3)+1)+INDEX(August!$C$3:$AH$169,119,MATCH(B244,August!$D$3:$AH$3)+1)+INDEX(August!$C$3:$AH$169,124,MATCH(B244,August!$D$3:$AH$3)+1)+INDEX(August!$C$3:$AH$169,129,MATCH(B244,August!$D$3:$AH$3)+1)+INDEX(August!$C$3:$AH$169,134,MATCH(B244,August!$D$3:$AH$3)+1)+INDEX(August!$C$3:$AH$169,139,MATCH(B244,August!$D$3:$AH$3)+1)+INDEX(August!$C$3:$AH$169,144,MATCH(B244,August!$D$3:$AH$3)+1)+INDEX(August!$C$3:$AH$169,149,MATCH(B244,August!$D$3:$AH$3)+1)-INDEX(August!$B$5:$AH$169,MATCH("Patrick Janssen",August!$B$5:$B$169)+1,MATCH(B244,August!$D$3:$AH$3)+2)-INDEX(August!$B$5:$AH$169,MATCH("Patrick Ziesen",August!$B$5:$B$169)+1,MATCH(B244,August!$D$3:$AH$3)+2)-INDEX(August!$B$5:$AH$169,MATCH("Frido Meijer",August!$B$5:$B$169)+1,MATCH(B244,August!$D$3:$AH$3)+2)</f>
        <v>0</v>
      </c>
      <c r="I244" s="130">
        <v>0</v>
      </c>
      <c r="J244" s="130">
        <v>0</v>
      </c>
      <c r="L244" s="124"/>
      <c r="M244" s="111"/>
      <c r="N244" s="111">
        <f t="shared" si="72"/>
        <v>0</v>
      </c>
      <c r="P244" s="112">
        <f t="shared" si="74"/>
        <v>0</v>
      </c>
      <c r="Q244" s="112">
        <f t="shared" si="75"/>
        <v>0</v>
      </c>
    </row>
    <row r="245" spans="2:17" x14ac:dyDescent="0.25">
      <c r="B245" s="110">
        <f>DATE(Title!$F$12,$S$12,S18)</f>
        <v>41500</v>
      </c>
      <c r="C245" s="111">
        <f>IF(WEEKDAY(B245)=1,0,IF(WEEKDAY(B245)=4,'Hours Scheduled'!$K$44-1,IF(WEEKDAY(B245)=7,0,'Hours Scheduled'!$K$44)))</f>
        <v>20</v>
      </c>
      <c r="D245" s="17">
        <f t="shared" si="73"/>
        <v>150</v>
      </c>
      <c r="E245" s="127">
        <f t="shared" si="76"/>
        <v>128</v>
      </c>
      <c r="F245" s="111"/>
      <c r="G245" s="130">
        <f>INDEX(August!$C$3:$AH$169,3,MATCH(B245,August!$D$3:$AH$3)+1)+INDEX(August!$C$3:$AH$169,8,MATCH(B245,August!$D$3:$AH$3)+1)+INDEX(August!$C$3:$AH$169,13,MATCH(B245,August!$D$3:$AH$3)+1)+INDEX(August!$C$3:$AH$169,18,MATCH(B245,August!$D$3:$AH$3)+1)+INDEX(August!$C$3:$AH$169,23,MATCH(B245,August!$D$3:$AH$3)+1)+INDEX(August!$C$3:$AH$169,28,MATCH(B245,August!$D$3:$AH$3)+1)+INDEX(August!$C$3:$AH$169,33,MATCH(B245,August!$D$3:$AH$3)+1)+INDEX(August!$C$3:$AH$169,38,MATCH(B245,August!$D$3:$AH$3)+1)+INDEX(August!$C$3:$AH$169,43,MATCH(B245,August!$D$3:$AH$3)+1)+INDEX(August!$C$3:$AH$169,48,MATCH(B245,August!$D$3:$AH$3)+1)+INDEX(August!$C$3:$AH$169,53,MATCH(B245,August!$D$3:$AH$3)+1)+INDEX(August!$C$3:$AH$169,58,MATCH(B245,August!$D$3:$AH$3)+1)+INDEX(August!$C$3:$AH$169,63,MATCH(B245,August!$D$3:$AH$3)+1)+INDEX(August!$C$3:$AH$169,68,MATCH(B245,August!$D$3:$AH$3)+1)+INDEX(August!$C$3:$AH$169,73,MATCH(B245,August!$D$3:$AH$3)+1)+INDEX(August!$C$3:$AH$169,78,MATCH(B245,August!$D$3:$AH$3)+1)+INDEX(August!$C$3:$AH$169,83,MATCH(B245,August!$D$3:$AH$3)+1)+INDEX(August!$C$3:$AH$169,88,MATCH(B245,August!$D$3:$AH$3)+1)+INDEX(August!$C$3:$AH$169,93,MATCH(B245,August!$D$3:$AH$3)+1)+INDEX(August!$C$3:$AH$169,98,MATCH(B245,August!$D$3:$AH$3)+1)+INDEX(August!$C$3:$AH$169,103,MATCH(B245,August!$D$3:$AH$3)+1)+INDEX(August!$C$3:$AH$169,108,MATCH(B245,August!$D$3:$AH$3)+1)+INDEX(August!$C$3:$AH$169,113,MATCH(B245,August!$D$3:$AH$3)+1)+INDEX(August!$C$3:$AH$169,118,MATCH(B245,August!$D$3:$AH$3)+1)+INDEX(August!$C$3:$AH$169,123,MATCH(B245,August!$D$3:$AH$3)+1)+INDEX(August!$C$3:$AH$169,128,MATCH(B245,August!$D$3:$AH$3)+1)+INDEX(August!$C$3:$AH$169,133,MATCH(B245,August!$D$3:$AH$3)+1)+INDEX(August!$C$3:$AH$169,138,MATCH(B245,August!$D$3:$AH$3)+1)+INDEX(August!$C$3:$AH$169,143,MATCH(B245,August!$D$3:$AH$3)+1)+INDEX(August!$C$3:$AH$169,148,MATCH(B245,August!$D$3:$AH$3)+1)-INDEX(August!$B$5:$AH$169,MATCH("Patrick Janssen",August!$B$5:$B$169),MATCH(B245,August!$D$3:$AH$3)+2)-INDEX(August!$B$5:$AH$169,MATCH("Patrick Ziesen",August!$B$5:$B$169),MATCH(B245,August!$D$3:$AH$3)+2)-INDEX(August!$B$5:$AH$169,MATCH("Frido Meijer",August!$B$5:$B$169),MATCH(B245,August!$D$3:$AH$3)+2)</f>
        <v>32</v>
      </c>
      <c r="H245" s="130">
        <f>INDEX(August!$C$3:$AH$169,4,MATCH(B245,August!$D$3:$AH$3)+1)+INDEX(August!$C$3:$AH$169,9,MATCH(B245,August!$D$3:$AH$3)+1)+INDEX(August!$C$3:$AH$169,14,MATCH(B245,August!$D$3:$AH$3)+1)+INDEX(August!$C$3:$AH$169,19,MATCH(B245,August!$D$3:$AH$3)+1)+INDEX(August!$C$3:$AH$169,24,MATCH(B245,August!$D$3:$AH$3)+1)+INDEX(August!$C$3:$AH$169,29,MATCH(B245,August!$D$3:$AH$3)+1)+INDEX(August!$C$3:$AH$169,34,MATCH(B245,August!$D$3:$AH$3)+1)+INDEX(August!$C$3:$AH$169,39,MATCH(B245,August!$D$3:$AH$3)+1)+INDEX(August!$C$3:$AH$169,44,MATCH(B245,August!$D$3:$AH$3)+1)+INDEX(August!$C$3:$AH$169,49,MATCH(B245,August!$D$3:$AH$3)+1)+INDEX(August!$C$3:$AH$169,54,MATCH(B245,August!$D$3:$AH$3)+1)+INDEX(August!$C$3:$AH$169,59,MATCH(B245,August!$D$3:$AH$3)+1)+INDEX(August!$C$3:$AH$169,64,MATCH(B245,August!$D$3:$AH$3)+1)+INDEX(August!$C$3:$AH$169,69,MATCH(B245,August!$D$3:$AH$3)+1)+INDEX(August!$C$3:$AH$169,74,MATCH(B245,August!$D$3:$AH$3)+1)+INDEX(August!$C$3:$AH$169,79,MATCH(B245,August!$D$3:$AH$3)+1)+INDEX(August!$C$3:$AH$169,84,MATCH(B245,August!$D$3:$AH$3)+1)+INDEX(August!$C$3:$AH$169,89,MATCH(B245,August!$D$3:$AH$3)+1)+INDEX(August!$C$3:$AH$169,94,MATCH(B245,August!$D$3:$AH$3)+1)+INDEX(August!$C$3:$AH$169,99,MATCH(B245,August!$D$3:$AH$3)+1)+INDEX(August!$C$3:$AH$169,104,MATCH(B245,August!$D$3:$AH$3)+1)+INDEX(August!$C$3:$AH$169,109,MATCH(B245,August!$D$3:$AH$3)+1)+INDEX(August!$C$3:$AH$169,114,MATCH(B245,August!$D$3:$AH$3)+1)+INDEX(August!$C$3:$AH$169,119,MATCH(B245,August!$D$3:$AH$3)+1)+INDEX(August!$C$3:$AH$169,124,MATCH(B245,August!$D$3:$AH$3)+1)+INDEX(August!$C$3:$AH$169,129,MATCH(B245,August!$D$3:$AH$3)+1)+INDEX(August!$C$3:$AH$169,134,MATCH(B245,August!$D$3:$AH$3)+1)+INDEX(August!$C$3:$AH$169,139,MATCH(B245,August!$D$3:$AH$3)+1)+INDEX(August!$C$3:$AH$169,144,MATCH(B245,August!$D$3:$AH$3)+1)+INDEX(August!$C$3:$AH$169,149,MATCH(B245,August!$D$3:$AH$3)+1)-INDEX(August!$B$5:$AH$169,MATCH("Patrick Janssen",August!$B$5:$B$169)+1,MATCH(B245,August!$D$3:$AH$3)+2)-INDEX(August!$B$5:$AH$169,MATCH("Patrick Ziesen",August!$B$5:$B$169)+1,MATCH(B245,August!$D$3:$AH$3)+2)-INDEX(August!$B$5:$AH$169,MATCH("Frido Meijer",August!$B$5:$B$169)+1,MATCH(B245,August!$D$3:$AH$3)+2)</f>
        <v>0</v>
      </c>
      <c r="I245" s="130">
        <v>0</v>
      </c>
      <c r="J245" s="130">
        <v>0</v>
      </c>
      <c r="L245" s="124"/>
      <c r="M245" s="111"/>
      <c r="N245" s="111">
        <f t="shared" si="72"/>
        <v>0</v>
      </c>
      <c r="P245" s="112">
        <f t="shared" si="74"/>
        <v>0</v>
      </c>
      <c r="Q245" s="112">
        <f t="shared" si="75"/>
        <v>0</v>
      </c>
    </row>
    <row r="246" spans="2:17" x14ac:dyDescent="0.25">
      <c r="B246" s="110">
        <f>DATE(Title!$F$12,$S$12,S19)</f>
        <v>41501</v>
      </c>
      <c r="C246" s="111">
        <f>IF(WEEKDAY(B246)=1,0,IF(WEEKDAY(B246)=4,'Hours Scheduled'!$K$44-1,IF(WEEKDAY(B246)=7,0,'Hours Scheduled'!$K$44)))</f>
        <v>21</v>
      </c>
      <c r="D246" s="17">
        <f t="shared" si="73"/>
        <v>157.5</v>
      </c>
      <c r="E246" s="127">
        <f t="shared" si="76"/>
        <v>136</v>
      </c>
      <c r="F246" s="111"/>
      <c r="G246" s="130">
        <f>INDEX(August!$C$3:$AH$169,3,MATCH(B246,August!$D$3:$AH$3)+1)+INDEX(August!$C$3:$AH$169,8,MATCH(B246,August!$D$3:$AH$3)+1)+INDEX(August!$C$3:$AH$169,13,MATCH(B246,August!$D$3:$AH$3)+1)+INDEX(August!$C$3:$AH$169,18,MATCH(B246,August!$D$3:$AH$3)+1)+INDEX(August!$C$3:$AH$169,23,MATCH(B246,August!$D$3:$AH$3)+1)+INDEX(August!$C$3:$AH$169,28,MATCH(B246,August!$D$3:$AH$3)+1)+INDEX(August!$C$3:$AH$169,33,MATCH(B246,August!$D$3:$AH$3)+1)+INDEX(August!$C$3:$AH$169,38,MATCH(B246,August!$D$3:$AH$3)+1)+INDEX(August!$C$3:$AH$169,43,MATCH(B246,August!$D$3:$AH$3)+1)+INDEX(August!$C$3:$AH$169,48,MATCH(B246,August!$D$3:$AH$3)+1)+INDEX(August!$C$3:$AH$169,53,MATCH(B246,August!$D$3:$AH$3)+1)+INDEX(August!$C$3:$AH$169,58,MATCH(B246,August!$D$3:$AH$3)+1)+INDEX(August!$C$3:$AH$169,63,MATCH(B246,August!$D$3:$AH$3)+1)+INDEX(August!$C$3:$AH$169,68,MATCH(B246,August!$D$3:$AH$3)+1)+INDEX(August!$C$3:$AH$169,73,MATCH(B246,August!$D$3:$AH$3)+1)+INDEX(August!$C$3:$AH$169,78,MATCH(B246,August!$D$3:$AH$3)+1)+INDEX(August!$C$3:$AH$169,83,MATCH(B246,August!$D$3:$AH$3)+1)+INDEX(August!$C$3:$AH$169,88,MATCH(B246,August!$D$3:$AH$3)+1)+INDEX(August!$C$3:$AH$169,93,MATCH(B246,August!$D$3:$AH$3)+1)+INDEX(August!$C$3:$AH$169,98,MATCH(B246,August!$D$3:$AH$3)+1)+INDEX(August!$C$3:$AH$169,103,MATCH(B246,August!$D$3:$AH$3)+1)+INDEX(August!$C$3:$AH$169,108,MATCH(B246,August!$D$3:$AH$3)+1)+INDEX(August!$C$3:$AH$169,113,MATCH(B246,August!$D$3:$AH$3)+1)+INDEX(August!$C$3:$AH$169,118,MATCH(B246,August!$D$3:$AH$3)+1)+INDEX(August!$C$3:$AH$169,123,MATCH(B246,August!$D$3:$AH$3)+1)+INDEX(August!$C$3:$AH$169,128,MATCH(B246,August!$D$3:$AH$3)+1)+INDEX(August!$C$3:$AH$169,133,MATCH(B246,August!$D$3:$AH$3)+1)+INDEX(August!$C$3:$AH$169,138,MATCH(B246,August!$D$3:$AH$3)+1)+INDEX(August!$C$3:$AH$169,143,MATCH(B246,August!$D$3:$AH$3)+1)+INDEX(August!$C$3:$AH$169,148,MATCH(B246,August!$D$3:$AH$3)+1)-INDEX(August!$B$5:$AH$169,MATCH("Patrick Janssen",August!$B$5:$B$169),MATCH(B246,August!$D$3:$AH$3)+2)-INDEX(August!$B$5:$AH$169,MATCH("Patrick Ziesen",August!$B$5:$B$169),MATCH(B246,August!$D$3:$AH$3)+2)-INDEX(August!$B$5:$AH$169,MATCH("Frido Meijer",August!$B$5:$B$169),MATCH(B246,August!$D$3:$AH$3)+2)</f>
        <v>32</v>
      </c>
      <c r="H246" s="130">
        <f>INDEX(August!$C$3:$AH$169,4,MATCH(B246,August!$D$3:$AH$3)+1)+INDEX(August!$C$3:$AH$169,9,MATCH(B246,August!$D$3:$AH$3)+1)+INDEX(August!$C$3:$AH$169,14,MATCH(B246,August!$D$3:$AH$3)+1)+INDEX(August!$C$3:$AH$169,19,MATCH(B246,August!$D$3:$AH$3)+1)+INDEX(August!$C$3:$AH$169,24,MATCH(B246,August!$D$3:$AH$3)+1)+INDEX(August!$C$3:$AH$169,29,MATCH(B246,August!$D$3:$AH$3)+1)+INDEX(August!$C$3:$AH$169,34,MATCH(B246,August!$D$3:$AH$3)+1)+INDEX(August!$C$3:$AH$169,39,MATCH(B246,August!$D$3:$AH$3)+1)+INDEX(August!$C$3:$AH$169,44,MATCH(B246,August!$D$3:$AH$3)+1)+INDEX(August!$C$3:$AH$169,49,MATCH(B246,August!$D$3:$AH$3)+1)+INDEX(August!$C$3:$AH$169,54,MATCH(B246,August!$D$3:$AH$3)+1)+INDEX(August!$C$3:$AH$169,59,MATCH(B246,August!$D$3:$AH$3)+1)+INDEX(August!$C$3:$AH$169,64,MATCH(B246,August!$D$3:$AH$3)+1)+INDEX(August!$C$3:$AH$169,69,MATCH(B246,August!$D$3:$AH$3)+1)+INDEX(August!$C$3:$AH$169,74,MATCH(B246,August!$D$3:$AH$3)+1)+INDEX(August!$C$3:$AH$169,79,MATCH(B246,August!$D$3:$AH$3)+1)+INDEX(August!$C$3:$AH$169,84,MATCH(B246,August!$D$3:$AH$3)+1)+INDEX(August!$C$3:$AH$169,89,MATCH(B246,August!$D$3:$AH$3)+1)+INDEX(August!$C$3:$AH$169,94,MATCH(B246,August!$D$3:$AH$3)+1)+INDEX(August!$C$3:$AH$169,99,MATCH(B246,August!$D$3:$AH$3)+1)+INDEX(August!$C$3:$AH$169,104,MATCH(B246,August!$D$3:$AH$3)+1)+INDEX(August!$C$3:$AH$169,109,MATCH(B246,August!$D$3:$AH$3)+1)+INDEX(August!$C$3:$AH$169,114,MATCH(B246,August!$D$3:$AH$3)+1)+INDEX(August!$C$3:$AH$169,119,MATCH(B246,August!$D$3:$AH$3)+1)+INDEX(August!$C$3:$AH$169,124,MATCH(B246,August!$D$3:$AH$3)+1)+INDEX(August!$C$3:$AH$169,129,MATCH(B246,August!$D$3:$AH$3)+1)+INDEX(August!$C$3:$AH$169,134,MATCH(B246,August!$D$3:$AH$3)+1)+INDEX(August!$C$3:$AH$169,139,MATCH(B246,August!$D$3:$AH$3)+1)+INDEX(August!$C$3:$AH$169,144,MATCH(B246,August!$D$3:$AH$3)+1)+INDEX(August!$C$3:$AH$169,149,MATCH(B246,August!$D$3:$AH$3)+1)-INDEX(August!$B$5:$AH$169,MATCH("Patrick Janssen",August!$B$5:$B$169)+1,MATCH(B246,August!$D$3:$AH$3)+2)-INDEX(August!$B$5:$AH$169,MATCH("Patrick Ziesen",August!$B$5:$B$169)+1,MATCH(B246,August!$D$3:$AH$3)+2)-INDEX(August!$B$5:$AH$169,MATCH("Frido Meijer",August!$B$5:$B$169)+1,MATCH(B246,August!$D$3:$AH$3)+2)</f>
        <v>0</v>
      </c>
      <c r="I246" s="130">
        <v>0</v>
      </c>
      <c r="J246" s="130">
        <v>0</v>
      </c>
      <c r="L246" s="124"/>
      <c r="M246" s="111"/>
      <c r="N246" s="111">
        <f t="shared" si="72"/>
        <v>0</v>
      </c>
      <c r="P246" s="112">
        <f t="shared" si="74"/>
        <v>0</v>
      </c>
      <c r="Q246" s="112">
        <f t="shared" si="75"/>
        <v>0</v>
      </c>
    </row>
    <row r="247" spans="2:17" x14ac:dyDescent="0.25">
      <c r="B247" s="110">
        <f>DATE(Title!$F$12,$S$12,S20)</f>
        <v>41502</v>
      </c>
      <c r="C247" s="111">
        <f>IF(WEEKDAY(B247)=1,0,IF(WEEKDAY(B247)=4,'Hours Scheduled'!$K$44-1,IF(WEEKDAY(B247)=7,0,'Hours Scheduled'!$K$44)))</f>
        <v>21</v>
      </c>
      <c r="D247" s="17">
        <f t="shared" si="73"/>
        <v>157.5</v>
      </c>
      <c r="E247" s="127">
        <f t="shared" si="76"/>
        <v>132</v>
      </c>
      <c r="F247" s="111"/>
      <c r="G247" s="130">
        <f>INDEX(August!$C$3:$AH$169,3,MATCH(B247,August!$D$3:$AH$3)+1)+INDEX(August!$C$3:$AH$169,8,MATCH(B247,August!$D$3:$AH$3)+1)+INDEX(August!$C$3:$AH$169,13,MATCH(B247,August!$D$3:$AH$3)+1)+INDEX(August!$C$3:$AH$169,18,MATCH(B247,August!$D$3:$AH$3)+1)+INDEX(August!$C$3:$AH$169,23,MATCH(B247,August!$D$3:$AH$3)+1)+INDEX(August!$C$3:$AH$169,28,MATCH(B247,August!$D$3:$AH$3)+1)+INDEX(August!$C$3:$AH$169,33,MATCH(B247,August!$D$3:$AH$3)+1)+INDEX(August!$C$3:$AH$169,38,MATCH(B247,August!$D$3:$AH$3)+1)+INDEX(August!$C$3:$AH$169,43,MATCH(B247,August!$D$3:$AH$3)+1)+INDEX(August!$C$3:$AH$169,48,MATCH(B247,August!$D$3:$AH$3)+1)+INDEX(August!$C$3:$AH$169,53,MATCH(B247,August!$D$3:$AH$3)+1)+INDEX(August!$C$3:$AH$169,58,MATCH(B247,August!$D$3:$AH$3)+1)+INDEX(August!$C$3:$AH$169,63,MATCH(B247,August!$D$3:$AH$3)+1)+INDEX(August!$C$3:$AH$169,68,MATCH(B247,August!$D$3:$AH$3)+1)+INDEX(August!$C$3:$AH$169,73,MATCH(B247,August!$D$3:$AH$3)+1)+INDEX(August!$C$3:$AH$169,78,MATCH(B247,August!$D$3:$AH$3)+1)+INDEX(August!$C$3:$AH$169,83,MATCH(B247,August!$D$3:$AH$3)+1)+INDEX(August!$C$3:$AH$169,88,MATCH(B247,August!$D$3:$AH$3)+1)+INDEX(August!$C$3:$AH$169,93,MATCH(B247,August!$D$3:$AH$3)+1)+INDEX(August!$C$3:$AH$169,98,MATCH(B247,August!$D$3:$AH$3)+1)+INDEX(August!$C$3:$AH$169,103,MATCH(B247,August!$D$3:$AH$3)+1)+INDEX(August!$C$3:$AH$169,108,MATCH(B247,August!$D$3:$AH$3)+1)+INDEX(August!$C$3:$AH$169,113,MATCH(B247,August!$D$3:$AH$3)+1)+INDEX(August!$C$3:$AH$169,118,MATCH(B247,August!$D$3:$AH$3)+1)+INDEX(August!$C$3:$AH$169,123,MATCH(B247,August!$D$3:$AH$3)+1)+INDEX(August!$C$3:$AH$169,128,MATCH(B247,August!$D$3:$AH$3)+1)+INDEX(August!$C$3:$AH$169,133,MATCH(B247,August!$D$3:$AH$3)+1)+INDEX(August!$C$3:$AH$169,138,MATCH(B247,August!$D$3:$AH$3)+1)+INDEX(August!$C$3:$AH$169,143,MATCH(B247,August!$D$3:$AH$3)+1)+INDEX(August!$C$3:$AH$169,148,MATCH(B247,August!$D$3:$AH$3)+1)-INDEX(August!$B$5:$AH$169,MATCH("Patrick Janssen",August!$B$5:$B$169),MATCH(B247,August!$D$3:$AH$3)+2)-INDEX(August!$B$5:$AH$169,MATCH("Patrick Ziesen",August!$B$5:$B$169),MATCH(B247,August!$D$3:$AH$3)+2)-INDEX(August!$B$5:$AH$169,MATCH("Frido Meijer",August!$B$5:$B$169),MATCH(B247,August!$D$3:$AH$3)+2)</f>
        <v>36</v>
      </c>
      <c r="H247" s="130">
        <f>INDEX(August!$C$3:$AH$169,4,MATCH(B247,August!$D$3:$AH$3)+1)+INDEX(August!$C$3:$AH$169,9,MATCH(B247,August!$D$3:$AH$3)+1)+INDEX(August!$C$3:$AH$169,14,MATCH(B247,August!$D$3:$AH$3)+1)+INDEX(August!$C$3:$AH$169,19,MATCH(B247,August!$D$3:$AH$3)+1)+INDEX(August!$C$3:$AH$169,24,MATCH(B247,August!$D$3:$AH$3)+1)+INDEX(August!$C$3:$AH$169,29,MATCH(B247,August!$D$3:$AH$3)+1)+INDEX(August!$C$3:$AH$169,34,MATCH(B247,August!$D$3:$AH$3)+1)+INDEX(August!$C$3:$AH$169,39,MATCH(B247,August!$D$3:$AH$3)+1)+INDEX(August!$C$3:$AH$169,44,MATCH(B247,August!$D$3:$AH$3)+1)+INDEX(August!$C$3:$AH$169,49,MATCH(B247,August!$D$3:$AH$3)+1)+INDEX(August!$C$3:$AH$169,54,MATCH(B247,August!$D$3:$AH$3)+1)+INDEX(August!$C$3:$AH$169,59,MATCH(B247,August!$D$3:$AH$3)+1)+INDEX(August!$C$3:$AH$169,64,MATCH(B247,August!$D$3:$AH$3)+1)+INDEX(August!$C$3:$AH$169,69,MATCH(B247,August!$D$3:$AH$3)+1)+INDEX(August!$C$3:$AH$169,74,MATCH(B247,August!$D$3:$AH$3)+1)+INDEX(August!$C$3:$AH$169,79,MATCH(B247,August!$D$3:$AH$3)+1)+INDEX(August!$C$3:$AH$169,84,MATCH(B247,August!$D$3:$AH$3)+1)+INDEX(August!$C$3:$AH$169,89,MATCH(B247,August!$D$3:$AH$3)+1)+INDEX(August!$C$3:$AH$169,94,MATCH(B247,August!$D$3:$AH$3)+1)+INDEX(August!$C$3:$AH$169,99,MATCH(B247,August!$D$3:$AH$3)+1)+INDEX(August!$C$3:$AH$169,104,MATCH(B247,August!$D$3:$AH$3)+1)+INDEX(August!$C$3:$AH$169,109,MATCH(B247,August!$D$3:$AH$3)+1)+INDEX(August!$C$3:$AH$169,114,MATCH(B247,August!$D$3:$AH$3)+1)+INDEX(August!$C$3:$AH$169,119,MATCH(B247,August!$D$3:$AH$3)+1)+INDEX(August!$C$3:$AH$169,124,MATCH(B247,August!$D$3:$AH$3)+1)+INDEX(August!$C$3:$AH$169,129,MATCH(B247,August!$D$3:$AH$3)+1)+INDEX(August!$C$3:$AH$169,134,MATCH(B247,August!$D$3:$AH$3)+1)+INDEX(August!$C$3:$AH$169,139,MATCH(B247,August!$D$3:$AH$3)+1)+INDEX(August!$C$3:$AH$169,144,MATCH(B247,August!$D$3:$AH$3)+1)+INDEX(August!$C$3:$AH$169,149,MATCH(B247,August!$D$3:$AH$3)+1)-INDEX(August!$B$5:$AH$169,MATCH("Patrick Janssen",August!$B$5:$B$169)+1,MATCH(B247,August!$D$3:$AH$3)+2)-INDEX(August!$B$5:$AH$169,MATCH("Patrick Ziesen",August!$B$5:$B$169)+1,MATCH(B247,August!$D$3:$AH$3)+2)-INDEX(August!$B$5:$AH$169,MATCH("Frido Meijer",August!$B$5:$B$169)+1,MATCH(B247,August!$D$3:$AH$3)+2)</f>
        <v>0</v>
      </c>
      <c r="I247" s="130">
        <v>0</v>
      </c>
      <c r="J247" s="130">
        <v>0</v>
      </c>
      <c r="L247" s="124"/>
      <c r="M247" s="111"/>
      <c r="N247" s="111">
        <f t="shared" si="72"/>
        <v>0</v>
      </c>
      <c r="P247" s="112">
        <f t="shared" si="74"/>
        <v>0</v>
      </c>
      <c r="Q247" s="112">
        <f t="shared" si="75"/>
        <v>0</v>
      </c>
    </row>
    <row r="248" spans="2:17" x14ac:dyDescent="0.25">
      <c r="B248" s="110">
        <f>DATE(Title!$F$12,$S$12,S21)</f>
        <v>41503</v>
      </c>
      <c r="C248" s="111">
        <f>IF(WEEKDAY(B248)=1,0,IF(WEEKDAY(B248)=4,'Hours Scheduled'!$K$44-1,IF(WEEKDAY(B248)=7,0,'Hours Scheduled'!$K$44)))</f>
        <v>0</v>
      </c>
      <c r="D248" s="17">
        <f t="shared" si="73"/>
        <v>0</v>
      </c>
      <c r="E248" s="127">
        <f t="shared" si="76"/>
        <v>0</v>
      </c>
      <c r="F248" s="111"/>
      <c r="G248" s="130">
        <f>INDEX(August!$C$3:$AH$169,3,MATCH(B248,August!$D$3:$AH$3)+1)+INDEX(August!$C$3:$AH$169,8,MATCH(B248,August!$D$3:$AH$3)+1)+INDEX(August!$C$3:$AH$169,13,MATCH(B248,August!$D$3:$AH$3)+1)+INDEX(August!$C$3:$AH$169,18,MATCH(B248,August!$D$3:$AH$3)+1)+INDEX(August!$C$3:$AH$169,23,MATCH(B248,August!$D$3:$AH$3)+1)+INDEX(August!$C$3:$AH$169,28,MATCH(B248,August!$D$3:$AH$3)+1)+INDEX(August!$C$3:$AH$169,33,MATCH(B248,August!$D$3:$AH$3)+1)+INDEX(August!$C$3:$AH$169,38,MATCH(B248,August!$D$3:$AH$3)+1)+INDEX(August!$C$3:$AH$169,43,MATCH(B248,August!$D$3:$AH$3)+1)+INDEX(August!$C$3:$AH$169,48,MATCH(B248,August!$D$3:$AH$3)+1)+INDEX(August!$C$3:$AH$169,53,MATCH(B248,August!$D$3:$AH$3)+1)+INDEX(August!$C$3:$AH$169,58,MATCH(B248,August!$D$3:$AH$3)+1)+INDEX(August!$C$3:$AH$169,63,MATCH(B248,August!$D$3:$AH$3)+1)+INDEX(August!$C$3:$AH$169,68,MATCH(B248,August!$D$3:$AH$3)+1)+INDEX(August!$C$3:$AH$169,73,MATCH(B248,August!$D$3:$AH$3)+1)+INDEX(August!$C$3:$AH$169,78,MATCH(B248,August!$D$3:$AH$3)+1)+INDEX(August!$C$3:$AH$169,83,MATCH(B248,August!$D$3:$AH$3)+1)+INDEX(August!$C$3:$AH$169,88,MATCH(B248,August!$D$3:$AH$3)+1)+INDEX(August!$C$3:$AH$169,93,MATCH(B248,August!$D$3:$AH$3)+1)+INDEX(August!$C$3:$AH$169,98,MATCH(B248,August!$D$3:$AH$3)+1)+INDEX(August!$C$3:$AH$169,103,MATCH(B248,August!$D$3:$AH$3)+1)+INDEX(August!$C$3:$AH$169,108,MATCH(B248,August!$D$3:$AH$3)+1)+INDEX(August!$C$3:$AH$169,113,MATCH(B248,August!$D$3:$AH$3)+1)+INDEX(August!$C$3:$AH$169,118,MATCH(B248,August!$D$3:$AH$3)+1)+INDEX(August!$C$3:$AH$169,123,MATCH(B248,August!$D$3:$AH$3)+1)+INDEX(August!$C$3:$AH$169,128,MATCH(B248,August!$D$3:$AH$3)+1)+INDEX(August!$C$3:$AH$169,133,MATCH(B248,August!$D$3:$AH$3)+1)+INDEX(August!$C$3:$AH$169,138,MATCH(B248,August!$D$3:$AH$3)+1)+INDEX(August!$C$3:$AH$169,143,MATCH(B248,August!$D$3:$AH$3)+1)+INDEX(August!$C$3:$AH$169,148,MATCH(B248,August!$D$3:$AH$3)+1)-INDEX(August!$B$5:$AH$169,MATCH("Patrick Janssen",August!$B$5:$B$169),MATCH(B248,August!$D$3:$AH$3)+2)-INDEX(August!$B$5:$AH$169,MATCH("Patrick Ziesen",August!$B$5:$B$169),MATCH(B248,August!$D$3:$AH$3)+2)-INDEX(August!$B$5:$AH$169,MATCH("Frido Meijer",August!$B$5:$B$169),MATCH(B248,August!$D$3:$AH$3)+2)</f>
        <v>0</v>
      </c>
      <c r="H248" s="130">
        <f>INDEX(August!$C$3:$AH$169,4,MATCH(B248,August!$D$3:$AH$3)+1)+INDEX(August!$C$3:$AH$169,9,MATCH(B248,August!$D$3:$AH$3)+1)+INDEX(August!$C$3:$AH$169,14,MATCH(B248,August!$D$3:$AH$3)+1)+INDEX(August!$C$3:$AH$169,19,MATCH(B248,August!$D$3:$AH$3)+1)+INDEX(August!$C$3:$AH$169,24,MATCH(B248,August!$D$3:$AH$3)+1)+INDEX(August!$C$3:$AH$169,29,MATCH(B248,August!$D$3:$AH$3)+1)+INDEX(August!$C$3:$AH$169,34,MATCH(B248,August!$D$3:$AH$3)+1)+INDEX(August!$C$3:$AH$169,39,MATCH(B248,August!$D$3:$AH$3)+1)+INDEX(August!$C$3:$AH$169,44,MATCH(B248,August!$D$3:$AH$3)+1)+INDEX(August!$C$3:$AH$169,49,MATCH(B248,August!$D$3:$AH$3)+1)+INDEX(August!$C$3:$AH$169,54,MATCH(B248,August!$D$3:$AH$3)+1)+INDEX(August!$C$3:$AH$169,59,MATCH(B248,August!$D$3:$AH$3)+1)+INDEX(August!$C$3:$AH$169,64,MATCH(B248,August!$D$3:$AH$3)+1)+INDEX(August!$C$3:$AH$169,69,MATCH(B248,August!$D$3:$AH$3)+1)+INDEX(August!$C$3:$AH$169,74,MATCH(B248,August!$D$3:$AH$3)+1)+INDEX(August!$C$3:$AH$169,79,MATCH(B248,August!$D$3:$AH$3)+1)+INDEX(August!$C$3:$AH$169,84,MATCH(B248,August!$D$3:$AH$3)+1)+INDEX(August!$C$3:$AH$169,89,MATCH(B248,August!$D$3:$AH$3)+1)+INDEX(August!$C$3:$AH$169,94,MATCH(B248,August!$D$3:$AH$3)+1)+INDEX(August!$C$3:$AH$169,99,MATCH(B248,August!$D$3:$AH$3)+1)+INDEX(August!$C$3:$AH$169,104,MATCH(B248,August!$D$3:$AH$3)+1)+INDEX(August!$C$3:$AH$169,109,MATCH(B248,August!$D$3:$AH$3)+1)+INDEX(August!$C$3:$AH$169,114,MATCH(B248,August!$D$3:$AH$3)+1)+INDEX(August!$C$3:$AH$169,119,MATCH(B248,August!$D$3:$AH$3)+1)+INDEX(August!$C$3:$AH$169,124,MATCH(B248,August!$D$3:$AH$3)+1)+INDEX(August!$C$3:$AH$169,129,MATCH(B248,August!$D$3:$AH$3)+1)+INDEX(August!$C$3:$AH$169,134,MATCH(B248,August!$D$3:$AH$3)+1)+INDEX(August!$C$3:$AH$169,139,MATCH(B248,August!$D$3:$AH$3)+1)+INDEX(August!$C$3:$AH$169,144,MATCH(B248,August!$D$3:$AH$3)+1)+INDEX(August!$C$3:$AH$169,149,MATCH(B248,August!$D$3:$AH$3)+1)-INDEX(August!$B$5:$AH$169,MATCH("Patrick Janssen",August!$B$5:$B$169)+1,MATCH(B248,August!$D$3:$AH$3)+2)-INDEX(August!$B$5:$AH$169,MATCH("Patrick Ziesen",August!$B$5:$B$169)+1,MATCH(B248,August!$D$3:$AH$3)+2)-INDEX(August!$B$5:$AH$169,MATCH("Frido Meijer",August!$B$5:$B$169)+1,MATCH(B248,August!$D$3:$AH$3)+2)</f>
        <v>0</v>
      </c>
      <c r="I248" s="130">
        <v>0</v>
      </c>
      <c r="J248" s="130">
        <v>0</v>
      </c>
      <c r="L248" s="124"/>
      <c r="M248" s="111"/>
      <c r="N248" s="111">
        <f t="shared" si="72"/>
        <v>0</v>
      </c>
      <c r="P248" s="112" t="str">
        <f t="shared" si="74"/>
        <v/>
      </c>
      <c r="Q248" s="112" t="str">
        <f t="shared" si="75"/>
        <v/>
      </c>
    </row>
    <row r="249" spans="2:17" x14ac:dyDescent="0.25">
      <c r="B249" s="110">
        <f>DATE(Title!$F$12,$S$12,S22)</f>
        <v>41504</v>
      </c>
      <c r="C249" s="111">
        <f>IF(WEEKDAY(B249)=1,0,IF(WEEKDAY(B249)=4,'Hours Scheduled'!$K$44-1,IF(WEEKDAY(B249)=7,0,'Hours Scheduled'!$K$44)))</f>
        <v>0</v>
      </c>
      <c r="D249" s="17">
        <f t="shared" si="73"/>
        <v>0</v>
      </c>
      <c r="E249" s="127">
        <f t="shared" si="76"/>
        <v>0</v>
      </c>
      <c r="F249" s="111"/>
      <c r="G249" s="130">
        <f>INDEX(August!$C$3:$AH$169,3,MATCH(B249,August!$D$3:$AH$3)+1)+INDEX(August!$C$3:$AH$169,8,MATCH(B249,August!$D$3:$AH$3)+1)+INDEX(August!$C$3:$AH$169,13,MATCH(B249,August!$D$3:$AH$3)+1)+INDEX(August!$C$3:$AH$169,18,MATCH(B249,August!$D$3:$AH$3)+1)+INDEX(August!$C$3:$AH$169,23,MATCH(B249,August!$D$3:$AH$3)+1)+INDEX(August!$C$3:$AH$169,28,MATCH(B249,August!$D$3:$AH$3)+1)+INDEX(August!$C$3:$AH$169,33,MATCH(B249,August!$D$3:$AH$3)+1)+INDEX(August!$C$3:$AH$169,38,MATCH(B249,August!$D$3:$AH$3)+1)+INDEX(August!$C$3:$AH$169,43,MATCH(B249,August!$D$3:$AH$3)+1)+INDEX(August!$C$3:$AH$169,48,MATCH(B249,August!$D$3:$AH$3)+1)+INDEX(August!$C$3:$AH$169,53,MATCH(B249,August!$D$3:$AH$3)+1)+INDEX(August!$C$3:$AH$169,58,MATCH(B249,August!$D$3:$AH$3)+1)+INDEX(August!$C$3:$AH$169,63,MATCH(B249,August!$D$3:$AH$3)+1)+INDEX(August!$C$3:$AH$169,68,MATCH(B249,August!$D$3:$AH$3)+1)+INDEX(August!$C$3:$AH$169,73,MATCH(B249,August!$D$3:$AH$3)+1)+INDEX(August!$C$3:$AH$169,78,MATCH(B249,August!$D$3:$AH$3)+1)+INDEX(August!$C$3:$AH$169,83,MATCH(B249,August!$D$3:$AH$3)+1)+INDEX(August!$C$3:$AH$169,88,MATCH(B249,August!$D$3:$AH$3)+1)+INDEX(August!$C$3:$AH$169,93,MATCH(B249,August!$D$3:$AH$3)+1)+INDEX(August!$C$3:$AH$169,98,MATCH(B249,August!$D$3:$AH$3)+1)+INDEX(August!$C$3:$AH$169,103,MATCH(B249,August!$D$3:$AH$3)+1)+INDEX(August!$C$3:$AH$169,108,MATCH(B249,August!$D$3:$AH$3)+1)+INDEX(August!$C$3:$AH$169,113,MATCH(B249,August!$D$3:$AH$3)+1)+INDEX(August!$C$3:$AH$169,118,MATCH(B249,August!$D$3:$AH$3)+1)+INDEX(August!$C$3:$AH$169,123,MATCH(B249,August!$D$3:$AH$3)+1)+INDEX(August!$C$3:$AH$169,128,MATCH(B249,August!$D$3:$AH$3)+1)+INDEX(August!$C$3:$AH$169,133,MATCH(B249,August!$D$3:$AH$3)+1)+INDEX(August!$C$3:$AH$169,138,MATCH(B249,August!$D$3:$AH$3)+1)+INDEX(August!$C$3:$AH$169,143,MATCH(B249,August!$D$3:$AH$3)+1)+INDEX(August!$C$3:$AH$169,148,MATCH(B249,August!$D$3:$AH$3)+1)-INDEX(August!$B$5:$AH$169,MATCH("Patrick Janssen",August!$B$5:$B$169),MATCH(B249,August!$D$3:$AH$3)+2)-INDEX(August!$B$5:$AH$169,MATCH("Patrick Ziesen",August!$B$5:$B$169),MATCH(B249,August!$D$3:$AH$3)+2)-INDEX(August!$B$5:$AH$169,MATCH("Frido Meijer",August!$B$5:$B$169),MATCH(B249,August!$D$3:$AH$3)+2)</f>
        <v>0</v>
      </c>
      <c r="H249" s="130">
        <f>INDEX(August!$C$3:$AH$169,4,MATCH(B249,August!$D$3:$AH$3)+1)+INDEX(August!$C$3:$AH$169,9,MATCH(B249,August!$D$3:$AH$3)+1)+INDEX(August!$C$3:$AH$169,14,MATCH(B249,August!$D$3:$AH$3)+1)+INDEX(August!$C$3:$AH$169,19,MATCH(B249,August!$D$3:$AH$3)+1)+INDEX(August!$C$3:$AH$169,24,MATCH(B249,August!$D$3:$AH$3)+1)+INDEX(August!$C$3:$AH$169,29,MATCH(B249,August!$D$3:$AH$3)+1)+INDEX(August!$C$3:$AH$169,34,MATCH(B249,August!$D$3:$AH$3)+1)+INDEX(August!$C$3:$AH$169,39,MATCH(B249,August!$D$3:$AH$3)+1)+INDEX(August!$C$3:$AH$169,44,MATCH(B249,August!$D$3:$AH$3)+1)+INDEX(August!$C$3:$AH$169,49,MATCH(B249,August!$D$3:$AH$3)+1)+INDEX(August!$C$3:$AH$169,54,MATCH(B249,August!$D$3:$AH$3)+1)+INDEX(August!$C$3:$AH$169,59,MATCH(B249,August!$D$3:$AH$3)+1)+INDEX(August!$C$3:$AH$169,64,MATCH(B249,August!$D$3:$AH$3)+1)+INDEX(August!$C$3:$AH$169,69,MATCH(B249,August!$D$3:$AH$3)+1)+INDEX(August!$C$3:$AH$169,74,MATCH(B249,August!$D$3:$AH$3)+1)+INDEX(August!$C$3:$AH$169,79,MATCH(B249,August!$D$3:$AH$3)+1)+INDEX(August!$C$3:$AH$169,84,MATCH(B249,August!$D$3:$AH$3)+1)+INDEX(August!$C$3:$AH$169,89,MATCH(B249,August!$D$3:$AH$3)+1)+INDEX(August!$C$3:$AH$169,94,MATCH(B249,August!$D$3:$AH$3)+1)+INDEX(August!$C$3:$AH$169,99,MATCH(B249,August!$D$3:$AH$3)+1)+INDEX(August!$C$3:$AH$169,104,MATCH(B249,August!$D$3:$AH$3)+1)+INDEX(August!$C$3:$AH$169,109,MATCH(B249,August!$D$3:$AH$3)+1)+INDEX(August!$C$3:$AH$169,114,MATCH(B249,August!$D$3:$AH$3)+1)+INDEX(August!$C$3:$AH$169,119,MATCH(B249,August!$D$3:$AH$3)+1)+INDEX(August!$C$3:$AH$169,124,MATCH(B249,August!$D$3:$AH$3)+1)+INDEX(August!$C$3:$AH$169,129,MATCH(B249,August!$D$3:$AH$3)+1)+INDEX(August!$C$3:$AH$169,134,MATCH(B249,August!$D$3:$AH$3)+1)+INDEX(August!$C$3:$AH$169,139,MATCH(B249,August!$D$3:$AH$3)+1)+INDEX(August!$C$3:$AH$169,144,MATCH(B249,August!$D$3:$AH$3)+1)+INDEX(August!$C$3:$AH$169,149,MATCH(B249,August!$D$3:$AH$3)+1)-INDEX(August!$B$5:$AH$169,MATCH("Patrick Janssen",August!$B$5:$B$169)+1,MATCH(B249,August!$D$3:$AH$3)+2)-INDEX(August!$B$5:$AH$169,MATCH("Patrick Ziesen",August!$B$5:$B$169)+1,MATCH(B249,August!$D$3:$AH$3)+2)-INDEX(August!$B$5:$AH$169,MATCH("Frido Meijer",August!$B$5:$B$169)+1,MATCH(B249,August!$D$3:$AH$3)+2)</f>
        <v>0</v>
      </c>
      <c r="I249" s="130">
        <v>0</v>
      </c>
      <c r="J249" s="130">
        <v>0</v>
      </c>
      <c r="L249" s="111"/>
      <c r="M249" s="111"/>
      <c r="N249" s="111">
        <f t="shared" si="72"/>
        <v>0</v>
      </c>
      <c r="P249" s="112" t="str">
        <f t="shared" si="74"/>
        <v/>
      </c>
      <c r="Q249" s="112" t="str">
        <f t="shared" si="75"/>
        <v/>
      </c>
    </row>
    <row r="250" spans="2:17" x14ac:dyDescent="0.25">
      <c r="B250" s="110">
        <f>DATE(Title!$F$12,$S$12,S23)</f>
        <v>41505</v>
      </c>
      <c r="C250" s="111">
        <f>IF(WEEKDAY(B250)=1,0,IF(WEEKDAY(B250)=4,'Hours Scheduled'!$K$44-1,IF(WEEKDAY(B250)=7,0,'Hours Scheduled'!$K$44)))</f>
        <v>21</v>
      </c>
      <c r="D250" s="17">
        <f t="shared" si="73"/>
        <v>157.5</v>
      </c>
      <c r="E250" s="127">
        <f t="shared" si="76"/>
        <v>138</v>
      </c>
      <c r="F250" s="111"/>
      <c r="G250" s="130">
        <f>INDEX(August!$C$3:$AH$169,3,MATCH(B250,August!$D$3:$AH$3)+1)+INDEX(August!$C$3:$AH$169,8,MATCH(B250,August!$D$3:$AH$3)+1)+INDEX(August!$C$3:$AH$169,13,MATCH(B250,August!$D$3:$AH$3)+1)+INDEX(August!$C$3:$AH$169,18,MATCH(B250,August!$D$3:$AH$3)+1)+INDEX(August!$C$3:$AH$169,23,MATCH(B250,August!$D$3:$AH$3)+1)+INDEX(August!$C$3:$AH$169,28,MATCH(B250,August!$D$3:$AH$3)+1)+INDEX(August!$C$3:$AH$169,33,MATCH(B250,August!$D$3:$AH$3)+1)+INDEX(August!$C$3:$AH$169,38,MATCH(B250,August!$D$3:$AH$3)+1)+INDEX(August!$C$3:$AH$169,43,MATCH(B250,August!$D$3:$AH$3)+1)+INDEX(August!$C$3:$AH$169,48,MATCH(B250,August!$D$3:$AH$3)+1)+INDEX(August!$C$3:$AH$169,53,MATCH(B250,August!$D$3:$AH$3)+1)+INDEX(August!$C$3:$AH$169,58,MATCH(B250,August!$D$3:$AH$3)+1)+INDEX(August!$C$3:$AH$169,63,MATCH(B250,August!$D$3:$AH$3)+1)+INDEX(August!$C$3:$AH$169,68,MATCH(B250,August!$D$3:$AH$3)+1)+INDEX(August!$C$3:$AH$169,73,MATCH(B250,August!$D$3:$AH$3)+1)+INDEX(August!$C$3:$AH$169,78,MATCH(B250,August!$D$3:$AH$3)+1)+INDEX(August!$C$3:$AH$169,83,MATCH(B250,August!$D$3:$AH$3)+1)+INDEX(August!$C$3:$AH$169,88,MATCH(B250,August!$D$3:$AH$3)+1)+INDEX(August!$C$3:$AH$169,93,MATCH(B250,August!$D$3:$AH$3)+1)+INDEX(August!$C$3:$AH$169,98,MATCH(B250,August!$D$3:$AH$3)+1)+INDEX(August!$C$3:$AH$169,103,MATCH(B250,August!$D$3:$AH$3)+1)+INDEX(August!$C$3:$AH$169,108,MATCH(B250,August!$D$3:$AH$3)+1)+INDEX(August!$C$3:$AH$169,113,MATCH(B250,August!$D$3:$AH$3)+1)+INDEX(August!$C$3:$AH$169,118,MATCH(B250,August!$D$3:$AH$3)+1)+INDEX(August!$C$3:$AH$169,123,MATCH(B250,August!$D$3:$AH$3)+1)+INDEX(August!$C$3:$AH$169,128,MATCH(B250,August!$D$3:$AH$3)+1)+INDEX(August!$C$3:$AH$169,133,MATCH(B250,August!$D$3:$AH$3)+1)+INDEX(August!$C$3:$AH$169,138,MATCH(B250,August!$D$3:$AH$3)+1)+INDEX(August!$C$3:$AH$169,143,MATCH(B250,August!$D$3:$AH$3)+1)+INDEX(August!$C$3:$AH$169,148,MATCH(B250,August!$D$3:$AH$3)+1)-INDEX(August!$B$5:$AH$169,MATCH("Patrick Janssen",August!$B$5:$B$169),MATCH(B250,August!$D$3:$AH$3)+2)-INDEX(August!$B$5:$AH$169,MATCH("Patrick Ziesen",August!$B$5:$B$169),MATCH(B250,August!$D$3:$AH$3)+2)-INDEX(August!$B$5:$AH$169,MATCH("Frido Meijer",August!$B$5:$B$169),MATCH(B250,August!$D$3:$AH$3)+2)</f>
        <v>30</v>
      </c>
      <c r="H250" s="130">
        <f>INDEX(August!$C$3:$AH$169,4,MATCH(B250,August!$D$3:$AH$3)+1)+INDEX(August!$C$3:$AH$169,9,MATCH(B250,August!$D$3:$AH$3)+1)+INDEX(August!$C$3:$AH$169,14,MATCH(B250,August!$D$3:$AH$3)+1)+INDEX(August!$C$3:$AH$169,19,MATCH(B250,August!$D$3:$AH$3)+1)+INDEX(August!$C$3:$AH$169,24,MATCH(B250,August!$D$3:$AH$3)+1)+INDEX(August!$C$3:$AH$169,29,MATCH(B250,August!$D$3:$AH$3)+1)+INDEX(August!$C$3:$AH$169,34,MATCH(B250,August!$D$3:$AH$3)+1)+INDEX(August!$C$3:$AH$169,39,MATCH(B250,August!$D$3:$AH$3)+1)+INDEX(August!$C$3:$AH$169,44,MATCH(B250,August!$D$3:$AH$3)+1)+INDEX(August!$C$3:$AH$169,49,MATCH(B250,August!$D$3:$AH$3)+1)+INDEX(August!$C$3:$AH$169,54,MATCH(B250,August!$D$3:$AH$3)+1)+INDEX(August!$C$3:$AH$169,59,MATCH(B250,August!$D$3:$AH$3)+1)+INDEX(August!$C$3:$AH$169,64,MATCH(B250,August!$D$3:$AH$3)+1)+INDEX(August!$C$3:$AH$169,69,MATCH(B250,August!$D$3:$AH$3)+1)+INDEX(August!$C$3:$AH$169,74,MATCH(B250,August!$D$3:$AH$3)+1)+INDEX(August!$C$3:$AH$169,79,MATCH(B250,August!$D$3:$AH$3)+1)+INDEX(August!$C$3:$AH$169,84,MATCH(B250,August!$D$3:$AH$3)+1)+INDEX(August!$C$3:$AH$169,89,MATCH(B250,August!$D$3:$AH$3)+1)+INDEX(August!$C$3:$AH$169,94,MATCH(B250,August!$D$3:$AH$3)+1)+INDEX(August!$C$3:$AH$169,99,MATCH(B250,August!$D$3:$AH$3)+1)+INDEX(August!$C$3:$AH$169,104,MATCH(B250,August!$D$3:$AH$3)+1)+INDEX(August!$C$3:$AH$169,109,MATCH(B250,August!$D$3:$AH$3)+1)+INDEX(August!$C$3:$AH$169,114,MATCH(B250,August!$D$3:$AH$3)+1)+INDEX(August!$C$3:$AH$169,119,MATCH(B250,August!$D$3:$AH$3)+1)+INDEX(August!$C$3:$AH$169,124,MATCH(B250,August!$D$3:$AH$3)+1)+INDEX(August!$C$3:$AH$169,129,MATCH(B250,August!$D$3:$AH$3)+1)+INDEX(August!$C$3:$AH$169,134,MATCH(B250,August!$D$3:$AH$3)+1)+INDEX(August!$C$3:$AH$169,139,MATCH(B250,August!$D$3:$AH$3)+1)+INDEX(August!$C$3:$AH$169,144,MATCH(B250,August!$D$3:$AH$3)+1)+INDEX(August!$C$3:$AH$169,149,MATCH(B250,August!$D$3:$AH$3)+1)-INDEX(August!$B$5:$AH$169,MATCH("Patrick Janssen",August!$B$5:$B$169)+1,MATCH(B250,August!$D$3:$AH$3)+2)-INDEX(August!$B$5:$AH$169,MATCH("Patrick Ziesen",August!$B$5:$B$169)+1,MATCH(B250,August!$D$3:$AH$3)+2)-INDEX(August!$B$5:$AH$169,MATCH("Frido Meijer",August!$B$5:$B$169)+1,MATCH(B250,August!$D$3:$AH$3)+2)</f>
        <v>0</v>
      </c>
      <c r="I250" s="130">
        <v>0</v>
      </c>
      <c r="J250" s="130">
        <v>0</v>
      </c>
      <c r="L250" s="111"/>
      <c r="M250" s="111"/>
      <c r="N250" s="111">
        <f t="shared" si="72"/>
        <v>0</v>
      </c>
      <c r="P250" s="112">
        <f t="shared" si="74"/>
        <v>0</v>
      </c>
      <c r="Q250" s="112">
        <f t="shared" si="75"/>
        <v>0</v>
      </c>
    </row>
    <row r="251" spans="2:17" x14ac:dyDescent="0.25">
      <c r="B251" s="110">
        <f>DATE(Title!$F$12,$S$12,S24)</f>
        <v>41506</v>
      </c>
      <c r="C251" s="111">
        <f>IF(WEEKDAY(B251)=1,0,IF(WEEKDAY(B251)=4,'Hours Scheduled'!$K$44-1,IF(WEEKDAY(B251)=7,0,'Hours Scheduled'!$K$44)))</f>
        <v>21</v>
      </c>
      <c r="D251" s="17">
        <f t="shared" si="73"/>
        <v>157.5</v>
      </c>
      <c r="E251" s="127">
        <f t="shared" si="76"/>
        <v>144</v>
      </c>
      <c r="F251" s="111"/>
      <c r="G251" s="130">
        <f>INDEX(August!$C$3:$AH$169,3,MATCH(B251,August!$D$3:$AH$3)+1)+INDEX(August!$C$3:$AH$169,8,MATCH(B251,August!$D$3:$AH$3)+1)+INDEX(August!$C$3:$AH$169,13,MATCH(B251,August!$D$3:$AH$3)+1)+INDEX(August!$C$3:$AH$169,18,MATCH(B251,August!$D$3:$AH$3)+1)+INDEX(August!$C$3:$AH$169,23,MATCH(B251,August!$D$3:$AH$3)+1)+INDEX(August!$C$3:$AH$169,28,MATCH(B251,August!$D$3:$AH$3)+1)+INDEX(August!$C$3:$AH$169,33,MATCH(B251,August!$D$3:$AH$3)+1)+INDEX(August!$C$3:$AH$169,38,MATCH(B251,August!$D$3:$AH$3)+1)+INDEX(August!$C$3:$AH$169,43,MATCH(B251,August!$D$3:$AH$3)+1)+INDEX(August!$C$3:$AH$169,48,MATCH(B251,August!$D$3:$AH$3)+1)+INDEX(August!$C$3:$AH$169,53,MATCH(B251,August!$D$3:$AH$3)+1)+INDEX(August!$C$3:$AH$169,58,MATCH(B251,August!$D$3:$AH$3)+1)+INDEX(August!$C$3:$AH$169,63,MATCH(B251,August!$D$3:$AH$3)+1)+INDEX(August!$C$3:$AH$169,68,MATCH(B251,August!$D$3:$AH$3)+1)+INDEX(August!$C$3:$AH$169,73,MATCH(B251,August!$D$3:$AH$3)+1)+INDEX(August!$C$3:$AH$169,78,MATCH(B251,August!$D$3:$AH$3)+1)+INDEX(August!$C$3:$AH$169,83,MATCH(B251,August!$D$3:$AH$3)+1)+INDEX(August!$C$3:$AH$169,88,MATCH(B251,August!$D$3:$AH$3)+1)+INDEX(August!$C$3:$AH$169,93,MATCH(B251,August!$D$3:$AH$3)+1)+INDEX(August!$C$3:$AH$169,98,MATCH(B251,August!$D$3:$AH$3)+1)+INDEX(August!$C$3:$AH$169,103,MATCH(B251,August!$D$3:$AH$3)+1)+INDEX(August!$C$3:$AH$169,108,MATCH(B251,August!$D$3:$AH$3)+1)+INDEX(August!$C$3:$AH$169,113,MATCH(B251,August!$D$3:$AH$3)+1)+INDEX(August!$C$3:$AH$169,118,MATCH(B251,August!$D$3:$AH$3)+1)+INDEX(August!$C$3:$AH$169,123,MATCH(B251,August!$D$3:$AH$3)+1)+INDEX(August!$C$3:$AH$169,128,MATCH(B251,August!$D$3:$AH$3)+1)+INDEX(August!$C$3:$AH$169,133,MATCH(B251,August!$D$3:$AH$3)+1)+INDEX(August!$C$3:$AH$169,138,MATCH(B251,August!$D$3:$AH$3)+1)+INDEX(August!$C$3:$AH$169,143,MATCH(B251,August!$D$3:$AH$3)+1)+INDEX(August!$C$3:$AH$169,148,MATCH(B251,August!$D$3:$AH$3)+1)-INDEX(August!$B$5:$AH$169,MATCH("Patrick Janssen",August!$B$5:$B$169),MATCH(B251,August!$D$3:$AH$3)+2)-INDEX(August!$B$5:$AH$169,MATCH("Patrick Ziesen",August!$B$5:$B$169),MATCH(B251,August!$D$3:$AH$3)+2)-INDEX(August!$B$5:$AH$169,MATCH("Frido Meijer",August!$B$5:$B$169),MATCH(B251,August!$D$3:$AH$3)+2)</f>
        <v>24</v>
      </c>
      <c r="H251" s="130">
        <f>INDEX(August!$C$3:$AH$169,4,MATCH(B251,August!$D$3:$AH$3)+1)+INDEX(August!$C$3:$AH$169,9,MATCH(B251,August!$D$3:$AH$3)+1)+INDEX(August!$C$3:$AH$169,14,MATCH(B251,August!$D$3:$AH$3)+1)+INDEX(August!$C$3:$AH$169,19,MATCH(B251,August!$D$3:$AH$3)+1)+INDEX(August!$C$3:$AH$169,24,MATCH(B251,August!$D$3:$AH$3)+1)+INDEX(August!$C$3:$AH$169,29,MATCH(B251,August!$D$3:$AH$3)+1)+INDEX(August!$C$3:$AH$169,34,MATCH(B251,August!$D$3:$AH$3)+1)+INDEX(August!$C$3:$AH$169,39,MATCH(B251,August!$D$3:$AH$3)+1)+INDEX(August!$C$3:$AH$169,44,MATCH(B251,August!$D$3:$AH$3)+1)+INDEX(August!$C$3:$AH$169,49,MATCH(B251,August!$D$3:$AH$3)+1)+INDEX(August!$C$3:$AH$169,54,MATCH(B251,August!$D$3:$AH$3)+1)+INDEX(August!$C$3:$AH$169,59,MATCH(B251,August!$D$3:$AH$3)+1)+INDEX(August!$C$3:$AH$169,64,MATCH(B251,August!$D$3:$AH$3)+1)+INDEX(August!$C$3:$AH$169,69,MATCH(B251,August!$D$3:$AH$3)+1)+INDEX(August!$C$3:$AH$169,74,MATCH(B251,August!$D$3:$AH$3)+1)+INDEX(August!$C$3:$AH$169,79,MATCH(B251,August!$D$3:$AH$3)+1)+INDEX(August!$C$3:$AH$169,84,MATCH(B251,August!$D$3:$AH$3)+1)+INDEX(August!$C$3:$AH$169,89,MATCH(B251,August!$D$3:$AH$3)+1)+INDEX(August!$C$3:$AH$169,94,MATCH(B251,August!$D$3:$AH$3)+1)+INDEX(August!$C$3:$AH$169,99,MATCH(B251,August!$D$3:$AH$3)+1)+INDEX(August!$C$3:$AH$169,104,MATCH(B251,August!$D$3:$AH$3)+1)+INDEX(August!$C$3:$AH$169,109,MATCH(B251,August!$D$3:$AH$3)+1)+INDEX(August!$C$3:$AH$169,114,MATCH(B251,August!$D$3:$AH$3)+1)+INDEX(August!$C$3:$AH$169,119,MATCH(B251,August!$D$3:$AH$3)+1)+INDEX(August!$C$3:$AH$169,124,MATCH(B251,August!$D$3:$AH$3)+1)+INDEX(August!$C$3:$AH$169,129,MATCH(B251,August!$D$3:$AH$3)+1)+INDEX(August!$C$3:$AH$169,134,MATCH(B251,August!$D$3:$AH$3)+1)+INDEX(August!$C$3:$AH$169,139,MATCH(B251,August!$D$3:$AH$3)+1)+INDEX(August!$C$3:$AH$169,144,MATCH(B251,August!$D$3:$AH$3)+1)+INDEX(August!$C$3:$AH$169,149,MATCH(B251,August!$D$3:$AH$3)+1)-INDEX(August!$B$5:$AH$169,MATCH("Patrick Janssen",August!$B$5:$B$169)+1,MATCH(B251,August!$D$3:$AH$3)+2)-INDEX(August!$B$5:$AH$169,MATCH("Patrick Ziesen",August!$B$5:$B$169)+1,MATCH(B251,August!$D$3:$AH$3)+2)-INDEX(August!$B$5:$AH$169,MATCH("Frido Meijer",August!$B$5:$B$169)+1,MATCH(B251,August!$D$3:$AH$3)+2)</f>
        <v>0</v>
      </c>
      <c r="I251" s="130">
        <v>0</v>
      </c>
      <c r="J251" s="130">
        <v>0</v>
      </c>
      <c r="L251" s="124"/>
      <c r="M251" s="111"/>
      <c r="N251" s="111">
        <f t="shared" si="72"/>
        <v>0</v>
      </c>
      <c r="P251" s="112">
        <f t="shared" si="74"/>
        <v>0</v>
      </c>
      <c r="Q251" s="112">
        <f t="shared" si="75"/>
        <v>0</v>
      </c>
    </row>
    <row r="252" spans="2:17" x14ac:dyDescent="0.25">
      <c r="B252" s="110">
        <f>DATE(Title!$F$12,$S$12,S25)</f>
        <v>41507</v>
      </c>
      <c r="C252" s="111">
        <f>IF(WEEKDAY(B252)=1,0,IF(WEEKDAY(B252)=4,'Hours Scheduled'!$K$44-1,IF(WEEKDAY(B252)=7,0,'Hours Scheduled'!$K$44)))</f>
        <v>20</v>
      </c>
      <c r="D252" s="17">
        <f t="shared" si="73"/>
        <v>150</v>
      </c>
      <c r="E252" s="127">
        <f t="shared" si="76"/>
        <v>136</v>
      </c>
      <c r="F252" s="111"/>
      <c r="G252" s="130">
        <f>INDEX(August!$C$3:$AH$169,3,MATCH(B252,August!$D$3:$AH$3)+1)+INDEX(August!$C$3:$AH$169,8,MATCH(B252,August!$D$3:$AH$3)+1)+INDEX(August!$C$3:$AH$169,13,MATCH(B252,August!$D$3:$AH$3)+1)+INDEX(August!$C$3:$AH$169,18,MATCH(B252,August!$D$3:$AH$3)+1)+INDEX(August!$C$3:$AH$169,23,MATCH(B252,August!$D$3:$AH$3)+1)+INDEX(August!$C$3:$AH$169,28,MATCH(B252,August!$D$3:$AH$3)+1)+INDEX(August!$C$3:$AH$169,33,MATCH(B252,August!$D$3:$AH$3)+1)+INDEX(August!$C$3:$AH$169,38,MATCH(B252,August!$D$3:$AH$3)+1)+INDEX(August!$C$3:$AH$169,43,MATCH(B252,August!$D$3:$AH$3)+1)+INDEX(August!$C$3:$AH$169,48,MATCH(B252,August!$D$3:$AH$3)+1)+INDEX(August!$C$3:$AH$169,53,MATCH(B252,August!$D$3:$AH$3)+1)+INDEX(August!$C$3:$AH$169,58,MATCH(B252,August!$D$3:$AH$3)+1)+INDEX(August!$C$3:$AH$169,63,MATCH(B252,August!$D$3:$AH$3)+1)+INDEX(August!$C$3:$AH$169,68,MATCH(B252,August!$D$3:$AH$3)+1)+INDEX(August!$C$3:$AH$169,73,MATCH(B252,August!$D$3:$AH$3)+1)+INDEX(August!$C$3:$AH$169,78,MATCH(B252,August!$D$3:$AH$3)+1)+INDEX(August!$C$3:$AH$169,83,MATCH(B252,August!$D$3:$AH$3)+1)+INDEX(August!$C$3:$AH$169,88,MATCH(B252,August!$D$3:$AH$3)+1)+INDEX(August!$C$3:$AH$169,93,MATCH(B252,August!$D$3:$AH$3)+1)+INDEX(August!$C$3:$AH$169,98,MATCH(B252,August!$D$3:$AH$3)+1)+INDEX(August!$C$3:$AH$169,103,MATCH(B252,August!$D$3:$AH$3)+1)+INDEX(August!$C$3:$AH$169,108,MATCH(B252,August!$D$3:$AH$3)+1)+INDEX(August!$C$3:$AH$169,113,MATCH(B252,August!$D$3:$AH$3)+1)+INDEX(August!$C$3:$AH$169,118,MATCH(B252,August!$D$3:$AH$3)+1)+INDEX(August!$C$3:$AH$169,123,MATCH(B252,August!$D$3:$AH$3)+1)+INDEX(August!$C$3:$AH$169,128,MATCH(B252,August!$D$3:$AH$3)+1)+INDEX(August!$C$3:$AH$169,133,MATCH(B252,August!$D$3:$AH$3)+1)+INDEX(August!$C$3:$AH$169,138,MATCH(B252,August!$D$3:$AH$3)+1)+INDEX(August!$C$3:$AH$169,143,MATCH(B252,August!$D$3:$AH$3)+1)+INDEX(August!$C$3:$AH$169,148,MATCH(B252,August!$D$3:$AH$3)+1)-INDEX(August!$B$5:$AH$169,MATCH("Patrick Janssen",August!$B$5:$B$169),MATCH(B252,August!$D$3:$AH$3)+2)-INDEX(August!$B$5:$AH$169,MATCH("Patrick Ziesen",August!$B$5:$B$169),MATCH(B252,August!$D$3:$AH$3)+2)-INDEX(August!$B$5:$AH$169,MATCH("Frido Meijer",August!$B$5:$B$169),MATCH(B252,August!$D$3:$AH$3)+2)</f>
        <v>24</v>
      </c>
      <c r="H252" s="130">
        <f>INDEX(August!$C$3:$AH$169,4,MATCH(B252,August!$D$3:$AH$3)+1)+INDEX(August!$C$3:$AH$169,9,MATCH(B252,August!$D$3:$AH$3)+1)+INDEX(August!$C$3:$AH$169,14,MATCH(B252,August!$D$3:$AH$3)+1)+INDEX(August!$C$3:$AH$169,19,MATCH(B252,August!$D$3:$AH$3)+1)+INDEX(August!$C$3:$AH$169,24,MATCH(B252,August!$D$3:$AH$3)+1)+INDEX(August!$C$3:$AH$169,29,MATCH(B252,August!$D$3:$AH$3)+1)+INDEX(August!$C$3:$AH$169,34,MATCH(B252,August!$D$3:$AH$3)+1)+INDEX(August!$C$3:$AH$169,39,MATCH(B252,August!$D$3:$AH$3)+1)+INDEX(August!$C$3:$AH$169,44,MATCH(B252,August!$D$3:$AH$3)+1)+INDEX(August!$C$3:$AH$169,49,MATCH(B252,August!$D$3:$AH$3)+1)+INDEX(August!$C$3:$AH$169,54,MATCH(B252,August!$D$3:$AH$3)+1)+INDEX(August!$C$3:$AH$169,59,MATCH(B252,August!$D$3:$AH$3)+1)+INDEX(August!$C$3:$AH$169,64,MATCH(B252,August!$D$3:$AH$3)+1)+INDEX(August!$C$3:$AH$169,69,MATCH(B252,August!$D$3:$AH$3)+1)+INDEX(August!$C$3:$AH$169,74,MATCH(B252,August!$D$3:$AH$3)+1)+INDEX(August!$C$3:$AH$169,79,MATCH(B252,August!$D$3:$AH$3)+1)+INDEX(August!$C$3:$AH$169,84,MATCH(B252,August!$D$3:$AH$3)+1)+INDEX(August!$C$3:$AH$169,89,MATCH(B252,August!$D$3:$AH$3)+1)+INDEX(August!$C$3:$AH$169,94,MATCH(B252,August!$D$3:$AH$3)+1)+INDEX(August!$C$3:$AH$169,99,MATCH(B252,August!$D$3:$AH$3)+1)+INDEX(August!$C$3:$AH$169,104,MATCH(B252,August!$D$3:$AH$3)+1)+INDEX(August!$C$3:$AH$169,109,MATCH(B252,August!$D$3:$AH$3)+1)+INDEX(August!$C$3:$AH$169,114,MATCH(B252,August!$D$3:$AH$3)+1)+INDEX(August!$C$3:$AH$169,119,MATCH(B252,August!$D$3:$AH$3)+1)+INDEX(August!$C$3:$AH$169,124,MATCH(B252,August!$D$3:$AH$3)+1)+INDEX(August!$C$3:$AH$169,129,MATCH(B252,August!$D$3:$AH$3)+1)+INDEX(August!$C$3:$AH$169,134,MATCH(B252,August!$D$3:$AH$3)+1)+INDEX(August!$C$3:$AH$169,139,MATCH(B252,August!$D$3:$AH$3)+1)+INDEX(August!$C$3:$AH$169,144,MATCH(B252,August!$D$3:$AH$3)+1)+INDEX(August!$C$3:$AH$169,149,MATCH(B252,August!$D$3:$AH$3)+1)-INDEX(August!$B$5:$AH$169,MATCH("Patrick Janssen",August!$B$5:$B$169)+1,MATCH(B252,August!$D$3:$AH$3)+2)-INDEX(August!$B$5:$AH$169,MATCH("Patrick Ziesen",August!$B$5:$B$169)+1,MATCH(B252,August!$D$3:$AH$3)+2)-INDEX(August!$B$5:$AH$169,MATCH("Frido Meijer",August!$B$5:$B$169)+1,MATCH(B252,August!$D$3:$AH$3)+2)</f>
        <v>0</v>
      </c>
      <c r="I252" s="130">
        <v>0</v>
      </c>
      <c r="J252" s="130">
        <v>0</v>
      </c>
      <c r="L252" s="124"/>
      <c r="M252" s="111"/>
      <c r="N252" s="111">
        <f t="shared" si="72"/>
        <v>0</v>
      </c>
      <c r="P252" s="112">
        <f t="shared" si="74"/>
        <v>0</v>
      </c>
      <c r="Q252" s="112">
        <f t="shared" si="75"/>
        <v>0</v>
      </c>
    </row>
    <row r="253" spans="2:17" x14ac:dyDescent="0.25">
      <c r="B253" s="110">
        <f>DATE(Title!$F$12,$S$12,S26)</f>
        <v>41508</v>
      </c>
      <c r="C253" s="111">
        <f>IF(WEEKDAY(B253)=1,0,IF(WEEKDAY(B253)=4,'Hours Scheduled'!$K$44-1,IF(WEEKDAY(B253)=7,0,'Hours Scheduled'!$K$44)))</f>
        <v>21</v>
      </c>
      <c r="D253" s="17">
        <f t="shared" si="73"/>
        <v>157.5</v>
      </c>
      <c r="E253" s="127">
        <f t="shared" si="76"/>
        <v>144</v>
      </c>
      <c r="F253" s="111"/>
      <c r="G253" s="130">
        <f>INDEX(August!$C$3:$AH$169,3,MATCH(B253,August!$D$3:$AH$3)+1)+INDEX(August!$C$3:$AH$169,8,MATCH(B253,August!$D$3:$AH$3)+1)+INDEX(August!$C$3:$AH$169,13,MATCH(B253,August!$D$3:$AH$3)+1)+INDEX(August!$C$3:$AH$169,18,MATCH(B253,August!$D$3:$AH$3)+1)+INDEX(August!$C$3:$AH$169,23,MATCH(B253,August!$D$3:$AH$3)+1)+INDEX(August!$C$3:$AH$169,28,MATCH(B253,August!$D$3:$AH$3)+1)+INDEX(August!$C$3:$AH$169,33,MATCH(B253,August!$D$3:$AH$3)+1)+INDEX(August!$C$3:$AH$169,38,MATCH(B253,August!$D$3:$AH$3)+1)+INDEX(August!$C$3:$AH$169,43,MATCH(B253,August!$D$3:$AH$3)+1)+INDEX(August!$C$3:$AH$169,48,MATCH(B253,August!$D$3:$AH$3)+1)+INDEX(August!$C$3:$AH$169,53,MATCH(B253,August!$D$3:$AH$3)+1)+INDEX(August!$C$3:$AH$169,58,MATCH(B253,August!$D$3:$AH$3)+1)+INDEX(August!$C$3:$AH$169,63,MATCH(B253,August!$D$3:$AH$3)+1)+INDEX(August!$C$3:$AH$169,68,MATCH(B253,August!$D$3:$AH$3)+1)+INDEX(August!$C$3:$AH$169,73,MATCH(B253,August!$D$3:$AH$3)+1)+INDEX(August!$C$3:$AH$169,78,MATCH(B253,August!$D$3:$AH$3)+1)+INDEX(August!$C$3:$AH$169,83,MATCH(B253,August!$D$3:$AH$3)+1)+INDEX(August!$C$3:$AH$169,88,MATCH(B253,August!$D$3:$AH$3)+1)+INDEX(August!$C$3:$AH$169,93,MATCH(B253,August!$D$3:$AH$3)+1)+INDEX(August!$C$3:$AH$169,98,MATCH(B253,August!$D$3:$AH$3)+1)+INDEX(August!$C$3:$AH$169,103,MATCH(B253,August!$D$3:$AH$3)+1)+INDEX(August!$C$3:$AH$169,108,MATCH(B253,August!$D$3:$AH$3)+1)+INDEX(August!$C$3:$AH$169,113,MATCH(B253,August!$D$3:$AH$3)+1)+INDEX(August!$C$3:$AH$169,118,MATCH(B253,August!$D$3:$AH$3)+1)+INDEX(August!$C$3:$AH$169,123,MATCH(B253,August!$D$3:$AH$3)+1)+INDEX(August!$C$3:$AH$169,128,MATCH(B253,August!$D$3:$AH$3)+1)+INDEX(August!$C$3:$AH$169,133,MATCH(B253,August!$D$3:$AH$3)+1)+INDEX(August!$C$3:$AH$169,138,MATCH(B253,August!$D$3:$AH$3)+1)+INDEX(August!$C$3:$AH$169,143,MATCH(B253,August!$D$3:$AH$3)+1)+INDEX(August!$C$3:$AH$169,148,MATCH(B253,August!$D$3:$AH$3)+1)-INDEX(August!$B$5:$AH$169,MATCH("Patrick Janssen",August!$B$5:$B$169),MATCH(B253,August!$D$3:$AH$3)+2)-INDEX(August!$B$5:$AH$169,MATCH("Patrick Ziesen",August!$B$5:$B$169),MATCH(B253,August!$D$3:$AH$3)+2)-INDEX(August!$B$5:$AH$169,MATCH("Frido Meijer",August!$B$5:$B$169),MATCH(B253,August!$D$3:$AH$3)+2)</f>
        <v>24</v>
      </c>
      <c r="H253" s="130">
        <f>INDEX(August!$C$3:$AH$169,4,MATCH(B253,August!$D$3:$AH$3)+1)+INDEX(August!$C$3:$AH$169,9,MATCH(B253,August!$D$3:$AH$3)+1)+INDEX(August!$C$3:$AH$169,14,MATCH(B253,August!$D$3:$AH$3)+1)+INDEX(August!$C$3:$AH$169,19,MATCH(B253,August!$D$3:$AH$3)+1)+INDEX(August!$C$3:$AH$169,24,MATCH(B253,August!$D$3:$AH$3)+1)+INDEX(August!$C$3:$AH$169,29,MATCH(B253,August!$D$3:$AH$3)+1)+INDEX(August!$C$3:$AH$169,34,MATCH(B253,August!$D$3:$AH$3)+1)+INDEX(August!$C$3:$AH$169,39,MATCH(B253,August!$D$3:$AH$3)+1)+INDEX(August!$C$3:$AH$169,44,MATCH(B253,August!$D$3:$AH$3)+1)+INDEX(August!$C$3:$AH$169,49,MATCH(B253,August!$D$3:$AH$3)+1)+INDEX(August!$C$3:$AH$169,54,MATCH(B253,August!$D$3:$AH$3)+1)+INDEX(August!$C$3:$AH$169,59,MATCH(B253,August!$D$3:$AH$3)+1)+INDEX(August!$C$3:$AH$169,64,MATCH(B253,August!$D$3:$AH$3)+1)+INDEX(August!$C$3:$AH$169,69,MATCH(B253,August!$D$3:$AH$3)+1)+INDEX(August!$C$3:$AH$169,74,MATCH(B253,August!$D$3:$AH$3)+1)+INDEX(August!$C$3:$AH$169,79,MATCH(B253,August!$D$3:$AH$3)+1)+INDEX(August!$C$3:$AH$169,84,MATCH(B253,August!$D$3:$AH$3)+1)+INDEX(August!$C$3:$AH$169,89,MATCH(B253,August!$D$3:$AH$3)+1)+INDEX(August!$C$3:$AH$169,94,MATCH(B253,August!$D$3:$AH$3)+1)+INDEX(August!$C$3:$AH$169,99,MATCH(B253,August!$D$3:$AH$3)+1)+INDEX(August!$C$3:$AH$169,104,MATCH(B253,August!$D$3:$AH$3)+1)+INDEX(August!$C$3:$AH$169,109,MATCH(B253,August!$D$3:$AH$3)+1)+INDEX(August!$C$3:$AH$169,114,MATCH(B253,August!$D$3:$AH$3)+1)+INDEX(August!$C$3:$AH$169,119,MATCH(B253,August!$D$3:$AH$3)+1)+INDEX(August!$C$3:$AH$169,124,MATCH(B253,August!$D$3:$AH$3)+1)+INDEX(August!$C$3:$AH$169,129,MATCH(B253,August!$D$3:$AH$3)+1)+INDEX(August!$C$3:$AH$169,134,MATCH(B253,August!$D$3:$AH$3)+1)+INDEX(August!$C$3:$AH$169,139,MATCH(B253,August!$D$3:$AH$3)+1)+INDEX(August!$C$3:$AH$169,144,MATCH(B253,August!$D$3:$AH$3)+1)+INDEX(August!$C$3:$AH$169,149,MATCH(B253,August!$D$3:$AH$3)+1)-INDEX(August!$B$5:$AH$169,MATCH("Patrick Janssen",August!$B$5:$B$169)+1,MATCH(B253,August!$D$3:$AH$3)+2)-INDEX(August!$B$5:$AH$169,MATCH("Patrick Ziesen",August!$B$5:$B$169)+1,MATCH(B253,August!$D$3:$AH$3)+2)-INDEX(August!$B$5:$AH$169,MATCH("Frido Meijer",August!$B$5:$B$169)+1,MATCH(B253,August!$D$3:$AH$3)+2)</f>
        <v>0</v>
      </c>
      <c r="I253" s="130">
        <v>0</v>
      </c>
      <c r="J253" s="130">
        <v>0</v>
      </c>
      <c r="L253" s="124"/>
      <c r="M253" s="111"/>
      <c r="N253" s="111">
        <f t="shared" si="72"/>
        <v>0</v>
      </c>
      <c r="P253" s="112">
        <f t="shared" si="74"/>
        <v>0</v>
      </c>
      <c r="Q253" s="112">
        <f t="shared" si="75"/>
        <v>0</v>
      </c>
    </row>
    <row r="254" spans="2:17" x14ac:dyDescent="0.25">
      <c r="B254" s="110">
        <f>DATE(Title!$F$12,$S$12,S27)</f>
        <v>41509</v>
      </c>
      <c r="C254" s="111">
        <f>IF(WEEKDAY(B254)=1,0,IF(WEEKDAY(B254)=4,'Hours Scheduled'!$K$44-1,IF(WEEKDAY(B254)=7,0,'Hours Scheduled'!$K$44)))</f>
        <v>21</v>
      </c>
      <c r="D254" s="17">
        <f t="shared" si="73"/>
        <v>157.5</v>
      </c>
      <c r="E254" s="127">
        <f t="shared" si="76"/>
        <v>144</v>
      </c>
      <c r="F254" s="111"/>
      <c r="G254" s="130">
        <f>INDEX(August!$C$3:$AH$169,3,MATCH(B254,August!$D$3:$AH$3)+1)+INDEX(August!$C$3:$AH$169,8,MATCH(B254,August!$D$3:$AH$3)+1)+INDEX(August!$C$3:$AH$169,13,MATCH(B254,August!$D$3:$AH$3)+1)+INDEX(August!$C$3:$AH$169,18,MATCH(B254,August!$D$3:$AH$3)+1)+INDEX(August!$C$3:$AH$169,23,MATCH(B254,August!$D$3:$AH$3)+1)+INDEX(August!$C$3:$AH$169,28,MATCH(B254,August!$D$3:$AH$3)+1)+INDEX(August!$C$3:$AH$169,33,MATCH(B254,August!$D$3:$AH$3)+1)+INDEX(August!$C$3:$AH$169,38,MATCH(B254,August!$D$3:$AH$3)+1)+INDEX(August!$C$3:$AH$169,43,MATCH(B254,August!$D$3:$AH$3)+1)+INDEX(August!$C$3:$AH$169,48,MATCH(B254,August!$D$3:$AH$3)+1)+INDEX(August!$C$3:$AH$169,53,MATCH(B254,August!$D$3:$AH$3)+1)+INDEX(August!$C$3:$AH$169,58,MATCH(B254,August!$D$3:$AH$3)+1)+INDEX(August!$C$3:$AH$169,63,MATCH(B254,August!$D$3:$AH$3)+1)+INDEX(August!$C$3:$AH$169,68,MATCH(B254,August!$D$3:$AH$3)+1)+INDEX(August!$C$3:$AH$169,73,MATCH(B254,August!$D$3:$AH$3)+1)+INDEX(August!$C$3:$AH$169,78,MATCH(B254,August!$D$3:$AH$3)+1)+INDEX(August!$C$3:$AH$169,83,MATCH(B254,August!$D$3:$AH$3)+1)+INDEX(August!$C$3:$AH$169,88,MATCH(B254,August!$D$3:$AH$3)+1)+INDEX(August!$C$3:$AH$169,93,MATCH(B254,August!$D$3:$AH$3)+1)+INDEX(August!$C$3:$AH$169,98,MATCH(B254,August!$D$3:$AH$3)+1)+INDEX(August!$C$3:$AH$169,103,MATCH(B254,August!$D$3:$AH$3)+1)+INDEX(August!$C$3:$AH$169,108,MATCH(B254,August!$D$3:$AH$3)+1)+INDEX(August!$C$3:$AH$169,113,MATCH(B254,August!$D$3:$AH$3)+1)+INDEX(August!$C$3:$AH$169,118,MATCH(B254,August!$D$3:$AH$3)+1)+INDEX(August!$C$3:$AH$169,123,MATCH(B254,August!$D$3:$AH$3)+1)+INDEX(August!$C$3:$AH$169,128,MATCH(B254,August!$D$3:$AH$3)+1)+INDEX(August!$C$3:$AH$169,133,MATCH(B254,August!$D$3:$AH$3)+1)+INDEX(August!$C$3:$AH$169,138,MATCH(B254,August!$D$3:$AH$3)+1)+INDEX(August!$C$3:$AH$169,143,MATCH(B254,August!$D$3:$AH$3)+1)+INDEX(August!$C$3:$AH$169,148,MATCH(B254,August!$D$3:$AH$3)+1)-INDEX(August!$B$5:$AH$169,MATCH("Patrick Janssen",August!$B$5:$B$169),MATCH(B254,August!$D$3:$AH$3)+2)-INDEX(August!$B$5:$AH$169,MATCH("Patrick Ziesen",August!$B$5:$B$169),MATCH(B254,August!$D$3:$AH$3)+2)-INDEX(August!$B$5:$AH$169,MATCH("Frido Meijer",August!$B$5:$B$169),MATCH(B254,August!$D$3:$AH$3)+2)</f>
        <v>24</v>
      </c>
      <c r="H254" s="130">
        <f>INDEX(August!$C$3:$AH$169,4,MATCH(B254,August!$D$3:$AH$3)+1)+INDEX(August!$C$3:$AH$169,9,MATCH(B254,August!$D$3:$AH$3)+1)+INDEX(August!$C$3:$AH$169,14,MATCH(B254,August!$D$3:$AH$3)+1)+INDEX(August!$C$3:$AH$169,19,MATCH(B254,August!$D$3:$AH$3)+1)+INDEX(August!$C$3:$AH$169,24,MATCH(B254,August!$D$3:$AH$3)+1)+INDEX(August!$C$3:$AH$169,29,MATCH(B254,August!$D$3:$AH$3)+1)+INDEX(August!$C$3:$AH$169,34,MATCH(B254,August!$D$3:$AH$3)+1)+INDEX(August!$C$3:$AH$169,39,MATCH(B254,August!$D$3:$AH$3)+1)+INDEX(August!$C$3:$AH$169,44,MATCH(B254,August!$D$3:$AH$3)+1)+INDEX(August!$C$3:$AH$169,49,MATCH(B254,August!$D$3:$AH$3)+1)+INDEX(August!$C$3:$AH$169,54,MATCH(B254,August!$D$3:$AH$3)+1)+INDEX(August!$C$3:$AH$169,59,MATCH(B254,August!$D$3:$AH$3)+1)+INDEX(August!$C$3:$AH$169,64,MATCH(B254,August!$D$3:$AH$3)+1)+INDEX(August!$C$3:$AH$169,69,MATCH(B254,August!$D$3:$AH$3)+1)+INDEX(August!$C$3:$AH$169,74,MATCH(B254,August!$D$3:$AH$3)+1)+INDEX(August!$C$3:$AH$169,79,MATCH(B254,August!$D$3:$AH$3)+1)+INDEX(August!$C$3:$AH$169,84,MATCH(B254,August!$D$3:$AH$3)+1)+INDEX(August!$C$3:$AH$169,89,MATCH(B254,August!$D$3:$AH$3)+1)+INDEX(August!$C$3:$AH$169,94,MATCH(B254,August!$D$3:$AH$3)+1)+INDEX(August!$C$3:$AH$169,99,MATCH(B254,August!$D$3:$AH$3)+1)+INDEX(August!$C$3:$AH$169,104,MATCH(B254,August!$D$3:$AH$3)+1)+INDEX(August!$C$3:$AH$169,109,MATCH(B254,August!$D$3:$AH$3)+1)+INDEX(August!$C$3:$AH$169,114,MATCH(B254,August!$D$3:$AH$3)+1)+INDEX(August!$C$3:$AH$169,119,MATCH(B254,August!$D$3:$AH$3)+1)+INDEX(August!$C$3:$AH$169,124,MATCH(B254,August!$D$3:$AH$3)+1)+INDEX(August!$C$3:$AH$169,129,MATCH(B254,August!$D$3:$AH$3)+1)+INDEX(August!$C$3:$AH$169,134,MATCH(B254,August!$D$3:$AH$3)+1)+INDEX(August!$C$3:$AH$169,139,MATCH(B254,August!$D$3:$AH$3)+1)+INDEX(August!$C$3:$AH$169,144,MATCH(B254,August!$D$3:$AH$3)+1)+INDEX(August!$C$3:$AH$169,149,MATCH(B254,August!$D$3:$AH$3)+1)-INDEX(August!$B$5:$AH$169,MATCH("Patrick Janssen",August!$B$5:$B$169)+1,MATCH(B254,August!$D$3:$AH$3)+2)-INDEX(August!$B$5:$AH$169,MATCH("Patrick Ziesen",August!$B$5:$B$169)+1,MATCH(B254,August!$D$3:$AH$3)+2)-INDEX(August!$B$5:$AH$169,MATCH("Frido Meijer",August!$B$5:$B$169)+1,MATCH(B254,August!$D$3:$AH$3)+2)</f>
        <v>0</v>
      </c>
      <c r="I254" s="130">
        <v>0</v>
      </c>
      <c r="J254" s="130">
        <v>0</v>
      </c>
      <c r="L254" s="124"/>
      <c r="M254" s="111"/>
      <c r="N254" s="111">
        <f t="shared" si="72"/>
        <v>0</v>
      </c>
      <c r="P254" s="112">
        <f t="shared" si="74"/>
        <v>0</v>
      </c>
      <c r="Q254" s="112">
        <f t="shared" si="75"/>
        <v>0</v>
      </c>
    </row>
    <row r="255" spans="2:17" x14ac:dyDescent="0.25">
      <c r="B255" s="110">
        <f>DATE(Title!$F$12,$S$12,S28)</f>
        <v>41510</v>
      </c>
      <c r="C255" s="111">
        <f>IF(WEEKDAY(B255)=1,0,IF(WEEKDAY(B255)=4,'Hours Scheduled'!$K$44-1,IF(WEEKDAY(B255)=7,0,'Hours Scheduled'!$K$44)))</f>
        <v>0</v>
      </c>
      <c r="D255" s="17">
        <f t="shared" si="73"/>
        <v>0</v>
      </c>
      <c r="E255" s="127">
        <f t="shared" si="76"/>
        <v>0</v>
      </c>
      <c r="F255" s="111"/>
      <c r="G255" s="130">
        <f>INDEX(August!$C$3:$AH$169,3,MATCH(B255,August!$D$3:$AH$3)+1)+INDEX(August!$C$3:$AH$169,8,MATCH(B255,August!$D$3:$AH$3)+1)+INDEX(August!$C$3:$AH$169,13,MATCH(B255,August!$D$3:$AH$3)+1)+INDEX(August!$C$3:$AH$169,18,MATCH(B255,August!$D$3:$AH$3)+1)+INDEX(August!$C$3:$AH$169,23,MATCH(B255,August!$D$3:$AH$3)+1)+INDEX(August!$C$3:$AH$169,28,MATCH(B255,August!$D$3:$AH$3)+1)+INDEX(August!$C$3:$AH$169,33,MATCH(B255,August!$D$3:$AH$3)+1)+INDEX(August!$C$3:$AH$169,38,MATCH(B255,August!$D$3:$AH$3)+1)+INDEX(August!$C$3:$AH$169,43,MATCH(B255,August!$D$3:$AH$3)+1)+INDEX(August!$C$3:$AH$169,48,MATCH(B255,August!$D$3:$AH$3)+1)+INDEX(August!$C$3:$AH$169,53,MATCH(B255,August!$D$3:$AH$3)+1)+INDEX(August!$C$3:$AH$169,58,MATCH(B255,August!$D$3:$AH$3)+1)+INDEX(August!$C$3:$AH$169,63,MATCH(B255,August!$D$3:$AH$3)+1)+INDEX(August!$C$3:$AH$169,68,MATCH(B255,August!$D$3:$AH$3)+1)+INDEX(August!$C$3:$AH$169,73,MATCH(B255,August!$D$3:$AH$3)+1)+INDEX(August!$C$3:$AH$169,78,MATCH(B255,August!$D$3:$AH$3)+1)+INDEX(August!$C$3:$AH$169,83,MATCH(B255,August!$D$3:$AH$3)+1)+INDEX(August!$C$3:$AH$169,88,MATCH(B255,August!$D$3:$AH$3)+1)+INDEX(August!$C$3:$AH$169,93,MATCH(B255,August!$D$3:$AH$3)+1)+INDEX(August!$C$3:$AH$169,98,MATCH(B255,August!$D$3:$AH$3)+1)+INDEX(August!$C$3:$AH$169,103,MATCH(B255,August!$D$3:$AH$3)+1)+INDEX(August!$C$3:$AH$169,108,MATCH(B255,August!$D$3:$AH$3)+1)+INDEX(August!$C$3:$AH$169,113,MATCH(B255,August!$D$3:$AH$3)+1)+INDEX(August!$C$3:$AH$169,118,MATCH(B255,August!$D$3:$AH$3)+1)+INDEX(August!$C$3:$AH$169,123,MATCH(B255,August!$D$3:$AH$3)+1)+INDEX(August!$C$3:$AH$169,128,MATCH(B255,August!$D$3:$AH$3)+1)+INDEX(August!$C$3:$AH$169,133,MATCH(B255,August!$D$3:$AH$3)+1)+INDEX(August!$C$3:$AH$169,138,MATCH(B255,August!$D$3:$AH$3)+1)+INDEX(August!$C$3:$AH$169,143,MATCH(B255,August!$D$3:$AH$3)+1)+INDEX(August!$C$3:$AH$169,148,MATCH(B255,August!$D$3:$AH$3)+1)-INDEX(August!$B$5:$AH$169,MATCH("Patrick Janssen",August!$B$5:$B$169),MATCH(B255,August!$D$3:$AH$3)+2)-INDEX(August!$B$5:$AH$169,MATCH("Patrick Ziesen",August!$B$5:$B$169),MATCH(B255,August!$D$3:$AH$3)+2)-INDEX(August!$B$5:$AH$169,MATCH("Frido Meijer",August!$B$5:$B$169),MATCH(B255,August!$D$3:$AH$3)+2)</f>
        <v>0</v>
      </c>
      <c r="H255" s="130">
        <f>INDEX(August!$C$3:$AH$169,4,MATCH(B255,August!$D$3:$AH$3)+1)+INDEX(August!$C$3:$AH$169,9,MATCH(B255,August!$D$3:$AH$3)+1)+INDEX(August!$C$3:$AH$169,14,MATCH(B255,August!$D$3:$AH$3)+1)+INDEX(August!$C$3:$AH$169,19,MATCH(B255,August!$D$3:$AH$3)+1)+INDEX(August!$C$3:$AH$169,24,MATCH(B255,August!$D$3:$AH$3)+1)+INDEX(August!$C$3:$AH$169,29,MATCH(B255,August!$D$3:$AH$3)+1)+INDEX(August!$C$3:$AH$169,34,MATCH(B255,August!$D$3:$AH$3)+1)+INDEX(August!$C$3:$AH$169,39,MATCH(B255,August!$D$3:$AH$3)+1)+INDEX(August!$C$3:$AH$169,44,MATCH(B255,August!$D$3:$AH$3)+1)+INDEX(August!$C$3:$AH$169,49,MATCH(B255,August!$D$3:$AH$3)+1)+INDEX(August!$C$3:$AH$169,54,MATCH(B255,August!$D$3:$AH$3)+1)+INDEX(August!$C$3:$AH$169,59,MATCH(B255,August!$D$3:$AH$3)+1)+INDEX(August!$C$3:$AH$169,64,MATCH(B255,August!$D$3:$AH$3)+1)+INDEX(August!$C$3:$AH$169,69,MATCH(B255,August!$D$3:$AH$3)+1)+INDEX(August!$C$3:$AH$169,74,MATCH(B255,August!$D$3:$AH$3)+1)+INDEX(August!$C$3:$AH$169,79,MATCH(B255,August!$D$3:$AH$3)+1)+INDEX(August!$C$3:$AH$169,84,MATCH(B255,August!$D$3:$AH$3)+1)+INDEX(August!$C$3:$AH$169,89,MATCH(B255,August!$D$3:$AH$3)+1)+INDEX(August!$C$3:$AH$169,94,MATCH(B255,August!$D$3:$AH$3)+1)+INDEX(August!$C$3:$AH$169,99,MATCH(B255,August!$D$3:$AH$3)+1)+INDEX(August!$C$3:$AH$169,104,MATCH(B255,August!$D$3:$AH$3)+1)+INDEX(August!$C$3:$AH$169,109,MATCH(B255,August!$D$3:$AH$3)+1)+INDEX(August!$C$3:$AH$169,114,MATCH(B255,August!$D$3:$AH$3)+1)+INDEX(August!$C$3:$AH$169,119,MATCH(B255,August!$D$3:$AH$3)+1)+INDEX(August!$C$3:$AH$169,124,MATCH(B255,August!$D$3:$AH$3)+1)+INDEX(August!$C$3:$AH$169,129,MATCH(B255,August!$D$3:$AH$3)+1)+INDEX(August!$C$3:$AH$169,134,MATCH(B255,August!$D$3:$AH$3)+1)+INDEX(August!$C$3:$AH$169,139,MATCH(B255,August!$D$3:$AH$3)+1)+INDEX(August!$C$3:$AH$169,144,MATCH(B255,August!$D$3:$AH$3)+1)+INDEX(August!$C$3:$AH$169,149,MATCH(B255,August!$D$3:$AH$3)+1)-INDEX(August!$B$5:$AH$169,MATCH("Patrick Janssen",August!$B$5:$B$169)+1,MATCH(B255,August!$D$3:$AH$3)+2)-INDEX(August!$B$5:$AH$169,MATCH("Patrick Ziesen",August!$B$5:$B$169)+1,MATCH(B255,August!$D$3:$AH$3)+2)-INDEX(August!$B$5:$AH$169,MATCH("Frido Meijer",August!$B$5:$B$169)+1,MATCH(B255,August!$D$3:$AH$3)+2)</f>
        <v>0</v>
      </c>
      <c r="I255" s="130">
        <v>0</v>
      </c>
      <c r="J255" s="130">
        <v>0</v>
      </c>
      <c r="L255" s="124"/>
      <c r="M255" s="111"/>
      <c r="N255" s="111">
        <f t="shared" si="72"/>
        <v>0</v>
      </c>
      <c r="P255" s="112" t="str">
        <f t="shared" si="74"/>
        <v/>
      </c>
      <c r="Q255" s="112" t="str">
        <f t="shared" si="75"/>
        <v/>
      </c>
    </row>
    <row r="256" spans="2:17" x14ac:dyDescent="0.25">
      <c r="B256" s="110">
        <f>DATE(Title!$F$12,$S$12,S29)</f>
        <v>41511</v>
      </c>
      <c r="C256" s="111">
        <f>IF(WEEKDAY(B256)=1,0,IF(WEEKDAY(B256)=4,'Hours Scheduled'!$K$44-1,IF(WEEKDAY(B256)=7,0,'Hours Scheduled'!$K$44)))</f>
        <v>0</v>
      </c>
      <c r="D256" s="17">
        <f t="shared" si="73"/>
        <v>0</v>
      </c>
      <c r="E256" s="127">
        <f t="shared" si="76"/>
        <v>0</v>
      </c>
      <c r="F256" s="111"/>
      <c r="G256" s="130">
        <f>INDEX(August!$C$3:$AH$169,3,MATCH(B256,August!$D$3:$AH$3)+1)+INDEX(August!$C$3:$AH$169,8,MATCH(B256,August!$D$3:$AH$3)+1)+INDEX(August!$C$3:$AH$169,13,MATCH(B256,August!$D$3:$AH$3)+1)+INDEX(August!$C$3:$AH$169,18,MATCH(B256,August!$D$3:$AH$3)+1)+INDEX(August!$C$3:$AH$169,23,MATCH(B256,August!$D$3:$AH$3)+1)+INDEX(August!$C$3:$AH$169,28,MATCH(B256,August!$D$3:$AH$3)+1)+INDEX(August!$C$3:$AH$169,33,MATCH(B256,August!$D$3:$AH$3)+1)+INDEX(August!$C$3:$AH$169,38,MATCH(B256,August!$D$3:$AH$3)+1)+INDEX(August!$C$3:$AH$169,43,MATCH(B256,August!$D$3:$AH$3)+1)+INDEX(August!$C$3:$AH$169,48,MATCH(B256,August!$D$3:$AH$3)+1)+INDEX(August!$C$3:$AH$169,53,MATCH(B256,August!$D$3:$AH$3)+1)+INDEX(August!$C$3:$AH$169,58,MATCH(B256,August!$D$3:$AH$3)+1)+INDEX(August!$C$3:$AH$169,63,MATCH(B256,August!$D$3:$AH$3)+1)+INDEX(August!$C$3:$AH$169,68,MATCH(B256,August!$D$3:$AH$3)+1)+INDEX(August!$C$3:$AH$169,73,MATCH(B256,August!$D$3:$AH$3)+1)+INDEX(August!$C$3:$AH$169,78,MATCH(B256,August!$D$3:$AH$3)+1)+INDEX(August!$C$3:$AH$169,83,MATCH(B256,August!$D$3:$AH$3)+1)+INDEX(August!$C$3:$AH$169,88,MATCH(B256,August!$D$3:$AH$3)+1)+INDEX(August!$C$3:$AH$169,93,MATCH(B256,August!$D$3:$AH$3)+1)+INDEX(August!$C$3:$AH$169,98,MATCH(B256,August!$D$3:$AH$3)+1)+INDEX(August!$C$3:$AH$169,103,MATCH(B256,August!$D$3:$AH$3)+1)+INDEX(August!$C$3:$AH$169,108,MATCH(B256,August!$D$3:$AH$3)+1)+INDEX(August!$C$3:$AH$169,113,MATCH(B256,August!$D$3:$AH$3)+1)+INDEX(August!$C$3:$AH$169,118,MATCH(B256,August!$D$3:$AH$3)+1)+INDEX(August!$C$3:$AH$169,123,MATCH(B256,August!$D$3:$AH$3)+1)+INDEX(August!$C$3:$AH$169,128,MATCH(B256,August!$D$3:$AH$3)+1)+INDEX(August!$C$3:$AH$169,133,MATCH(B256,August!$D$3:$AH$3)+1)+INDEX(August!$C$3:$AH$169,138,MATCH(B256,August!$D$3:$AH$3)+1)+INDEX(August!$C$3:$AH$169,143,MATCH(B256,August!$D$3:$AH$3)+1)+INDEX(August!$C$3:$AH$169,148,MATCH(B256,August!$D$3:$AH$3)+1)-INDEX(August!$B$5:$AH$169,MATCH("Patrick Janssen",August!$B$5:$B$169),MATCH(B256,August!$D$3:$AH$3)+2)-INDEX(August!$B$5:$AH$169,MATCH("Patrick Ziesen",August!$B$5:$B$169),MATCH(B256,August!$D$3:$AH$3)+2)-INDEX(August!$B$5:$AH$169,MATCH("Frido Meijer",August!$B$5:$B$169),MATCH(B256,August!$D$3:$AH$3)+2)</f>
        <v>0</v>
      </c>
      <c r="H256" s="130">
        <f>INDEX(August!$C$3:$AH$169,4,MATCH(B256,August!$D$3:$AH$3)+1)+INDEX(August!$C$3:$AH$169,9,MATCH(B256,August!$D$3:$AH$3)+1)+INDEX(August!$C$3:$AH$169,14,MATCH(B256,August!$D$3:$AH$3)+1)+INDEX(August!$C$3:$AH$169,19,MATCH(B256,August!$D$3:$AH$3)+1)+INDEX(August!$C$3:$AH$169,24,MATCH(B256,August!$D$3:$AH$3)+1)+INDEX(August!$C$3:$AH$169,29,MATCH(B256,August!$D$3:$AH$3)+1)+INDEX(August!$C$3:$AH$169,34,MATCH(B256,August!$D$3:$AH$3)+1)+INDEX(August!$C$3:$AH$169,39,MATCH(B256,August!$D$3:$AH$3)+1)+INDEX(August!$C$3:$AH$169,44,MATCH(B256,August!$D$3:$AH$3)+1)+INDEX(August!$C$3:$AH$169,49,MATCH(B256,August!$D$3:$AH$3)+1)+INDEX(August!$C$3:$AH$169,54,MATCH(B256,August!$D$3:$AH$3)+1)+INDEX(August!$C$3:$AH$169,59,MATCH(B256,August!$D$3:$AH$3)+1)+INDEX(August!$C$3:$AH$169,64,MATCH(B256,August!$D$3:$AH$3)+1)+INDEX(August!$C$3:$AH$169,69,MATCH(B256,August!$D$3:$AH$3)+1)+INDEX(August!$C$3:$AH$169,74,MATCH(B256,August!$D$3:$AH$3)+1)+INDEX(August!$C$3:$AH$169,79,MATCH(B256,August!$D$3:$AH$3)+1)+INDEX(August!$C$3:$AH$169,84,MATCH(B256,August!$D$3:$AH$3)+1)+INDEX(August!$C$3:$AH$169,89,MATCH(B256,August!$D$3:$AH$3)+1)+INDEX(August!$C$3:$AH$169,94,MATCH(B256,August!$D$3:$AH$3)+1)+INDEX(August!$C$3:$AH$169,99,MATCH(B256,August!$D$3:$AH$3)+1)+INDEX(August!$C$3:$AH$169,104,MATCH(B256,August!$D$3:$AH$3)+1)+INDEX(August!$C$3:$AH$169,109,MATCH(B256,August!$D$3:$AH$3)+1)+INDEX(August!$C$3:$AH$169,114,MATCH(B256,August!$D$3:$AH$3)+1)+INDEX(August!$C$3:$AH$169,119,MATCH(B256,August!$D$3:$AH$3)+1)+INDEX(August!$C$3:$AH$169,124,MATCH(B256,August!$D$3:$AH$3)+1)+INDEX(August!$C$3:$AH$169,129,MATCH(B256,August!$D$3:$AH$3)+1)+INDEX(August!$C$3:$AH$169,134,MATCH(B256,August!$D$3:$AH$3)+1)+INDEX(August!$C$3:$AH$169,139,MATCH(B256,August!$D$3:$AH$3)+1)+INDEX(August!$C$3:$AH$169,144,MATCH(B256,August!$D$3:$AH$3)+1)+INDEX(August!$C$3:$AH$169,149,MATCH(B256,August!$D$3:$AH$3)+1)-INDEX(August!$B$5:$AH$169,MATCH("Patrick Janssen",August!$B$5:$B$169)+1,MATCH(B256,August!$D$3:$AH$3)+2)-INDEX(August!$B$5:$AH$169,MATCH("Patrick Ziesen",August!$B$5:$B$169)+1,MATCH(B256,August!$D$3:$AH$3)+2)-INDEX(August!$B$5:$AH$169,MATCH("Frido Meijer",August!$B$5:$B$169)+1,MATCH(B256,August!$D$3:$AH$3)+2)</f>
        <v>0</v>
      </c>
      <c r="I256" s="130">
        <v>0</v>
      </c>
      <c r="J256" s="130">
        <v>0</v>
      </c>
      <c r="L256" s="124"/>
      <c r="M256" s="111"/>
      <c r="N256" s="111">
        <f t="shared" si="72"/>
        <v>0</v>
      </c>
      <c r="P256" s="112" t="str">
        <f t="shared" si="74"/>
        <v/>
      </c>
      <c r="Q256" s="112" t="str">
        <f t="shared" si="75"/>
        <v/>
      </c>
    </row>
    <row r="257" spans="2:17" x14ac:dyDescent="0.25">
      <c r="B257" s="110">
        <f>DATE(Title!$F$12,$S$12,S30)</f>
        <v>41512</v>
      </c>
      <c r="C257" s="111">
        <f>IF(WEEKDAY(B257)=1,0,IF(WEEKDAY(B257)=4,'Hours Scheduled'!$K$44-1,IF(WEEKDAY(B257)=7,0,'Hours Scheduled'!$K$44)))</f>
        <v>21</v>
      </c>
      <c r="D257" s="17">
        <f t="shared" si="73"/>
        <v>157.5</v>
      </c>
      <c r="E257" s="127">
        <f t="shared" si="76"/>
        <v>144</v>
      </c>
      <c r="F257" s="111"/>
      <c r="G257" s="130">
        <f>INDEX(August!$C$3:$AH$169,3,MATCH(B257,August!$D$3:$AH$3)+1)+INDEX(August!$C$3:$AH$169,8,MATCH(B257,August!$D$3:$AH$3)+1)+INDEX(August!$C$3:$AH$169,13,MATCH(B257,August!$D$3:$AH$3)+1)+INDEX(August!$C$3:$AH$169,18,MATCH(B257,August!$D$3:$AH$3)+1)+INDEX(August!$C$3:$AH$169,23,MATCH(B257,August!$D$3:$AH$3)+1)+INDEX(August!$C$3:$AH$169,28,MATCH(B257,August!$D$3:$AH$3)+1)+INDEX(August!$C$3:$AH$169,33,MATCH(B257,August!$D$3:$AH$3)+1)+INDEX(August!$C$3:$AH$169,38,MATCH(B257,August!$D$3:$AH$3)+1)+INDEX(August!$C$3:$AH$169,43,MATCH(B257,August!$D$3:$AH$3)+1)+INDEX(August!$C$3:$AH$169,48,MATCH(B257,August!$D$3:$AH$3)+1)+INDEX(August!$C$3:$AH$169,53,MATCH(B257,August!$D$3:$AH$3)+1)+INDEX(August!$C$3:$AH$169,58,MATCH(B257,August!$D$3:$AH$3)+1)+INDEX(August!$C$3:$AH$169,63,MATCH(B257,August!$D$3:$AH$3)+1)+INDEX(August!$C$3:$AH$169,68,MATCH(B257,August!$D$3:$AH$3)+1)+INDEX(August!$C$3:$AH$169,73,MATCH(B257,August!$D$3:$AH$3)+1)+INDEX(August!$C$3:$AH$169,78,MATCH(B257,August!$D$3:$AH$3)+1)+INDEX(August!$C$3:$AH$169,83,MATCH(B257,August!$D$3:$AH$3)+1)+INDEX(August!$C$3:$AH$169,88,MATCH(B257,August!$D$3:$AH$3)+1)+INDEX(August!$C$3:$AH$169,93,MATCH(B257,August!$D$3:$AH$3)+1)+INDEX(August!$C$3:$AH$169,98,MATCH(B257,August!$D$3:$AH$3)+1)+INDEX(August!$C$3:$AH$169,103,MATCH(B257,August!$D$3:$AH$3)+1)+INDEX(August!$C$3:$AH$169,108,MATCH(B257,August!$D$3:$AH$3)+1)+INDEX(August!$C$3:$AH$169,113,MATCH(B257,August!$D$3:$AH$3)+1)+INDEX(August!$C$3:$AH$169,118,MATCH(B257,August!$D$3:$AH$3)+1)+INDEX(August!$C$3:$AH$169,123,MATCH(B257,August!$D$3:$AH$3)+1)+INDEX(August!$C$3:$AH$169,128,MATCH(B257,August!$D$3:$AH$3)+1)+INDEX(August!$C$3:$AH$169,133,MATCH(B257,August!$D$3:$AH$3)+1)+INDEX(August!$C$3:$AH$169,138,MATCH(B257,August!$D$3:$AH$3)+1)+INDEX(August!$C$3:$AH$169,143,MATCH(B257,August!$D$3:$AH$3)+1)+INDEX(August!$C$3:$AH$169,148,MATCH(B257,August!$D$3:$AH$3)+1)-INDEX(August!$B$5:$AH$169,MATCH("Patrick Janssen",August!$B$5:$B$169),MATCH(B257,August!$D$3:$AH$3)+2)-INDEX(August!$B$5:$AH$169,MATCH("Patrick Ziesen",August!$B$5:$B$169),MATCH(B257,August!$D$3:$AH$3)+2)-INDEX(August!$B$5:$AH$169,MATCH("Frido Meijer",August!$B$5:$B$169),MATCH(B257,August!$D$3:$AH$3)+2)</f>
        <v>24</v>
      </c>
      <c r="H257" s="130">
        <f>INDEX(August!$C$3:$AH$169,4,MATCH(B257,August!$D$3:$AH$3)+1)+INDEX(August!$C$3:$AH$169,9,MATCH(B257,August!$D$3:$AH$3)+1)+INDEX(August!$C$3:$AH$169,14,MATCH(B257,August!$D$3:$AH$3)+1)+INDEX(August!$C$3:$AH$169,19,MATCH(B257,August!$D$3:$AH$3)+1)+INDEX(August!$C$3:$AH$169,24,MATCH(B257,August!$D$3:$AH$3)+1)+INDEX(August!$C$3:$AH$169,29,MATCH(B257,August!$D$3:$AH$3)+1)+INDEX(August!$C$3:$AH$169,34,MATCH(B257,August!$D$3:$AH$3)+1)+INDEX(August!$C$3:$AH$169,39,MATCH(B257,August!$D$3:$AH$3)+1)+INDEX(August!$C$3:$AH$169,44,MATCH(B257,August!$D$3:$AH$3)+1)+INDEX(August!$C$3:$AH$169,49,MATCH(B257,August!$D$3:$AH$3)+1)+INDEX(August!$C$3:$AH$169,54,MATCH(B257,August!$D$3:$AH$3)+1)+INDEX(August!$C$3:$AH$169,59,MATCH(B257,August!$D$3:$AH$3)+1)+INDEX(August!$C$3:$AH$169,64,MATCH(B257,August!$D$3:$AH$3)+1)+INDEX(August!$C$3:$AH$169,69,MATCH(B257,August!$D$3:$AH$3)+1)+INDEX(August!$C$3:$AH$169,74,MATCH(B257,August!$D$3:$AH$3)+1)+INDEX(August!$C$3:$AH$169,79,MATCH(B257,August!$D$3:$AH$3)+1)+INDEX(August!$C$3:$AH$169,84,MATCH(B257,August!$D$3:$AH$3)+1)+INDEX(August!$C$3:$AH$169,89,MATCH(B257,August!$D$3:$AH$3)+1)+INDEX(August!$C$3:$AH$169,94,MATCH(B257,August!$D$3:$AH$3)+1)+INDEX(August!$C$3:$AH$169,99,MATCH(B257,August!$D$3:$AH$3)+1)+INDEX(August!$C$3:$AH$169,104,MATCH(B257,August!$D$3:$AH$3)+1)+INDEX(August!$C$3:$AH$169,109,MATCH(B257,August!$D$3:$AH$3)+1)+INDEX(August!$C$3:$AH$169,114,MATCH(B257,August!$D$3:$AH$3)+1)+INDEX(August!$C$3:$AH$169,119,MATCH(B257,August!$D$3:$AH$3)+1)+INDEX(August!$C$3:$AH$169,124,MATCH(B257,August!$D$3:$AH$3)+1)+INDEX(August!$C$3:$AH$169,129,MATCH(B257,August!$D$3:$AH$3)+1)+INDEX(August!$C$3:$AH$169,134,MATCH(B257,August!$D$3:$AH$3)+1)+INDEX(August!$C$3:$AH$169,139,MATCH(B257,August!$D$3:$AH$3)+1)+INDEX(August!$C$3:$AH$169,144,MATCH(B257,August!$D$3:$AH$3)+1)+INDEX(August!$C$3:$AH$169,149,MATCH(B257,August!$D$3:$AH$3)+1)-INDEX(August!$B$5:$AH$169,MATCH("Patrick Janssen",August!$B$5:$B$169)+1,MATCH(B257,August!$D$3:$AH$3)+2)-INDEX(August!$B$5:$AH$169,MATCH("Patrick Ziesen",August!$B$5:$B$169)+1,MATCH(B257,August!$D$3:$AH$3)+2)-INDEX(August!$B$5:$AH$169,MATCH("Frido Meijer",August!$B$5:$B$169)+1,MATCH(B257,August!$D$3:$AH$3)+2)</f>
        <v>0</v>
      </c>
      <c r="I257" s="130">
        <v>0</v>
      </c>
      <c r="J257" s="130">
        <v>0</v>
      </c>
      <c r="L257" s="124"/>
      <c r="M257" s="111"/>
      <c r="N257" s="111">
        <f t="shared" si="72"/>
        <v>0</v>
      </c>
      <c r="P257" s="112">
        <f t="shared" si="74"/>
        <v>0</v>
      </c>
      <c r="Q257" s="112">
        <f t="shared" si="75"/>
        <v>0</v>
      </c>
    </row>
    <row r="258" spans="2:17" x14ac:dyDescent="0.25">
      <c r="B258" s="110">
        <f>DATE(Title!$F$12,$S$12,S31)</f>
        <v>41513</v>
      </c>
      <c r="C258" s="111">
        <f>IF(WEEKDAY(B258)=1,0,IF(WEEKDAY(B258)=4,'Hours Scheduled'!$K$44-1,IF(WEEKDAY(B258)=7,0,'Hours Scheduled'!$K$44)))</f>
        <v>21</v>
      </c>
      <c r="D258" s="17">
        <f t="shared" si="73"/>
        <v>157.5</v>
      </c>
      <c r="E258" s="127">
        <f t="shared" si="76"/>
        <v>144</v>
      </c>
      <c r="F258" s="111"/>
      <c r="G258" s="130">
        <f>INDEX(August!$C$3:$AH$169,3,MATCH(B258,August!$D$3:$AH$3)+1)+INDEX(August!$C$3:$AH$169,8,MATCH(B258,August!$D$3:$AH$3)+1)+INDEX(August!$C$3:$AH$169,13,MATCH(B258,August!$D$3:$AH$3)+1)+INDEX(August!$C$3:$AH$169,18,MATCH(B258,August!$D$3:$AH$3)+1)+INDEX(August!$C$3:$AH$169,23,MATCH(B258,August!$D$3:$AH$3)+1)+INDEX(August!$C$3:$AH$169,28,MATCH(B258,August!$D$3:$AH$3)+1)+INDEX(August!$C$3:$AH$169,33,MATCH(B258,August!$D$3:$AH$3)+1)+INDEX(August!$C$3:$AH$169,38,MATCH(B258,August!$D$3:$AH$3)+1)+INDEX(August!$C$3:$AH$169,43,MATCH(B258,August!$D$3:$AH$3)+1)+INDEX(August!$C$3:$AH$169,48,MATCH(B258,August!$D$3:$AH$3)+1)+INDEX(August!$C$3:$AH$169,53,MATCH(B258,August!$D$3:$AH$3)+1)+INDEX(August!$C$3:$AH$169,58,MATCH(B258,August!$D$3:$AH$3)+1)+INDEX(August!$C$3:$AH$169,63,MATCH(B258,August!$D$3:$AH$3)+1)+INDEX(August!$C$3:$AH$169,68,MATCH(B258,August!$D$3:$AH$3)+1)+INDEX(August!$C$3:$AH$169,73,MATCH(B258,August!$D$3:$AH$3)+1)+INDEX(August!$C$3:$AH$169,78,MATCH(B258,August!$D$3:$AH$3)+1)+INDEX(August!$C$3:$AH$169,83,MATCH(B258,August!$D$3:$AH$3)+1)+INDEX(August!$C$3:$AH$169,88,MATCH(B258,August!$D$3:$AH$3)+1)+INDEX(August!$C$3:$AH$169,93,MATCH(B258,August!$D$3:$AH$3)+1)+INDEX(August!$C$3:$AH$169,98,MATCH(B258,August!$D$3:$AH$3)+1)+INDEX(August!$C$3:$AH$169,103,MATCH(B258,August!$D$3:$AH$3)+1)+INDEX(August!$C$3:$AH$169,108,MATCH(B258,August!$D$3:$AH$3)+1)+INDEX(August!$C$3:$AH$169,113,MATCH(B258,August!$D$3:$AH$3)+1)+INDEX(August!$C$3:$AH$169,118,MATCH(B258,August!$D$3:$AH$3)+1)+INDEX(August!$C$3:$AH$169,123,MATCH(B258,August!$D$3:$AH$3)+1)+INDEX(August!$C$3:$AH$169,128,MATCH(B258,August!$D$3:$AH$3)+1)+INDEX(August!$C$3:$AH$169,133,MATCH(B258,August!$D$3:$AH$3)+1)+INDEX(August!$C$3:$AH$169,138,MATCH(B258,August!$D$3:$AH$3)+1)+INDEX(August!$C$3:$AH$169,143,MATCH(B258,August!$D$3:$AH$3)+1)+INDEX(August!$C$3:$AH$169,148,MATCH(B258,August!$D$3:$AH$3)+1)-INDEX(August!$B$5:$AH$169,MATCH("Patrick Janssen",August!$B$5:$B$169),MATCH(B258,August!$D$3:$AH$3)+2)-INDEX(August!$B$5:$AH$169,MATCH("Patrick Ziesen",August!$B$5:$B$169),MATCH(B258,August!$D$3:$AH$3)+2)-INDEX(August!$B$5:$AH$169,MATCH("Frido Meijer",August!$B$5:$B$169),MATCH(B258,August!$D$3:$AH$3)+2)</f>
        <v>24</v>
      </c>
      <c r="H258" s="130">
        <f>INDEX(August!$C$3:$AH$169,4,MATCH(B258,August!$D$3:$AH$3)+1)+INDEX(August!$C$3:$AH$169,9,MATCH(B258,August!$D$3:$AH$3)+1)+INDEX(August!$C$3:$AH$169,14,MATCH(B258,August!$D$3:$AH$3)+1)+INDEX(August!$C$3:$AH$169,19,MATCH(B258,August!$D$3:$AH$3)+1)+INDEX(August!$C$3:$AH$169,24,MATCH(B258,August!$D$3:$AH$3)+1)+INDEX(August!$C$3:$AH$169,29,MATCH(B258,August!$D$3:$AH$3)+1)+INDEX(August!$C$3:$AH$169,34,MATCH(B258,August!$D$3:$AH$3)+1)+INDEX(August!$C$3:$AH$169,39,MATCH(B258,August!$D$3:$AH$3)+1)+INDEX(August!$C$3:$AH$169,44,MATCH(B258,August!$D$3:$AH$3)+1)+INDEX(August!$C$3:$AH$169,49,MATCH(B258,August!$D$3:$AH$3)+1)+INDEX(August!$C$3:$AH$169,54,MATCH(B258,August!$D$3:$AH$3)+1)+INDEX(August!$C$3:$AH$169,59,MATCH(B258,August!$D$3:$AH$3)+1)+INDEX(August!$C$3:$AH$169,64,MATCH(B258,August!$D$3:$AH$3)+1)+INDEX(August!$C$3:$AH$169,69,MATCH(B258,August!$D$3:$AH$3)+1)+INDEX(August!$C$3:$AH$169,74,MATCH(B258,August!$D$3:$AH$3)+1)+INDEX(August!$C$3:$AH$169,79,MATCH(B258,August!$D$3:$AH$3)+1)+INDEX(August!$C$3:$AH$169,84,MATCH(B258,August!$D$3:$AH$3)+1)+INDEX(August!$C$3:$AH$169,89,MATCH(B258,August!$D$3:$AH$3)+1)+INDEX(August!$C$3:$AH$169,94,MATCH(B258,August!$D$3:$AH$3)+1)+INDEX(August!$C$3:$AH$169,99,MATCH(B258,August!$D$3:$AH$3)+1)+INDEX(August!$C$3:$AH$169,104,MATCH(B258,August!$D$3:$AH$3)+1)+INDEX(August!$C$3:$AH$169,109,MATCH(B258,August!$D$3:$AH$3)+1)+INDEX(August!$C$3:$AH$169,114,MATCH(B258,August!$D$3:$AH$3)+1)+INDEX(August!$C$3:$AH$169,119,MATCH(B258,August!$D$3:$AH$3)+1)+INDEX(August!$C$3:$AH$169,124,MATCH(B258,August!$D$3:$AH$3)+1)+INDEX(August!$C$3:$AH$169,129,MATCH(B258,August!$D$3:$AH$3)+1)+INDEX(August!$C$3:$AH$169,134,MATCH(B258,August!$D$3:$AH$3)+1)+INDEX(August!$C$3:$AH$169,139,MATCH(B258,August!$D$3:$AH$3)+1)+INDEX(August!$C$3:$AH$169,144,MATCH(B258,August!$D$3:$AH$3)+1)+INDEX(August!$C$3:$AH$169,149,MATCH(B258,August!$D$3:$AH$3)+1)-INDEX(August!$B$5:$AH$169,MATCH("Patrick Janssen",August!$B$5:$B$169)+1,MATCH(B258,August!$D$3:$AH$3)+2)-INDEX(August!$B$5:$AH$169,MATCH("Patrick Ziesen",August!$B$5:$B$169)+1,MATCH(B258,August!$D$3:$AH$3)+2)-INDEX(August!$B$5:$AH$169,MATCH("Frido Meijer",August!$B$5:$B$169)+1,MATCH(B258,August!$D$3:$AH$3)+2)</f>
        <v>0</v>
      </c>
      <c r="I258" s="130">
        <v>0</v>
      </c>
      <c r="J258" s="130">
        <v>0</v>
      </c>
      <c r="L258" s="124"/>
      <c r="M258" s="111"/>
      <c r="N258" s="111">
        <f t="shared" si="72"/>
        <v>0</v>
      </c>
      <c r="P258" s="112">
        <f t="shared" si="74"/>
        <v>0</v>
      </c>
      <c r="Q258" s="112">
        <f t="shared" si="75"/>
        <v>0</v>
      </c>
    </row>
    <row r="259" spans="2:17" x14ac:dyDescent="0.25">
      <c r="B259" s="110">
        <f>DATE(Title!$F$12,$S$12,S32)</f>
        <v>41514</v>
      </c>
      <c r="C259" s="111">
        <f>IF(WEEKDAY(B259)=1,0,IF(WEEKDAY(B259)=4,'Hours Scheduled'!$K$44-1,IF(WEEKDAY(B259)=7,0,'Hours Scheduled'!$K$44)))</f>
        <v>20</v>
      </c>
      <c r="D259" s="17">
        <f t="shared" si="73"/>
        <v>150</v>
      </c>
      <c r="E259" s="127">
        <f t="shared" si="76"/>
        <v>136</v>
      </c>
      <c r="F259" s="111"/>
      <c r="G259" s="130">
        <f>INDEX(August!$C$3:$AH$169,3,MATCH(B259,August!$D$3:$AH$3)+1)+INDEX(August!$C$3:$AH$169,8,MATCH(B259,August!$D$3:$AH$3)+1)+INDEX(August!$C$3:$AH$169,13,MATCH(B259,August!$D$3:$AH$3)+1)+INDEX(August!$C$3:$AH$169,18,MATCH(B259,August!$D$3:$AH$3)+1)+INDEX(August!$C$3:$AH$169,23,MATCH(B259,August!$D$3:$AH$3)+1)+INDEX(August!$C$3:$AH$169,28,MATCH(B259,August!$D$3:$AH$3)+1)+INDEX(August!$C$3:$AH$169,33,MATCH(B259,August!$D$3:$AH$3)+1)+INDEX(August!$C$3:$AH$169,38,MATCH(B259,August!$D$3:$AH$3)+1)+INDEX(August!$C$3:$AH$169,43,MATCH(B259,August!$D$3:$AH$3)+1)+INDEX(August!$C$3:$AH$169,48,MATCH(B259,August!$D$3:$AH$3)+1)+INDEX(August!$C$3:$AH$169,53,MATCH(B259,August!$D$3:$AH$3)+1)+INDEX(August!$C$3:$AH$169,58,MATCH(B259,August!$D$3:$AH$3)+1)+INDEX(August!$C$3:$AH$169,63,MATCH(B259,August!$D$3:$AH$3)+1)+INDEX(August!$C$3:$AH$169,68,MATCH(B259,August!$D$3:$AH$3)+1)+INDEX(August!$C$3:$AH$169,73,MATCH(B259,August!$D$3:$AH$3)+1)+INDEX(August!$C$3:$AH$169,78,MATCH(B259,August!$D$3:$AH$3)+1)+INDEX(August!$C$3:$AH$169,83,MATCH(B259,August!$D$3:$AH$3)+1)+INDEX(August!$C$3:$AH$169,88,MATCH(B259,August!$D$3:$AH$3)+1)+INDEX(August!$C$3:$AH$169,93,MATCH(B259,August!$D$3:$AH$3)+1)+INDEX(August!$C$3:$AH$169,98,MATCH(B259,August!$D$3:$AH$3)+1)+INDEX(August!$C$3:$AH$169,103,MATCH(B259,August!$D$3:$AH$3)+1)+INDEX(August!$C$3:$AH$169,108,MATCH(B259,August!$D$3:$AH$3)+1)+INDEX(August!$C$3:$AH$169,113,MATCH(B259,August!$D$3:$AH$3)+1)+INDEX(August!$C$3:$AH$169,118,MATCH(B259,August!$D$3:$AH$3)+1)+INDEX(August!$C$3:$AH$169,123,MATCH(B259,August!$D$3:$AH$3)+1)+INDEX(August!$C$3:$AH$169,128,MATCH(B259,August!$D$3:$AH$3)+1)+INDEX(August!$C$3:$AH$169,133,MATCH(B259,August!$D$3:$AH$3)+1)+INDEX(August!$C$3:$AH$169,138,MATCH(B259,August!$D$3:$AH$3)+1)+INDEX(August!$C$3:$AH$169,143,MATCH(B259,August!$D$3:$AH$3)+1)+INDEX(August!$C$3:$AH$169,148,MATCH(B259,August!$D$3:$AH$3)+1)-INDEX(August!$B$5:$AH$169,MATCH("Patrick Janssen",August!$B$5:$B$169),MATCH(B259,August!$D$3:$AH$3)+2)-INDEX(August!$B$5:$AH$169,MATCH("Patrick Ziesen",August!$B$5:$B$169),MATCH(B259,August!$D$3:$AH$3)+2)-INDEX(August!$B$5:$AH$169,MATCH("Frido Meijer",August!$B$5:$B$169),MATCH(B259,August!$D$3:$AH$3)+2)</f>
        <v>24</v>
      </c>
      <c r="H259" s="130">
        <f>INDEX(August!$C$3:$AH$169,4,MATCH(B259,August!$D$3:$AH$3)+1)+INDEX(August!$C$3:$AH$169,9,MATCH(B259,August!$D$3:$AH$3)+1)+INDEX(August!$C$3:$AH$169,14,MATCH(B259,August!$D$3:$AH$3)+1)+INDEX(August!$C$3:$AH$169,19,MATCH(B259,August!$D$3:$AH$3)+1)+INDEX(August!$C$3:$AH$169,24,MATCH(B259,August!$D$3:$AH$3)+1)+INDEX(August!$C$3:$AH$169,29,MATCH(B259,August!$D$3:$AH$3)+1)+INDEX(August!$C$3:$AH$169,34,MATCH(B259,August!$D$3:$AH$3)+1)+INDEX(August!$C$3:$AH$169,39,MATCH(B259,August!$D$3:$AH$3)+1)+INDEX(August!$C$3:$AH$169,44,MATCH(B259,August!$D$3:$AH$3)+1)+INDEX(August!$C$3:$AH$169,49,MATCH(B259,August!$D$3:$AH$3)+1)+INDEX(August!$C$3:$AH$169,54,MATCH(B259,August!$D$3:$AH$3)+1)+INDEX(August!$C$3:$AH$169,59,MATCH(B259,August!$D$3:$AH$3)+1)+INDEX(August!$C$3:$AH$169,64,MATCH(B259,August!$D$3:$AH$3)+1)+INDEX(August!$C$3:$AH$169,69,MATCH(B259,August!$D$3:$AH$3)+1)+INDEX(August!$C$3:$AH$169,74,MATCH(B259,August!$D$3:$AH$3)+1)+INDEX(August!$C$3:$AH$169,79,MATCH(B259,August!$D$3:$AH$3)+1)+INDEX(August!$C$3:$AH$169,84,MATCH(B259,August!$D$3:$AH$3)+1)+INDEX(August!$C$3:$AH$169,89,MATCH(B259,August!$D$3:$AH$3)+1)+INDEX(August!$C$3:$AH$169,94,MATCH(B259,August!$D$3:$AH$3)+1)+INDEX(August!$C$3:$AH$169,99,MATCH(B259,August!$D$3:$AH$3)+1)+INDEX(August!$C$3:$AH$169,104,MATCH(B259,August!$D$3:$AH$3)+1)+INDEX(August!$C$3:$AH$169,109,MATCH(B259,August!$D$3:$AH$3)+1)+INDEX(August!$C$3:$AH$169,114,MATCH(B259,August!$D$3:$AH$3)+1)+INDEX(August!$C$3:$AH$169,119,MATCH(B259,August!$D$3:$AH$3)+1)+INDEX(August!$C$3:$AH$169,124,MATCH(B259,August!$D$3:$AH$3)+1)+INDEX(August!$C$3:$AH$169,129,MATCH(B259,August!$D$3:$AH$3)+1)+INDEX(August!$C$3:$AH$169,134,MATCH(B259,August!$D$3:$AH$3)+1)+INDEX(August!$C$3:$AH$169,139,MATCH(B259,August!$D$3:$AH$3)+1)+INDEX(August!$C$3:$AH$169,144,MATCH(B259,August!$D$3:$AH$3)+1)+INDEX(August!$C$3:$AH$169,149,MATCH(B259,August!$D$3:$AH$3)+1)-INDEX(August!$B$5:$AH$169,MATCH("Patrick Janssen",August!$B$5:$B$169)+1,MATCH(B259,August!$D$3:$AH$3)+2)-INDEX(August!$B$5:$AH$169,MATCH("Patrick Ziesen",August!$B$5:$B$169)+1,MATCH(B259,August!$D$3:$AH$3)+2)-INDEX(August!$B$5:$AH$169,MATCH("Frido Meijer",August!$B$5:$B$169)+1,MATCH(B259,August!$D$3:$AH$3)+2)</f>
        <v>0</v>
      </c>
      <c r="I259" s="130">
        <v>0</v>
      </c>
      <c r="J259" s="130">
        <v>0</v>
      </c>
      <c r="L259" s="124"/>
      <c r="M259" s="111"/>
      <c r="N259" s="111">
        <f t="shared" si="72"/>
        <v>0</v>
      </c>
      <c r="P259" s="112">
        <f t="shared" si="74"/>
        <v>0</v>
      </c>
      <c r="Q259" s="112">
        <f t="shared" si="75"/>
        <v>0</v>
      </c>
    </row>
    <row r="260" spans="2:17" x14ac:dyDescent="0.25">
      <c r="B260" s="110">
        <f>DATE(Title!$F$12,$S$12,S33)</f>
        <v>41515</v>
      </c>
      <c r="C260" s="111">
        <f>IF(WEEKDAY(B260)=1,0,IF(WEEKDAY(B260)=4,'Hours Scheduled'!$K$44-1,IF(WEEKDAY(B260)=7,0,'Hours Scheduled'!$K$44)))</f>
        <v>21</v>
      </c>
      <c r="D260" s="17">
        <f t="shared" si="73"/>
        <v>157.5</v>
      </c>
      <c r="E260" s="127">
        <f t="shared" si="76"/>
        <v>144</v>
      </c>
      <c r="F260" s="111"/>
      <c r="G260" s="130">
        <f>INDEX(August!$C$3:$AH$169,3,MATCH(B260,August!$D$3:$AH$3)+1)+INDEX(August!$C$3:$AH$169,8,MATCH(B260,August!$D$3:$AH$3)+1)+INDEX(August!$C$3:$AH$169,13,MATCH(B260,August!$D$3:$AH$3)+1)+INDEX(August!$C$3:$AH$169,18,MATCH(B260,August!$D$3:$AH$3)+1)+INDEX(August!$C$3:$AH$169,23,MATCH(B260,August!$D$3:$AH$3)+1)+INDEX(August!$C$3:$AH$169,28,MATCH(B260,August!$D$3:$AH$3)+1)+INDEX(August!$C$3:$AH$169,33,MATCH(B260,August!$D$3:$AH$3)+1)+INDEX(August!$C$3:$AH$169,38,MATCH(B260,August!$D$3:$AH$3)+1)+INDEX(August!$C$3:$AH$169,43,MATCH(B260,August!$D$3:$AH$3)+1)+INDEX(August!$C$3:$AH$169,48,MATCH(B260,August!$D$3:$AH$3)+1)+INDEX(August!$C$3:$AH$169,53,MATCH(B260,August!$D$3:$AH$3)+1)+INDEX(August!$C$3:$AH$169,58,MATCH(B260,August!$D$3:$AH$3)+1)+INDEX(August!$C$3:$AH$169,63,MATCH(B260,August!$D$3:$AH$3)+1)+INDEX(August!$C$3:$AH$169,68,MATCH(B260,August!$D$3:$AH$3)+1)+INDEX(August!$C$3:$AH$169,73,MATCH(B260,August!$D$3:$AH$3)+1)+INDEX(August!$C$3:$AH$169,78,MATCH(B260,August!$D$3:$AH$3)+1)+INDEX(August!$C$3:$AH$169,83,MATCH(B260,August!$D$3:$AH$3)+1)+INDEX(August!$C$3:$AH$169,88,MATCH(B260,August!$D$3:$AH$3)+1)+INDEX(August!$C$3:$AH$169,93,MATCH(B260,August!$D$3:$AH$3)+1)+INDEX(August!$C$3:$AH$169,98,MATCH(B260,August!$D$3:$AH$3)+1)+INDEX(August!$C$3:$AH$169,103,MATCH(B260,August!$D$3:$AH$3)+1)+INDEX(August!$C$3:$AH$169,108,MATCH(B260,August!$D$3:$AH$3)+1)+INDEX(August!$C$3:$AH$169,113,MATCH(B260,August!$D$3:$AH$3)+1)+INDEX(August!$C$3:$AH$169,118,MATCH(B260,August!$D$3:$AH$3)+1)+INDEX(August!$C$3:$AH$169,123,MATCH(B260,August!$D$3:$AH$3)+1)+INDEX(August!$C$3:$AH$169,128,MATCH(B260,August!$D$3:$AH$3)+1)+INDEX(August!$C$3:$AH$169,133,MATCH(B260,August!$D$3:$AH$3)+1)+INDEX(August!$C$3:$AH$169,138,MATCH(B260,August!$D$3:$AH$3)+1)+INDEX(August!$C$3:$AH$169,143,MATCH(B260,August!$D$3:$AH$3)+1)+INDEX(August!$C$3:$AH$169,148,MATCH(B260,August!$D$3:$AH$3)+1)-INDEX(August!$B$5:$AH$169,MATCH("Patrick Janssen",August!$B$5:$B$169),MATCH(B260,August!$D$3:$AH$3)+2)-INDEX(August!$B$5:$AH$169,MATCH("Patrick Ziesen",August!$B$5:$B$169),MATCH(B260,August!$D$3:$AH$3)+2)-INDEX(August!$B$5:$AH$169,MATCH("Frido Meijer",August!$B$5:$B$169),MATCH(B260,August!$D$3:$AH$3)+2)</f>
        <v>24</v>
      </c>
      <c r="H260" s="130">
        <f>INDEX(August!$C$3:$AH$169,4,MATCH(B260,August!$D$3:$AH$3)+1)+INDEX(August!$C$3:$AH$169,9,MATCH(B260,August!$D$3:$AH$3)+1)+INDEX(August!$C$3:$AH$169,14,MATCH(B260,August!$D$3:$AH$3)+1)+INDEX(August!$C$3:$AH$169,19,MATCH(B260,August!$D$3:$AH$3)+1)+INDEX(August!$C$3:$AH$169,24,MATCH(B260,August!$D$3:$AH$3)+1)+INDEX(August!$C$3:$AH$169,29,MATCH(B260,August!$D$3:$AH$3)+1)+INDEX(August!$C$3:$AH$169,34,MATCH(B260,August!$D$3:$AH$3)+1)+INDEX(August!$C$3:$AH$169,39,MATCH(B260,August!$D$3:$AH$3)+1)+INDEX(August!$C$3:$AH$169,44,MATCH(B260,August!$D$3:$AH$3)+1)+INDEX(August!$C$3:$AH$169,49,MATCH(B260,August!$D$3:$AH$3)+1)+INDEX(August!$C$3:$AH$169,54,MATCH(B260,August!$D$3:$AH$3)+1)+INDEX(August!$C$3:$AH$169,59,MATCH(B260,August!$D$3:$AH$3)+1)+INDEX(August!$C$3:$AH$169,64,MATCH(B260,August!$D$3:$AH$3)+1)+INDEX(August!$C$3:$AH$169,69,MATCH(B260,August!$D$3:$AH$3)+1)+INDEX(August!$C$3:$AH$169,74,MATCH(B260,August!$D$3:$AH$3)+1)+INDEX(August!$C$3:$AH$169,79,MATCH(B260,August!$D$3:$AH$3)+1)+INDEX(August!$C$3:$AH$169,84,MATCH(B260,August!$D$3:$AH$3)+1)+INDEX(August!$C$3:$AH$169,89,MATCH(B260,August!$D$3:$AH$3)+1)+INDEX(August!$C$3:$AH$169,94,MATCH(B260,August!$D$3:$AH$3)+1)+INDEX(August!$C$3:$AH$169,99,MATCH(B260,August!$D$3:$AH$3)+1)+INDEX(August!$C$3:$AH$169,104,MATCH(B260,August!$D$3:$AH$3)+1)+INDEX(August!$C$3:$AH$169,109,MATCH(B260,August!$D$3:$AH$3)+1)+INDEX(August!$C$3:$AH$169,114,MATCH(B260,August!$D$3:$AH$3)+1)+INDEX(August!$C$3:$AH$169,119,MATCH(B260,August!$D$3:$AH$3)+1)+INDEX(August!$C$3:$AH$169,124,MATCH(B260,August!$D$3:$AH$3)+1)+INDEX(August!$C$3:$AH$169,129,MATCH(B260,August!$D$3:$AH$3)+1)+INDEX(August!$C$3:$AH$169,134,MATCH(B260,August!$D$3:$AH$3)+1)+INDEX(August!$C$3:$AH$169,139,MATCH(B260,August!$D$3:$AH$3)+1)+INDEX(August!$C$3:$AH$169,144,MATCH(B260,August!$D$3:$AH$3)+1)+INDEX(August!$C$3:$AH$169,149,MATCH(B260,August!$D$3:$AH$3)+1)-INDEX(August!$B$5:$AH$169,MATCH("Patrick Janssen",August!$B$5:$B$169)+1,MATCH(B260,August!$D$3:$AH$3)+2)-INDEX(August!$B$5:$AH$169,MATCH("Patrick Ziesen",August!$B$5:$B$169)+1,MATCH(B260,August!$D$3:$AH$3)+2)-INDEX(August!$B$5:$AH$169,MATCH("Frido Meijer",August!$B$5:$B$169)+1,MATCH(B260,August!$D$3:$AH$3)+2)</f>
        <v>0</v>
      </c>
      <c r="I260" s="130">
        <v>0</v>
      </c>
      <c r="J260" s="130">
        <v>0</v>
      </c>
      <c r="L260" s="124"/>
      <c r="M260" s="111"/>
      <c r="N260" s="111">
        <f t="shared" si="72"/>
        <v>0</v>
      </c>
      <c r="P260" s="112">
        <f t="shared" si="74"/>
        <v>0</v>
      </c>
      <c r="Q260" s="112">
        <f t="shared" si="75"/>
        <v>0</v>
      </c>
    </row>
    <row r="261" spans="2:17" x14ac:dyDescent="0.25">
      <c r="B261" s="110">
        <f>DATE(Title!$F$12,$S$12,S34)</f>
        <v>41516</v>
      </c>
      <c r="C261" s="111">
        <f>IF(WEEKDAY(B261)=1,0,IF(WEEKDAY(B261)=4,'Hours Scheduled'!$K$44-1,IF(WEEKDAY(B261)=7,0,'Hours Scheduled'!$K$44)))</f>
        <v>21</v>
      </c>
      <c r="D261" s="17">
        <f t="shared" si="73"/>
        <v>157.5</v>
      </c>
      <c r="E261" s="127">
        <f t="shared" si="76"/>
        <v>136</v>
      </c>
      <c r="F261" s="111"/>
      <c r="G261" s="130">
        <f>INDEX(August!$C$3:$AH$169,3,MATCH(B261,August!$D$3:$AH$3)+1)+INDEX(August!$C$3:$AH$169,8,MATCH(B261,August!$D$3:$AH$3)+1)+INDEX(August!$C$3:$AH$169,13,MATCH(B261,August!$D$3:$AH$3)+1)+INDEX(August!$C$3:$AH$169,18,MATCH(B261,August!$D$3:$AH$3)+1)+INDEX(August!$C$3:$AH$169,23,MATCH(B261,August!$D$3:$AH$3)+1)+INDEX(August!$C$3:$AH$169,28,MATCH(B261,August!$D$3:$AH$3)+1)+INDEX(August!$C$3:$AH$169,33,MATCH(B261,August!$D$3:$AH$3)+1)+INDEX(August!$C$3:$AH$169,38,MATCH(B261,August!$D$3:$AH$3)+1)+INDEX(August!$C$3:$AH$169,43,MATCH(B261,August!$D$3:$AH$3)+1)+INDEX(August!$C$3:$AH$169,48,MATCH(B261,August!$D$3:$AH$3)+1)+INDEX(August!$C$3:$AH$169,53,MATCH(B261,August!$D$3:$AH$3)+1)+INDEX(August!$C$3:$AH$169,58,MATCH(B261,August!$D$3:$AH$3)+1)+INDEX(August!$C$3:$AH$169,63,MATCH(B261,August!$D$3:$AH$3)+1)+INDEX(August!$C$3:$AH$169,68,MATCH(B261,August!$D$3:$AH$3)+1)+INDEX(August!$C$3:$AH$169,73,MATCH(B261,August!$D$3:$AH$3)+1)+INDEX(August!$C$3:$AH$169,78,MATCH(B261,August!$D$3:$AH$3)+1)+INDEX(August!$C$3:$AH$169,83,MATCH(B261,August!$D$3:$AH$3)+1)+INDEX(August!$C$3:$AH$169,88,MATCH(B261,August!$D$3:$AH$3)+1)+INDEX(August!$C$3:$AH$169,93,MATCH(B261,August!$D$3:$AH$3)+1)+INDEX(August!$C$3:$AH$169,98,MATCH(B261,August!$D$3:$AH$3)+1)+INDEX(August!$C$3:$AH$169,103,MATCH(B261,August!$D$3:$AH$3)+1)+INDEX(August!$C$3:$AH$169,108,MATCH(B261,August!$D$3:$AH$3)+1)+INDEX(August!$C$3:$AH$169,113,MATCH(B261,August!$D$3:$AH$3)+1)+INDEX(August!$C$3:$AH$169,118,MATCH(B261,August!$D$3:$AH$3)+1)+INDEX(August!$C$3:$AH$169,123,MATCH(B261,August!$D$3:$AH$3)+1)+INDEX(August!$C$3:$AH$169,128,MATCH(B261,August!$D$3:$AH$3)+1)+INDEX(August!$C$3:$AH$169,133,MATCH(B261,August!$D$3:$AH$3)+1)+INDEX(August!$C$3:$AH$169,138,MATCH(B261,August!$D$3:$AH$3)+1)+INDEX(August!$C$3:$AH$169,143,MATCH(B261,August!$D$3:$AH$3)+1)+INDEX(August!$C$3:$AH$169,148,MATCH(B261,August!$D$3:$AH$3)+1)-INDEX(August!$B$5:$AH$169,MATCH("Patrick Janssen",August!$B$5:$B$169),MATCH(B261,August!$D$3:$AH$3)+2)-INDEX(August!$B$5:$AH$169,MATCH("Patrick Ziesen",August!$B$5:$B$169),MATCH(B261,August!$D$3:$AH$3)+2)-INDEX(August!$B$5:$AH$169,MATCH("Frido Meijer",August!$B$5:$B$169),MATCH(B261,August!$D$3:$AH$3)+2)</f>
        <v>32</v>
      </c>
      <c r="H261" s="130">
        <f>INDEX(August!$C$3:$AH$169,4,MATCH(B261,August!$D$3:$AH$3)+1)+INDEX(August!$C$3:$AH$169,9,MATCH(B261,August!$D$3:$AH$3)+1)+INDEX(August!$C$3:$AH$169,14,MATCH(B261,August!$D$3:$AH$3)+1)+INDEX(August!$C$3:$AH$169,19,MATCH(B261,August!$D$3:$AH$3)+1)+INDEX(August!$C$3:$AH$169,24,MATCH(B261,August!$D$3:$AH$3)+1)+INDEX(August!$C$3:$AH$169,29,MATCH(B261,August!$D$3:$AH$3)+1)+INDEX(August!$C$3:$AH$169,34,MATCH(B261,August!$D$3:$AH$3)+1)+INDEX(August!$C$3:$AH$169,39,MATCH(B261,August!$D$3:$AH$3)+1)+INDEX(August!$C$3:$AH$169,44,MATCH(B261,August!$D$3:$AH$3)+1)+INDEX(August!$C$3:$AH$169,49,MATCH(B261,August!$D$3:$AH$3)+1)+INDEX(August!$C$3:$AH$169,54,MATCH(B261,August!$D$3:$AH$3)+1)+INDEX(August!$C$3:$AH$169,59,MATCH(B261,August!$D$3:$AH$3)+1)+INDEX(August!$C$3:$AH$169,64,MATCH(B261,August!$D$3:$AH$3)+1)+INDEX(August!$C$3:$AH$169,69,MATCH(B261,August!$D$3:$AH$3)+1)+INDEX(August!$C$3:$AH$169,74,MATCH(B261,August!$D$3:$AH$3)+1)+INDEX(August!$C$3:$AH$169,79,MATCH(B261,August!$D$3:$AH$3)+1)+INDEX(August!$C$3:$AH$169,84,MATCH(B261,August!$D$3:$AH$3)+1)+INDEX(August!$C$3:$AH$169,89,MATCH(B261,August!$D$3:$AH$3)+1)+INDEX(August!$C$3:$AH$169,94,MATCH(B261,August!$D$3:$AH$3)+1)+INDEX(August!$C$3:$AH$169,99,MATCH(B261,August!$D$3:$AH$3)+1)+INDEX(August!$C$3:$AH$169,104,MATCH(B261,August!$D$3:$AH$3)+1)+INDEX(August!$C$3:$AH$169,109,MATCH(B261,August!$D$3:$AH$3)+1)+INDEX(August!$C$3:$AH$169,114,MATCH(B261,August!$D$3:$AH$3)+1)+INDEX(August!$C$3:$AH$169,119,MATCH(B261,August!$D$3:$AH$3)+1)+INDEX(August!$C$3:$AH$169,124,MATCH(B261,August!$D$3:$AH$3)+1)+INDEX(August!$C$3:$AH$169,129,MATCH(B261,August!$D$3:$AH$3)+1)+INDEX(August!$C$3:$AH$169,134,MATCH(B261,August!$D$3:$AH$3)+1)+INDEX(August!$C$3:$AH$169,139,MATCH(B261,August!$D$3:$AH$3)+1)+INDEX(August!$C$3:$AH$169,144,MATCH(B261,August!$D$3:$AH$3)+1)+INDEX(August!$C$3:$AH$169,149,MATCH(B261,August!$D$3:$AH$3)+1)-INDEX(August!$B$5:$AH$169,MATCH("Patrick Janssen",August!$B$5:$B$169)+1,MATCH(B261,August!$D$3:$AH$3)+2)-INDEX(August!$B$5:$AH$169,MATCH("Patrick Ziesen",August!$B$5:$B$169)+1,MATCH(B261,August!$D$3:$AH$3)+2)-INDEX(August!$B$5:$AH$169,MATCH("Frido Meijer",August!$B$5:$B$169)+1,MATCH(B261,August!$D$3:$AH$3)+2)</f>
        <v>0</v>
      </c>
      <c r="I261" s="130">
        <v>0</v>
      </c>
      <c r="J261" s="130">
        <v>0</v>
      </c>
      <c r="L261" s="124"/>
      <c r="M261" s="111"/>
      <c r="N261" s="111">
        <f t="shared" si="72"/>
        <v>0</v>
      </c>
      <c r="P261" s="112">
        <f t="shared" si="74"/>
        <v>0</v>
      </c>
      <c r="Q261" s="112">
        <f t="shared" si="75"/>
        <v>0</v>
      </c>
    </row>
    <row r="262" spans="2:17" ht="15.75" thickBot="1" x14ac:dyDescent="0.3">
      <c r="B262" s="110">
        <f>DATE(Title!$F$12,$S$12,S35)</f>
        <v>41517</v>
      </c>
      <c r="C262" s="111">
        <f>IF(WEEKDAY(B262)=1,0,IF(WEEKDAY(B262)=4,'Hours Scheduled'!$K$44-1,IF(WEEKDAY(B262)=7,0,'Hours Scheduled'!$K$44)))</f>
        <v>0</v>
      </c>
      <c r="D262" s="17">
        <f t="shared" si="73"/>
        <v>0</v>
      </c>
      <c r="E262" s="127">
        <f t="shared" si="76"/>
        <v>0</v>
      </c>
      <c r="F262" s="113"/>
      <c r="G262" s="132">
        <f>INDEX(August!$C$3:$AH$169,3,MATCH(B262,August!$D$3:$AH$3)+1)+INDEX(August!$C$3:$AH$169,8,MATCH(B262,August!$D$3:$AH$3)+1)+INDEX(August!$C$3:$AH$169,13,MATCH(B262,August!$D$3:$AH$3)+1)+INDEX(August!$C$3:$AH$169,18,MATCH(B262,August!$D$3:$AH$3)+1)+INDEX(August!$C$3:$AH$169,23,MATCH(B262,August!$D$3:$AH$3)+1)+INDEX(August!$C$3:$AH$169,28,MATCH(B262,August!$D$3:$AH$3)+1)+INDEX(August!$C$3:$AH$169,33,MATCH(B262,August!$D$3:$AH$3)+1)+INDEX(August!$C$3:$AH$169,38,MATCH(B262,August!$D$3:$AH$3)+1)+INDEX(August!$C$3:$AH$169,43,MATCH(B262,August!$D$3:$AH$3)+1)+INDEX(August!$C$3:$AH$169,48,MATCH(B262,August!$D$3:$AH$3)+1)+INDEX(August!$C$3:$AH$169,53,MATCH(B262,August!$D$3:$AH$3)+1)+INDEX(August!$C$3:$AH$169,58,MATCH(B262,August!$D$3:$AH$3)+1)+INDEX(August!$C$3:$AH$169,63,MATCH(B262,August!$D$3:$AH$3)+1)+INDEX(August!$C$3:$AH$169,68,MATCH(B262,August!$D$3:$AH$3)+1)+INDEX(August!$C$3:$AH$169,73,MATCH(B262,August!$D$3:$AH$3)+1)+INDEX(August!$C$3:$AH$169,78,MATCH(B262,August!$D$3:$AH$3)+1)+INDEX(August!$C$3:$AH$169,83,MATCH(B262,August!$D$3:$AH$3)+1)+INDEX(August!$C$3:$AH$169,88,MATCH(B262,August!$D$3:$AH$3)+1)+INDEX(August!$C$3:$AH$169,93,MATCH(B262,August!$D$3:$AH$3)+1)+INDEX(August!$C$3:$AH$169,98,MATCH(B262,August!$D$3:$AH$3)+1)+INDEX(August!$C$3:$AH$169,103,MATCH(B262,August!$D$3:$AH$3)+1)+INDEX(August!$C$3:$AH$169,108,MATCH(B262,August!$D$3:$AH$3)+1)+INDEX(August!$C$3:$AH$169,113,MATCH(B262,August!$D$3:$AH$3)+1)+INDEX(August!$C$3:$AH$169,118,MATCH(B262,August!$D$3:$AH$3)+1)+INDEX(August!$C$3:$AH$169,123,MATCH(B262,August!$D$3:$AH$3)+1)+INDEX(August!$C$3:$AH$169,128,MATCH(B262,August!$D$3:$AH$3)+1)+INDEX(August!$C$3:$AH$169,133,MATCH(B262,August!$D$3:$AH$3)+1)+INDEX(August!$C$3:$AH$169,138,MATCH(B262,August!$D$3:$AH$3)+1)+INDEX(August!$C$3:$AH$169,143,MATCH(B262,August!$D$3:$AH$3)+1)+INDEX(August!$C$3:$AH$169,148,MATCH(B262,August!$D$3:$AH$3)+1)-INDEX(August!$B$5:$AH$169,MATCH("Patrick Janssen",August!$B$5:$B$169),MATCH(B262,August!$D$3:$AH$3)+2)-INDEX(August!$B$5:$AH$169,MATCH("Patrick Ziesen",August!$B$5:$B$169),MATCH(B262,August!$D$3:$AH$3)+2)-INDEX(August!$B$5:$AH$169,MATCH("Frido Meijer",August!$B$5:$B$169),MATCH(B262,August!$D$3:$AH$3)+2)</f>
        <v>0</v>
      </c>
      <c r="H262" s="132">
        <f>INDEX(August!$C$3:$AH$169,4,MATCH(B262,August!$D$3:$AH$3)+1)+INDEX(August!$C$3:$AH$169,9,MATCH(B262,August!$D$3:$AH$3)+1)+INDEX(August!$C$3:$AH$169,14,MATCH(B262,August!$D$3:$AH$3)+1)+INDEX(August!$C$3:$AH$169,19,MATCH(B262,August!$D$3:$AH$3)+1)+INDEX(August!$C$3:$AH$169,24,MATCH(B262,August!$D$3:$AH$3)+1)+INDEX(August!$C$3:$AH$169,29,MATCH(B262,August!$D$3:$AH$3)+1)+INDEX(August!$C$3:$AH$169,34,MATCH(B262,August!$D$3:$AH$3)+1)+INDEX(August!$C$3:$AH$169,39,MATCH(B262,August!$D$3:$AH$3)+1)+INDEX(August!$C$3:$AH$169,44,MATCH(B262,August!$D$3:$AH$3)+1)+INDEX(August!$C$3:$AH$169,49,MATCH(B262,August!$D$3:$AH$3)+1)+INDEX(August!$C$3:$AH$169,54,MATCH(B262,August!$D$3:$AH$3)+1)+INDEX(August!$C$3:$AH$169,59,MATCH(B262,August!$D$3:$AH$3)+1)+INDEX(August!$C$3:$AH$169,64,MATCH(B262,August!$D$3:$AH$3)+1)+INDEX(August!$C$3:$AH$169,69,MATCH(B262,August!$D$3:$AH$3)+1)+INDEX(August!$C$3:$AH$169,74,MATCH(B262,August!$D$3:$AH$3)+1)+INDEX(August!$C$3:$AH$169,79,MATCH(B262,August!$D$3:$AH$3)+1)+INDEX(August!$C$3:$AH$169,84,MATCH(B262,August!$D$3:$AH$3)+1)+INDEX(August!$C$3:$AH$169,89,MATCH(B262,August!$D$3:$AH$3)+1)+INDEX(August!$C$3:$AH$169,94,MATCH(B262,August!$D$3:$AH$3)+1)+INDEX(August!$C$3:$AH$169,99,MATCH(B262,August!$D$3:$AH$3)+1)+INDEX(August!$C$3:$AH$169,104,MATCH(B262,August!$D$3:$AH$3)+1)+INDEX(August!$C$3:$AH$169,109,MATCH(B262,August!$D$3:$AH$3)+1)+INDEX(August!$C$3:$AH$169,114,MATCH(B262,August!$D$3:$AH$3)+1)+INDEX(August!$C$3:$AH$169,119,MATCH(B262,August!$D$3:$AH$3)+1)+INDEX(August!$C$3:$AH$169,124,MATCH(B262,August!$D$3:$AH$3)+1)+INDEX(August!$C$3:$AH$169,129,MATCH(B262,August!$D$3:$AH$3)+1)+INDEX(August!$C$3:$AH$169,134,MATCH(B262,August!$D$3:$AH$3)+1)+INDEX(August!$C$3:$AH$169,139,MATCH(B262,August!$D$3:$AH$3)+1)+INDEX(August!$C$3:$AH$169,144,MATCH(B262,August!$D$3:$AH$3)+1)+INDEX(August!$C$3:$AH$169,149,MATCH(B262,August!$D$3:$AH$3)+1)-INDEX(August!$B$5:$AH$169,MATCH("Patrick Janssen",August!$B$5:$B$169)+1,MATCH(B262,August!$D$3:$AH$3)+2)-INDEX(August!$B$5:$AH$169,MATCH("Patrick Ziesen",August!$B$5:$B$169)+1,MATCH(B262,August!$D$3:$AH$3)+2)-INDEX(August!$B$5:$AH$169,MATCH("Frido Meijer",August!$B$5:$B$169)+1,MATCH(B262,August!$D$3:$AH$3)+2)</f>
        <v>0</v>
      </c>
      <c r="I262" s="130">
        <v>0</v>
      </c>
      <c r="J262" s="130">
        <v>0</v>
      </c>
      <c r="L262" s="124"/>
      <c r="M262" s="111"/>
      <c r="N262" s="111">
        <f t="shared" si="72"/>
        <v>0</v>
      </c>
      <c r="P262" s="112" t="str">
        <f t="shared" si="74"/>
        <v/>
      </c>
      <c r="Q262" s="112" t="str">
        <f t="shared" si="75"/>
        <v/>
      </c>
    </row>
    <row r="263" spans="2:17" ht="15.75" x14ac:dyDescent="0.25">
      <c r="B263" s="146" t="s">
        <v>7</v>
      </c>
      <c r="C263" s="114">
        <f>SUM(C232:C262)</f>
        <v>458</v>
      </c>
      <c r="D263" s="107">
        <f t="shared" si="73"/>
        <v>3435</v>
      </c>
      <c r="E263" s="140">
        <f t="shared" si="76"/>
        <v>3018</v>
      </c>
      <c r="F263" s="114">
        <f>SUM(F232:F262)</f>
        <v>0</v>
      </c>
      <c r="G263" s="133">
        <f t="shared" ref="G263:J263" si="77">SUM(G232:G262)</f>
        <v>646</v>
      </c>
      <c r="H263" s="133">
        <f t="shared" si="77"/>
        <v>0</v>
      </c>
      <c r="I263" s="133">
        <f t="shared" si="77"/>
        <v>0</v>
      </c>
      <c r="J263" s="133">
        <f t="shared" si="77"/>
        <v>0</v>
      </c>
      <c r="K263" s="115"/>
      <c r="L263" s="114">
        <f>SUM(L232:L262)</f>
        <v>0</v>
      </c>
      <c r="M263" s="114">
        <f t="shared" ref="M263:N263" si="78">SUM(M232:M262)</f>
        <v>0</v>
      </c>
      <c r="N263" s="114">
        <f t="shared" si="78"/>
        <v>0</v>
      </c>
      <c r="O263" s="115"/>
      <c r="P263" s="116">
        <f t="shared" ref="P263" si="79">(L263+(M263/60)+N263)/(D263-F263-G263-H263-I263-J263)</f>
        <v>0</v>
      </c>
      <c r="Q263" s="116">
        <f t="shared" ref="Q263" si="80">(L263+(M263/60)+N263)/(D263-(G263+H263))</f>
        <v>0</v>
      </c>
    </row>
    <row r="264" spans="2:17" x14ac:dyDescent="0.25">
      <c r="B264"/>
      <c r="E264" s="127"/>
    </row>
    <row r="265" spans="2:17" x14ac:dyDescent="0.25">
      <c r="B265" s="110">
        <f>DATE(Title!$F$12,$S$13,S5)</f>
        <v>41518</v>
      </c>
      <c r="C265" s="111">
        <f>IF(WEEKDAY(B265)=1,0,IF(WEEKDAY(B265)=4,'Hours Scheduled'!$K$44-1,IF(WEEKDAY(B265)=7,0,'Hours Scheduled'!$K$44)))</f>
        <v>0</v>
      </c>
      <c r="D265" s="17">
        <f>C265*7.5</f>
        <v>0</v>
      </c>
      <c r="E265" s="127">
        <f>C265*8-G265-H265</f>
        <v>0</v>
      </c>
      <c r="F265" s="111"/>
      <c r="G265" s="130">
        <f>INDEX(September!$C$3:$AH$169,3,MATCH(B265,September!$D$3:$AH$3)+1)+INDEX(September!$C$3:$AH$169,8,MATCH(B265,September!$D$3:$AH$3)+1)+INDEX(September!$C$3:$AH$169,13,MATCH(B265,September!$D$3:$AH$3)+1)+INDEX(September!$C$3:$AH$169,18,MATCH(B265,September!$D$3:$AH$3)+1)+INDEX(September!$C$3:$AH$169,23,MATCH(B265,September!$D$3:$AH$3)+1)+INDEX(September!$C$3:$AH$169,28,MATCH(B265,September!$D$3:$AH$3)+1)+INDEX(September!$C$3:$AH$169,33,MATCH(B265,September!$D$3:$AH$3)+1)+INDEX(September!$C$3:$AH$169,38,MATCH(B265,September!$D$3:$AH$3)+1)+INDEX(September!$C$3:$AH$169,43,MATCH(B265,September!$D$3:$AH$3)+1)+INDEX(September!$C$3:$AH$169,48,MATCH(B265,September!$D$3:$AH$3)+1)+INDEX(September!$C$3:$AH$169,53,MATCH(B265,September!$D$3:$AH$3)+1)+INDEX(September!$C$3:$AH$169,58,MATCH(B265,September!$D$3:$AH$3)+1)+INDEX(September!$C$3:$AH$169,63,MATCH(B265,September!$D$3:$AH$3)+1)+INDEX(September!$C$3:$AH$169,68,MATCH(B265,September!$D$3:$AH$3)+1)+INDEX(September!$C$3:$AH$169,73,MATCH(B265,September!$D$3:$AH$3)+1)+INDEX(September!$C$3:$AH$169,78,MATCH(B265,September!$D$3:$AH$3)+1)+INDEX(September!$C$3:$AH$169,83,MATCH(B265,September!$D$3:$AH$3)+1)+INDEX(September!$C$3:$AH$169,88,MATCH(B265,September!$D$3:$AH$3)+1)+INDEX(September!$C$3:$AH$169,93,MATCH(B265,September!$D$3:$AH$3)+1)+INDEX(September!$C$3:$AH$169,98,MATCH(B265,September!$D$3:$AH$3)+1)+INDEX(September!$C$3:$AH$169,103,MATCH(B265,September!$D$3:$AH$3)+1)+INDEX(September!$C$3:$AH$169,108,MATCH(B265,September!$D$3:$AH$3)+1)+INDEX(September!$C$3:$AH$169,113,MATCH(B265,September!$D$3:$AH$3)+1)+INDEX(September!$C$3:$AH$169,118,MATCH(B265,September!$D$3:$AH$3)+1)+INDEX(September!$C$3:$AH$169,123,MATCH(B265,September!$D$3:$AH$3)+1)+INDEX(September!$C$3:$AH$169,128,MATCH(B265,September!$D$3:$AH$3)+1)+INDEX(September!$C$3:$AH$169,133,MATCH(B265,September!$D$3:$AH$3)+1)+INDEX(September!$C$3:$AH$169,138,MATCH(B265,September!$D$3:$AH$3)+1)+INDEX(September!$C$3:$AH$169,143,MATCH(B265,September!$D$3:$AH$3)+1)+INDEX(September!$C$3:$AH$169,148,MATCH(B265,September!$D$3:$AH$3)+1)-INDEX(September!$B$5:$AH$169,MATCH("Patrick Janssen",September!$B$5:$B$169),MATCH(B265,September!$D$3:$AH$3)+2)-INDEX(September!$B$5:$AH$169,MATCH("Patrick Ziesen",September!$B$5:$B$169),MATCH(B265,September!$D$3:$AH$3)+2)-INDEX(September!$B$5:$AH$169,MATCH("Frido Meijer",September!$B$5:$B$169),MATCH(B265,September!$D$3:$AH$3)+2)</f>
        <v>0</v>
      </c>
      <c r="H265" s="130">
        <f>INDEX(September!$C$3:$AH$169,4,MATCH(B265,September!$D$3:$AH$3)+1)+INDEX(September!$C$3:$AH$169,9,MATCH(B265,September!$D$3:$AH$3)+1)+INDEX(September!$C$3:$AH$169,14,MATCH(B265,September!$D$3:$AH$3)+1)+INDEX(September!$C$3:$AH$169,19,MATCH(B265,September!$D$3:$AH$3)+1)+INDEX(September!$C$3:$AH$169,24,MATCH(B265,September!$D$3:$AH$3)+1)+INDEX(September!$C$3:$AH$169,29,MATCH(B265,September!$D$3:$AH$3)+1)+INDEX(September!$C$3:$AH$169,34,MATCH(B265,September!$D$3:$AH$3)+1)+INDEX(September!$C$3:$AH$169,39,MATCH(B265,September!$D$3:$AH$3)+1)+INDEX(September!$C$3:$AH$169,44,MATCH(B265,September!$D$3:$AH$3)+1)+INDEX(September!$C$3:$AH$169,49,MATCH(B265,September!$D$3:$AH$3)+1)+INDEX(September!$C$3:$AH$169,54,MATCH(B265,September!$D$3:$AH$3)+1)+INDEX(September!$C$3:$AH$169,59,MATCH(B265,September!$D$3:$AH$3)+1)+INDEX(September!$C$3:$AH$169,64,MATCH(B265,September!$D$3:$AH$3)+1)+INDEX(September!$C$3:$AH$169,69,MATCH(B265,September!$D$3:$AH$3)+1)+INDEX(September!$C$3:$AH$169,74,MATCH(B265,September!$D$3:$AH$3)+1)+INDEX(September!$C$3:$AH$169,79,MATCH(B265,September!$D$3:$AH$3)+1)+INDEX(September!$C$3:$AH$169,84,MATCH(B265,September!$D$3:$AH$3)+1)+INDEX(September!$C$3:$AH$169,89,MATCH(B265,September!$D$3:$AH$3)+1)+INDEX(September!$C$3:$AH$169,94,MATCH(B265,September!$D$3:$AH$3)+1)+INDEX(September!$C$3:$AH$169,99,MATCH(B265,September!$D$3:$AH$3)+1)+INDEX(September!$C$3:$AH$169,104,MATCH(B265,September!$D$3:$AH$3)+1)+INDEX(September!$C$3:$AH$169,109,MATCH(B265,September!$D$3:$AH$3)+1)+INDEX(September!$C$3:$AH$169,114,MATCH(B265,September!$D$3:$AH$3)+1)+INDEX(September!$C$3:$AH$169,119,MATCH(B265,September!$D$3:$AH$3)+1)+INDEX(September!$C$3:$AH$169,124,MATCH(B265,September!$D$3:$AH$3)+1)+INDEX(September!$C$3:$AH$169,129,MATCH(B265,September!$D$3:$AH$3)+1)+INDEX(September!$C$3:$AH$169,134,MATCH(B265,September!$D$3:$AH$3)+1)+INDEX(September!$C$3:$AH$169,139,MATCH(B265,September!$D$3:$AH$3)+1)+INDEX(September!$C$3:$AH$169,144,MATCH(B265,September!$D$3:$AH$3)+1)+INDEX(September!$C$3:$AH$169,149,MATCH(B265,September!$D$3:$AH$3)+1)-INDEX(September!$B$5:$AH$169,MATCH("Patrick Janssen",September!$B$5:$B$169)+1,MATCH(B265,September!$D$3:$AH$3)+2)-INDEX(September!$B$5:$AH$169,MATCH("Patrick Ziesen",September!$B$5:$B$169)+1,MATCH(B265,September!$D$3:$AH$3)+2)-INDEX(September!$B$5:$AH$169,MATCH("Frido Meijer",September!$B$5:$B$169)+1,MATCH(B265,September!$D$3:$AH$3)+2)</f>
        <v>0</v>
      </c>
      <c r="I265" s="130">
        <v>0</v>
      </c>
      <c r="J265" s="130">
        <v>0</v>
      </c>
      <c r="L265" s="124"/>
      <c r="M265" s="111"/>
      <c r="N265" s="111">
        <f t="shared" ref="N265:N294" si="81">IF(L265="",0,6*7.5)</f>
        <v>0</v>
      </c>
      <c r="P265" s="112" t="str">
        <f t="shared" ref="P265" si="82">IFERROR((L265+(M265/60)+N265)/(D265-F265-G265-H265-I265-J265),"")</f>
        <v/>
      </c>
      <c r="Q265" s="112" t="str">
        <f t="shared" ref="Q265" si="83">IFERROR((L265+(M265/60)+N265)/(D265-(G265+H265)),"")</f>
        <v/>
      </c>
    </row>
    <row r="266" spans="2:17" x14ac:dyDescent="0.25">
      <c r="B266" s="110">
        <f>DATE(Title!$F$12,$S$13,S6)</f>
        <v>41519</v>
      </c>
      <c r="C266" s="111">
        <f>IF(WEEKDAY(B266)=1,0,IF(WEEKDAY(B266)=4,'Hours Scheduled'!$K$44-1,IF(WEEKDAY(B266)=7,0,'Hours Scheduled'!$K$44)))</f>
        <v>21</v>
      </c>
      <c r="D266" s="17">
        <f t="shared" ref="D266:D294" si="84">C266*7.5</f>
        <v>157.5</v>
      </c>
      <c r="E266" s="127">
        <f t="shared" ref="E266:E295" si="85">C266*8-G266-H266</f>
        <v>144</v>
      </c>
      <c r="F266" s="111"/>
      <c r="G266" s="130">
        <f>INDEX(September!$C$3:$AH$169,3,MATCH(B266,September!$D$3:$AH$3)+1)+INDEX(September!$C$3:$AH$169,8,MATCH(B266,September!$D$3:$AH$3)+1)+INDEX(September!$C$3:$AH$169,13,MATCH(B266,September!$D$3:$AH$3)+1)+INDEX(September!$C$3:$AH$169,18,MATCH(B266,September!$D$3:$AH$3)+1)+INDEX(September!$C$3:$AH$169,23,MATCH(B266,September!$D$3:$AH$3)+1)+INDEX(September!$C$3:$AH$169,28,MATCH(B266,September!$D$3:$AH$3)+1)+INDEX(September!$C$3:$AH$169,33,MATCH(B266,September!$D$3:$AH$3)+1)+INDEX(September!$C$3:$AH$169,38,MATCH(B266,September!$D$3:$AH$3)+1)+INDEX(September!$C$3:$AH$169,43,MATCH(B266,September!$D$3:$AH$3)+1)+INDEX(September!$C$3:$AH$169,48,MATCH(B266,September!$D$3:$AH$3)+1)+INDEX(September!$C$3:$AH$169,53,MATCH(B266,September!$D$3:$AH$3)+1)+INDEX(September!$C$3:$AH$169,58,MATCH(B266,September!$D$3:$AH$3)+1)+INDEX(September!$C$3:$AH$169,63,MATCH(B266,September!$D$3:$AH$3)+1)+INDEX(September!$C$3:$AH$169,68,MATCH(B266,September!$D$3:$AH$3)+1)+INDEX(September!$C$3:$AH$169,73,MATCH(B266,September!$D$3:$AH$3)+1)+INDEX(September!$C$3:$AH$169,78,MATCH(B266,September!$D$3:$AH$3)+1)+INDEX(September!$C$3:$AH$169,83,MATCH(B266,September!$D$3:$AH$3)+1)+INDEX(September!$C$3:$AH$169,88,MATCH(B266,September!$D$3:$AH$3)+1)+INDEX(September!$C$3:$AH$169,93,MATCH(B266,September!$D$3:$AH$3)+1)+INDEX(September!$C$3:$AH$169,98,MATCH(B266,September!$D$3:$AH$3)+1)+INDEX(September!$C$3:$AH$169,103,MATCH(B266,September!$D$3:$AH$3)+1)+INDEX(September!$C$3:$AH$169,108,MATCH(B266,September!$D$3:$AH$3)+1)+INDEX(September!$C$3:$AH$169,113,MATCH(B266,September!$D$3:$AH$3)+1)+INDEX(September!$C$3:$AH$169,118,MATCH(B266,September!$D$3:$AH$3)+1)+INDEX(September!$C$3:$AH$169,123,MATCH(B266,September!$D$3:$AH$3)+1)+INDEX(September!$C$3:$AH$169,128,MATCH(B266,September!$D$3:$AH$3)+1)+INDEX(September!$C$3:$AH$169,133,MATCH(B266,September!$D$3:$AH$3)+1)+INDEX(September!$C$3:$AH$169,138,MATCH(B266,September!$D$3:$AH$3)+1)+INDEX(September!$C$3:$AH$169,143,MATCH(B266,September!$D$3:$AH$3)+1)+INDEX(September!$C$3:$AH$169,148,MATCH(B266,September!$D$3:$AH$3)+1)-INDEX(September!$B$5:$AH$169,MATCH("Patrick Janssen",September!$B$5:$B$169),MATCH(B266,September!$D$3:$AH$3)+2)-INDEX(September!$B$5:$AH$169,MATCH("Patrick Ziesen",September!$B$5:$B$169),MATCH(B266,September!$D$3:$AH$3)+2)-INDEX(September!$B$5:$AH$169,MATCH("Frido Meijer",September!$B$5:$B$169),MATCH(B266,September!$D$3:$AH$3)+2)</f>
        <v>24</v>
      </c>
      <c r="H266" s="130">
        <f>INDEX(September!$C$3:$AH$169,4,MATCH(B266,September!$D$3:$AH$3)+1)+INDEX(September!$C$3:$AH$169,9,MATCH(B266,September!$D$3:$AH$3)+1)+INDEX(September!$C$3:$AH$169,14,MATCH(B266,September!$D$3:$AH$3)+1)+INDEX(September!$C$3:$AH$169,19,MATCH(B266,September!$D$3:$AH$3)+1)+INDEX(September!$C$3:$AH$169,24,MATCH(B266,September!$D$3:$AH$3)+1)+INDEX(September!$C$3:$AH$169,29,MATCH(B266,September!$D$3:$AH$3)+1)+INDEX(September!$C$3:$AH$169,34,MATCH(B266,September!$D$3:$AH$3)+1)+INDEX(September!$C$3:$AH$169,39,MATCH(B266,September!$D$3:$AH$3)+1)+INDEX(September!$C$3:$AH$169,44,MATCH(B266,September!$D$3:$AH$3)+1)+INDEX(September!$C$3:$AH$169,49,MATCH(B266,September!$D$3:$AH$3)+1)+INDEX(September!$C$3:$AH$169,54,MATCH(B266,September!$D$3:$AH$3)+1)+INDEX(September!$C$3:$AH$169,59,MATCH(B266,September!$D$3:$AH$3)+1)+INDEX(September!$C$3:$AH$169,64,MATCH(B266,September!$D$3:$AH$3)+1)+INDEX(September!$C$3:$AH$169,69,MATCH(B266,September!$D$3:$AH$3)+1)+INDEX(September!$C$3:$AH$169,74,MATCH(B266,September!$D$3:$AH$3)+1)+INDEX(September!$C$3:$AH$169,79,MATCH(B266,September!$D$3:$AH$3)+1)+INDEX(September!$C$3:$AH$169,84,MATCH(B266,September!$D$3:$AH$3)+1)+INDEX(September!$C$3:$AH$169,89,MATCH(B266,September!$D$3:$AH$3)+1)+INDEX(September!$C$3:$AH$169,94,MATCH(B266,September!$D$3:$AH$3)+1)+INDEX(September!$C$3:$AH$169,99,MATCH(B266,September!$D$3:$AH$3)+1)+INDEX(September!$C$3:$AH$169,104,MATCH(B266,September!$D$3:$AH$3)+1)+INDEX(September!$C$3:$AH$169,109,MATCH(B266,September!$D$3:$AH$3)+1)+INDEX(September!$C$3:$AH$169,114,MATCH(B266,September!$D$3:$AH$3)+1)+INDEX(September!$C$3:$AH$169,119,MATCH(B266,September!$D$3:$AH$3)+1)+INDEX(September!$C$3:$AH$169,124,MATCH(B266,September!$D$3:$AH$3)+1)+INDEX(September!$C$3:$AH$169,129,MATCH(B266,September!$D$3:$AH$3)+1)+INDEX(September!$C$3:$AH$169,134,MATCH(B266,September!$D$3:$AH$3)+1)+INDEX(September!$C$3:$AH$169,139,MATCH(B266,September!$D$3:$AH$3)+1)+INDEX(September!$C$3:$AH$169,144,MATCH(B266,September!$D$3:$AH$3)+1)+INDEX(September!$C$3:$AH$169,149,MATCH(B266,September!$D$3:$AH$3)+1)-INDEX(September!$B$5:$AH$169,MATCH("Patrick Janssen",September!$B$5:$B$169)+1,MATCH(B266,September!$D$3:$AH$3)+2)-INDEX(September!$B$5:$AH$169,MATCH("Patrick Ziesen",September!$B$5:$B$169)+1,MATCH(B266,September!$D$3:$AH$3)+2)-INDEX(September!$B$5:$AH$169,MATCH("Frido Meijer",September!$B$5:$B$169)+1,MATCH(B266,September!$D$3:$AH$3)+2)</f>
        <v>0</v>
      </c>
      <c r="I266" s="130">
        <v>0</v>
      </c>
      <c r="J266" s="130">
        <v>0</v>
      </c>
      <c r="L266" s="124"/>
      <c r="M266" s="111"/>
      <c r="N266" s="111">
        <f t="shared" si="81"/>
        <v>0</v>
      </c>
      <c r="P266" s="112">
        <f t="shared" ref="P266:P294" si="86">IFERROR((L266+(M266/60)+N266)/(D266-F266-G266-H266-I266-J266),"")</f>
        <v>0</v>
      </c>
      <c r="Q266" s="112">
        <f t="shared" ref="Q266:Q294" si="87">IFERROR((L266+(M266/60)+N266)/(D266-(G266+H266)),"")</f>
        <v>0</v>
      </c>
    </row>
    <row r="267" spans="2:17" x14ac:dyDescent="0.25">
      <c r="B267" s="110">
        <f>DATE(Title!$F$12,$S$13,S7)</f>
        <v>41520</v>
      </c>
      <c r="C267" s="111">
        <f>IF(WEEKDAY(B267)=1,0,IF(WEEKDAY(B267)=4,'Hours Scheduled'!$K$44-1,IF(WEEKDAY(B267)=7,0,'Hours Scheduled'!$K$44)))</f>
        <v>21</v>
      </c>
      <c r="D267" s="17">
        <f t="shared" si="84"/>
        <v>157.5</v>
      </c>
      <c r="E267" s="127">
        <f t="shared" si="85"/>
        <v>152</v>
      </c>
      <c r="F267" s="111"/>
      <c r="G267" s="130">
        <f>INDEX(September!$C$3:$AH$169,3,MATCH(B267,September!$D$3:$AH$3)+1)+INDEX(September!$C$3:$AH$169,8,MATCH(B267,September!$D$3:$AH$3)+1)+INDEX(September!$C$3:$AH$169,13,MATCH(B267,September!$D$3:$AH$3)+1)+INDEX(September!$C$3:$AH$169,18,MATCH(B267,September!$D$3:$AH$3)+1)+INDEX(September!$C$3:$AH$169,23,MATCH(B267,September!$D$3:$AH$3)+1)+INDEX(September!$C$3:$AH$169,28,MATCH(B267,September!$D$3:$AH$3)+1)+INDEX(September!$C$3:$AH$169,33,MATCH(B267,September!$D$3:$AH$3)+1)+INDEX(September!$C$3:$AH$169,38,MATCH(B267,September!$D$3:$AH$3)+1)+INDEX(September!$C$3:$AH$169,43,MATCH(B267,September!$D$3:$AH$3)+1)+INDEX(September!$C$3:$AH$169,48,MATCH(B267,September!$D$3:$AH$3)+1)+INDEX(September!$C$3:$AH$169,53,MATCH(B267,September!$D$3:$AH$3)+1)+INDEX(September!$C$3:$AH$169,58,MATCH(B267,September!$D$3:$AH$3)+1)+INDEX(September!$C$3:$AH$169,63,MATCH(B267,September!$D$3:$AH$3)+1)+INDEX(September!$C$3:$AH$169,68,MATCH(B267,September!$D$3:$AH$3)+1)+INDEX(September!$C$3:$AH$169,73,MATCH(B267,September!$D$3:$AH$3)+1)+INDEX(September!$C$3:$AH$169,78,MATCH(B267,September!$D$3:$AH$3)+1)+INDEX(September!$C$3:$AH$169,83,MATCH(B267,September!$D$3:$AH$3)+1)+INDEX(September!$C$3:$AH$169,88,MATCH(B267,September!$D$3:$AH$3)+1)+INDEX(September!$C$3:$AH$169,93,MATCH(B267,September!$D$3:$AH$3)+1)+INDEX(September!$C$3:$AH$169,98,MATCH(B267,September!$D$3:$AH$3)+1)+INDEX(September!$C$3:$AH$169,103,MATCH(B267,September!$D$3:$AH$3)+1)+INDEX(September!$C$3:$AH$169,108,MATCH(B267,September!$D$3:$AH$3)+1)+INDEX(September!$C$3:$AH$169,113,MATCH(B267,September!$D$3:$AH$3)+1)+INDEX(September!$C$3:$AH$169,118,MATCH(B267,September!$D$3:$AH$3)+1)+INDEX(September!$C$3:$AH$169,123,MATCH(B267,September!$D$3:$AH$3)+1)+INDEX(September!$C$3:$AH$169,128,MATCH(B267,September!$D$3:$AH$3)+1)+INDEX(September!$C$3:$AH$169,133,MATCH(B267,September!$D$3:$AH$3)+1)+INDEX(September!$C$3:$AH$169,138,MATCH(B267,September!$D$3:$AH$3)+1)+INDEX(September!$C$3:$AH$169,143,MATCH(B267,September!$D$3:$AH$3)+1)+INDEX(September!$C$3:$AH$169,148,MATCH(B267,September!$D$3:$AH$3)+1)-INDEX(September!$B$5:$AH$169,MATCH("Patrick Janssen",September!$B$5:$B$169),MATCH(B267,September!$D$3:$AH$3)+2)-INDEX(September!$B$5:$AH$169,MATCH("Patrick Ziesen",September!$B$5:$B$169),MATCH(B267,September!$D$3:$AH$3)+2)-INDEX(September!$B$5:$AH$169,MATCH("Frido Meijer",September!$B$5:$B$169),MATCH(B267,September!$D$3:$AH$3)+2)</f>
        <v>16</v>
      </c>
      <c r="H267" s="130">
        <f>INDEX(September!$C$3:$AH$169,4,MATCH(B267,September!$D$3:$AH$3)+1)+INDEX(September!$C$3:$AH$169,9,MATCH(B267,September!$D$3:$AH$3)+1)+INDEX(September!$C$3:$AH$169,14,MATCH(B267,September!$D$3:$AH$3)+1)+INDEX(September!$C$3:$AH$169,19,MATCH(B267,September!$D$3:$AH$3)+1)+INDEX(September!$C$3:$AH$169,24,MATCH(B267,September!$D$3:$AH$3)+1)+INDEX(September!$C$3:$AH$169,29,MATCH(B267,September!$D$3:$AH$3)+1)+INDEX(September!$C$3:$AH$169,34,MATCH(B267,September!$D$3:$AH$3)+1)+INDEX(September!$C$3:$AH$169,39,MATCH(B267,September!$D$3:$AH$3)+1)+INDEX(September!$C$3:$AH$169,44,MATCH(B267,September!$D$3:$AH$3)+1)+INDEX(September!$C$3:$AH$169,49,MATCH(B267,September!$D$3:$AH$3)+1)+INDEX(September!$C$3:$AH$169,54,MATCH(B267,September!$D$3:$AH$3)+1)+INDEX(September!$C$3:$AH$169,59,MATCH(B267,September!$D$3:$AH$3)+1)+INDEX(September!$C$3:$AH$169,64,MATCH(B267,September!$D$3:$AH$3)+1)+INDEX(September!$C$3:$AH$169,69,MATCH(B267,September!$D$3:$AH$3)+1)+INDEX(September!$C$3:$AH$169,74,MATCH(B267,September!$D$3:$AH$3)+1)+INDEX(September!$C$3:$AH$169,79,MATCH(B267,September!$D$3:$AH$3)+1)+INDEX(September!$C$3:$AH$169,84,MATCH(B267,September!$D$3:$AH$3)+1)+INDEX(September!$C$3:$AH$169,89,MATCH(B267,September!$D$3:$AH$3)+1)+INDEX(September!$C$3:$AH$169,94,MATCH(B267,September!$D$3:$AH$3)+1)+INDEX(September!$C$3:$AH$169,99,MATCH(B267,September!$D$3:$AH$3)+1)+INDEX(September!$C$3:$AH$169,104,MATCH(B267,September!$D$3:$AH$3)+1)+INDEX(September!$C$3:$AH$169,109,MATCH(B267,September!$D$3:$AH$3)+1)+INDEX(September!$C$3:$AH$169,114,MATCH(B267,September!$D$3:$AH$3)+1)+INDEX(September!$C$3:$AH$169,119,MATCH(B267,September!$D$3:$AH$3)+1)+INDEX(September!$C$3:$AH$169,124,MATCH(B267,September!$D$3:$AH$3)+1)+INDEX(September!$C$3:$AH$169,129,MATCH(B267,September!$D$3:$AH$3)+1)+INDEX(September!$C$3:$AH$169,134,MATCH(B267,September!$D$3:$AH$3)+1)+INDEX(September!$C$3:$AH$169,139,MATCH(B267,September!$D$3:$AH$3)+1)+INDEX(September!$C$3:$AH$169,144,MATCH(B267,September!$D$3:$AH$3)+1)+INDEX(September!$C$3:$AH$169,149,MATCH(B267,September!$D$3:$AH$3)+1)-INDEX(September!$B$5:$AH$169,MATCH("Patrick Janssen",September!$B$5:$B$169)+1,MATCH(B267,September!$D$3:$AH$3)+2)-INDEX(September!$B$5:$AH$169,MATCH("Patrick Ziesen",September!$B$5:$B$169)+1,MATCH(B267,September!$D$3:$AH$3)+2)-INDEX(September!$B$5:$AH$169,MATCH("Frido Meijer",September!$B$5:$B$169)+1,MATCH(B267,September!$D$3:$AH$3)+2)</f>
        <v>0</v>
      </c>
      <c r="I267" s="130">
        <v>0</v>
      </c>
      <c r="J267" s="130">
        <v>0</v>
      </c>
      <c r="L267" s="124"/>
      <c r="M267" s="111"/>
      <c r="N267" s="111">
        <f t="shared" si="81"/>
        <v>0</v>
      </c>
      <c r="P267" s="112">
        <f t="shared" si="86"/>
        <v>0</v>
      </c>
      <c r="Q267" s="112">
        <f t="shared" si="87"/>
        <v>0</v>
      </c>
    </row>
    <row r="268" spans="2:17" x14ac:dyDescent="0.25">
      <c r="B268" s="110">
        <f>DATE(Title!$F$12,$S$13,S8)</f>
        <v>41521</v>
      </c>
      <c r="C268" s="111">
        <f>IF(WEEKDAY(B268)=1,0,IF(WEEKDAY(B268)=4,'Hours Scheduled'!$K$44-1,IF(WEEKDAY(B268)=7,0,'Hours Scheduled'!$K$44)))</f>
        <v>20</v>
      </c>
      <c r="D268" s="17">
        <f t="shared" si="84"/>
        <v>150</v>
      </c>
      <c r="E268" s="127">
        <f t="shared" si="85"/>
        <v>144</v>
      </c>
      <c r="F268" s="111"/>
      <c r="G268" s="130">
        <f>INDEX(September!$C$3:$AH$169,3,MATCH(B268,September!$D$3:$AH$3)+1)+INDEX(September!$C$3:$AH$169,8,MATCH(B268,September!$D$3:$AH$3)+1)+INDEX(September!$C$3:$AH$169,13,MATCH(B268,September!$D$3:$AH$3)+1)+INDEX(September!$C$3:$AH$169,18,MATCH(B268,September!$D$3:$AH$3)+1)+INDEX(September!$C$3:$AH$169,23,MATCH(B268,September!$D$3:$AH$3)+1)+INDEX(September!$C$3:$AH$169,28,MATCH(B268,September!$D$3:$AH$3)+1)+INDEX(September!$C$3:$AH$169,33,MATCH(B268,September!$D$3:$AH$3)+1)+INDEX(September!$C$3:$AH$169,38,MATCH(B268,September!$D$3:$AH$3)+1)+INDEX(September!$C$3:$AH$169,43,MATCH(B268,September!$D$3:$AH$3)+1)+INDEX(September!$C$3:$AH$169,48,MATCH(B268,September!$D$3:$AH$3)+1)+INDEX(September!$C$3:$AH$169,53,MATCH(B268,September!$D$3:$AH$3)+1)+INDEX(September!$C$3:$AH$169,58,MATCH(B268,September!$D$3:$AH$3)+1)+INDEX(September!$C$3:$AH$169,63,MATCH(B268,September!$D$3:$AH$3)+1)+INDEX(September!$C$3:$AH$169,68,MATCH(B268,September!$D$3:$AH$3)+1)+INDEX(September!$C$3:$AH$169,73,MATCH(B268,September!$D$3:$AH$3)+1)+INDEX(September!$C$3:$AH$169,78,MATCH(B268,September!$D$3:$AH$3)+1)+INDEX(September!$C$3:$AH$169,83,MATCH(B268,September!$D$3:$AH$3)+1)+INDEX(September!$C$3:$AH$169,88,MATCH(B268,September!$D$3:$AH$3)+1)+INDEX(September!$C$3:$AH$169,93,MATCH(B268,September!$D$3:$AH$3)+1)+INDEX(September!$C$3:$AH$169,98,MATCH(B268,September!$D$3:$AH$3)+1)+INDEX(September!$C$3:$AH$169,103,MATCH(B268,September!$D$3:$AH$3)+1)+INDEX(September!$C$3:$AH$169,108,MATCH(B268,September!$D$3:$AH$3)+1)+INDEX(September!$C$3:$AH$169,113,MATCH(B268,September!$D$3:$AH$3)+1)+INDEX(September!$C$3:$AH$169,118,MATCH(B268,September!$D$3:$AH$3)+1)+INDEX(September!$C$3:$AH$169,123,MATCH(B268,September!$D$3:$AH$3)+1)+INDEX(September!$C$3:$AH$169,128,MATCH(B268,September!$D$3:$AH$3)+1)+INDEX(September!$C$3:$AH$169,133,MATCH(B268,September!$D$3:$AH$3)+1)+INDEX(September!$C$3:$AH$169,138,MATCH(B268,September!$D$3:$AH$3)+1)+INDEX(September!$C$3:$AH$169,143,MATCH(B268,September!$D$3:$AH$3)+1)+INDEX(September!$C$3:$AH$169,148,MATCH(B268,September!$D$3:$AH$3)+1)-INDEX(September!$B$5:$AH$169,MATCH("Patrick Janssen",September!$B$5:$B$169),MATCH(B268,September!$D$3:$AH$3)+2)-INDEX(September!$B$5:$AH$169,MATCH("Patrick Ziesen",September!$B$5:$B$169),MATCH(B268,September!$D$3:$AH$3)+2)-INDEX(September!$B$5:$AH$169,MATCH("Frido Meijer",September!$B$5:$B$169),MATCH(B268,September!$D$3:$AH$3)+2)</f>
        <v>16</v>
      </c>
      <c r="H268" s="130">
        <f>INDEX(September!$C$3:$AH$169,4,MATCH(B268,September!$D$3:$AH$3)+1)+INDEX(September!$C$3:$AH$169,9,MATCH(B268,September!$D$3:$AH$3)+1)+INDEX(September!$C$3:$AH$169,14,MATCH(B268,September!$D$3:$AH$3)+1)+INDEX(September!$C$3:$AH$169,19,MATCH(B268,September!$D$3:$AH$3)+1)+INDEX(September!$C$3:$AH$169,24,MATCH(B268,September!$D$3:$AH$3)+1)+INDEX(September!$C$3:$AH$169,29,MATCH(B268,September!$D$3:$AH$3)+1)+INDEX(September!$C$3:$AH$169,34,MATCH(B268,September!$D$3:$AH$3)+1)+INDEX(September!$C$3:$AH$169,39,MATCH(B268,September!$D$3:$AH$3)+1)+INDEX(September!$C$3:$AH$169,44,MATCH(B268,September!$D$3:$AH$3)+1)+INDEX(September!$C$3:$AH$169,49,MATCH(B268,September!$D$3:$AH$3)+1)+INDEX(September!$C$3:$AH$169,54,MATCH(B268,September!$D$3:$AH$3)+1)+INDEX(September!$C$3:$AH$169,59,MATCH(B268,September!$D$3:$AH$3)+1)+INDEX(September!$C$3:$AH$169,64,MATCH(B268,September!$D$3:$AH$3)+1)+INDEX(September!$C$3:$AH$169,69,MATCH(B268,September!$D$3:$AH$3)+1)+INDEX(September!$C$3:$AH$169,74,MATCH(B268,September!$D$3:$AH$3)+1)+INDEX(September!$C$3:$AH$169,79,MATCH(B268,September!$D$3:$AH$3)+1)+INDEX(September!$C$3:$AH$169,84,MATCH(B268,September!$D$3:$AH$3)+1)+INDEX(September!$C$3:$AH$169,89,MATCH(B268,September!$D$3:$AH$3)+1)+INDEX(September!$C$3:$AH$169,94,MATCH(B268,September!$D$3:$AH$3)+1)+INDEX(September!$C$3:$AH$169,99,MATCH(B268,September!$D$3:$AH$3)+1)+INDEX(September!$C$3:$AH$169,104,MATCH(B268,September!$D$3:$AH$3)+1)+INDEX(September!$C$3:$AH$169,109,MATCH(B268,September!$D$3:$AH$3)+1)+INDEX(September!$C$3:$AH$169,114,MATCH(B268,September!$D$3:$AH$3)+1)+INDEX(September!$C$3:$AH$169,119,MATCH(B268,September!$D$3:$AH$3)+1)+INDEX(September!$C$3:$AH$169,124,MATCH(B268,September!$D$3:$AH$3)+1)+INDEX(September!$C$3:$AH$169,129,MATCH(B268,September!$D$3:$AH$3)+1)+INDEX(September!$C$3:$AH$169,134,MATCH(B268,September!$D$3:$AH$3)+1)+INDEX(September!$C$3:$AH$169,139,MATCH(B268,September!$D$3:$AH$3)+1)+INDEX(September!$C$3:$AH$169,144,MATCH(B268,September!$D$3:$AH$3)+1)+INDEX(September!$C$3:$AH$169,149,MATCH(B268,September!$D$3:$AH$3)+1)-INDEX(September!$B$5:$AH$169,MATCH("Patrick Janssen",September!$B$5:$B$169)+1,MATCH(B268,September!$D$3:$AH$3)+2)-INDEX(September!$B$5:$AH$169,MATCH("Patrick Ziesen",September!$B$5:$B$169)+1,MATCH(B268,September!$D$3:$AH$3)+2)-INDEX(September!$B$5:$AH$169,MATCH("Frido Meijer",September!$B$5:$B$169)+1,MATCH(B268,September!$D$3:$AH$3)+2)</f>
        <v>0</v>
      </c>
      <c r="I268" s="130">
        <v>0</v>
      </c>
      <c r="J268" s="130">
        <v>0</v>
      </c>
      <c r="L268" s="124"/>
      <c r="M268" s="111"/>
      <c r="N268" s="111">
        <f t="shared" si="81"/>
        <v>0</v>
      </c>
      <c r="P268" s="112">
        <f t="shared" si="86"/>
        <v>0</v>
      </c>
      <c r="Q268" s="112">
        <f>IFERROR((L268+(M268/60)+N268)/(D268-(G268+H268)),"")</f>
        <v>0</v>
      </c>
    </row>
    <row r="269" spans="2:17" x14ac:dyDescent="0.25">
      <c r="B269" s="110">
        <f>DATE(Title!$F$12,$S$13,S9)</f>
        <v>41522</v>
      </c>
      <c r="C269" s="111">
        <f>IF(WEEKDAY(B269)=1,0,IF(WEEKDAY(B269)=4,'Hours Scheduled'!$K$44-1,IF(WEEKDAY(B269)=7,0,'Hours Scheduled'!$K$44)))</f>
        <v>21</v>
      </c>
      <c r="D269" s="17">
        <f t="shared" si="84"/>
        <v>157.5</v>
      </c>
      <c r="E269" s="127">
        <f t="shared" si="85"/>
        <v>152</v>
      </c>
      <c r="F269" s="111"/>
      <c r="G269" s="130">
        <f>INDEX(September!$C$3:$AH$169,3,MATCH(B269,September!$D$3:$AH$3)+1)+INDEX(September!$C$3:$AH$169,8,MATCH(B269,September!$D$3:$AH$3)+1)+INDEX(September!$C$3:$AH$169,13,MATCH(B269,September!$D$3:$AH$3)+1)+INDEX(September!$C$3:$AH$169,18,MATCH(B269,September!$D$3:$AH$3)+1)+INDEX(September!$C$3:$AH$169,23,MATCH(B269,September!$D$3:$AH$3)+1)+INDEX(September!$C$3:$AH$169,28,MATCH(B269,September!$D$3:$AH$3)+1)+INDEX(September!$C$3:$AH$169,33,MATCH(B269,September!$D$3:$AH$3)+1)+INDEX(September!$C$3:$AH$169,38,MATCH(B269,September!$D$3:$AH$3)+1)+INDEX(September!$C$3:$AH$169,43,MATCH(B269,September!$D$3:$AH$3)+1)+INDEX(September!$C$3:$AH$169,48,MATCH(B269,September!$D$3:$AH$3)+1)+INDEX(September!$C$3:$AH$169,53,MATCH(B269,September!$D$3:$AH$3)+1)+INDEX(September!$C$3:$AH$169,58,MATCH(B269,September!$D$3:$AH$3)+1)+INDEX(September!$C$3:$AH$169,63,MATCH(B269,September!$D$3:$AH$3)+1)+INDEX(September!$C$3:$AH$169,68,MATCH(B269,September!$D$3:$AH$3)+1)+INDEX(September!$C$3:$AH$169,73,MATCH(B269,September!$D$3:$AH$3)+1)+INDEX(September!$C$3:$AH$169,78,MATCH(B269,September!$D$3:$AH$3)+1)+INDEX(September!$C$3:$AH$169,83,MATCH(B269,September!$D$3:$AH$3)+1)+INDEX(September!$C$3:$AH$169,88,MATCH(B269,September!$D$3:$AH$3)+1)+INDEX(September!$C$3:$AH$169,93,MATCH(B269,September!$D$3:$AH$3)+1)+INDEX(September!$C$3:$AH$169,98,MATCH(B269,September!$D$3:$AH$3)+1)+INDEX(September!$C$3:$AH$169,103,MATCH(B269,September!$D$3:$AH$3)+1)+INDEX(September!$C$3:$AH$169,108,MATCH(B269,September!$D$3:$AH$3)+1)+INDEX(September!$C$3:$AH$169,113,MATCH(B269,September!$D$3:$AH$3)+1)+INDEX(September!$C$3:$AH$169,118,MATCH(B269,September!$D$3:$AH$3)+1)+INDEX(September!$C$3:$AH$169,123,MATCH(B269,September!$D$3:$AH$3)+1)+INDEX(September!$C$3:$AH$169,128,MATCH(B269,September!$D$3:$AH$3)+1)+INDEX(September!$C$3:$AH$169,133,MATCH(B269,September!$D$3:$AH$3)+1)+INDEX(September!$C$3:$AH$169,138,MATCH(B269,September!$D$3:$AH$3)+1)+INDEX(September!$C$3:$AH$169,143,MATCH(B269,September!$D$3:$AH$3)+1)+INDEX(September!$C$3:$AH$169,148,MATCH(B269,September!$D$3:$AH$3)+1)-INDEX(September!$B$5:$AH$169,MATCH("Patrick Janssen",September!$B$5:$B$169),MATCH(B269,September!$D$3:$AH$3)+2)-INDEX(September!$B$5:$AH$169,MATCH("Patrick Ziesen",September!$B$5:$B$169),MATCH(B269,September!$D$3:$AH$3)+2)-INDEX(September!$B$5:$AH$169,MATCH("Frido Meijer",September!$B$5:$B$169),MATCH(B269,September!$D$3:$AH$3)+2)</f>
        <v>16</v>
      </c>
      <c r="H269" s="130">
        <f>INDEX(September!$C$3:$AH$169,4,MATCH(B269,September!$D$3:$AH$3)+1)+INDEX(September!$C$3:$AH$169,9,MATCH(B269,September!$D$3:$AH$3)+1)+INDEX(September!$C$3:$AH$169,14,MATCH(B269,September!$D$3:$AH$3)+1)+INDEX(September!$C$3:$AH$169,19,MATCH(B269,September!$D$3:$AH$3)+1)+INDEX(September!$C$3:$AH$169,24,MATCH(B269,September!$D$3:$AH$3)+1)+INDEX(September!$C$3:$AH$169,29,MATCH(B269,September!$D$3:$AH$3)+1)+INDEX(September!$C$3:$AH$169,34,MATCH(B269,September!$D$3:$AH$3)+1)+INDEX(September!$C$3:$AH$169,39,MATCH(B269,September!$D$3:$AH$3)+1)+INDEX(September!$C$3:$AH$169,44,MATCH(B269,September!$D$3:$AH$3)+1)+INDEX(September!$C$3:$AH$169,49,MATCH(B269,September!$D$3:$AH$3)+1)+INDEX(September!$C$3:$AH$169,54,MATCH(B269,September!$D$3:$AH$3)+1)+INDEX(September!$C$3:$AH$169,59,MATCH(B269,September!$D$3:$AH$3)+1)+INDEX(September!$C$3:$AH$169,64,MATCH(B269,September!$D$3:$AH$3)+1)+INDEX(September!$C$3:$AH$169,69,MATCH(B269,September!$D$3:$AH$3)+1)+INDEX(September!$C$3:$AH$169,74,MATCH(B269,September!$D$3:$AH$3)+1)+INDEX(September!$C$3:$AH$169,79,MATCH(B269,September!$D$3:$AH$3)+1)+INDEX(September!$C$3:$AH$169,84,MATCH(B269,September!$D$3:$AH$3)+1)+INDEX(September!$C$3:$AH$169,89,MATCH(B269,September!$D$3:$AH$3)+1)+INDEX(September!$C$3:$AH$169,94,MATCH(B269,September!$D$3:$AH$3)+1)+INDEX(September!$C$3:$AH$169,99,MATCH(B269,September!$D$3:$AH$3)+1)+INDEX(September!$C$3:$AH$169,104,MATCH(B269,September!$D$3:$AH$3)+1)+INDEX(September!$C$3:$AH$169,109,MATCH(B269,September!$D$3:$AH$3)+1)+INDEX(September!$C$3:$AH$169,114,MATCH(B269,September!$D$3:$AH$3)+1)+INDEX(September!$C$3:$AH$169,119,MATCH(B269,September!$D$3:$AH$3)+1)+INDEX(September!$C$3:$AH$169,124,MATCH(B269,September!$D$3:$AH$3)+1)+INDEX(September!$C$3:$AH$169,129,MATCH(B269,September!$D$3:$AH$3)+1)+INDEX(September!$C$3:$AH$169,134,MATCH(B269,September!$D$3:$AH$3)+1)+INDEX(September!$C$3:$AH$169,139,MATCH(B269,September!$D$3:$AH$3)+1)+INDEX(September!$C$3:$AH$169,144,MATCH(B269,September!$D$3:$AH$3)+1)+INDEX(September!$C$3:$AH$169,149,MATCH(B269,September!$D$3:$AH$3)+1)-INDEX(September!$B$5:$AH$169,MATCH("Patrick Janssen",September!$B$5:$B$169)+1,MATCH(B269,September!$D$3:$AH$3)+2)-INDEX(September!$B$5:$AH$169,MATCH("Patrick Ziesen",September!$B$5:$B$169)+1,MATCH(B269,September!$D$3:$AH$3)+2)-INDEX(September!$B$5:$AH$169,MATCH("Frido Meijer",September!$B$5:$B$169)+1,MATCH(B269,September!$D$3:$AH$3)+2)</f>
        <v>0</v>
      </c>
      <c r="I269" s="130">
        <v>0</v>
      </c>
      <c r="J269" s="130">
        <v>0</v>
      </c>
      <c r="L269" s="124"/>
      <c r="M269" s="111"/>
      <c r="N269" s="111">
        <f t="shared" si="81"/>
        <v>0</v>
      </c>
      <c r="P269" s="112">
        <f t="shared" si="86"/>
        <v>0</v>
      </c>
      <c r="Q269" s="112">
        <f t="shared" si="87"/>
        <v>0</v>
      </c>
    </row>
    <row r="270" spans="2:17" x14ac:dyDescent="0.25">
      <c r="B270" s="110">
        <f>DATE(Title!$F$12,$S$13,S10)</f>
        <v>41523</v>
      </c>
      <c r="C270" s="111">
        <f>IF(WEEKDAY(B270)=1,0,IF(WEEKDAY(B270)=4,'Hours Scheduled'!$K$44-1,IF(WEEKDAY(B270)=7,0,'Hours Scheduled'!$K$44)))</f>
        <v>21</v>
      </c>
      <c r="D270" s="17">
        <f t="shared" si="84"/>
        <v>157.5</v>
      </c>
      <c r="E270" s="127">
        <f t="shared" si="85"/>
        <v>144</v>
      </c>
      <c r="F270" s="111"/>
      <c r="G270" s="130">
        <f>INDEX(September!$C$3:$AH$169,3,MATCH(B270,September!$D$3:$AH$3)+1)+INDEX(September!$C$3:$AH$169,8,MATCH(B270,September!$D$3:$AH$3)+1)+INDEX(September!$C$3:$AH$169,13,MATCH(B270,September!$D$3:$AH$3)+1)+INDEX(September!$C$3:$AH$169,18,MATCH(B270,September!$D$3:$AH$3)+1)+INDEX(September!$C$3:$AH$169,23,MATCH(B270,September!$D$3:$AH$3)+1)+INDEX(September!$C$3:$AH$169,28,MATCH(B270,September!$D$3:$AH$3)+1)+INDEX(September!$C$3:$AH$169,33,MATCH(B270,September!$D$3:$AH$3)+1)+INDEX(September!$C$3:$AH$169,38,MATCH(B270,September!$D$3:$AH$3)+1)+INDEX(September!$C$3:$AH$169,43,MATCH(B270,September!$D$3:$AH$3)+1)+INDEX(September!$C$3:$AH$169,48,MATCH(B270,September!$D$3:$AH$3)+1)+INDEX(September!$C$3:$AH$169,53,MATCH(B270,September!$D$3:$AH$3)+1)+INDEX(September!$C$3:$AH$169,58,MATCH(B270,September!$D$3:$AH$3)+1)+INDEX(September!$C$3:$AH$169,63,MATCH(B270,September!$D$3:$AH$3)+1)+INDEX(September!$C$3:$AH$169,68,MATCH(B270,September!$D$3:$AH$3)+1)+INDEX(September!$C$3:$AH$169,73,MATCH(B270,September!$D$3:$AH$3)+1)+INDEX(September!$C$3:$AH$169,78,MATCH(B270,September!$D$3:$AH$3)+1)+INDEX(September!$C$3:$AH$169,83,MATCH(B270,September!$D$3:$AH$3)+1)+INDEX(September!$C$3:$AH$169,88,MATCH(B270,September!$D$3:$AH$3)+1)+INDEX(September!$C$3:$AH$169,93,MATCH(B270,September!$D$3:$AH$3)+1)+INDEX(September!$C$3:$AH$169,98,MATCH(B270,September!$D$3:$AH$3)+1)+INDEX(September!$C$3:$AH$169,103,MATCH(B270,September!$D$3:$AH$3)+1)+INDEX(September!$C$3:$AH$169,108,MATCH(B270,September!$D$3:$AH$3)+1)+INDEX(September!$C$3:$AH$169,113,MATCH(B270,September!$D$3:$AH$3)+1)+INDEX(September!$C$3:$AH$169,118,MATCH(B270,September!$D$3:$AH$3)+1)+INDEX(September!$C$3:$AH$169,123,MATCH(B270,September!$D$3:$AH$3)+1)+INDEX(September!$C$3:$AH$169,128,MATCH(B270,September!$D$3:$AH$3)+1)+INDEX(September!$C$3:$AH$169,133,MATCH(B270,September!$D$3:$AH$3)+1)+INDEX(September!$C$3:$AH$169,138,MATCH(B270,September!$D$3:$AH$3)+1)+INDEX(September!$C$3:$AH$169,143,MATCH(B270,September!$D$3:$AH$3)+1)+INDEX(September!$C$3:$AH$169,148,MATCH(B270,September!$D$3:$AH$3)+1)-INDEX(September!$B$5:$AH$169,MATCH("Patrick Janssen",September!$B$5:$B$169),MATCH(B270,September!$D$3:$AH$3)+2)-INDEX(September!$B$5:$AH$169,MATCH("Patrick Ziesen",September!$B$5:$B$169),MATCH(B270,September!$D$3:$AH$3)+2)-INDEX(September!$B$5:$AH$169,MATCH("Frido Meijer",September!$B$5:$B$169),MATCH(B270,September!$D$3:$AH$3)+2)</f>
        <v>24</v>
      </c>
      <c r="H270" s="130">
        <f>INDEX(September!$C$3:$AH$169,4,MATCH(B270,September!$D$3:$AH$3)+1)+INDEX(September!$C$3:$AH$169,9,MATCH(B270,September!$D$3:$AH$3)+1)+INDEX(September!$C$3:$AH$169,14,MATCH(B270,September!$D$3:$AH$3)+1)+INDEX(September!$C$3:$AH$169,19,MATCH(B270,September!$D$3:$AH$3)+1)+INDEX(September!$C$3:$AH$169,24,MATCH(B270,September!$D$3:$AH$3)+1)+INDEX(September!$C$3:$AH$169,29,MATCH(B270,September!$D$3:$AH$3)+1)+INDEX(September!$C$3:$AH$169,34,MATCH(B270,September!$D$3:$AH$3)+1)+INDEX(September!$C$3:$AH$169,39,MATCH(B270,September!$D$3:$AH$3)+1)+INDEX(September!$C$3:$AH$169,44,MATCH(B270,September!$D$3:$AH$3)+1)+INDEX(September!$C$3:$AH$169,49,MATCH(B270,September!$D$3:$AH$3)+1)+INDEX(September!$C$3:$AH$169,54,MATCH(B270,September!$D$3:$AH$3)+1)+INDEX(September!$C$3:$AH$169,59,MATCH(B270,September!$D$3:$AH$3)+1)+INDEX(September!$C$3:$AH$169,64,MATCH(B270,September!$D$3:$AH$3)+1)+INDEX(September!$C$3:$AH$169,69,MATCH(B270,September!$D$3:$AH$3)+1)+INDEX(September!$C$3:$AH$169,74,MATCH(B270,September!$D$3:$AH$3)+1)+INDEX(September!$C$3:$AH$169,79,MATCH(B270,September!$D$3:$AH$3)+1)+INDEX(September!$C$3:$AH$169,84,MATCH(B270,September!$D$3:$AH$3)+1)+INDEX(September!$C$3:$AH$169,89,MATCH(B270,September!$D$3:$AH$3)+1)+INDEX(September!$C$3:$AH$169,94,MATCH(B270,September!$D$3:$AH$3)+1)+INDEX(September!$C$3:$AH$169,99,MATCH(B270,September!$D$3:$AH$3)+1)+INDEX(September!$C$3:$AH$169,104,MATCH(B270,September!$D$3:$AH$3)+1)+INDEX(September!$C$3:$AH$169,109,MATCH(B270,September!$D$3:$AH$3)+1)+INDEX(September!$C$3:$AH$169,114,MATCH(B270,September!$D$3:$AH$3)+1)+INDEX(September!$C$3:$AH$169,119,MATCH(B270,September!$D$3:$AH$3)+1)+INDEX(September!$C$3:$AH$169,124,MATCH(B270,September!$D$3:$AH$3)+1)+INDEX(September!$C$3:$AH$169,129,MATCH(B270,September!$D$3:$AH$3)+1)+INDEX(September!$C$3:$AH$169,134,MATCH(B270,September!$D$3:$AH$3)+1)+INDEX(September!$C$3:$AH$169,139,MATCH(B270,September!$D$3:$AH$3)+1)+INDEX(September!$C$3:$AH$169,144,MATCH(B270,September!$D$3:$AH$3)+1)+INDEX(September!$C$3:$AH$169,149,MATCH(B270,September!$D$3:$AH$3)+1)-INDEX(September!$B$5:$AH$169,MATCH("Patrick Janssen",September!$B$5:$B$169)+1,MATCH(B270,September!$D$3:$AH$3)+2)-INDEX(September!$B$5:$AH$169,MATCH("Patrick Ziesen",September!$B$5:$B$169)+1,MATCH(B270,September!$D$3:$AH$3)+2)-INDEX(September!$B$5:$AH$169,MATCH("Frido Meijer",September!$B$5:$B$169)+1,MATCH(B270,September!$D$3:$AH$3)+2)</f>
        <v>0</v>
      </c>
      <c r="I270" s="130">
        <v>0</v>
      </c>
      <c r="J270" s="130">
        <v>0</v>
      </c>
      <c r="L270" s="124"/>
      <c r="M270" s="111"/>
      <c r="N270" s="111">
        <f t="shared" si="81"/>
        <v>0</v>
      </c>
      <c r="P270" s="112">
        <f t="shared" si="86"/>
        <v>0</v>
      </c>
      <c r="Q270" s="112">
        <f t="shared" si="87"/>
        <v>0</v>
      </c>
    </row>
    <row r="271" spans="2:17" x14ac:dyDescent="0.25">
      <c r="B271" s="110">
        <f>DATE(Title!$F$12,$S$13,S11)</f>
        <v>41524</v>
      </c>
      <c r="C271" s="111">
        <f>IF(WEEKDAY(B271)=1,0,IF(WEEKDAY(B271)=4,'Hours Scheduled'!$K$44-1,IF(WEEKDAY(B271)=7,0,'Hours Scheduled'!$K$44)))</f>
        <v>0</v>
      </c>
      <c r="D271" s="17">
        <f t="shared" si="84"/>
        <v>0</v>
      </c>
      <c r="E271" s="127">
        <f t="shared" si="85"/>
        <v>0</v>
      </c>
      <c r="F271" s="111"/>
      <c r="G271" s="130">
        <f>INDEX(September!$C$3:$AH$169,3,MATCH(B271,September!$D$3:$AH$3)+1)+INDEX(September!$C$3:$AH$169,8,MATCH(B271,September!$D$3:$AH$3)+1)+INDEX(September!$C$3:$AH$169,13,MATCH(B271,September!$D$3:$AH$3)+1)+INDEX(September!$C$3:$AH$169,18,MATCH(B271,September!$D$3:$AH$3)+1)+INDEX(September!$C$3:$AH$169,23,MATCH(B271,September!$D$3:$AH$3)+1)+INDEX(September!$C$3:$AH$169,28,MATCH(B271,September!$D$3:$AH$3)+1)+INDEX(September!$C$3:$AH$169,33,MATCH(B271,September!$D$3:$AH$3)+1)+INDEX(September!$C$3:$AH$169,38,MATCH(B271,September!$D$3:$AH$3)+1)+INDEX(September!$C$3:$AH$169,43,MATCH(B271,September!$D$3:$AH$3)+1)+INDEX(September!$C$3:$AH$169,48,MATCH(B271,September!$D$3:$AH$3)+1)+INDEX(September!$C$3:$AH$169,53,MATCH(B271,September!$D$3:$AH$3)+1)+INDEX(September!$C$3:$AH$169,58,MATCH(B271,September!$D$3:$AH$3)+1)+INDEX(September!$C$3:$AH$169,63,MATCH(B271,September!$D$3:$AH$3)+1)+INDEX(September!$C$3:$AH$169,68,MATCH(B271,September!$D$3:$AH$3)+1)+INDEX(September!$C$3:$AH$169,73,MATCH(B271,September!$D$3:$AH$3)+1)+INDEX(September!$C$3:$AH$169,78,MATCH(B271,September!$D$3:$AH$3)+1)+INDEX(September!$C$3:$AH$169,83,MATCH(B271,September!$D$3:$AH$3)+1)+INDEX(September!$C$3:$AH$169,88,MATCH(B271,September!$D$3:$AH$3)+1)+INDEX(September!$C$3:$AH$169,93,MATCH(B271,September!$D$3:$AH$3)+1)+INDEX(September!$C$3:$AH$169,98,MATCH(B271,September!$D$3:$AH$3)+1)+INDEX(September!$C$3:$AH$169,103,MATCH(B271,September!$D$3:$AH$3)+1)+INDEX(September!$C$3:$AH$169,108,MATCH(B271,September!$D$3:$AH$3)+1)+INDEX(September!$C$3:$AH$169,113,MATCH(B271,September!$D$3:$AH$3)+1)+INDEX(September!$C$3:$AH$169,118,MATCH(B271,September!$D$3:$AH$3)+1)+INDEX(September!$C$3:$AH$169,123,MATCH(B271,September!$D$3:$AH$3)+1)+INDEX(September!$C$3:$AH$169,128,MATCH(B271,September!$D$3:$AH$3)+1)+INDEX(September!$C$3:$AH$169,133,MATCH(B271,September!$D$3:$AH$3)+1)+INDEX(September!$C$3:$AH$169,138,MATCH(B271,September!$D$3:$AH$3)+1)+INDEX(September!$C$3:$AH$169,143,MATCH(B271,September!$D$3:$AH$3)+1)+INDEX(September!$C$3:$AH$169,148,MATCH(B271,September!$D$3:$AH$3)+1)-INDEX(September!$B$5:$AH$169,MATCH("Patrick Janssen",September!$B$5:$B$169),MATCH(B271,September!$D$3:$AH$3)+2)-INDEX(September!$B$5:$AH$169,MATCH("Patrick Ziesen",September!$B$5:$B$169),MATCH(B271,September!$D$3:$AH$3)+2)-INDEX(September!$B$5:$AH$169,MATCH("Frido Meijer",September!$B$5:$B$169),MATCH(B271,September!$D$3:$AH$3)+2)</f>
        <v>0</v>
      </c>
      <c r="H271" s="130">
        <f>INDEX(September!$C$3:$AH$169,4,MATCH(B271,September!$D$3:$AH$3)+1)+INDEX(September!$C$3:$AH$169,9,MATCH(B271,September!$D$3:$AH$3)+1)+INDEX(September!$C$3:$AH$169,14,MATCH(B271,September!$D$3:$AH$3)+1)+INDEX(September!$C$3:$AH$169,19,MATCH(B271,September!$D$3:$AH$3)+1)+INDEX(September!$C$3:$AH$169,24,MATCH(B271,September!$D$3:$AH$3)+1)+INDEX(September!$C$3:$AH$169,29,MATCH(B271,September!$D$3:$AH$3)+1)+INDEX(September!$C$3:$AH$169,34,MATCH(B271,September!$D$3:$AH$3)+1)+INDEX(September!$C$3:$AH$169,39,MATCH(B271,September!$D$3:$AH$3)+1)+INDEX(September!$C$3:$AH$169,44,MATCH(B271,September!$D$3:$AH$3)+1)+INDEX(September!$C$3:$AH$169,49,MATCH(B271,September!$D$3:$AH$3)+1)+INDEX(September!$C$3:$AH$169,54,MATCH(B271,September!$D$3:$AH$3)+1)+INDEX(September!$C$3:$AH$169,59,MATCH(B271,September!$D$3:$AH$3)+1)+INDEX(September!$C$3:$AH$169,64,MATCH(B271,September!$D$3:$AH$3)+1)+INDEX(September!$C$3:$AH$169,69,MATCH(B271,September!$D$3:$AH$3)+1)+INDEX(September!$C$3:$AH$169,74,MATCH(B271,September!$D$3:$AH$3)+1)+INDEX(September!$C$3:$AH$169,79,MATCH(B271,September!$D$3:$AH$3)+1)+INDEX(September!$C$3:$AH$169,84,MATCH(B271,September!$D$3:$AH$3)+1)+INDEX(September!$C$3:$AH$169,89,MATCH(B271,September!$D$3:$AH$3)+1)+INDEX(September!$C$3:$AH$169,94,MATCH(B271,September!$D$3:$AH$3)+1)+INDEX(September!$C$3:$AH$169,99,MATCH(B271,September!$D$3:$AH$3)+1)+INDEX(September!$C$3:$AH$169,104,MATCH(B271,September!$D$3:$AH$3)+1)+INDEX(September!$C$3:$AH$169,109,MATCH(B271,September!$D$3:$AH$3)+1)+INDEX(September!$C$3:$AH$169,114,MATCH(B271,September!$D$3:$AH$3)+1)+INDEX(September!$C$3:$AH$169,119,MATCH(B271,September!$D$3:$AH$3)+1)+INDEX(September!$C$3:$AH$169,124,MATCH(B271,September!$D$3:$AH$3)+1)+INDEX(September!$C$3:$AH$169,129,MATCH(B271,September!$D$3:$AH$3)+1)+INDEX(September!$C$3:$AH$169,134,MATCH(B271,September!$D$3:$AH$3)+1)+INDEX(September!$C$3:$AH$169,139,MATCH(B271,September!$D$3:$AH$3)+1)+INDEX(September!$C$3:$AH$169,144,MATCH(B271,September!$D$3:$AH$3)+1)+INDEX(September!$C$3:$AH$169,149,MATCH(B271,September!$D$3:$AH$3)+1)-INDEX(September!$B$5:$AH$169,MATCH("Patrick Janssen",September!$B$5:$B$169)+1,MATCH(B271,September!$D$3:$AH$3)+2)-INDEX(September!$B$5:$AH$169,MATCH("Patrick Ziesen",September!$B$5:$B$169)+1,MATCH(B271,September!$D$3:$AH$3)+2)-INDEX(September!$B$5:$AH$169,MATCH("Frido Meijer",September!$B$5:$B$169)+1,MATCH(B271,September!$D$3:$AH$3)+2)</f>
        <v>0</v>
      </c>
      <c r="I271" s="130">
        <v>0</v>
      </c>
      <c r="J271" s="130">
        <v>0</v>
      </c>
      <c r="L271" s="124"/>
      <c r="M271" s="111"/>
      <c r="N271" s="111">
        <f t="shared" si="81"/>
        <v>0</v>
      </c>
      <c r="P271" s="112" t="str">
        <f t="shared" si="86"/>
        <v/>
      </c>
      <c r="Q271" s="112" t="str">
        <f t="shared" si="87"/>
        <v/>
      </c>
    </row>
    <row r="272" spans="2:17" x14ac:dyDescent="0.25">
      <c r="B272" s="110">
        <f>DATE(Title!$F$12,$S$13,S12)</f>
        <v>41525</v>
      </c>
      <c r="C272" s="111">
        <f>IF(WEEKDAY(B272)=1,0,IF(WEEKDAY(B272)=4,'Hours Scheduled'!$K$44-1,IF(WEEKDAY(B272)=7,0,'Hours Scheduled'!$K$44)))</f>
        <v>0</v>
      </c>
      <c r="D272" s="17">
        <f t="shared" si="84"/>
        <v>0</v>
      </c>
      <c r="E272" s="127">
        <f t="shared" si="85"/>
        <v>0</v>
      </c>
      <c r="F272" s="111"/>
      <c r="G272" s="130">
        <f>INDEX(September!$C$3:$AH$169,3,MATCH(B272,September!$D$3:$AH$3)+1)+INDEX(September!$C$3:$AH$169,8,MATCH(B272,September!$D$3:$AH$3)+1)+INDEX(September!$C$3:$AH$169,13,MATCH(B272,September!$D$3:$AH$3)+1)+INDEX(September!$C$3:$AH$169,18,MATCH(B272,September!$D$3:$AH$3)+1)+INDEX(September!$C$3:$AH$169,23,MATCH(B272,September!$D$3:$AH$3)+1)+INDEX(September!$C$3:$AH$169,28,MATCH(B272,September!$D$3:$AH$3)+1)+INDEX(September!$C$3:$AH$169,33,MATCH(B272,September!$D$3:$AH$3)+1)+INDEX(September!$C$3:$AH$169,38,MATCH(B272,September!$D$3:$AH$3)+1)+INDEX(September!$C$3:$AH$169,43,MATCH(B272,September!$D$3:$AH$3)+1)+INDEX(September!$C$3:$AH$169,48,MATCH(B272,September!$D$3:$AH$3)+1)+INDEX(September!$C$3:$AH$169,53,MATCH(B272,September!$D$3:$AH$3)+1)+INDEX(September!$C$3:$AH$169,58,MATCH(B272,September!$D$3:$AH$3)+1)+INDEX(September!$C$3:$AH$169,63,MATCH(B272,September!$D$3:$AH$3)+1)+INDEX(September!$C$3:$AH$169,68,MATCH(B272,September!$D$3:$AH$3)+1)+INDEX(September!$C$3:$AH$169,73,MATCH(B272,September!$D$3:$AH$3)+1)+INDEX(September!$C$3:$AH$169,78,MATCH(B272,September!$D$3:$AH$3)+1)+INDEX(September!$C$3:$AH$169,83,MATCH(B272,September!$D$3:$AH$3)+1)+INDEX(September!$C$3:$AH$169,88,MATCH(B272,September!$D$3:$AH$3)+1)+INDEX(September!$C$3:$AH$169,93,MATCH(B272,September!$D$3:$AH$3)+1)+INDEX(September!$C$3:$AH$169,98,MATCH(B272,September!$D$3:$AH$3)+1)+INDEX(September!$C$3:$AH$169,103,MATCH(B272,September!$D$3:$AH$3)+1)+INDEX(September!$C$3:$AH$169,108,MATCH(B272,September!$D$3:$AH$3)+1)+INDEX(September!$C$3:$AH$169,113,MATCH(B272,September!$D$3:$AH$3)+1)+INDEX(September!$C$3:$AH$169,118,MATCH(B272,September!$D$3:$AH$3)+1)+INDEX(September!$C$3:$AH$169,123,MATCH(B272,September!$D$3:$AH$3)+1)+INDEX(September!$C$3:$AH$169,128,MATCH(B272,September!$D$3:$AH$3)+1)+INDEX(September!$C$3:$AH$169,133,MATCH(B272,September!$D$3:$AH$3)+1)+INDEX(September!$C$3:$AH$169,138,MATCH(B272,September!$D$3:$AH$3)+1)+INDEX(September!$C$3:$AH$169,143,MATCH(B272,September!$D$3:$AH$3)+1)+INDEX(September!$C$3:$AH$169,148,MATCH(B272,September!$D$3:$AH$3)+1)-INDEX(September!$B$5:$AH$169,MATCH("Patrick Janssen",September!$B$5:$B$169),MATCH(B272,September!$D$3:$AH$3)+2)-INDEX(September!$B$5:$AH$169,MATCH("Patrick Ziesen",September!$B$5:$B$169),MATCH(B272,September!$D$3:$AH$3)+2)-INDEX(September!$B$5:$AH$169,MATCH("Frido Meijer",September!$B$5:$B$169),MATCH(B272,September!$D$3:$AH$3)+2)</f>
        <v>0</v>
      </c>
      <c r="H272" s="130">
        <f>INDEX(September!$C$3:$AH$169,4,MATCH(B272,September!$D$3:$AH$3)+1)+INDEX(September!$C$3:$AH$169,9,MATCH(B272,September!$D$3:$AH$3)+1)+INDEX(September!$C$3:$AH$169,14,MATCH(B272,September!$D$3:$AH$3)+1)+INDEX(September!$C$3:$AH$169,19,MATCH(B272,September!$D$3:$AH$3)+1)+INDEX(September!$C$3:$AH$169,24,MATCH(B272,September!$D$3:$AH$3)+1)+INDEX(September!$C$3:$AH$169,29,MATCH(B272,September!$D$3:$AH$3)+1)+INDEX(September!$C$3:$AH$169,34,MATCH(B272,September!$D$3:$AH$3)+1)+INDEX(September!$C$3:$AH$169,39,MATCH(B272,September!$D$3:$AH$3)+1)+INDEX(September!$C$3:$AH$169,44,MATCH(B272,September!$D$3:$AH$3)+1)+INDEX(September!$C$3:$AH$169,49,MATCH(B272,September!$D$3:$AH$3)+1)+INDEX(September!$C$3:$AH$169,54,MATCH(B272,September!$D$3:$AH$3)+1)+INDEX(September!$C$3:$AH$169,59,MATCH(B272,September!$D$3:$AH$3)+1)+INDEX(September!$C$3:$AH$169,64,MATCH(B272,September!$D$3:$AH$3)+1)+INDEX(September!$C$3:$AH$169,69,MATCH(B272,September!$D$3:$AH$3)+1)+INDEX(September!$C$3:$AH$169,74,MATCH(B272,September!$D$3:$AH$3)+1)+INDEX(September!$C$3:$AH$169,79,MATCH(B272,September!$D$3:$AH$3)+1)+INDEX(September!$C$3:$AH$169,84,MATCH(B272,September!$D$3:$AH$3)+1)+INDEX(September!$C$3:$AH$169,89,MATCH(B272,September!$D$3:$AH$3)+1)+INDEX(September!$C$3:$AH$169,94,MATCH(B272,September!$D$3:$AH$3)+1)+INDEX(September!$C$3:$AH$169,99,MATCH(B272,September!$D$3:$AH$3)+1)+INDEX(September!$C$3:$AH$169,104,MATCH(B272,September!$D$3:$AH$3)+1)+INDEX(September!$C$3:$AH$169,109,MATCH(B272,September!$D$3:$AH$3)+1)+INDEX(September!$C$3:$AH$169,114,MATCH(B272,September!$D$3:$AH$3)+1)+INDEX(September!$C$3:$AH$169,119,MATCH(B272,September!$D$3:$AH$3)+1)+INDEX(September!$C$3:$AH$169,124,MATCH(B272,September!$D$3:$AH$3)+1)+INDEX(September!$C$3:$AH$169,129,MATCH(B272,September!$D$3:$AH$3)+1)+INDEX(September!$C$3:$AH$169,134,MATCH(B272,September!$D$3:$AH$3)+1)+INDEX(September!$C$3:$AH$169,139,MATCH(B272,September!$D$3:$AH$3)+1)+INDEX(September!$C$3:$AH$169,144,MATCH(B272,September!$D$3:$AH$3)+1)+INDEX(September!$C$3:$AH$169,149,MATCH(B272,September!$D$3:$AH$3)+1)-INDEX(September!$B$5:$AH$169,MATCH("Patrick Janssen",September!$B$5:$B$169)+1,MATCH(B272,September!$D$3:$AH$3)+2)-INDEX(September!$B$5:$AH$169,MATCH("Patrick Ziesen",September!$B$5:$B$169)+1,MATCH(B272,September!$D$3:$AH$3)+2)-INDEX(September!$B$5:$AH$169,MATCH("Frido Meijer",September!$B$5:$B$169)+1,MATCH(B272,September!$D$3:$AH$3)+2)</f>
        <v>0</v>
      </c>
      <c r="I272" s="130">
        <v>0</v>
      </c>
      <c r="J272" s="130">
        <v>0</v>
      </c>
      <c r="L272" s="124"/>
      <c r="M272" s="111"/>
      <c r="N272" s="111">
        <f t="shared" si="81"/>
        <v>0</v>
      </c>
      <c r="P272" s="112" t="str">
        <f t="shared" si="86"/>
        <v/>
      </c>
      <c r="Q272" s="112" t="str">
        <f t="shared" si="87"/>
        <v/>
      </c>
    </row>
    <row r="273" spans="2:17" x14ac:dyDescent="0.25">
      <c r="B273" s="110">
        <f>DATE(Title!$F$12,$S$13,S13)</f>
        <v>41526</v>
      </c>
      <c r="C273" s="111">
        <f>IF(WEEKDAY(B273)=1,0,IF(WEEKDAY(B273)=4,'Hours Scheduled'!$K$44-1,IF(WEEKDAY(B273)=7,0,'Hours Scheduled'!$K$44)))</f>
        <v>21</v>
      </c>
      <c r="D273" s="17">
        <f t="shared" si="84"/>
        <v>157.5</v>
      </c>
      <c r="E273" s="127">
        <f t="shared" si="85"/>
        <v>160</v>
      </c>
      <c r="F273" s="111"/>
      <c r="G273" s="130">
        <f>INDEX(September!$C$3:$AH$169,3,MATCH(B273,September!$D$3:$AH$3)+1)+INDEX(September!$C$3:$AH$169,8,MATCH(B273,September!$D$3:$AH$3)+1)+INDEX(September!$C$3:$AH$169,13,MATCH(B273,September!$D$3:$AH$3)+1)+INDEX(September!$C$3:$AH$169,18,MATCH(B273,September!$D$3:$AH$3)+1)+INDEX(September!$C$3:$AH$169,23,MATCH(B273,September!$D$3:$AH$3)+1)+INDEX(September!$C$3:$AH$169,28,MATCH(B273,September!$D$3:$AH$3)+1)+INDEX(September!$C$3:$AH$169,33,MATCH(B273,September!$D$3:$AH$3)+1)+INDEX(September!$C$3:$AH$169,38,MATCH(B273,September!$D$3:$AH$3)+1)+INDEX(September!$C$3:$AH$169,43,MATCH(B273,September!$D$3:$AH$3)+1)+INDEX(September!$C$3:$AH$169,48,MATCH(B273,September!$D$3:$AH$3)+1)+INDEX(September!$C$3:$AH$169,53,MATCH(B273,September!$D$3:$AH$3)+1)+INDEX(September!$C$3:$AH$169,58,MATCH(B273,September!$D$3:$AH$3)+1)+INDEX(September!$C$3:$AH$169,63,MATCH(B273,September!$D$3:$AH$3)+1)+INDEX(September!$C$3:$AH$169,68,MATCH(B273,September!$D$3:$AH$3)+1)+INDEX(September!$C$3:$AH$169,73,MATCH(B273,September!$D$3:$AH$3)+1)+INDEX(September!$C$3:$AH$169,78,MATCH(B273,September!$D$3:$AH$3)+1)+INDEX(September!$C$3:$AH$169,83,MATCH(B273,September!$D$3:$AH$3)+1)+INDEX(September!$C$3:$AH$169,88,MATCH(B273,September!$D$3:$AH$3)+1)+INDEX(September!$C$3:$AH$169,93,MATCH(B273,September!$D$3:$AH$3)+1)+INDEX(September!$C$3:$AH$169,98,MATCH(B273,September!$D$3:$AH$3)+1)+INDEX(September!$C$3:$AH$169,103,MATCH(B273,September!$D$3:$AH$3)+1)+INDEX(September!$C$3:$AH$169,108,MATCH(B273,September!$D$3:$AH$3)+1)+INDEX(September!$C$3:$AH$169,113,MATCH(B273,September!$D$3:$AH$3)+1)+INDEX(September!$C$3:$AH$169,118,MATCH(B273,September!$D$3:$AH$3)+1)+INDEX(September!$C$3:$AH$169,123,MATCH(B273,September!$D$3:$AH$3)+1)+INDEX(September!$C$3:$AH$169,128,MATCH(B273,September!$D$3:$AH$3)+1)+INDEX(September!$C$3:$AH$169,133,MATCH(B273,September!$D$3:$AH$3)+1)+INDEX(September!$C$3:$AH$169,138,MATCH(B273,September!$D$3:$AH$3)+1)+INDEX(September!$C$3:$AH$169,143,MATCH(B273,September!$D$3:$AH$3)+1)+INDEX(September!$C$3:$AH$169,148,MATCH(B273,September!$D$3:$AH$3)+1)-INDEX(September!$B$5:$AH$169,MATCH("Patrick Janssen",September!$B$5:$B$169),MATCH(B273,September!$D$3:$AH$3)+2)-INDEX(September!$B$5:$AH$169,MATCH("Patrick Ziesen",September!$B$5:$B$169),MATCH(B273,September!$D$3:$AH$3)+2)-INDEX(September!$B$5:$AH$169,MATCH("Frido Meijer",September!$B$5:$B$169),MATCH(B273,September!$D$3:$AH$3)+2)</f>
        <v>8</v>
      </c>
      <c r="H273" s="130">
        <f>INDEX(September!$C$3:$AH$169,4,MATCH(B273,September!$D$3:$AH$3)+1)+INDEX(September!$C$3:$AH$169,9,MATCH(B273,September!$D$3:$AH$3)+1)+INDEX(September!$C$3:$AH$169,14,MATCH(B273,September!$D$3:$AH$3)+1)+INDEX(September!$C$3:$AH$169,19,MATCH(B273,September!$D$3:$AH$3)+1)+INDEX(September!$C$3:$AH$169,24,MATCH(B273,September!$D$3:$AH$3)+1)+INDEX(September!$C$3:$AH$169,29,MATCH(B273,September!$D$3:$AH$3)+1)+INDEX(September!$C$3:$AH$169,34,MATCH(B273,September!$D$3:$AH$3)+1)+INDEX(September!$C$3:$AH$169,39,MATCH(B273,September!$D$3:$AH$3)+1)+INDEX(September!$C$3:$AH$169,44,MATCH(B273,September!$D$3:$AH$3)+1)+INDEX(September!$C$3:$AH$169,49,MATCH(B273,September!$D$3:$AH$3)+1)+INDEX(September!$C$3:$AH$169,54,MATCH(B273,September!$D$3:$AH$3)+1)+INDEX(September!$C$3:$AH$169,59,MATCH(B273,September!$D$3:$AH$3)+1)+INDEX(September!$C$3:$AH$169,64,MATCH(B273,September!$D$3:$AH$3)+1)+INDEX(September!$C$3:$AH$169,69,MATCH(B273,September!$D$3:$AH$3)+1)+INDEX(September!$C$3:$AH$169,74,MATCH(B273,September!$D$3:$AH$3)+1)+INDEX(September!$C$3:$AH$169,79,MATCH(B273,September!$D$3:$AH$3)+1)+INDEX(September!$C$3:$AH$169,84,MATCH(B273,September!$D$3:$AH$3)+1)+INDEX(September!$C$3:$AH$169,89,MATCH(B273,September!$D$3:$AH$3)+1)+INDEX(September!$C$3:$AH$169,94,MATCH(B273,September!$D$3:$AH$3)+1)+INDEX(September!$C$3:$AH$169,99,MATCH(B273,September!$D$3:$AH$3)+1)+INDEX(September!$C$3:$AH$169,104,MATCH(B273,September!$D$3:$AH$3)+1)+INDEX(September!$C$3:$AH$169,109,MATCH(B273,September!$D$3:$AH$3)+1)+INDEX(September!$C$3:$AH$169,114,MATCH(B273,September!$D$3:$AH$3)+1)+INDEX(September!$C$3:$AH$169,119,MATCH(B273,September!$D$3:$AH$3)+1)+INDEX(September!$C$3:$AH$169,124,MATCH(B273,September!$D$3:$AH$3)+1)+INDEX(September!$C$3:$AH$169,129,MATCH(B273,September!$D$3:$AH$3)+1)+INDEX(September!$C$3:$AH$169,134,MATCH(B273,September!$D$3:$AH$3)+1)+INDEX(September!$C$3:$AH$169,139,MATCH(B273,September!$D$3:$AH$3)+1)+INDEX(September!$C$3:$AH$169,144,MATCH(B273,September!$D$3:$AH$3)+1)+INDEX(September!$C$3:$AH$169,149,MATCH(B273,September!$D$3:$AH$3)+1)-INDEX(September!$B$5:$AH$169,MATCH("Patrick Janssen",September!$B$5:$B$169)+1,MATCH(B273,September!$D$3:$AH$3)+2)-INDEX(September!$B$5:$AH$169,MATCH("Patrick Ziesen",September!$B$5:$B$169)+1,MATCH(B273,September!$D$3:$AH$3)+2)-INDEX(September!$B$5:$AH$169,MATCH("Frido Meijer",September!$B$5:$B$169)+1,MATCH(B273,September!$D$3:$AH$3)+2)</f>
        <v>0</v>
      </c>
      <c r="I273" s="130">
        <v>0</v>
      </c>
      <c r="J273" s="130">
        <v>0</v>
      </c>
      <c r="L273" s="124"/>
      <c r="M273" s="111"/>
      <c r="N273" s="111">
        <f t="shared" si="81"/>
        <v>0</v>
      </c>
      <c r="P273" s="112">
        <f t="shared" si="86"/>
        <v>0</v>
      </c>
      <c r="Q273" s="112">
        <f t="shared" si="87"/>
        <v>0</v>
      </c>
    </row>
    <row r="274" spans="2:17" x14ac:dyDescent="0.25">
      <c r="B274" s="110">
        <f>DATE(Title!$F$12,$S$13,S14)</f>
        <v>41527</v>
      </c>
      <c r="C274" s="111">
        <f>IF(WEEKDAY(B274)=1,0,IF(WEEKDAY(B274)=4,'Hours Scheduled'!$K$44-1,IF(WEEKDAY(B274)=7,0,'Hours Scheduled'!$K$44)))</f>
        <v>21</v>
      </c>
      <c r="D274" s="17">
        <f t="shared" si="84"/>
        <v>157.5</v>
      </c>
      <c r="E274" s="127">
        <f t="shared" si="85"/>
        <v>160</v>
      </c>
      <c r="F274" s="111"/>
      <c r="G274" s="130">
        <f>INDEX(September!$C$3:$AH$169,3,MATCH(B274,September!$D$3:$AH$3)+1)+INDEX(September!$C$3:$AH$169,8,MATCH(B274,September!$D$3:$AH$3)+1)+INDEX(September!$C$3:$AH$169,13,MATCH(B274,September!$D$3:$AH$3)+1)+INDEX(September!$C$3:$AH$169,18,MATCH(B274,September!$D$3:$AH$3)+1)+INDEX(September!$C$3:$AH$169,23,MATCH(B274,September!$D$3:$AH$3)+1)+INDEX(September!$C$3:$AH$169,28,MATCH(B274,September!$D$3:$AH$3)+1)+INDEX(September!$C$3:$AH$169,33,MATCH(B274,September!$D$3:$AH$3)+1)+INDEX(September!$C$3:$AH$169,38,MATCH(B274,September!$D$3:$AH$3)+1)+INDEX(September!$C$3:$AH$169,43,MATCH(B274,September!$D$3:$AH$3)+1)+INDEX(September!$C$3:$AH$169,48,MATCH(B274,September!$D$3:$AH$3)+1)+INDEX(September!$C$3:$AH$169,53,MATCH(B274,September!$D$3:$AH$3)+1)+INDEX(September!$C$3:$AH$169,58,MATCH(B274,September!$D$3:$AH$3)+1)+INDEX(September!$C$3:$AH$169,63,MATCH(B274,September!$D$3:$AH$3)+1)+INDEX(September!$C$3:$AH$169,68,MATCH(B274,September!$D$3:$AH$3)+1)+INDEX(September!$C$3:$AH$169,73,MATCH(B274,September!$D$3:$AH$3)+1)+INDEX(September!$C$3:$AH$169,78,MATCH(B274,September!$D$3:$AH$3)+1)+INDEX(September!$C$3:$AH$169,83,MATCH(B274,September!$D$3:$AH$3)+1)+INDEX(September!$C$3:$AH$169,88,MATCH(B274,September!$D$3:$AH$3)+1)+INDEX(September!$C$3:$AH$169,93,MATCH(B274,September!$D$3:$AH$3)+1)+INDEX(September!$C$3:$AH$169,98,MATCH(B274,September!$D$3:$AH$3)+1)+INDEX(September!$C$3:$AH$169,103,MATCH(B274,September!$D$3:$AH$3)+1)+INDEX(September!$C$3:$AH$169,108,MATCH(B274,September!$D$3:$AH$3)+1)+INDEX(September!$C$3:$AH$169,113,MATCH(B274,September!$D$3:$AH$3)+1)+INDEX(September!$C$3:$AH$169,118,MATCH(B274,September!$D$3:$AH$3)+1)+INDEX(September!$C$3:$AH$169,123,MATCH(B274,September!$D$3:$AH$3)+1)+INDEX(September!$C$3:$AH$169,128,MATCH(B274,September!$D$3:$AH$3)+1)+INDEX(September!$C$3:$AH$169,133,MATCH(B274,September!$D$3:$AH$3)+1)+INDEX(September!$C$3:$AH$169,138,MATCH(B274,September!$D$3:$AH$3)+1)+INDEX(September!$C$3:$AH$169,143,MATCH(B274,September!$D$3:$AH$3)+1)+INDEX(September!$C$3:$AH$169,148,MATCH(B274,September!$D$3:$AH$3)+1)-INDEX(September!$B$5:$AH$169,MATCH("Patrick Janssen",September!$B$5:$B$169),MATCH(B274,September!$D$3:$AH$3)+2)-INDEX(September!$B$5:$AH$169,MATCH("Patrick Ziesen",September!$B$5:$B$169),MATCH(B274,September!$D$3:$AH$3)+2)-INDEX(September!$B$5:$AH$169,MATCH("Frido Meijer",September!$B$5:$B$169),MATCH(B274,September!$D$3:$AH$3)+2)</f>
        <v>8</v>
      </c>
      <c r="H274" s="130">
        <f>INDEX(September!$C$3:$AH$169,4,MATCH(B274,September!$D$3:$AH$3)+1)+INDEX(September!$C$3:$AH$169,9,MATCH(B274,September!$D$3:$AH$3)+1)+INDEX(September!$C$3:$AH$169,14,MATCH(B274,September!$D$3:$AH$3)+1)+INDEX(September!$C$3:$AH$169,19,MATCH(B274,September!$D$3:$AH$3)+1)+INDEX(September!$C$3:$AH$169,24,MATCH(B274,September!$D$3:$AH$3)+1)+INDEX(September!$C$3:$AH$169,29,MATCH(B274,September!$D$3:$AH$3)+1)+INDEX(September!$C$3:$AH$169,34,MATCH(B274,September!$D$3:$AH$3)+1)+INDEX(September!$C$3:$AH$169,39,MATCH(B274,September!$D$3:$AH$3)+1)+INDEX(September!$C$3:$AH$169,44,MATCH(B274,September!$D$3:$AH$3)+1)+INDEX(September!$C$3:$AH$169,49,MATCH(B274,September!$D$3:$AH$3)+1)+INDEX(September!$C$3:$AH$169,54,MATCH(B274,September!$D$3:$AH$3)+1)+INDEX(September!$C$3:$AH$169,59,MATCH(B274,September!$D$3:$AH$3)+1)+INDEX(September!$C$3:$AH$169,64,MATCH(B274,September!$D$3:$AH$3)+1)+INDEX(September!$C$3:$AH$169,69,MATCH(B274,September!$D$3:$AH$3)+1)+INDEX(September!$C$3:$AH$169,74,MATCH(B274,September!$D$3:$AH$3)+1)+INDEX(September!$C$3:$AH$169,79,MATCH(B274,September!$D$3:$AH$3)+1)+INDEX(September!$C$3:$AH$169,84,MATCH(B274,September!$D$3:$AH$3)+1)+INDEX(September!$C$3:$AH$169,89,MATCH(B274,September!$D$3:$AH$3)+1)+INDEX(September!$C$3:$AH$169,94,MATCH(B274,September!$D$3:$AH$3)+1)+INDEX(September!$C$3:$AH$169,99,MATCH(B274,September!$D$3:$AH$3)+1)+INDEX(September!$C$3:$AH$169,104,MATCH(B274,September!$D$3:$AH$3)+1)+INDEX(September!$C$3:$AH$169,109,MATCH(B274,September!$D$3:$AH$3)+1)+INDEX(September!$C$3:$AH$169,114,MATCH(B274,September!$D$3:$AH$3)+1)+INDEX(September!$C$3:$AH$169,119,MATCH(B274,September!$D$3:$AH$3)+1)+INDEX(September!$C$3:$AH$169,124,MATCH(B274,September!$D$3:$AH$3)+1)+INDEX(September!$C$3:$AH$169,129,MATCH(B274,September!$D$3:$AH$3)+1)+INDEX(September!$C$3:$AH$169,134,MATCH(B274,September!$D$3:$AH$3)+1)+INDEX(September!$C$3:$AH$169,139,MATCH(B274,September!$D$3:$AH$3)+1)+INDEX(September!$C$3:$AH$169,144,MATCH(B274,September!$D$3:$AH$3)+1)+INDEX(September!$C$3:$AH$169,149,MATCH(B274,September!$D$3:$AH$3)+1)-INDEX(September!$B$5:$AH$169,MATCH("Patrick Janssen",September!$B$5:$B$169)+1,MATCH(B274,September!$D$3:$AH$3)+2)-INDEX(September!$B$5:$AH$169,MATCH("Patrick Ziesen",September!$B$5:$B$169)+1,MATCH(B274,September!$D$3:$AH$3)+2)-INDEX(September!$B$5:$AH$169,MATCH("Frido Meijer",September!$B$5:$B$169)+1,MATCH(B274,September!$D$3:$AH$3)+2)</f>
        <v>0</v>
      </c>
      <c r="I274" s="130">
        <v>0</v>
      </c>
      <c r="J274" s="130">
        <v>0</v>
      </c>
      <c r="L274" s="124"/>
      <c r="M274" s="111"/>
      <c r="N274" s="111">
        <f t="shared" si="81"/>
        <v>0</v>
      </c>
      <c r="P274" s="112">
        <f t="shared" si="86"/>
        <v>0</v>
      </c>
      <c r="Q274" s="112">
        <f t="shared" si="87"/>
        <v>0</v>
      </c>
    </row>
    <row r="275" spans="2:17" x14ac:dyDescent="0.25">
      <c r="B275" s="110">
        <f>DATE(Title!$F$12,$S$13,S15)</f>
        <v>41528</v>
      </c>
      <c r="C275" s="111">
        <f>IF(WEEKDAY(B275)=1,0,IF(WEEKDAY(B275)=4,'Hours Scheduled'!$K$44-1,IF(WEEKDAY(B275)=7,0,'Hours Scheduled'!$K$44)))</f>
        <v>20</v>
      </c>
      <c r="D275" s="17">
        <f t="shared" si="84"/>
        <v>150</v>
      </c>
      <c r="E275" s="127">
        <f t="shared" si="85"/>
        <v>152</v>
      </c>
      <c r="F275" s="111"/>
      <c r="G275" s="130">
        <f>INDEX(September!$C$3:$AH$169,3,MATCH(B275,September!$D$3:$AH$3)+1)+INDEX(September!$C$3:$AH$169,8,MATCH(B275,September!$D$3:$AH$3)+1)+INDEX(September!$C$3:$AH$169,13,MATCH(B275,September!$D$3:$AH$3)+1)+INDEX(September!$C$3:$AH$169,18,MATCH(B275,September!$D$3:$AH$3)+1)+INDEX(September!$C$3:$AH$169,23,MATCH(B275,September!$D$3:$AH$3)+1)+INDEX(September!$C$3:$AH$169,28,MATCH(B275,September!$D$3:$AH$3)+1)+INDEX(September!$C$3:$AH$169,33,MATCH(B275,September!$D$3:$AH$3)+1)+INDEX(September!$C$3:$AH$169,38,MATCH(B275,September!$D$3:$AH$3)+1)+INDEX(September!$C$3:$AH$169,43,MATCH(B275,September!$D$3:$AH$3)+1)+INDEX(September!$C$3:$AH$169,48,MATCH(B275,September!$D$3:$AH$3)+1)+INDEX(September!$C$3:$AH$169,53,MATCH(B275,September!$D$3:$AH$3)+1)+INDEX(September!$C$3:$AH$169,58,MATCH(B275,September!$D$3:$AH$3)+1)+INDEX(September!$C$3:$AH$169,63,MATCH(B275,September!$D$3:$AH$3)+1)+INDEX(September!$C$3:$AH$169,68,MATCH(B275,September!$D$3:$AH$3)+1)+INDEX(September!$C$3:$AH$169,73,MATCH(B275,September!$D$3:$AH$3)+1)+INDEX(September!$C$3:$AH$169,78,MATCH(B275,September!$D$3:$AH$3)+1)+INDEX(September!$C$3:$AH$169,83,MATCH(B275,September!$D$3:$AH$3)+1)+INDEX(September!$C$3:$AH$169,88,MATCH(B275,September!$D$3:$AH$3)+1)+INDEX(September!$C$3:$AH$169,93,MATCH(B275,September!$D$3:$AH$3)+1)+INDEX(September!$C$3:$AH$169,98,MATCH(B275,September!$D$3:$AH$3)+1)+INDEX(September!$C$3:$AH$169,103,MATCH(B275,September!$D$3:$AH$3)+1)+INDEX(September!$C$3:$AH$169,108,MATCH(B275,September!$D$3:$AH$3)+1)+INDEX(September!$C$3:$AH$169,113,MATCH(B275,September!$D$3:$AH$3)+1)+INDEX(September!$C$3:$AH$169,118,MATCH(B275,September!$D$3:$AH$3)+1)+INDEX(September!$C$3:$AH$169,123,MATCH(B275,September!$D$3:$AH$3)+1)+INDEX(September!$C$3:$AH$169,128,MATCH(B275,September!$D$3:$AH$3)+1)+INDEX(September!$C$3:$AH$169,133,MATCH(B275,September!$D$3:$AH$3)+1)+INDEX(September!$C$3:$AH$169,138,MATCH(B275,September!$D$3:$AH$3)+1)+INDEX(September!$C$3:$AH$169,143,MATCH(B275,September!$D$3:$AH$3)+1)+INDEX(September!$C$3:$AH$169,148,MATCH(B275,September!$D$3:$AH$3)+1)-INDEX(September!$B$5:$AH$169,MATCH("Patrick Janssen",September!$B$5:$B$169),MATCH(B275,September!$D$3:$AH$3)+2)-INDEX(September!$B$5:$AH$169,MATCH("Patrick Ziesen",September!$B$5:$B$169),MATCH(B275,September!$D$3:$AH$3)+2)-INDEX(September!$B$5:$AH$169,MATCH("Frido Meijer",September!$B$5:$B$169),MATCH(B275,September!$D$3:$AH$3)+2)</f>
        <v>8</v>
      </c>
      <c r="H275" s="130">
        <f>INDEX(September!$C$3:$AH$169,4,MATCH(B275,September!$D$3:$AH$3)+1)+INDEX(September!$C$3:$AH$169,9,MATCH(B275,September!$D$3:$AH$3)+1)+INDEX(September!$C$3:$AH$169,14,MATCH(B275,September!$D$3:$AH$3)+1)+INDEX(September!$C$3:$AH$169,19,MATCH(B275,September!$D$3:$AH$3)+1)+INDEX(September!$C$3:$AH$169,24,MATCH(B275,September!$D$3:$AH$3)+1)+INDEX(September!$C$3:$AH$169,29,MATCH(B275,September!$D$3:$AH$3)+1)+INDEX(September!$C$3:$AH$169,34,MATCH(B275,September!$D$3:$AH$3)+1)+INDEX(September!$C$3:$AH$169,39,MATCH(B275,September!$D$3:$AH$3)+1)+INDEX(September!$C$3:$AH$169,44,MATCH(B275,September!$D$3:$AH$3)+1)+INDEX(September!$C$3:$AH$169,49,MATCH(B275,September!$D$3:$AH$3)+1)+INDEX(September!$C$3:$AH$169,54,MATCH(B275,September!$D$3:$AH$3)+1)+INDEX(September!$C$3:$AH$169,59,MATCH(B275,September!$D$3:$AH$3)+1)+INDEX(September!$C$3:$AH$169,64,MATCH(B275,September!$D$3:$AH$3)+1)+INDEX(September!$C$3:$AH$169,69,MATCH(B275,September!$D$3:$AH$3)+1)+INDEX(September!$C$3:$AH$169,74,MATCH(B275,September!$D$3:$AH$3)+1)+INDEX(September!$C$3:$AH$169,79,MATCH(B275,September!$D$3:$AH$3)+1)+INDEX(September!$C$3:$AH$169,84,MATCH(B275,September!$D$3:$AH$3)+1)+INDEX(September!$C$3:$AH$169,89,MATCH(B275,September!$D$3:$AH$3)+1)+INDEX(September!$C$3:$AH$169,94,MATCH(B275,September!$D$3:$AH$3)+1)+INDEX(September!$C$3:$AH$169,99,MATCH(B275,September!$D$3:$AH$3)+1)+INDEX(September!$C$3:$AH$169,104,MATCH(B275,September!$D$3:$AH$3)+1)+INDEX(September!$C$3:$AH$169,109,MATCH(B275,September!$D$3:$AH$3)+1)+INDEX(September!$C$3:$AH$169,114,MATCH(B275,September!$D$3:$AH$3)+1)+INDEX(September!$C$3:$AH$169,119,MATCH(B275,September!$D$3:$AH$3)+1)+INDEX(September!$C$3:$AH$169,124,MATCH(B275,September!$D$3:$AH$3)+1)+INDEX(September!$C$3:$AH$169,129,MATCH(B275,September!$D$3:$AH$3)+1)+INDEX(September!$C$3:$AH$169,134,MATCH(B275,September!$D$3:$AH$3)+1)+INDEX(September!$C$3:$AH$169,139,MATCH(B275,September!$D$3:$AH$3)+1)+INDEX(September!$C$3:$AH$169,144,MATCH(B275,September!$D$3:$AH$3)+1)+INDEX(September!$C$3:$AH$169,149,MATCH(B275,September!$D$3:$AH$3)+1)-INDEX(September!$B$5:$AH$169,MATCH("Patrick Janssen",September!$B$5:$B$169)+1,MATCH(B275,September!$D$3:$AH$3)+2)-INDEX(September!$B$5:$AH$169,MATCH("Patrick Ziesen",September!$B$5:$B$169)+1,MATCH(B275,September!$D$3:$AH$3)+2)-INDEX(September!$B$5:$AH$169,MATCH("Frido Meijer",September!$B$5:$B$169)+1,MATCH(B275,September!$D$3:$AH$3)+2)</f>
        <v>0</v>
      </c>
      <c r="I275" s="130">
        <v>0</v>
      </c>
      <c r="J275" s="130">
        <v>0</v>
      </c>
      <c r="L275" s="124"/>
      <c r="M275" s="111"/>
      <c r="N275" s="111">
        <f t="shared" si="81"/>
        <v>0</v>
      </c>
      <c r="P275" s="112">
        <f t="shared" si="86"/>
        <v>0</v>
      </c>
      <c r="Q275" s="112">
        <f t="shared" si="87"/>
        <v>0</v>
      </c>
    </row>
    <row r="276" spans="2:17" x14ac:dyDescent="0.25">
      <c r="B276" s="110">
        <f>DATE(Title!$F$12,$S$13,S16)</f>
        <v>41529</v>
      </c>
      <c r="C276" s="111">
        <f>IF(WEEKDAY(B276)=1,0,IF(WEEKDAY(B276)=4,'Hours Scheduled'!$K$44-1,IF(WEEKDAY(B276)=7,0,'Hours Scheduled'!$K$44)))</f>
        <v>21</v>
      </c>
      <c r="D276" s="17">
        <f t="shared" si="84"/>
        <v>157.5</v>
      </c>
      <c r="E276" s="127">
        <f t="shared" si="85"/>
        <v>160</v>
      </c>
      <c r="F276" s="111"/>
      <c r="G276" s="130">
        <f>INDEX(September!$C$3:$AH$169,3,MATCH(B276,September!$D$3:$AH$3)+1)+INDEX(September!$C$3:$AH$169,8,MATCH(B276,September!$D$3:$AH$3)+1)+INDEX(September!$C$3:$AH$169,13,MATCH(B276,September!$D$3:$AH$3)+1)+INDEX(September!$C$3:$AH$169,18,MATCH(B276,September!$D$3:$AH$3)+1)+INDEX(September!$C$3:$AH$169,23,MATCH(B276,September!$D$3:$AH$3)+1)+INDEX(September!$C$3:$AH$169,28,MATCH(B276,September!$D$3:$AH$3)+1)+INDEX(September!$C$3:$AH$169,33,MATCH(B276,September!$D$3:$AH$3)+1)+INDEX(September!$C$3:$AH$169,38,MATCH(B276,September!$D$3:$AH$3)+1)+INDEX(September!$C$3:$AH$169,43,MATCH(B276,September!$D$3:$AH$3)+1)+INDEX(September!$C$3:$AH$169,48,MATCH(B276,September!$D$3:$AH$3)+1)+INDEX(September!$C$3:$AH$169,53,MATCH(B276,September!$D$3:$AH$3)+1)+INDEX(September!$C$3:$AH$169,58,MATCH(B276,September!$D$3:$AH$3)+1)+INDEX(September!$C$3:$AH$169,63,MATCH(B276,September!$D$3:$AH$3)+1)+INDEX(September!$C$3:$AH$169,68,MATCH(B276,September!$D$3:$AH$3)+1)+INDEX(September!$C$3:$AH$169,73,MATCH(B276,September!$D$3:$AH$3)+1)+INDEX(September!$C$3:$AH$169,78,MATCH(B276,September!$D$3:$AH$3)+1)+INDEX(September!$C$3:$AH$169,83,MATCH(B276,September!$D$3:$AH$3)+1)+INDEX(September!$C$3:$AH$169,88,MATCH(B276,September!$D$3:$AH$3)+1)+INDEX(September!$C$3:$AH$169,93,MATCH(B276,September!$D$3:$AH$3)+1)+INDEX(September!$C$3:$AH$169,98,MATCH(B276,September!$D$3:$AH$3)+1)+INDEX(September!$C$3:$AH$169,103,MATCH(B276,September!$D$3:$AH$3)+1)+INDEX(September!$C$3:$AH$169,108,MATCH(B276,September!$D$3:$AH$3)+1)+INDEX(September!$C$3:$AH$169,113,MATCH(B276,September!$D$3:$AH$3)+1)+INDEX(September!$C$3:$AH$169,118,MATCH(B276,September!$D$3:$AH$3)+1)+INDEX(September!$C$3:$AH$169,123,MATCH(B276,September!$D$3:$AH$3)+1)+INDEX(September!$C$3:$AH$169,128,MATCH(B276,September!$D$3:$AH$3)+1)+INDEX(September!$C$3:$AH$169,133,MATCH(B276,September!$D$3:$AH$3)+1)+INDEX(September!$C$3:$AH$169,138,MATCH(B276,September!$D$3:$AH$3)+1)+INDEX(September!$C$3:$AH$169,143,MATCH(B276,September!$D$3:$AH$3)+1)+INDEX(September!$C$3:$AH$169,148,MATCH(B276,September!$D$3:$AH$3)+1)-INDEX(September!$B$5:$AH$169,MATCH("Patrick Janssen",September!$B$5:$B$169),MATCH(B276,September!$D$3:$AH$3)+2)-INDEX(September!$B$5:$AH$169,MATCH("Patrick Ziesen",September!$B$5:$B$169),MATCH(B276,September!$D$3:$AH$3)+2)-INDEX(September!$B$5:$AH$169,MATCH("Frido Meijer",September!$B$5:$B$169),MATCH(B276,September!$D$3:$AH$3)+2)</f>
        <v>8</v>
      </c>
      <c r="H276" s="130">
        <f>INDEX(September!$C$3:$AH$169,4,MATCH(B276,September!$D$3:$AH$3)+1)+INDEX(September!$C$3:$AH$169,9,MATCH(B276,September!$D$3:$AH$3)+1)+INDEX(September!$C$3:$AH$169,14,MATCH(B276,September!$D$3:$AH$3)+1)+INDEX(September!$C$3:$AH$169,19,MATCH(B276,September!$D$3:$AH$3)+1)+INDEX(September!$C$3:$AH$169,24,MATCH(B276,September!$D$3:$AH$3)+1)+INDEX(September!$C$3:$AH$169,29,MATCH(B276,September!$D$3:$AH$3)+1)+INDEX(September!$C$3:$AH$169,34,MATCH(B276,September!$D$3:$AH$3)+1)+INDEX(September!$C$3:$AH$169,39,MATCH(B276,September!$D$3:$AH$3)+1)+INDEX(September!$C$3:$AH$169,44,MATCH(B276,September!$D$3:$AH$3)+1)+INDEX(September!$C$3:$AH$169,49,MATCH(B276,September!$D$3:$AH$3)+1)+INDEX(September!$C$3:$AH$169,54,MATCH(B276,September!$D$3:$AH$3)+1)+INDEX(September!$C$3:$AH$169,59,MATCH(B276,September!$D$3:$AH$3)+1)+INDEX(September!$C$3:$AH$169,64,MATCH(B276,September!$D$3:$AH$3)+1)+INDEX(September!$C$3:$AH$169,69,MATCH(B276,September!$D$3:$AH$3)+1)+INDEX(September!$C$3:$AH$169,74,MATCH(B276,September!$D$3:$AH$3)+1)+INDEX(September!$C$3:$AH$169,79,MATCH(B276,September!$D$3:$AH$3)+1)+INDEX(September!$C$3:$AH$169,84,MATCH(B276,September!$D$3:$AH$3)+1)+INDEX(September!$C$3:$AH$169,89,MATCH(B276,September!$D$3:$AH$3)+1)+INDEX(September!$C$3:$AH$169,94,MATCH(B276,September!$D$3:$AH$3)+1)+INDEX(September!$C$3:$AH$169,99,MATCH(B276,September!$D$3:$AH$3)+1)+INDEX(September!$C$3:$AH$169,104,MATCH(B276,September!$D$3:$AH$3)+1)+INDEX(September!$C$3:$AH$169,109,MATCH(B276,September!$D$3:$AH$3)+1)+INDEX(September!$C$3:$AH$169,114,MATCH(B276,September!$D$3:$AH$3)+1)+INDEX(September!$C$3:$AH$169,119,MATCH(B276,September!$D$3:$AH$3)+1)+INDEX(September!$C$3:$AH$169,124,MATCH(B276,September!$D$3:$AH$3)+1)+INDEX(September!$C$3:$AH$169,129,MATCH(B276,September!$D$3:$AH$3)+1)+INDEX(September!$C$3:$AH$169,134,MATCH(B276,September!$D$3:$AH$3)+1)+INDEX(September!$C$3:$AH$169,139,MATCH(B276,September!$D$3:$AH$3)+1)+INDEX(September!$C$3:$AH$169,144,MATCH(B276,September!$D$3:$AH$3)+1)+INDEX(September!$C$3:$AH$169,149,MATCH(B276,September!$D$3:$AH$3)+1)-INDEX(September!$B$5:$AH$169,MATCH("Patrick Janssen",September!$B$5:$B$169)+1,MATCH(B276,September!$D$3:$AH$3)+2)-INDEX(September!$B$5:$AH$169,MATCH("Patrick Ziesen",September!$B$5:$B$169)+1,MATCH(B276,September!$D$3:$AH$3)+2)-INDEX(September!$B$5:$AH$169,MATCH("Frido Meijer",September!$B$5:$B$169)+1,MATCH(B276,September!$D$3:$AH$3)+2)</f>
        <v>0</v>
      </c>
      <c r="I276" s="130">
        <v>0</v>
      </c>
      <c r="J276" s="130">
        <v>0</v>
      </c>
      <c r="L276" s="124"/>
      <c r="M276" s="111"/>
      <c r="N276" s="111">
        <f t="shared" si="81"/>
        <v>0</v>
      </c>
      <c r="P276" s="112">
        <f t="shared" si="86"/>
        <v>0</v>
      </c>
      <c r="Q276" s="112">
        <f t="shared" si="87"/>
        <v>0</v>
      </c>
    </row>
    <row r="277" spans="2:17" x14ac:dyDescent="0.25">
      <c r="B277" s="110">
        <f>DATE(Title!$F$12,$S$13,S17)</f>
        <v>41530</v>
      </c>
      <c r="C277" s="111">
        <f>IF(WEEKDAY(B277)=1,0,IF(WEEKDAY(B277)=4,'Hours Scheduled'!$K$44-1,IF(WEEKDAY(B277)=7,0,'Hours Scheduled'!$K$44)))</f>
        <v>21</v>
      </c>
      <c r="D277" s="17">
        <f t="shared" si="84"/>
        <v>157.5</v>
      </c>
      <c r="E277" s="127">
        <f t="shared" si="85"/>
        <v>160</v>
      </c>
      <c r="F277" s="111"/>
      <c r="G277" s="130">
        <f>INDEX(September!$C$3:$AH$169,3,MATCH(B277,September!$D$3:$AH$3)+1)+INDEX(September!$C$3:$AH$169,8,MATCH(B277,September!$D$3:$AH$3)+1)+INDEX(September!$C$3:$AH$169,13,MATCH(B277,September!$D$3:$AH$3)+1)+INDEX(September!$C$3:$AH$169,18,MATCH(B277,September!$D$3:$AH$3)+1)+INDEX(September!$C$3:$AH$169,23,MATCH(B277,September!$D$3:$AH$3)+1)+INDEX(September!$C$3:$AH$169,28,MATCH(B277,September!$D$3:$AH$3)+1)+INDEX(September!$C$3:$AH$169,33,MATCH(B277,September!$D$3:$AH$3)+1)+INDEX(September!$C$3:$AH$169,38,MATCH(B277,September!$D$3:$AH$3)+1)+INDEX(September!$C$3:$AH$169,43,MATCH(B277,September!$D$3:$AH$3)+1)+INDEX(September!$C$3:$AH$169,48,MATCH(B277,September!$D$3:$AH$3)+1)+INDEX(September!$C$3:$AH$169,53,MATCH(B277,September!$D$3:$AH$3)+1)+INDEX(September!$C$3:$AH$169,58,MATCH(B277,September!$D$3:$AH$3)+1)+INDEX(September!$C$3:$AH$169,63,MATCH(B277,September!$D$3:$AH$3)+1)+INDEX(September!$C$3:$AH$169,68,MATCH(B277,September!$D$3:$AH$3)+1)+INDEX(September!$C$3:$AH$169,73,MATCH(B277,September!$D$3:$AH$3)+1)+INDEX(September!$C$3:$AH$169,78,MATCH(B277,September!$D$3:$AH$3)+1)+INDEX(September!$C$3:$AH$169,83,MATCH(B277,September!$D$3:$AH$3)+1)+INDEX(September!$C$3:$AH$169,88,MATCH(B277,September!$D$3:$AH$3)+1)+INDEX(September!$C$3:$AH$169,93,MATCH(B277,September!$D$3:$AH$3)+1)+INDEX(September!$C$3:$AH$169,98,MATCH(B277,September!$D$3:$AH$3)+1)+INDEX(September!$C$3:$AH$169,103,MATCH(B277,September!$D$3:$AH$3)+1)+INDEX(September!$C$3:$AH$169,108,MATCH(B277,September!$D$3:$AH$3)+1)+INDEX(September!$C$3:$AH$169,113,MATCH(B277,September!$D$3:$AH$3)+1)+INDEX(September!$C$3:$AH$169,118,MATCH(B277,September!$D$3:$AH$3)+1)+INDEX(September!$C$3:$AH$169,123,MATCH(B277,September!$D$3:$AH$3)+1)+INDEX(September!$C$3:$AH$169,128,MATCH(B277,September!$D$3:$AH$3)+1)+INDEX(September!$C$3:$AH$169,133,MATCH(B277,September!$D$3:$AH$3)+1)+INDEX(September!$C$3:$AH$169,138,MATCH(B277,September!$D$3:$AH$3)+1)+INDEX(September!$C$3:$AH$169,143,MATCH(B277,September!$D$3:$AH$3)+1)+INDEX(September!$C$3:$AH$169,148,MATCH(B277,September!$D$3:$AH$3)+1)-INDEX(September!$B$5:$AH$169,MATCH("Patrick Janssen",September!$B$5:$B$169),MATCH(B277,September!$D$3:$AH$3)+2)-INDEX(September!$B$5:$AH$169,MATCH("Patrick Ziesen",September!$B$5:$B$169),MATCH(B277,September!$D$3:$AH$3)+2)-INDEX(September!$B$5:$AH$169,MATCH("Frido Meijer",September!$B$5:$B$169),MATCH(B277,September!$D$3:$AH$3)+2)</f>
        <v>8</v>
      </c>
      <c r="H277" s="130">
        <f>INDEX(September!$C$3:$AH$169,4,MATCH(B277,September!$D$3:$AH$3)+1)+INDEX(September!$C$3:$AH$169,9,MATCH(B277,September!$D$3:$AH$3)+1)+INDEX(September!$C$3:$AH$169,14,MATCH(B277,September!$D$3:$AH$3)+1)+INDEX(September!$C$3:$AH$169,19,MATCH(B277,September!$D$3:$AH$3)+1)+INDEX(September!$C$3:$AH$169,24,MATCH(B277,September!$D$3:$AH$3)+1)+INDEX(September!$C$3:$AH$169,29,MATCH(B277,September!$D$3:$AH$3)+1)+INDEX(September!$C$3:$AH$169,34,MATCH(B277,September!$D$3:$AH$3)+1)+INDEX(September!$C$3:$AH$169,39,MATCH(B277,September!$D$3:$AH$3)+1)+INDEX(September!$C$3:$AH$169,44,MATCH(B277,September!$D$3:$AH$3)+1)+INDEX(September!$C$3:$AH$169,49,MATCH(B277,September!$D$3:$AH$3)+1)+INDEX(September!$C$3:$AH$169,54,MATCH(B277,September!$D$3:$AH$3)+1)+INDEX(September!$C$3:$AH$169,59,MATCH(B277,September!$D$3:$AH$3)+1)+INDEX(September!$C$3:$AH$169,64,MATCH(B277,September!$D$3:$AH$3)+1)+INDEX(September!$C$3:$AH$169,69,MATCH(B277,September!$D$3:$AH$3)+1)+INDEX(September!$C$3:$AH$169,74,MATCH(B277,September!$D$3:$AH$3)+1)+INDEX(September!$C$3:$AH$169,79,MATCH(B277,September!$D$3:$AH$3)+1)+INDEX(September!$C$3:$AH$169,84,MATCH(B277,September!$D$3:$AH$3)+1)+INDEX(September!$C$3:$AH$169,89,MATCH(B277,September!$D$3:$AH$3)+1)+INDEX(September!$C$3:$AH$169,94,MATCH(B277,September!$D$3:$AH$3)+1)+INDEX(September!$C$3:$AH$169,99,MATCH(B277,September!$D$3:$AH$3)+1)+INDEX(September!$C$3:$AH$169,104,MATCH(B277,September!$D$3:$AH$3)+1)+INDEX(September!$C$3:$AH$169,109,MATCH(B277,September!$D$3:$AH$3)+1)+INDEX(September!$C$3:$AH$169,114,MATCH(B277,September!$D$3:$AH$3)+1)+INDEX(September!$C$3:$AH$169,119,MATCH(B277,September!$D$3:$AH$3)+1)+INDEX(September!$C$3:$AH$169,124,MATCH(B277,September!$D$3:$AH$3)+1)+INDEX(September!$C$3:$AH$169,129,MATCH(B277,September!$D$3:$AH$3)+1)+INDEX(September!$C$3:$AH$169,134,MATCH(B277,September!$D$3:$AH$3)+1)+INDEX(September!$C$3:$AH$169,139,MATCH(B277,September!$D$3:$AH$3)+1)+INDEX(September!$C$3:$AH$169,144,MATCH(B277,September!$D$3:$AH$3)+1)+INDEX(September!$C$3:$AH$169,149,MATCH(B277,September!$D$3:$AH$3)+1)-INDEX(September!$B$5:$AH$169,MATCH("Patrick Janssen",September!$B$5:$B$169)+1,MATCH(B277,September!$D$3:$AH$3)+2)-INDEX(September!$B$5:$AH$169,MATCH("Patrick Ziesen",September!$B$5:$B$169)+1,MATCH(B277,September!$D$3:$AH$3)+2)-INDEX(September!$B$5:$AH$169,MATCH("Frido Meijer",September!$B$5:$B$169)+1,MATCH(B277,September!$D$3:$AH$3)+2)</f>
        <v>0</v>
      </c>
      <c r="I277" s="130">
        <v>0</v>
      </c>
      <c r="J277" s="130">
        <v>0</v>
      </c>
      <c r="L277" s="124"/>
      <c r="M277" s="111"/>
      <c r="N277" s="111">
        <f t="shared" si="81"/>
        <v>0</v>
      </c>
      <c r="P277" s="112">
        <f t="shared" si="86"/>
        <v>0</v>
      </c>
      <c r="Q277" s="112">
        <f t="shared" si="87"/>
        <v>0</v>
      </c>
    </row>
    <row r="278" spans="2:17" x14ac:dyDescent="0.25">
      <c r="B278" s="110">
        <f>DATE(Title!$F$12,$S$13,S18)</f>
        <v>41531</v>
      </c>
      <c r="C278" s="111">
        <f>IF(WEEKDAY(B278)=1,0,IF(WEEKDAY(B278)=4,'Hours Scheduled'!$K$44-1,IF(WEEKDAY(B278)=7,0,'Hours Scheduled'!$K$44)))</f>
        <v>0</v>
      </c>
      <c r="D278" s="17">
        <f t="shared" si="84"/>
        <v>0</v>
      </c>
      <c r="E278" s="127">
        <f t="shared" si="85"/>
        <v>0</v>
      </c>
      <c r="F278" s="111"/>
      <c r="G278" s="130">
        <f>INDEX(September!$C$3:$AH$169,3,MATCH(B278,September!$D$3:$AH$3)+1)+INDEX(September!$C$3:$AH$169,8,MATCH(B278,September!$D$3:$AH$3)+1)+INDEX(September!$C$3:$AH$169,13,MATCH(B278,September!$D$3:$AH$3)+1)+INDEX(September!$C$3:$AH$169,18,MATCH(B278,September!$D$3:$AH$3)+1)+INDEX(September!$C$3:$AH$169,23,MATCH(B278,September!$D$3:$AH$3)+1)+INDEX(September!$C$3:$AH$169,28,MATCH(B278,September!$D$3:$AH$3)+1)+INDEX(September!$C$3:$AH$169,33,MATCH(B278,September!$D$3:$AH$3)+1)+INDEX(September!$C$3:$AH$169,38,MATCH(B278,September!$D$3:$AH$3)+1)+INDEX(September!$C$3:$AH$169,43,MATCH(B278,September!$D$3:$AH$3)+1)+INDEX(September!$C$3:$AH$169,48,MATCH(B278,September!$D$3:$AH$3)+1)+INDEX(September!$C$3:$AH$169,53,MATCH(B278,September!$D$3:$AH$3)+1)+INDEX(September!$C$3:$AH$169,58,MATCH(B278,September!$D$3:$AH$3)+1)+INDEX(September!$C$3:$AH$169,63,MATCH(B278,September!$D$3:$AH$3)+1)+INDEX(September!$C$3:$AH$169,68,MATCH(B278,September!$D$3:$AH$3)+1)+INDEX(September!$C$3:$AH$169,73,MATCH(B278,September!$D$3:$AH$3)+1)+INDEX(September!$C$3:$AH$169,78,MATCH(B278,September!$D$3:$AH$3)+1)+INDEX(September!$C$3:$AH$169,83,MATCH(B278,September!$D$3:$AH$3)+1)+INDEX(September!$C$3:$AH$169,88,MATCH(B278,September!$D$3:$AH$3)+1)+INDEX(September!$C$3:$AH$169,93,MATCH(B278,September!$D$3:$AH$3)+1)+INDEX(September!$C$3:$AH$169,98,MATCH(B278,September!$D$3:$AH$3)+1)+INDEX(September!$C$3:$AH$169,103,MATCH(B278,September!$D$3:$AH$3)+1)+INDEX(September!$C$3:$AH$169,108,MATCH(B278,September!$D$3:$AH$3)+1)+INDEX(September!$C$3:$AH$169,113,MATCH(B278,September!$D$3:$AH$3)+1)+INDEX(September!$C$3:$AH$169,118,MATCH(B278,September!$D$3:$AH$3)+1)+INDEX(September!$C$3:$AH$169,123,MATCH(B278,September!$D$3:$AH$3)+1)+INDEX(September!$C$3:$AH$169,128,MATCH(B278,September!$D$3:$AH$3)+1)+INDEX(September!$C$3:$AH$169,133,MATCH(B278,September!$D$3:$AH$3)+1)+INDEX(September!$C$3:$AH$169,138,MATCH(B278,September!$D$3:$AH$3)+1)+INDEX(September!$C$3:$AH$169,143,MATCH(B278,September!$D$3:$AH$3)+1)+INDEX(September!$C$3:$AH$169,148,MATCH(B278,September!$D$3:$AH$3)+1)-INDEX(September!$B$5:$AH$169,MATCH("Patrick Janssen",September!$B$5:$B$169),MATCH(B278,September!$D$3:$AH$3)+2)-INDEX(September!$B$5:$AH$169,MATCH("Patrick Ziesen",September!$B$5:$B$169),MATCH(B278,September!$D$3:$AH$3)+2)-INDEX(September!$B$5:$AH$169,MATCH("Frido Meijer",September!$B$5:$B$169),MATCH(B278,September!$D$3:$AH$3)+2)</f>
        <v>0</v>
      </c>
      <c r="H278" s="130">
        <f>INDEX(September!$C$3:$AH$169,4,MATCH(B278,September!$D$3:$AH$3)+1)+INDEX(September!$C$3:$AH$169,9,MATCH(B278,September!$D$3:$AH$3)+1)+INDEX(September!$C$3:$AH$169,14,MATCH(B278,September!$D$3:$AH$3)+1)+INDEX(September!$C$3:$AH$169,19,MATCH(B278,September!$D$3:$AH$3)+1)+INDEX(September!$C$3:$AH$169,24,MATCH(B278,September!$D$3:$AH$3)+1)+INDEX(September!$C$3:$AH$169,29,MATCH(B278,September!$D$3:$AH$3)+1)+INDEX(September!$C$3:$AH$169,34,MATCH(B278,September!$D$3:$AH$3)+1)+INDEX(September!$C$3:$AH$169,39,MATCH(B278,September!$D$3:$AH$3)+1)+INDEX(September!$C$3:$AH$169,44,MATCH(B278,September!$D$3:$AH$3)+1)+INDEX(September!$C$3:$AH$169,49,MATCH(B278,September!$D$3:$AH$3)+1)+INDEX(September!$C$3:$AH$169,54,MATCH(B278,September!$D$3:$AH$3)+1)+INDEX(September!$C$3:$AH$169,59,MATCH(B278,September!$D$3:$AH$3)+1)+INDEX(September!$C$3:$AH$169,64,MATCH(B278,September!$D$3:$AH$3)+1)+INDEX(September!$C$3:$AH$169,69,MATCH(B278,September!$D$3:$AH$3)+1)+INDEX(September!$C$3:$AH$169,74,MATCH(B278,September!$D$3:$AH$3)+1)+INDEX(September!$C$3:$AH$169,79,MATCH(B278,September!$D$3:$AH$3)+1)+INDEX(September!$C$3:$AH$169,84,MATCH(B278,September!$D$3:$AH$3)+1)+INDEX(September!$C$3:$AH$169,89,MATCH(B278,September!$D$3:$AH$3)+1)+INDEX(September!$C$3:$AH$169,94,MATCH(B278,September!$D$3:$AH$3)+1)+INDEX(September!$C$3:$AH$169,99,MATCH(B278,September!$D$3:$AH$3)+1)+INDEX(September!$C$3:$AH$169,104,MATCH(B278,September!$D$3:$AH$3)+1)+INDEX(September!$C$3:$AH$169,109,MATCH(B278,September!$D$3:$AH$3)+1)+INDEX(September!$C$3:$AH$169,114,MATCH(B278,September!$D$3:$AH$3)+1)+INDEX(September!$C$3:$AH$169,119,MATCH(B278,September!$D$3:$AH$3)+1)+INDEX(September!$C$3:$AH$169,124,MATCH(B278,September!$D$3:$AH$3)+1)+INDEX(September!$C$3:$AH$169,129,MATCH(B278,September!$D$3:$AH$3)+1)+INDEX(September!$C$3:$AH$169,134,MATCH(B278,September!$D$3:$AH$3)+1)+INDEX(September!$C$3:$AH$169,139,MATCH(B278,September!$D$3:$AH$3)+1)+INDEX(September!$C$3:$AH$169,144,MATCH(B278,September!$D$3:$AH$3)+1)+INDEX(September!$C$3:$AH$169,149,MATCH(B278,September!$D$3:$AH$3)+1)-INDEX(September!$B$5:$AH$169,MATCH("Patrick Janssen",September!$B$5:$B$169)+1,MATCH(B278,September!$D$3:$AH$3)+2)-INDEX(September!$B$5:$AH$169,MATCH("Patrick Ziesen",September!$B$5:$B$169)+1,MATCH(B278,September!$D$3:$AH$3)+2)-INDEX(September!$B$5:$AH$169,MATCH("Frido Meijer",September!$B$5:$B$169)+1,MATCH(B278,September!$D$3:$AH$3)+2)</f>
        <v>0</v>
      </c>
      <c r="I278" s="130">
        <v>0</v>
      </c>
      <c r="J278" s="130">
        <v>0</v>
      </c>
      <c r="L278" s="124"/>
      <c r="M278" s="111"/>
      <c r="N278" s="111">
        <f t="shared" si="81"/>
        <v>0</v>
      </c>
      <c r="P278" s="112" t="str">
        <f t="shared" si="86"/>
        <v/>
      </c>
      <c r="Q278" s="112" t="str">
        <f t="shared" si="87"/>
        <v/>
      </c>
    </row>
    <row r="279" spans="2:17" x14ac:dyDescent="0.25">
      <c r="B279" s="110">
        <f>DATE(Title!$F$12,$S$13,S19)</f>
        <v>41532</v>
      </c>
      <c r="C279" s="111">
        <f>IF(WEEKDAY(B279)=1,0,IF(WEEKDAY(B279)=4,'Hours Scheduled'!$K$44-1,IF(WEEKDAY(B279)=7,0,'Hours Scheduled'!$K$44)))</f>
        <v>0</v>
      </c>
      <c r="D279" s="17">
        <f t="shared" si="84"/>
        <v>0</v>
      </c>
      <c r="E279" s="127">
        <f t="shared" si="85"/>
        <v>0</v>
      </c>
      <c r="F279" s="111"/>
      <c r="G279" s="130">
        <f>INDEX(September!$C$3:$AH$169,3,MATCH(B279,September!$D$3:$AH$3)+1)+INDEX(September!$C$3:$AH$169,8,MATCH(B279,September!$D$3:$AH$3)+1)+INDEX(September!$C$3:$AH$169,13,MATCH(B279,September!$D$3:$AH$3)+1)+INDEX(September!$C$3:$AH$169,18,MATCH(B279,September!$D$3:$AH$3)+1)+INDEX(September!$C$3:$AH$169,23,MATCH(B279,September!$D$3:$AH$3)+1)+INDEX(September!$C$3:$AH$169,28,MATCH(B279,September!$D$3:$AH$3)+1)+INDEX(September!$C$3:$AH$169,33,MATCH(B279,September!$D$3:$AH$3)+1)+INDEX(September!$C$3:$AH$169,38,MATCH(B279,September!$D$3:$AH$3)+1)+INDEX(September!$C$3:$AH$169,43,MATCH(B279,September!$D$3:$AH$3)+1)+INDEX(September!$C$3:$AH$169,48,MATCH(B279,September!$D$3:$AH$3)+1)+INDEX(September!$C$3:$AH$169,53,MATCH(B279,September!$D$3:$AH$3)+1)+INDEX(September!$C$3:$AH$169,58,MATCH(B279,September!$D$3:$AH$3)+1)+INDEX(September!$C$3:$AH$169,63,MATCH(B279,September!$D$3:$AH$3)+1)+INDEX(September!$C$3:$AH$169,68,MATCH(B279,September!$D$3:$AH$3)+1)+INDEX(September!$C$3:$AH$169,73,MATCH(B279,September!$D$3:$AH$3)+1)+INDEX(September!$C$3:$AH$169,78,MATCH(B279,September!$D$3:$AH$3)+1)+INDEX(September!$C$3:$AH$169,83,MATCH(B279,September!$D$3:$AH$3)+1)+INDEX(September!$C$3:$AH$169,88,MATCH(B279,September!$D$3:$AH$3)+1)+INDEX(September!$C$3:$AH$169,93,MATCH(B279,September!$D$3:$AH$3)+1)+INDEX(September!$C$3:$AH$169,98,MATCH(B279,September!$D$3:$AH$3)+1)+INDEX(September!$C$3:$AH$169,103,MATCH(B279,September!$D$3:$AH$3)+1)+INDEX(September!$C$3:$AH$169,108,MATCH(B279,September!$D$3:$AH$3)+1)+INDEX(September!$C$3:$AH$169,113,MATCH(B279,September!$D$3:$AH$3)+1)+INDEX(September!$C$3:$AH$169,118,MATCH(B279,September!$D$3:$AH$3)+1)+INDEX(September!$C$3:$AH$169,123,MATCH(B279,September!$D$3:$AH$3)+1)+INDEX(September!$C$3:$AH$169,128,MATCH(B279,September!$D$3:$AH$3)+1)+INDEX(September!$C$3:$AH$169,133,MATCH(B279,September!$D$3:$AH$3)+1)+INDEX(September!$C$3:$AH$169,138,MATCH(B279,September!$D$3:$AH$3)+1)+INDEX(September!$C$3:$AH$169,143,MATCH(B279,September!$D$3:$AH$3)+1)+INDEX(September!$C$3:$AH$169,148,MATCH(B279,September!$D$3:$AH$3)+1)-INDEX(September!$B$5:$AH$169,MATCH("Patrick Janssen",September!$B$5:$B$169),MATCH(B279,September!$D$3:$AH$3)+2)-INDEX(September!$B$5:$AH$169,MATCH("Patrick Ziesen",September!$B$5:$B$169),MATCH(B279,September!$D$3:$AH$3)+2)-INDEX(September!$B$5:$AH$169,MATCH("Frido Meijer",September!$B$5:$B$169),MATCH(B279,September!$D$3:$AH$3)+2)</f>
        <v>0</v>
      </c>
      <c r="H279" s="130">
        <f>INDEX(September!$C$3:$AH$169,4,MATCH(B279,September!$D$3:$AH$3)+1)+INDEX(September!$C$3:$AH$169,9,MATCH(B279,September!$D$3:$AH$3)+1)+INDEX(September!$C$3:$AH$169,14,MATCH(B279,September!$D$3:$AH$3)+1)+INDEX(September!$C$3:$AH$169,19,MATCH(B279,September!$D$3:$AH$3)+1)+INDEX(September!$C$3:$AH$169,24,MATCH(B279,September!$D$3:$AH$3)+1)+INDEX(September!$C$3:$AH$169,29,MATCH(B279,September!$D$3:$AH$3)+1)+INDEX(September!$C$3:$AH$169,34,MATCH(B279,September!$D$3:$AH$3)+1)+INDEX(September!$C$3:$AH$169,39,MATCH(B279,September!$D$3:$AH$3)+1)+INDEX(September!$C$3:$AH$169,44,MATCH(B279,September!$D$3:$AH$3)+1)+INDEX(September!$C$3:$AH$169,49,MATCH(B279,September!$D$3:$AH$3)+1)+INDEX(September!$C$3:$AH$169,54,MATCH(B279,September!$D$3:$AH$3)+1)+INDEX(September!$C$3:$AH$169,59,MATCH(B279,September!$D$3:$AH$3)+1)+INDEX(September!$C$3:$AH$169,64,MATCH(B279,September!$D$3:$AH$3)+1)+INDEX(September!$C$3:$AH$169,69,MATCH(B279,September!$D$3:$AH$3)+1)+INDEX(September!$C$3:$AH$169,74,MATCH(B279,September!$D$3:$AH$3)+1)+INDEX(September!$C$3:$AH$169,79,MATCH(B279,September!$D$3:$AH$3)+1)+INDEX(September!$C$3:$AH$169,84,MATCH(B279,September!$D$3:$AH$3)+1)+INDEX(September!$C$3:$AH$169,89,MATCH(B279,September!$D$3:$AH$3)+1)+INDEX(September!$C$3:$AH$169,94,MATCH(B279,September!$D$3:$AH$3)+1)+INDEX(September!$C$3:$AH$169,99,MATCH(B279,September!$D$3:$AH$3)+1)+INDEX(September!$C$3:$AH$169,104,MATCH(B279,September!$D$3:$AH$3)+1)+INDEX(September!$C$3:$AH$169,109,MATCH(B279,September!$D$3:$AH$3)+1)+INDEX(September!$C$3:$AH$169,114,MATCH(B279,September!$D$3:$AH$3)+1)+INDEX(September!$C$3:$AH$169,119,MATCH(B279,September!$D$3:$AH$3)+1)+INDEX(September!$C$3:$AH$169,124,MATCH(B279,September!$D$3:$AH$3)+1)+INDEX(September!$C$3:$AH$169,129,MATCH(B279,September!$D$3:$AH$3)+1)+INDEX(September!$C$3:$AH$169,134,MATCH(B279,September!$D$3:$AH$3)+1)+INDEX(September!$C$3:$AH$169,139,MATCH(B279,September!$D$3:$AH$3)+1)+INDEX(September!$C$3:$AH$169,144,MATCH(B279,September!$D$3:$AH$3)+1)+INDEX(September!$C$3:$AH$169,149,MATCH(B279,September!$D$3:$AH$3)+1)-INDEX(September!$B$5:$AH$169,MATCH("Patrick Janssen",September!$B$5:$B$169)+1,MATCH(B279,September!$D$3:$AH$3)+2)-INDEX(September!$B$5:$AH$169,MATCH("Patrick Ziesen",September!$B$5:$B$169)+1,MATCH(B279,September!$D$3:$AH$3)+2)-INDEX(September!$B$5:$AH$169,MATCH("Frido Meijer",September!$B$5:$B$169)+1,MATCH(B279,September!$D$3:$AH$3)+2)</f>
        <v>0</v>
      </c>
      <c r="I279" s="130">
        <v>0</v>
      </c>
      <c r="J279" s="130">
        <v>0</v>
      </c>
      <c r="L279" s="124"/>
      <c r="M279" s="111"/>
      <c r="N279" s="111">
        <f t="shared" si="81"/>
        <v>0</v>
      </c>
      <c r="P279" s="112" t="str">
        <f t="shared" si="86"/>
        <v/>
      </c>
      <c r="Q279" s="112" t="str">
        <f t="shared" si="87"/>
        <v/>
      </c>
    </row>
    <row r="280" spans="2:17" x14ac:dyDescent="0.25">
      <c r="B280" s="110">
        <f>DATE(Title!$F$12,$S$13,S20)</f>
        <v>41533</v>
      </c>
      <c r="C280" s="111">
        <f>IF(WEEKDAY(B280)=1,0,IF(WEEKDAY(B280)=4,'Hours Scheduled'!$K$44-1,IF(WEEKDAY(B280)=7,0,'Hours Scheduled'!$K$44)))</f>
        <v>21</v>
      </c>
      <c r="D280" s="17">
        <f t="shared" si="84"/>
        <v>157.5</v>
      </c>
      <c r="E280" s="127">
        <f t="shared" si="85"/>
        <v>168</v>
      </c>
      <c r="F280" s="111"/>
      <c r="G280" s="130">
        <f>INDEX(September!$C$3:$AH$169,3,MATCH(B280,September!$D$3:$AH$3)+1)+INDEX(September!$C$3:$AH$169,8,MATCH(B280,September!$D$3:$AH$3)+1)+INDEX(September!$C$3:$AH$169,13,MATCH(B280,September!$D$3:$AH$3)+1)+INDEX(September!$C$3:$AH$169,18,MATCH(B280,September!$D$3:$AH$3)+1)+INDEX(September!$C$3:$AH$169,23,MATCH(B280,September!$D$3:$AH$3)+1)+INDEX(September!$C$3:$AH$169,28,MATCH(B280,September!$D$3:$AH$3)+1)+INDEX(September!$C$3:$AH$169,33,MATCH(B280,September!$D$3:$AH$3)+1)+INDEX(September!$C$3:$AH$169,38,MATCH(B280,September!$D$3:$AH$3)+1)+INDEX(September!$C$3:$AH$169,43,MATCH(B280,September!$D$3:$AH$3)+1)+INDEX(September!$C$3:$AH$169,48,MATCH(B280,September!$D$3:$AH$3)+1)+INDEX(September!$C$3:$AH$169,53,MATCH(B280,September!$D$3:$AH$3)+1)+INDEX(September!$C$3:$AH$169,58,MATCH(B280,September!$D$3:$AH$3)+1)+INDEX(September!$C$3:$AH$169,63,MATCH(B280,September!$D$3:$AH$3)+1)+INDEX(September!$C$3:$AH$169,68,MATCH(B280,September!$D$3:$AH$3)+1)+INDEX(September!$C$3:$AH$169,73,MATCH(B280,September!$D$3:$AH$3)+1)+INDEX(September!$C$3:$AH$169,78,MATCH(B280,September!$D$3:$AH$3)+1)+INDEX(September!$C$3:$AH$169,83,MATCH(B280,September!$D$3:$AH$3)+1)+INDEX(September!$C$3:$AH$169,88,MATCH(B280,September!$D$3:$AH$3)+1)+INDEX(September!$C$3:$AH$169,93,MATCH(B280,September!$D$3:$AH$3)+1)+INDEX(September!$C$3:$AH$169,98,MATCH(B280,September!$D$3:$AH$3)+1)+INDEX(September!$C$3:$AH$169,103,MATCH(B280,September!$D$3:$AH$3)+1)+INDEX(September!$C$3:$AH$169,108,MATCH(B280,September!$D$3:$AH$3)+1)+INDEX(September!$C$3:$AH$169,113,MATCH(B280,September!$D$3:$AH$3)+1)+INDEX(September!$C$3:$AH$169,118,MATCH(B280,September!$D$3:$AH$3)+1)+INDEX(September!$C$3:$AH$169,123,MATCH(B280,September!$D$3:$AH$3)+1)+INDEX(September!$C$3:$AH$169,128,MATCH(B280,September!$D$3:$AH$3)+1)+INDEX(September!$C$3:$AH$169,133,MATCH(B280,September!$D$3:$AH$3)+1)+INDEX(September!$C$3:$AH$169,138,MATCH(B280,September!$D$3:$AH$3)+1)+INDEX(September!$C$3:$AH$169,143,MATCH(B280,September!$D$3:$AH$3)+1)+INDEX(September!$C$3:$AH$169,148,MATCH(B280,September!$D$3:$AH$3)+1)-INDEX(September!$B$5:$AH$169,MATCH("Patrick Janssen",September!$B$5:$B$169),MATCH(B280,September!$D$3:$AH$3)+2)-INDEX(September!$B$5:$AH$169,MATCH("Patrick Ziesen",September!$B$5:$B$169),MATCH(B280,September!$D$3:$AH$3)+2)-INDEX(September!$B$5:$AH$169,MATCH("Frido Meijer",September!$B$5:$B$169),MATCH(B280,September!$D$3:$AH$3)+2)</f>
        <v>0</v>
      </c>
      <c r="H280" s="130">
        <f>INDEX(September!$C$3:$AH$169,4,MATCH(B280,September!$D$3:$AH$3)+1)+INDEX(September!$C$3:$AH$169,9,MATCH(B280,September!$D$3:$AH$3)+1)+INDEX(September!$C$3:$AH$169,14,MATCH(B280,September!$D$3:$AH$3)+1)+INDEX(September!$C$3:$AH$169,19,MATCH(B280,September!$D$3:$AH$3)+1)+INDEX(September!$C$3:$AH$169,24,MATCH(B280,September!$D$3:$AH$3)+1)+INDEX(September!$C$3:$AH$169,29,MATCH(B280,September!$D$3:$AH$3)+1)+INDEX(September!$C$3:$AH$169,34,MATCH(B280,September!$D$3:$AH$3)+1)+INDEX(September!$C$3:$AH$169,39,MATCH(B280,September!$D$3:$AH$3)+1)+INDEX(September!$C$3:$AH$169,44,MATCH(B280,September!$D$3:$AH$3)+1)+INDEX(September!$C$3:$AH$169,49,MATCH(B280,September!$D$3:$AH$3)+1)+INDEX(September!$C$3:$AH$169,54,MATCH(B280,September!$D$3:$AH$3)+1)+INDEX(September!$C$3:$AH$169,59,MATCH(B280,September!$D$3:$AH$3)+1)+INDEX(September!$C$3:$AH$169,64,MATCH(B280,September!$D$3:$AH$3)+1)+INDEX(September!$C$3:$AH$169,69,MATCH(B280,September!$D$3:$AH$3)+1)+INDEX(September!$C$3:$AH$169,74,MATCH(B280,September!$D$3:$AH$3)+1)+INDEX(September!$C$3:$AH$169,79,MATCH(B280,September!$D$3:$AH$3)+1)+INDEX(September!$C$3:$AH$169,84,MATCH(B280,September!$D$3:$AH$3)+1)+INDEX(September!$C$3:$AH$169,89,MATCH(B280,September!$D$3:$AH$3)+1)+INDEX(September!$C$3:$AH$169,94,MATCH(B280,September!$D$3:$AH$3)+1)+INDEX(September!$C$3:$AH$169,99,MATCH(B280,September!$D$3:$AH$3)+1)+INDEX(September!$C$3:$AH$169,104,MATCH(B280,September!$D$3:$AH$3)+1)+INDEX(September!$C$3:$AH$169,109,MATCH(B280,September!$D$3:$AH$3)+1)+INDEX(September!$C$3:$AH$169,114,MATCH(B280,September!$D$3:$AH$3)+1)+INDEX(September!$C$3:$AH$169,119,MATCH(B280,September!$D$3:$AH$3)+1)+INDEX(September!$C$3:$AH$169,124,MATCH(B280,September!$D$3:$AH$3)+1)+INDEX(September!$C$3:$AH$169,129,MATCH(B280,September!$D$3:$AH$3)+1)+INDEX(September!$C$3:$AH$169,134,MATCH(B280,September!$D$3:$AH$3)+1)+INDEX(September!$C$3:$AH$169,139,MATCH(B280,September!$D$3:$AH$3)+1)+INDEX(September!$C$3:$AH$169,144,MATCH(B280,September!$D$3:$AH$3)+1)+INDEX(September!$C$3:$AH$169,149,MATCH(B280,September!$D$3:$AH$3)+1)-INDEX(September!$B$5:$AH$169,MATCH("Patrick Janssen",September!$B$5:$B$169)+1,MATCH(B280,September!$D$3:$AH$3)+2)-INDEX(September!$B$5:$AH$169,MATCH("Patrick Ziesen",September!$B$5:$B$169)+1,MATCH(B280,September!$D$3:$AH$3)+2)-INDEX(September!$B$5:$AH$169,MATCH("Frido Meijer",September!$B$5:$B$169)+1,MATCH(B280,September!$D$3:$AH$3)+2)</f>
        <v>0</v>
      </c>
      <c r="I280" s="130">
        <v>0</v>
      </c>
      <c r="J280" s="130">
        <v>0</v>
      </c>
      <c r="L280" s="124"/>
      <c r="M280" s="111"/>
      <c r="N280" s="111">
        <f t="shared" si="81"/>
        <v>0</v>
      </c>
      <c r="P280" s="112">
        <f t="shared" si="86"/>
        <v>0</v>
      </c>
      <c r="Q280" s="112">
        <f t="shared" si="87"/>
        <v>0</v>
      </c>
    </row>
    <row r="281" spans="2:17" x14ac:dyDescent="0.25">
      <c r="B281" s="110">
        <f>DATE(Title!$F$12,$S$13,S21)</f>
        <v>41534</v>
      </c>
      <c r="C281" s="111">
        <f>IF(WEEKDAY(B281)=1,0,IF(WEEKDAY(B281)=4,'Hours Scheduled'!$K$44-1,IF(WEEKDAY(B281)=7,0,'Hours Scheduled'!$K$44)))</f>
        <v>21</v>
      </c>
      <c r="D281" s="17">
        <f t="shared" si="84"/>
        <v>157.5</v>
      </c>
      <c r="E281" s="127">
        <f t="shared" si="85"/>
        <v>168</v>
      </c>
      <c r="F281" s="111"/>
      <c r="G281" s="130">
        <f>INDEX(September!$C$3:$AH$169,3,MATCH(B281,September!$D$3:$AH$3)+1)+INDEX(September!$C$3:$AH$169,8,MATCH(B281,September!$D$3:$AH$3)+1)+INDEX(September!$C$3:$AH$169,13,MATCH(B281,September!$D$3:$AH$3)+1)+INDEX(September!$C$3:$AH$169,18,MATCH(B281,September!$D$3:$AH$3)+1)+INDEX(September!$C$3:$AH$169,23,MATCH(B281,September!$D$3:$AH$3)+1)+INDEX(September!$C$3:$AH$169,28,MATCH(B281,September!$D$3:$AH$3)+1)+INDEX(September!$C$3:$AH$169,33,MATCH(B281,September!$D$3:$AH$3)+1)+INDEX(September!$C$3:$AH$169,38,MATCH(B281,September!$D$3:$AH$3)+1)+INDEX(September!$C$3:$AH$169,43,MATCH(B281,September!$D$3:$AH$3)+1)+INDEX(September!$C$3:$AH$169,48,MATCH(B281,September!$D$3:$AH$3)+1)+INDEX(September!$C$3:$AH$169,53,MATCH(B281,September!$D$3:$AH$3)+1)+INDEX(September!$C$3:$AH$169,58,MATCH(B281,September!$D$3:$AH$3)+1)+INDEX(September!$C$3:$AH$169,63,MATCH(B281,September!$D$3:$AH$3)+1)+INDEX(September!$C$3:$AH$169,68,MATCH(B281,September!$D$3:$AH$3)+1)+INDEX(September!$C$3:$AH$169,73,MATCH(B281,September!$D$3:$AH$3)+1)+INDEX(September!$C$3:$AH$169,78,MATCH(B281,September!$D$3:$AH$3)+1)+INDEX(September!$C$3:$AH$169,83,MATCH(B281,September!$D$3:$AH$3)+1)+INDEX(September!$C$3:$AH$169,88,MATCH(B281,September!$D$3:$AH$3)+1)+INDEX(September!$C$3:$AH$169,93,MATCH(B281,September!$D$3:$AH$3)+1)+INDEX(September!$C$3:$AH$169,98,MATCH(B281,September!$D$3:$AH$3)+1)+INDEX(September!$C$3:$AH$169,103,MATCH(B281,September!$D$3:$AH$3)+1)+INDEX(September!$C$3:$AH$169,108,MATCH(B281,September!$D$3:$AH$3)+1)+INDEX(September!$C$3:$AH$169,113,MATCH(B281,September!$D$3:$AH$3)+1)+INDEX(September!$C$3:$AH$169,118,MATCH(B281,September!$D$3:$AH$3)+1)+INDEX(September!$C$3:$AH$169,123,MATCH(B281,September!$D$3:$AH$3)+1)+INDEX(September!$C$3:$AH$169,128,MATCH(B281,September!$D$3:$AH$3)+1)+INDEX(September!$C$3:$AH$169,133,MATCH(B281,September!$D$3:$AH$3)+1)+INDEX(September!$C$3:$AH$169,138,MATCH(B281,September!$D$3:$AH$3)+1)+INDEX(September!$C$3:$AH$169,143,MATCH(B281,September!$D$3:$AH$3)+1)+INDEX(September!$C$3:$AH$169,148,MATCH(B281,September!$D$3:$AH$3)+1)-INDEX(September!$B$5:$AH$169,MATCH("Patrick Janssen",September!$B$5:$B$169),MATCH(B281,September!$D$3:$AH$3)+2)-INDEX(September!$B$5:$AH$169,MATCH("Patrick Ziesen",September!$B$5:$B$169),MATCH(B281,September!$D$3:$AH$3)+2)-INDEX(September!$B$5:$AH$169,MATCH("Frido Meijer",September!$B$5:$B$169),MATCH(B281,September!$D$3:$AH$3)+2)</f>
        <v>0</v>
      </c>
      <c r="H281" s="130">
        <f>INDEX(September!$C$3:$AH$169,4,MATCH(B281,September!$D$3:$AH$3)+1)+INDEX(September!$C$3:$AH$169,9,MATCH(B281,September!$D$3:$AH$3)+1)+INDEX(September!$C$3:$AH$169,14,MATCH(B281,September!$D$3:$AH$3)+1)+INDEX(September!$C$3:$AH$169,19,MATCH(B281,September!$D$3:$AH$3)+1)+INDEX(September!$C$3:$AH$169,24,MATCH(B281,September!$D$3:$AH$3)+1)+INDEX(September!$C$3:$AH$169,29,MATCH(B281,September!$D$3:$AH$3)+1)+INDEX(September!$C$3:$AH$169,34,MATCH(B281,September!$D$3:$AH$3)+1)+INDEX(September!$C$3:$AH$169,39,MATCH(B281,September!$D$3:$AH$3)+1)+INDEX(September!$C$3:$AH$169,44,MATCH(B281,September!$D$3:$AH$3)+1)+INDEX(September!$C$3:$AH$169,49,MATCH(B281,September!$D$3:$AH$3)+1)+INDEX(September!$C$3:$AH$169,54,MATCH(B281,September!$D$3:$AH$3)+1)+INDEX(September!$C$3:$AH$169,59,MATCH(B281,September!$D$3:$AH$3)+1)+INDEX(September!$C$3:$AH$169,64,MATCH(B281,September!$D$3:$AH$3)+1)+INDEX(September!$C$3:$AH$169,69,MATCH(B281,September!$D$3:$AH$3)+1)+INDEX(September!$C$3:$AH$169,74,MATCH(B281,September!$D$3:$AH$3)+1)+INDEX(September!$C$3:$AH$169,79,MATCH(B281,September!$D$3:$AH$3)+1)+INDEX(September!$C$3:$AH$169,84,MATCH(B281,September!$D$3:$AH$3)+1)+INDEX(September!$C$3:$AH$169,89,MATCH(B281,September!$D$3:$AH$3)+1)+INDEX(September!$C$3:$AH$169,94,MATCH(B281,September!$D$3:$AH$3)+1)+INDEX(September!$C$3:$AH$169,99,MATCH(B281,September!$D$3:$AH$3)+1)+INDEX(September!$C$3:$AH$169,104,MATCH(B281,September!$D$3:$AH$3)+1)+INDEX(September!$C$3:$AH$169,109,MATCH(B281,September!$D$3:$AH$3)+1)+INDEX(September!$C$3:$AH$169,114,MATCH(B281,September!$D$3:$AH$3)+1)+INDEX(September!$C$3:$AH$169,119,MATCH(B281,September!$D$3:$AH$3)+1)+INDEX(September!$C$3:$AH$169,124,MATCH(B281,September!$D$3:$AH$3)+1)+INDEX(September!$C$3:$AH$169,129,MATCH(B281,September!$D$3:$AH$3)+1)+INDEX(September!$C$3:$AH$169,134,MATCH(B281,September!$D$3:$AH$3)+1)+INDEX(September!$C$3:$AH$169,139,MATCH(B281,September!$D$3:$AH$3)+1)+INDEX(September!$C$3:$AH$169,144,MATCH(B281,September!$D$3:$AH$3)+1)+INDEX(September!$C$3:$AH$169,149,MATCH(B281,September!$D$3:$AH$3)+1)-INDEX(September!$B$5:$AH$169,MATCH("Patrick Janssen",September!$B$5:$B$169)+1,MATCH(B281,September!$D$3:$AH$3)+2)-INDEX(September!$B$5:$AH$169,MATCH("Patrick Ziesen",September!$B$5:$B$169)+1,MATCH(B281,September!$D$3:$AH$3)+2)-INDEX(September!$B$5:$AH$169,MATCH("Frido Meijer",September!$B$5:$B$169)+1,MATCH(B281,September!$D$3:$AH$3)+2)</f>
        <v>0</v>
      </c>
      <c r="I281" s="130">
        <v>0</v>
      </c>
      <c r="J281" s="130">
        <v>0</v>
      </c>
      <c r="L281" s="124"/>
      <c r="M281" s="111"/>
      <c r="N281" s="111">
        <f t="shared" si="81"/>
        <v>0</v>
      </c>
      <c r="P281" s="112">
        <f t="shared" si="86"/>
        <v>0</v>
      </c>
      <c r="Q281" s="112">
        <f t="shared" si="87"/>
        <v>0</v>
      </c>
    </row>
    <row r="282" spans="2:17" x14ac:dyDescent="0.25">
      <c r="B282" s="110">
        <f>DATE(Title!$F$12,$S$13,S22)</f>
        <v>41535</v>
      </c>
      <c r="C282" s="111">
        <f>IF(WEEKDAY(B282)=1,0,IF(WEEKDAY(B282)=4,'Hours Scheduled'!$K$44-1,IF(WEEKDAY(B282)=7,0,'Hours Scheduled'!$K$44)))</f>
        <v>20</v>
      </c>
      <c r="D282" s="17">
        <f t="shared" si="84"/>
        <v>150</v>
      </c>
      <c r="E282" s="127">
        <f t="shared" si="85"/>
        <v>160</v>
      </c>
      <c r="F282" s="111"/>
      <c r="G282" s="130">
        <f>INDEX(September!$C$3:$AH$169,3,MATCH(B282,September!$D$3:$AH$3)+1)+INDEX(September!$C$3:$AH$169,8,MATCH(B282,September!$D$3:$AH$3)+1)+INDEX(September!$C$3:$AH$169,13,MATCH(B282,September!$D$3:$AH$3)+1)+INDEX(September!$C$3:$AH$169,18,MATCH(B282,September!$D$3:$AH$3)+1)+INDEX(September!$C$3:$AH$169,23,MATCH(B282,September!$D$3:$AH$3)+1)+INDEX(September!$C$3:$AH$169,28,MATCH(B282,September!$D$3:$AH$3)+1)+INDEX(September!$C$3:$AH$169,33,MATCH(B282,September!$D$3:$AH$3)+1)+INDEX(September!$C$3:$AH$169,38,MATCH(B282,September!$D$3:$AH$3)+1)+INDEX(September!$C$3:$AH$169,43,MATCH(B282,September!$D$3:$AH$3)+1)+INDEX(September!$C$3:$AH$169,48,MATCH(B282,September!$D$3:$AH$3)+1)+INDEX(September!$C$3:$AH$169,53,MATCH(B282,September!$D$3:$AH$3)+1)+INDEX(September!$C$3:$AH$169,58,MATCH(B282,September!$D$3:$AH$3)+1)+INDEX(September!$C$3:$AH$169,63,MATCH(B282,September!$D$3:$AH$3)+1)+INDEX(September!$C$3:$AH$169,68,MATCH(B282,September!$D$3:$AH$3)+1)+INDEX(September!$C$3:$AH$169,73,MATCH(B282,September!$D$3:$AH$3)+1)+INDEX(September!$C$3:$AH$169,78,MATCH(B282,September!$D$3:$AH$3)+1)+INDEX(September!$C$3:$AH$169,83,MATCH(B282,September!$D$3:$AH$3)+1)+INDEX(September!$C$3:$AH$169,88,MATCH(B282,September!$D$3:$AH$3)+1)+INDEX(September!$C$3:$AH$169,93,MATCH(B282,September!$D$3:$AH$3)+1)+INDEX(September!$C$3:$AH$169,98,MATCH(B282,September!$D$3:$AH$3)+1)+INDEX(September!$C$3:$AH$169,103,MATCH(B282,September!$D$3:$AH$3)+1)+INDEX(September!$C$3:$AH$169,108,MATCH(B282,September!$D$3:$AH$3)+1)+INDEX(September!$C$3:$AH$169,113,MATCH(B282,September!$D$3:$AH$3)+1)+INDEX(September!$C$3:$AH$169,118,MATCH(B282,September!$D$3:$AH$3)+1)+INDEX(September!$C$3:$AH$169,123,MATCH(B282,September!$D$3:$AH$3)+1)+INDEX(September!$C$3:$AH$169,128,MATCH(B282,September!$D$3:$AH$3)+1)+INDEX(September!$C$3:$AH$169,133,MATCH(B282,September!$D$3:$AH$3)+1)+INDEX(September!$C$3:$AH$169,138,MATCH(B282,September!$D$3:$AH$3)+1)+INDEX(September!$C$3:$AH$169,143,MATCH(B282,September!$D$3:$AH$3)+1)+INDEX(September!$C$3:$AH$169,148,MATCH(B282,September!$D$3:$AH$3)+1)-INDEX(September!$B$5:$AH$169,MATCH("Patrick Janssen",September!$B$5:$B$169),MATCH(B282,September!$D$3:$AH$3)+2)-INDEX(September!$B$5:$AH$169,MATCH("Patrick Ziesen",September!$B$5:$B$169),MATCH(B282,September!$D$3:$AH$3)+2)-INDEX(September!$B$5:$AH$169,MATCH("Frido Meijer",September!$B$5:$B$169),MATCH(B282,September!$D$3:$AH$3)+2)</f>
        <v>0</v>
      </c>
      <c r="H282" s="130">
        <f>INDEX(September!$C$3:$AH$169,4,MATCH(B282,September!$D$3:$AH$3)+1)+INDEX(September!$C$3:$AH$169,9,MATCH(B282,September!$D$3:$AH$3)+1)+INDEX(September!$C$3:$AH$169,14,MATCH(B282,September!$D$3:$AH$3)+1)+INDEX(September!$C$3:$AH$169,19,MATCH(B282,September!$D$3:$AH$3)+1)+INDEX(September!$C$3:$AH$169,24,MATCH(B282,September!$D$3:$AH$3)+1)+INDEX(September!$C$3:$AH$169,29,MATCH(B282,September!$D$3:$AH$3)+1)+INDEX(September!$C$3:$AH$169,34,MATCH(B282,September!$D$3:$AH$3)+1)+INDEX(September!$C$3:$AH$169,39,MATCH(B282,September!$D$3:$AH$3)+1)+INDEX(September!$C$3:$AH$169,44,MATCH(B282,September!$D$3:$AH$3)+1)+INDEX(September!$C$3:$AH$169,49,MATCH(B282,September!$D$3:$AH$3)+1)+INDEX(September!$C$3:$AH$169,54,MATCH(B282,September!$D$3:$AH$3)+1)+INDEX(September!$C$3:$AH$169,59,MATCH(B282,September!$D$3:$AH$3)+1)+INDEX(September!$C$3:$AH$169,64,MATCH(B282,September!$D$3:$AH$3)+1)+INDEX(September!$C$3:$AH$169,69,MATCH(B282,September!$D$3:$AH$3)+1)+INDEX(September!$C$3:$AH$169,74,MATCH(B282,September!$D$3:$AH$3)+1)+INDEX(September!$C$3:$AH$169,79,MATCH(B282,September!$D$3:$AH$3)+1)+INDEX(September!$C$3:$AH$169,84,MATCH(B282,September!$D$3:$AH$3)+1)+INDEX(September!$C$3:$AH$169,89,MATCH(B282,September!$D$3:$AH$3)+1)+INDEX(September!$C$3:$AH$169,94,MATCH(B282,September!$D$3:$AH$3)+1)+INDEX(September!$C$3:$AH$169,99,MATCH(B282,September!$D$3:$AH$3)+1)+INDEX(September!$C$3:$AH$169,104,MATCH(B282,September!$D$3:$AH$3)+1)+INDEX(September!$C$3:$AH$169,109,MATCH(B282,September!$D$3:$AH$3)+1)+INDEX(September!$C$3:$AH$169,114,MATCH(B282,September!$D$3:$AH$3)+1)+INDEX(September!$C$3:$AH$169,119,MATCH(B282,September!$D$3:$AH$3)+1)+INDEX(September!$C$3:$AH$169,124,MATCH(B282,September!$D$3:$AH$3)+1)+INDEX(September!$C$3:$AH$169,129,MATCH(B282,September!$D$3:$AH$3)+1)+INDEX(September!$C$3:$AH$169,134,MATCH(B282,September!$D$3:$AH$3)+1)+INDEX(September!$C$3:$AH$169,139,MATCH(B282,September!$D$3:$AH$3)+1)+INDEX(September!$C$3:$AH$169,144,MATCH(B282,September!$D$3:$AH$3)+1)+INDEX(September!$C$3:$AH$169,149,MATCH(B282,September!$D$3:$AH$3)+1)-INDEX(September!$B$5:$AH$169,MATCH("Patrick Janssen",September!$B$5:$B$169)+1,MATCH(B282,September!$D$3:$AH$3)+2)-INDEX(September!$B$5:$AH$169,MATCH("Patrick Ziesen",September!$B$5:$B$169)+1,MATCH(B282,September!$D$3:$AH$3)+2)-INDEX(September!$B$5:$AH$169,MATCH("Frido Meijer",September!$B$5:$B$169)+1,MATCH(B282,September!$D$3:$AH$3)+2)</f>
        <v>0</v>
      </c>
      <c r="I282" s="130">
        <v>0</v>
      </c>
      <c r="J282" s="130">
        <v>0</v>
      </c>
      <c r="L282" s="124"/>
      <c r="M282" s="111"/>
      <c r="N282" s="111">
        <f t="shared" si="81"/>
        <v>0</v>
      </c>
      <c r="P282" s="112">
        <f t="shared" si="86"/>
        <v>0</v>
      </c>
      <c r="Q282" s="112">
        <f t="shared" si="87"/>
        <v>0</v>
      </c>
    </row>
    <row r="283" spans="2:17" x14ac:dyDescent="0.25">
      <c r="B283" s="110">
        <f>DATE(Title!$F$12,$S$13,S23)</f>
        <v>41536</v>
      </c>
      <c r="C283" s="111">
        <f>IF(WEEKDAY(B283)=1,0,IF(WEEKDAY(B283)=4,'Hours Scheduled'!$K$44-1,IF(WEEKDAY(B283)=7,0,'Hours Scheduled'!$K$44)))</f>
        <v>21</v>
      </c>
      <c r="D283" s="17">
        <f t="shared" si="84"/>
        <v>157.5</v>
      </c>
      <c r="E283" s="127">
        <f t="shared" si="85"/>
        <v>168</v>
      </c>
      <c r="F283" s="111"/>
      <c r="G283" s="130">
        <f>INDEX(September!$C$3:$AH$169,3,MATCH(B283,September!$D$3:$AH$3)+1)+INDEX(September!$C$3:$AH$169,8,MATCH(B283,September!$D$3:$AH$3)+1)+INDEX(September!$C$3:$AH$169,13,MATCH(B283,September!$D$3:$AH$3)+1)+INDEX(September!$C$3:$AH$169,18,MATCH(B283,September!$D$3:$AH$3)+1)+INDEX(September!$C$3:$AH$169,23,MATCH(B283,September!$D$3:$AH$3)+1)+INDEX(September!$C$3:$AH$169,28,MATCH(B283,September!$D$3:$AH$3)+1)+INDEX(September!$C$3:$AH$169,33,MATCH(B283,September!$D$3:$AH$3)+1)+INDEX(September!$C$3:$AH$169,38,MATCH(B283,September!$D$3:$AH$3)+1)+INDEX(September!$C$3:$AH$169,43,MATCH(B283,September!$D$3:$AH$3)+1)+INDEX(September!$C$3:$AH$169,48,MATCH(B283,September!$D$3:$AH$3)+1)+INDEX(September!$C$3:$AH$169,53,MATCH(B283,September!$D$3:$AH$3)+1)+INDEX(September!$C$3:$AH$169,58,MATCH(B283,September!$D$3:$AH$3)+1)+INDEX(September!$C$3:$AH$169,63,MATCH(B283,September!$D$3:$AH$3)+1)+INDEX(September!$C$3:$AH$169,68,MATCH(B283,September!$D$3:$AH$3)+1)+INDEX(September!$C$3:$AH$169,73,MATCH(B283,September!$D$3:$AH$3)+1)+INDEX(September!$C$3:$AH$169,78,MATCH(B283,September!$D$3:$AH$3)+1)+INDEX(September!$C$3:$AH$169,83,MATCH(B283,September!$D$3:$AH$3)+1)+INDEX(September!$C$3:$AH$169,88,MATCH(B283,September!$D$3:$AH$3)+1)+INDEX(September!$C$3:$AH$169,93,MATCH(B283,September!$D$3:$AH$3)+1)+INDEX(September!$C$3:$AH$169,98,MATCH(B283,September!$D$3:$AH$3)+1)+INDEX(September!$C$3:$AH$169,103,MATCH(B283,September!$D$3:$AH$3)+1)+INDEX(September!$C$3:$AH$169,108,MATCH(B283,September!$D$3:$AH$3)+1)+INDEX(September!$C$3:$AH$169,113,MATCH(B283,September!$D$3:$AH$3)+1)+INDEX(September!$C$3:$AH$169,118,MATCH(B283,September!$D$3:$AH$3)+1)+INDEX(September!$C$3:$AH$169,123,MATCH(B283,September!$D$3:$AH$3)+1)+INDEX(September!$C$3:$AH$169,128,MATCH(B283,September!$D$3:$AH$3)+1)+INDEX(September!$C$3:$AH$169,133,MATCH(B283,September!$D$3:$AH$3)+1)+INDEX(September!$C$3:$AH$169,138,MATCH(B283,September!$D$3:$AH$3)+1)+INDEX(September!$C$3:$AH$169,143,MATCH(B283,September!$D$3:$AH$3)+1)+INDEX(September!$C$3:$AH$169,148,MATCH(B283,September!$D$3:$AH$3)+1)-INDEX(September!$B$5:$AH$169,MATCH("Patrick Janssen",September!$B$5:$B$169),MATCH(B283,September!$D$3:$AH$3)+2)-INDEX(September!$B$5:$AH$169,MATCH("Patrick Ziesen",September!$B$5:$B$169),MATCH(B283,September!$D$3:$AH$3)+2)-INDEX(September!$B$5:$AH$169,MATCH("Frido Meijer",September!$B$5:$B$169),MATCH(B283,September!$D$3:$AH$3)+2)</f>
        <v>0</v>
      </c>
      <c r="H283" s="130">
        <f>INDEX(September!$C$3:$AH$169,4,MATCH(B283,September!$D$3:$AH$3)+1)+INDEX(September!$C$3:$AH$169,9,MATCH(B283,September!$D$3:$AH$3)+1)+INDEX(September!$C$3:$AH$169,14,MATCH(B283,September!$D$3:$AH$3)+1)+INDEX(September!$C$3:$AH$169,19,MATCH(B283,September!$D$3:$AH$3)+1)+INDEX(September!$C$3:$AH$169,24,MATCH(B283,September!$D$3:$AH$3)+1)+INDEX(September!$C$3:$AH$169,29,MATCH(B283,September!$D$3:$AH$3)+1)+INDEX(September!$C$3:$AH$169,34,MATCH(B283,September!$D$3:$AH$3)+1)+INDEX(September!$C$3:$AH$169,39,MATCH(B283,September!$D$3:$AH$3)+1)+INDEX(September!$C$3:$AH$169,44,MATCH(B283,September!$D$3:$AH$3)+1)+INDEX(September!$C$3:$AH$169,49,MATCH(B283,September!$D$3:$AH$3)+1)+INDEX(September!$C$3:$AH$169,54,MATCH(B283,September!$D$3:$AH$3)+1)+INDEX(September!$C$3:$AH$169,59,MATCH(B283,September!$D$3:$AH$3)+1)+INDEX(September!$C$3:$AH$169,64,MATCH(B283,September!$D$3:$AH$3)+1)+INDEX(September!$C$3:$AH$169,69,MATCH(B283,September!$D$3:$AH$3)+1)+INDEX(September!$C$3:$AH$169,74,MATCH(B283,September!$D$3:$AH$3)+1)+INDEX(September!$C$3:$AH$169,79,MATCH(B283,September!$D$3:$AH$3)+1)+INDEX(September!$C$3:$AH$169,84,MATCH(B283,September!$D$3:$AH$3)+1)+INDEX(September!$C$3:$AH$169,89,MATCH(B283,September!$D$3:$AH$3)+1)+INDEX(September!$C$3:$AH$169,94,MATCH(B283,September!$D$3:$AH$3)+1)+INDEX(September!$C$3:$AH$169,99,MATCH(B283,September!$D$3:$AH$3)+1)+INDEX(September!$C$3:$AH$169,104,MATCH(B283,September!$D$3:$AH$3)+1)+INDEX(September!$C$3:$AH$169,109,MATCH(B283,September!$D$3:$AH$3)+1)+INDEX(September!$C$3:$AH$169,114,MATCH(B283,September!$D$3:$AH$3)+1)+INDEX(September!$C$3:$AH$169,119,MATCH(B283,September!$D$3:$AH$3)+1)+INDEX(September!$C$3:$AH$169,124,MATCH(B283,September!$D$3:$AH$3)+1)+INDEX(September!$C$3:$AH$169,129,MATCH(B283,September!$D$3:$AH$3)+1)+INDEX(September!$C$3:$AH$169,134,MATCH(B283,September!$D$3:$AH$3)+1)+INDEX(September!$C$3:$AH$169,139,MATCH(B283,September!$D$3:$AH$3)+1)+INDEX(September!$C$3:$AH$169,144,MATCH(B283,September!$D$3:$AH$3)+1)+INDEX(September!$C$3:$AH$169,149,MATCH(B283,September!$D$3:$AH$3)+1)-INDEX(September!$B$5:$AH$169,MATCH("Patrick Janssen",September!$B$5:$B$169)+1,MATCH(B283,September!$D$3:$AH$3)+2)-INDEX(September!$B$5:$AH$169,MATCH("Patrick Ziesen",September!$B$5:$B$169)+1,MATCH(B283,September!$D$3:$AH$3)+2)-INDEX(September!$B$5:$AH$169,MATCH("Frido Meijer",September!$B$5:$B$169)+1,MATCH(B283,September!$D$3:$AH$3)+2)</f>
        <v>0</v>
      </c>
      <c r="I283" s="130">
        <v>0</v>
      </c>
      <c r="J283" s="130">
        <v>0</v>
      </c>
      <c r="L283" s="124"/>
      <c r="M283" s="111"/>
      <c r="N283" s="111">
        <f t="shared" si="81"/>
        <v>0</v>
      </c>
      <c r="P283" s="112">
        <f>IFERROR((L283+(M283/60)+N283)/(D283-F283-G283-H283-I283-J283),"")</f>
        <v>0</v>
      </c>
      <c r="Q283" s="112">
        <f t="shared" si="87"/>
        <v>0</v>
      </c>
    </row>
    <row r="284" spans="2:17" x14ac:dyDescent="0.25">
      <c r="B284" s="110">
        <f>DATE(Title!$F$12,$S$13,S24)</f>
        <v>41537</v>
      </c>
      <c r="C284" s="111">
        <f>IF(WEEKDAY(B284)=1,0,IF(WEEKDAY(B284)=4,'Hours Scheduled'!$K$44-1,IF(WEEKDAY(B284)=7,0,'Hours Scheduled'!$K$44)))</f>
        <v>21</v>
      </c>
      <c r="D284" s="17">
        <f t="shared" si="84"/>
        <v>157.5</v>
      </c>
      <c r="E284" s="127">
        <f t="shared" si="85"/>
        <v>160</v>
      </c>
      <c r="F284" s="111"/>
      <c r="G284" s="130">
        <f>INDEX(September!$C$3:$AH$169,3,MATCH(B284,September!$D$3:$AH$3)+1)+INDEX(September!$C$3:$AH$169,8,MATCH(B284,September!$D$3:$AH$3)+1)+INDEX(September!$C$3:$AH$169,13,MATCH(B284,September!$D$3:$AH$3)+1)+INDEX(September!$C$3:$AH$169,18,MATCH(B284,September!$D$3:$AH$3)+1)+INDEX(September!$C$3:$AH$169,23,MATCH(B284,September!$D$3:$AH$3)+1)+INDEX(September!$C$3:$AH$169,28,MATCH(B284,September!$D$3:$AH$3)+1)+INDEX(September!$C$3:$AH$169,33,MATCH(B284,September!$D$3:$AH$3)+1)+INDEX(September!$C$3:$AH$169,38,MATCH(B284,September!$D$3:$AH$3)+1)+INDEX(September!$C$3:$AH$169,43,MATCH(B284,September!$D$3:$AH$3)+1)+INDEX(September!$C$3:$AH$169,48,MATCH(B284,September!$D$3:$AH$3)+1)+INDEX(September!$C$3:$AH$169,53,MATCH(B284,September!$D$3:$AH$3)+1)+INDEX(September!$C$3:$AH$169,58,MATCH(B284,September!$D$3:$AH$3)+1)+INDEX(September!$C$3:$AH$169,63,MATCH(B284,September!$D$3:$AH$3)+1)+INDEX(September!$C$3:$AH$169,68,MATCH(B284,September!$D$3:$AH$3)+1)+INDEX(September!$C$3:$AH$169,73,MATCH(B284,September!$D$3:$AH$3)+1)+INDEX(September!$C$3:$AH$169,78,MATCH(B284,September!$D$3:$AH$3)+1)+INDEX(September!$C$3:$AH$169,83,MATCH(B284,September!$D$3:$AH$3)+1)+INDEX(September!$C$3:$AH$169,88,MATCH(B284,September!$D$3:$AH$3)+1)+INDEX(September!$C$3:$AH$169,93,MATCH(B284,September!$D$3:$AH$3)+1)+INDEX(September!$C$3:$AH$169,98,MATCH(B284,September!$D$3:$AH$3)+1)+INDEX(September!$C$3:$AH$169,103,MATCH(B284,September!$D$3:$AH$3)+1)+INDEX(September!$C$3:$AH$169,108,MATCH(B284,September!$D$3:$AH$3)+1)+INDEX(September!$C$3:$AH$169,113,MATCH(B284,September!$D$3:$AH$3)+1)+INDEX(September!$C$3:$AH$169,118,MATCH(B284,September!$D$3:$AH$3)+1)+INDEX(September!$C$3:$AH$169,123,MATCH(B284,September!$D$3:$AH$3)+1)+INDEX(September!$C$3:$AH$169,128,MATCH(B284,September!$D$3:$AH$3)+1)+INDEX(September!$C$3:$AH$169,133,MATCH(B284,September!$D$3:$AH$3)+1)+INDEX(September!$C$3:$AH$169,138,MATCH(B284,September!$D$3:$AH$3)+1)+INDEX(September!$C$3:$AH$169,143,MATCH(B284,September!$D$3:$AH$3)+1)+INDEX(September!$C$3:$AH$169,148,MATCH(B284,September!$D$3:$AH$3)+1)-INDEX(September!$B$5:$AH$169,MATCH("Patrick Janssen",September!$B$5:$B$169),MATCH(B284,September!$D$3:$AH$3)+2)-INDEX(September!$B$5:$AH$169,MATCH("Patrick Ziesen",September!$B$5:$B$169),MATCH(B284,September!$D$3:$AH$3)+2)-INDEX(September!$B$5:$AH$169,MATCH("Frido Meijer",September!$B$5:$B$169),MATCH(B284,September!$D$3:$AH$3)+2)</f>
        <v>8</v>
      </c>
      <c r="H284" s="130">
        <f>INDEX(September!$C$3:$AH$169,4,MATCH(B284,September!$D$3:$AH$3)+1)+INDEX(September!$C$3:$AH$169,9,MATCH(B284,September!$D$3:$AH$3)+1)+INDEX(September!$C$3:$AH$169,14,MATCH(B284,September!$D$3:$AH$3)+1)+INDEX(September!$C$3:$AH$169,19,MATCH(B284,September!$D$3:$AH$3)+1)+INDEX(September!$C$3:$AH$169,24,MATCH(B284,September!$D$3:$AH$3)+1)+INDEX(September!$C$3:$AH$169,29,MATCH(B284,September!$D$3:$AH$3)+1)+INDEX(September!$C$3:$AH$169,34,MATCH(B284,September!$D$3:$AH$3)+1)+INDEX(September!$C$3:$AH$169,39,MATCH(B284,September!$D$3:$AH$3)+1)+INDEX(September!$C$3:$AH$169,44,MATCH(B284,September!$D$3:$AH$3)+1)+INDEX(September!$C$3:$AH$169,49,MATCH(B284,September!$D$3:$AH$3)+1)+INDEX(September!$C$3:$AH$169,54,MATCH(B284,September!$D$3:$AH$3)+1)+INDEX(September!$C$3:$AH$169,59,MATCH(B284,September!$D$3:$AH$3)+1)+INDEX(September!$C$3:$AH$169,64,MATCH(B284,September!$D$3:$AH$3)+1)+INDEX(September!$C$3:$AH$169,69,MATCH(B284,September!$D$3:$AH$3)+1)+INDEX(September!$C$3:$AH$169,74,MATCH(B284,September!$D$3:$AH$3)+1)+INDEX(September!$C$3:$AH$169,79,MATCH(B284,September!$D$3:$AH$3)+1)+INDEX(September!$C$3:$AH$169,84,MATCH(B284,September!$D$3:$AH$3)+1)+INDEX(September!$C$3:$AH$169,89,MATCH(B284,September!$D$3:$AH$3)+1)+INDEX(September!$C$3:$AH$169,94,MATCH(B284,September!$D$3:$AH$3)+1)+INDEX(September!$C$3:$AH$169,99,MATCH(B284,September!$D$3:$AH$3)+1)+INDEX(September!$C$3:$AH$169,104,MATCH(B284,September!$D$3:$AH$3)+1)+INDEX(September!$C$3:$AH$169,109,MATCH(B284,September!$D$3:$AH$3)+1)+INDEX(September!$C$3:$AH$169,114,MATCH(B284,September!$D$3:$AH$3)+1)+INDEX(September!$C$3:$AH$169,119,MATCH(B284,September!$D$3:$AH$3)+1)+INDEX(September!$C$3:$AH$169,124,MATCH(B284,September!$D$3:$AH$3)+1)+INDEX(September!$C$3:$AH$169,129,MATCH(B284,September!$D$3:$AH$3)+1)+INDEX(September!$C$3:$AH$169,134,MATCH(B284,September!$D$3:$AH$3)+1)+INDEX(September!$C$3:$AH$169,139,MATCH(B284,September!$D$3:$AH$3)+1)+INDEX(September!$C$3:$AH$169,144,MATCH(B284,September!$D$3:$AH$3)+1)+INDEX(September!$C$3:$AH$169,149,MATCH(B284,September!$D$3:$AH$3)+1)-INDEX(September!$B$5:$AH$169,MATCH("Patrick Janssen",September!$B$5:$B$169)+1,MATCH(B284,September!$D$3:$AH$3)+2)-INDEX(September!$B$5:$AH$169,MATCH("Patrick Ziesen",September!$B$5:$B$169)+1,MATCH(B284,September!$D$3:$AH$3)+2)-INDEX(September!$B$5:$AH$169,MATCH("Frido Meijer",September!$B$5:$B$169)+1,MATCH(B284,September!$D$3:$AH$3)+2)</f>
        <v>0</v>
      </c>
      <c r="I284" s="130">
        <v>0</v>
      </c>
      <c r="J284" s="130">
        <v>0</v>
      </c>
      <c r="L284" s="124"/>
      <c r="M284" s="111"/>
      <c r="N284" s="111">
        <f t="shared" si="81"/>
        <v>0</v>
      </c>
      <c r="P284" s="112">
        <f t="shared" si="86"/>
        <v>0</v>
      </c>
      <c r="Q284" s="112">
        <f t="shared" si="87"/>
        <v>0</v>
      </c>
    </row>
    <row r="285" spans="2:17" x14ac:dyDescent="0.25">
      <c r="B285" s="110">
        <f>DATE(Title!$F$12,$S$13,S25)</f>
        <v>41538</v>
      </c>
      <c r="C285" s="111">
        <f>IF(WEEKDAY(B285)=1,0,IF(WEEKDAY(B285)=4,'Hours Scheduled'!$K$44-1,IF(WEEKDAY(B285)=7,0,'Hours Scheduled'!$K$44)))</f>
        <v>0</v>
      </c>
      <c r="D285" s="17">
        <f t="shared" si="84"/>
        <v>0</v>
      </c>
      <c r="E285" s="127">
        <f t="shared" si="85"/>
        <v>0</v>
      </c>
      <c r="F285" s="111"/>
      <c r="G285" s="130">
        <f>INDEX(September!$C$3:$AH$169,3,MATCH(B285,September!$D$3:$AH$3)+1)+INDEX(September!$C$3:$AH$169,8,MATCH(B285,September!$D$3:$AH$3)+1)+INDEX(September!$C$3:$AH$169,13,MATCH(B285,September!$D$3:$AH$3)+1)+INDEX(September!$C$3:$AH$169,18,MATCH(B285,September!$D$3:$AH$3)+1)+INDEX(September!$C$3:$AH$169,23,MATCH(B285,September!$D$3:$AH$3)+1)+INDEX(September!$C$3:$AH$169,28,MATCH(B285,September!$D$3:$AH$3)+1)+INDEX(September!$C$3:$AH$169,33,MATCH(B285,September!$D$3:$AH$3)+1)+INDEX(September!$C$3:$AH$169,38,MATCH(B285,September!$D$3:$AH$3)+1)+INDEX(September!$C$3:$AH$169,43,MATCH(B285,September!$D$3:$AH$3)+1)+INDEX(September!$C$3:$AH$169,48,MATCH(B285,September!$D$3:$AH$3)+1)+INDEX(September!$C$3:$AH$169,53,MATCH(B285,September!$D$3:$AH$3)+1)+INDEX(September!$C$3:$AH$169,58,MATCH(B285,September!$D$3:$AH$3)+1)+INDEX(September!$C$3:$AH$169,63,MATCH(B285,September!$D$3:$AH$3)+1)+INDEX(September!$C$3:$AH$169,68,MATCH(B285,September!$D$3:$AH$3)+1)+INDEX(September!$C$3:$AH$169,73,MATCH(B285,September!$D$3:$AH$3)+1)+INDEX(September!$C$3:$AH$169,78,MATCH(B285,September!$D$3:$AH$3)+1)+INDEX(September!$C$3:$AH$169,83,MATCH(B285,September!$D$3:$AH$3)+1)+INDEX(September!$C$3:$AH$169,88,MATCH(B285,September!$D$3:$AH$3)+1)+INDEX(September!$C$3:$AH$169,93,MATCH(B285,September!$D$3:$AH$3)+1)+INDEX(September!$C$3:$AH$169,98,MATCH(B285,September!$D$3:$AH$3)+1)+INDEX(September!$C$3:$AH$169,103,MATCH(B285,September!$D$3:$AH$3)+1)+INDEX(September!$C$3:$AH$169,108,MATCH(B285,September!$D$3:$AH$3)+1)+INDEX(September!$C$3:$AH$169,113,MATCH(B285,September!$D$3:$AH$3)+1)+INDEX(September!$C$3:$AH$169,118,MATCH(B285,September!$D$3:$AH$3)+1)+INDEX(September!$C$3:$AH$169,123,MATCH(B285,September!$D$3:$AH$3)+1)+INDEX(September!$C$3:$AH$169,128,MATCH(B285,September!$D$3:$AH$3)+1)+INDEX(September!$C$3:$AH$169,133,MATCH(B285,September!$D$3:$AH$3)+1)+INDEX(September!$C$3:$AH$169,138,MATCH(B285,September!$D$3:$AH$3)+1)+INDEX(September!$C$3:$AH$169,143,MATCH(B285,September!$D$3:$AH$3)+1)+INDEX(September!$C$3:$AH$169,148,MATCH(B285,September!$D$3:$AH$3)+1)-INDEX(September!$B$5:$AH$169,MATCH("Patrick Janssen",September!$B$5:$B$169),MATCH(B285,September!$D$3:$AH$3)+2)-INDEX(September!$B$5:$AH$169,MATCH("Patrick Ziesen",September!$B$5:$B$169),MATCH(B285,September!$D$3:$AH$3)+2)-INDEX(September!$B$5:$AH$169,MATCH("Frido Meijer",September!$B$5:$B$169),MATCH(B285,September!$D$3:$AH$3)+2)</f>
        <v>0</v>
      </c>
      <c r="H285" s="130">
        <f>INDEX(September!$C$3:$AH$169,4,MATCH(B285,September!$D$3:$AH$3)+1)+INDEX(September!$C$3:$AH$169,9,MATCH(B285,September!$D$3:$AH$3)+1)+INDEX(September!$C$3:$AH$169,14,MATCH(B285,September!$D$3:$AH$3)+1)+INDEX(September!$C$3:$AH$169,19,MATCH(B285,September!$D$3:$AH$3)+1)+INDEX(September!$C$3:$AH$169,24,MATCH(B285,September!$D$3:$AH$3)+1)+INDEX(September!$C$3:$AH$169,29,MATCH(B285,September!$D$3:$AH$3)+1)+INDEX(September!$C$3:$AH$169,34,MATCH(B285,September!$D$3:$AH$3)+1)+INDEX(September!$C$3:$AH$169,39,MATCH(B285,September!$D$3:$AH$3)+1)+INDEX(September!$C$3:$AH$169,44,MATCH(B285,September!$D$3:$AH$3)+1)+INDEX(September!$C$3:$AH$169,49,MATCH(B285,September!$D$3:$AH$3)+1)+INDEX(September!$C$3:$AH$169,54,MATCH(B285,September!$D$3:$AH$3)+1)+INDEX(September!$C$3:$AH$169,59,MATCH(B285,September!$D$3:$AH$3)+1)+INDEX(September!$C$3:$AH$169,64,MATCH(B285,September!$D$3:$AH$3)+1)+INDEX(September!$C$3:$AH$169,69,MATCH(B285,September!$D$3:$AH$3)+1)+INDEX(September!$C$3:$AH$169,74,MATCH(B285,September!$D$3:$AH$3)+1)+INDEX(September!$C$3:$AH$169,79,MATCH(B285,September!$D$3:$AH$3)+1)+INDEX(September!$C$3:$AH$169,84,MATCH(B285,September!$D$3:$AH$3)+1)+INDEX(September!$C$3:$AH$169,89,MATCH(B285,September!$D$3:$AH$3)+1)+INDEX(September!$C$3:$AH$169,94,MATCH(B285,September!$D$3:$AH$3)+1)+INDEX(September!$C$3:$AH$169,99,MATCH(B285,September!$D$3:$AH$3)+1)+INDEX(September!$C$3:$AH$169,104,MATCH(B285,September!$D$3:$AH$3)+1)+INDEX(September!$C$3:$AH$169,109,MATCH(B285,September!$D$3:$AH$3)+1)+INDEX(September!$C$3:$AH$169,114,MATCH(B285,September!$D$3:$AH$3)+1)+INDEX(September!$C$3:$AH$169,119,MATCH(B285,September!$D$3:$AH$3)+1)+INDEX(September!$C$3:$AH$169,124,MATCH(B285,September!$D$3:$AH$3)+1)+INDEX(September!$C$3:$AH$169,129,MATCH(B285,September!$D$3:$AH$3)+1)+INDEX(September!$C$3:$AH$169,134,MATCH(B285,September!$D$3:$AH$3)+1)+INDEX(September!$C$3:$AH$169,139,MATCH(B285,September!$D$3:$AH$3)+1)+INDEX(September!$C$3:$AH$169,144,MATCH(B285,September!$D$3:$AH$3)+1)+INDEX(September!$C$3:$AH$169,149,MATCH(B285,September!$D$3:$AH$3)+1)-INDEX(September!$B$5:$AH$169,MATCH("Patrick Janssen",September!$B$5:$B$169)+1,MATCH(B285,September!$D$3:$AH$3)+2)-INDEX(September!$B$5:$AH$169,MATCH("Patrick Ziesen",September!$B$5:$B$169)+1,MATCH(B285,September!$D$3:$AH$3)+2)-INDEX(September!$B$5:$AH$169,MATCH("Frido Meijer",September!$B$5:$B$169)+1,MATCH(B285,September!$D$3:$AH$3)+2)</f>
        <v>0</v>
      </c>
      <c r="I285" s="130">
        <v>0</v>
      </c>
      <c r="J285" s="130">
        <v>0</v>
      </c>
      <c r="L285" s="124"/>
      <c r="M285" s="111"/>
      <c r="N285" s="111">
        <f t="shared" si="81"/>
        <v>0</v>
      </c>
      <c r="P285" s="112" t="str">
        <f t="shared" si="86"/>
        <v/>
      </c>
      <c r="Q285" s="112" t="str">
        <f t="shared" si="87"/>
        <v/>
      </c>
    </row>
    <row r="286" spans="2:17" x14ac:dyDescent="0.25">
      <c r="B286" s="110">
        <f>DATE(Title!$F$12,$S$13,S26)</f>
        <v>41539</v>
      </c>
      <c r="C286" s="111">
        <f>IF(WEEKDAY(B286)=1,0,IF(WEEKDAY(B286)=4,'Hours Scheduled'!$K$44-1,IF(WEEKDAY(B286)=7,0,'Hours Scheduled'!$K$44)))</f>
        <v>0</v>
      </c>
      <c r="D286" s="17">
        <f t="shared" si="84"/>
        <v>0</v>
      </c>
      <c r="E286" s="127">
        <f t="shared" si="85"/>
        <v>0</v>
      </c>
      <c r="F286" s="111"/>
      <c r="G286" s="130">
        <f>INDEX(September!$C$3:$AH$169,3,MATCH(B286,September!$D$3:$AH$3)+1)+INDEX(September!$C$3:$AH$169,8,MATCH(B286,September!$D$3:$AH$3)+1)+INDEX(September!$C$3:$AH$169,13,MATCH(B286,September!$D$3:$AH$3)+1)+INDEX(September!$C$3:$AH$169,18,MATCH(B286,September!$D$3:$AH$3)+1)+INDEX(September!$C$3:$AH$169,23,MATCH(B286,September!$D$3:$AH$3)+1)+INDEX(September!$C$3:$AH$169,28,MATCH(B286,September!$D$3:$AH$3)+1)+INDEX(September!$C$3:$AH$169,33,MATCH(B286,September!$D$3:$AH$3)+1)+INDEX(September!$C$3:$AH$169,38,MATCH(B286,September!$D$3:$AH$3)+1)+INDEX(September!$C$3:$AH$169,43,MATCH(B286,September!$D$3:$AH$3)+1)+INDEX(September!$C$3:$AH$169,48,MATCH(B286,September!$D$3:$AH$3)+1)+INDEX(September!$C$3:$AH$169,53,MATCH(B286,September!$D$3:$AH$3)+1)+INDEX(September!$C$3:$AH$169,58,MATCH(B286,September!$D$3:$AH$3)+1)+INDEX(September!$C$3:$AH$169,63,MATCH(B286,September!$D$3:$AH$3)+1)+INDEX(September!$C$3:$AH$169,68,MATCH(B286,September!$D$3:$AH$3)+1)+INDEX(September!$C$3:$AH$169,73,MATCH(B286,September!$D$3:$AH$3)+1)+INDEX(September!$C$3:$AH$169,78,MATCH(B286,September!$D$3:$AH$3)+1)+INDEX(September!$C$3:$AH$169,83,MATCH(B286,September!$D$3:$AH$3)+1)+INDEX(September!$C$3:$AH$169,88,MATCH(B286,September!$D$3:$AH$3)+1)+INDEX(September!$C$3:$AH$169,93,MATCH(B286,September!$D$3:$AH$3)+1)+INDEX(September!$C$3:$AH$169,98,MATCH(B286,September!$D$3:$AH$3)+1)+INDEX(September!$C$3:$AH$169,103,MATCH(B286,September!$D$3:$AH$3)+1)+INDEX(September!$C$3:$AH$169,108,MATCH(B286,September!$D$3:$AH$3)+1)+INDEX(September!$C$3:$AH$169,113,MATCH(B286,September!$D$3:$AH$3)+1)+INDEX(September!$C$3:$AH$169,118,MATCH(B286,September!$D$3:$AH$3)+1)+INDEX(September!$C$3:$AH$169,123,MATCH(B286,September!$D$3:$AH$3)+1)+INDEX(September!$C$3:$AH$169,128,MATCH(B286,September!$D$3:$AH$3)+1)+INDEX(September!$C$3:$AH$169,133,MATCH(B286,September!$D$3:$AH$3)+1)+INDEX(September!$C$3:$AH$169,138,MATCH(B286,September!$D$3:$AH$3)+1)+INDEX(September!$C$3:$AH$169,143,MATCH(B286,September!$D$3:$AH$3)+1)+INDEX(September!$C$3:$AH$169,148,MATCH(B286,September!$D$3:$AH$3)+1)-INDEX(September!$B$5:$AH$169,MATCH("Patrick Janssen",September!$B$5:$B$169),MATCH(B286,September!$D$3:$AH$3)+2)-INDEX(September!$B$5:$AH$169,MATCH("Patrick Ziesen",September!$B$5:$B$169),MATCH(B286,September!$D$3:$AH$3)+2)-INDEX(September!$B$5:$AH$169,MATCH("Frido Meijer",September!$B$5:$B$169),MATCH(B286,September!$D$3:$AH$3)+2)</f>
        <v>0</v>
      </c>
      <c r="H286" s="130">
        <f>INDEX(September!$C$3:$AH$169,4,MATCH(B286,September!$D$3:$AH$3)+1)+INDEX(September!$C$3:$AH$169,9,MATCH(B286,September!$D$3:$AH$3)+1)+INDEX(September!$C$3:$AH$169,14,MATCH(B286,September!$D$3:$AH$3)+1)+INDEX(September!$C$3:$AH$169,19,MATCH(B286,September!$D$3:$AH$3)+1)+INDEX(September!$C$3:$AH$169,24,MATCH(B286,September!$D$3:$AH$3)+1)+INDEX(September!$C$3:$AH$169,29,MATCH(B286,September!$D$3:$AH$3)+1)+INDEX(September!$C$3:$AH$169,34,MATCH(B286,September!$D$3:$AH$3)+1)+INDEX(September!$C$3:$AH$169,39,MATCH(B286,September!$D$3:$AH$3)+1)+INDEX(September!$C$3:$AH$169,44,MATCH(B286,September!$D$3:$AH$3)+1)+INDEX(September!$C$3:$AH$169,49,MATCH(B286,September!$D$3:$AH$3)+1)+INDEX(September!$C$3:$AH$169,54,MATCH(B286,September!$D$3:$AH$3)+1)+INDEX(September!$C$3:$AH$169,59,MATCH(B286,September!$D$3:$AH$3)+1)+INDEX(September!$C$3:$AH$169,64,MATCH(B286,September!$D$3:$AH$3)+1)+INDEX(September!$C$3:$AH$169,69,MATCH(B286,September!$D$3:$AH$3)+1)+INDEX(September!$C$3:$AH$169,74,MATCH(B286,September!$D$3:$AH$3)+1)+INDEX(September!$C$3:$AH$169,79,MATCH(B286,September!$D$3:$AH$3)+1)+INDEX(September!$C$3:$AH$169,84,MATCH(B286,September!$D$3:$AH$3)+1)+INDEX(September!$C$3:$AH$169,89,MATCH(B286,September!$D$3:$AH$3)+1)+INDEX(September!$C$3:$AH$169,94,MATCH(B286,September!$D$3:$AH$3)+1)+INDEX(September!$C$3:$AH$169,99,MATCH(B286,September!$D$3:$AH$3)+1)+INDEX(September!$C$3:$AH$169,104,MATCH(B286,September!$D$3:$AH$3)+1)+INDEX(September!$C$3:$AH$169,109,MATCH(B286,September!$D$3:$AH$3)+1)+INDEX(September!$C$3:$AH$169,114,MATCH(B286,September!$D$3:$AH$3)+1)+INDEX(September!$C$3:$AH$169,119,MATCH(B286,September!$D$3:$AH$3)+1)+INDEX(September!$C$3:$AH$169,124,MATCH(B286,September!$D$3:$AH$3)+1)+INDEX(September!$C$3:$AH$169,129,MATCH(B286,September!$D$3:$AH$3)+1)+INDEX(September!$C$3:$AH$169,134,MATCH(B286,September!$D$3:$AH$3)+1)+INDEX(September!$C$3:$AH$169,139,MATCH(B286,September!$D$3:$AH$3)+1)+INDEX(September!$C$3:$AH$169,144,MATCH(B286,September!$D$3:$AH$3)+1)+INDEX(September!$C$3:$AH$169,149,MATCH(B286,September!$D$3:$AH$3)+1)-INDEX(September!$B$5:$AH$169,MATCH("Patrick Janssen",September!$B$5:$B$169)+1,MATCH(B286,September!$D$3:$AH$3)+2)-INDEX(September!$B$5:$AH$169,MATCH("Patrick Ziesen",September!$B$5:$B$169)+1,MATCH(B286,September!$D$3:$AH$3)+2)-INDEX(September!$B$5:$AH$169,MATCH("Frido Meijer",September!$B$5:$B$169)+1,MATCH(B286,September!$D$3:$AH$3)+2)</f>
        <v>0</v>
      </c>
      <c r="I286" s="130">
        <v>0</v>
      </c>
      <c r="J286" s="130">
        <v>0</v>
      </c>
      <c r="L286" s="124"/>
      <c r="M286" s="111"/>
      <c r="N286" s="111">
        <f t="shared" si="81"/>
        <v>0</v>
      </c>
      <c r="P286" s="112" t="str">
        <f t="shared" si="86"/>
        <v/>
      </c>
      <c r="Q286" s="112" t="str">
        <f t="shared" si="87"/>
        <v/>
      </c>
    </row>
    <row r="287" spans="2:17" x14ac:dyDescent="0.25">
      <c r="B287" s="110">
        <f>DATE(Title!$F$12,$S$13,S27)</f>
        <v>41540</v>
      </c>
      <c r="C287" s="111">
        <f>IF(WEEKDAY(B287)=1,0,IF(WEEKDAY(B287)=4,'Hours Scheduled'!$K$44-1,IF(WEEKDAY(B287)=7,0,'Hours Scheduled'!$K$44)))</f>
        <v>21</v>
      </c>
      <c r="D287" s="17">
        <f t="shared" si="84"/>
        <v>157.5</v>
      </c>
      <c r="E287" s="127">
        <f t="shared" si="85"/>
        <v>160</v>
      </c>
      <c r="F287" s="111"/>
      <c r="G287" s="130">
        <f>INDEX(September!$C$3:$AH$169,3,MATCH(B287,September!$D$3:$AH$3)+1)+INDEX(September!$C$3:$AH$169,8,MATCH(B287,September!$D$3:$AH$3)+1)+INDEX(September!$C$3:$AH$169,13,MATCH(B287,September!$D$3:$AH$3)+1)+INDEX(September!$C$3:$AH$169,18,MATCH(B287,September!$D$3:$AH$3)+1)+INDEX(September!$C$3:$AH$169,23,MATCH(B287,September!$D$3:$AH$3)+1)+INDEX(September!$C$3:$AH$169,28,MATCH(B287,September!$D$3:$AH$3)+1)+INDEX(September!$C$3:$AH$169,33,MATCH(B287,September!$D$3:$AH$3)+1)+INDEX(September!$C$3:$AH$169,38,MATCH(B287,September!$D$3:$AH$3)+1)+INDEX(September!$C$3:$AH$169,43,MATCH(B287,September!$D$3:$AH$3)+1)+INDEX(September!$C$3:$AH$169,48,MATCH(B287,September!$D$3:$AH$3)+1)+INDEX(September!$C$3:$AH$169,53,MATCH(B287,September!$D$3:$AH$3)+1)+INDEX(September!$C$3:$AH$169,58,MATCH(B287,September!$D$3:$AH$3)+1)+INDEX(September!$C$3:$AH$169,63,MATCH(B287,September!$D$3:$AH$3)+1)+INDEX(September!$C$3:$AH$169,68,MATCH(B287,September!$D$3:$AH$3)+1)+INDEX(September!$C$3:$AH$169,73,MATCH(B287,September!$D$3:$AH$3)+1)+INDEX(September!$C$3:$AH$169,78,MATCH(B287,September!$D$3:$AH$3)+1)+INDEX(September!$C$3:$AH$169,83,MATCH(B287,September!$D$3:$AH$3)+1)+INDEX(September!$C$3:$AH$169,88,MATCH(B287,September!$D$3:$AH$3)+1)+INDEX(September!$C$3:$AH$169,93,MATCH(B287,September!$D$3:$AH$3)+1)+INDEX(September!$C$3:$AH$169,98,MATCH(B287,September!$D$3:$AH$3)+1)+INDEX(September!$C$3:$AH$169,103,MATCH(B287,September!$D$3:$AH$3)+1)+INDEX(September!$C$3:$AH$169,108,MATCH(B287,September!$D$3:$AH$3)+1)+INDEX(September!$C$3:$AH$169,113,MATCH(B287,September!$D$3:$AH$3)+1)+INDEX(September!$C$3:$AH$169,118,MATCH(B287,September!$D$3:$AH$3)+1)+INDEX(September!$C$3:$AH$169,123,MATCH(B287,September!$D$3:$AH$3)+1)+INDEX(September!$C$3:$AH$169,128,MATCH(B287,September!$D$3:$AH$3)+1)+INDEX(September!$C$3:$AH$169,133,MATCH(B287,September!$D$3:$AH$3)+1)+INDEX(September!$C$3:$AH$169,138,MATCH(B287,September!$D$3:$AH$3)+1)+INDEX(September!$C$3:$AH$169,143,MATCH(B287,September!$D$3:$AH$3)+1)+INDEX(September!$C$3:$AH$169,148,MATCH(B287,September!$D$3:$AH$3)+1)-INDEX(September!$B$5:$AH$169,MATCH("Patrick Janssen",September!$B$5:$B$169),MATCH(B287,September!$D$3:$AH$3)+2)-INDEX(September!$B$5:$AH$169,MATCH("Patrick Ziesen",September!$B$5:$B$169),MATCH(B287,September!$D$3:$AH$3)+2)-INDEX(September!$B$5:$AH$169,MATCH("Frido Meijer",September!$B$5:$B$169),MATCH(B287,September!$D$3:$AH$3)+2)</f>
        <v>8</v>
      </c>
      <c r="H287" s="130">
        <f>INDEX(September!$C$3:$AH$169,4,MATCH(B287,September!$D$3:$AH$3)+1)+INDEX(September!$C$3:$AH$169,9,MATCH(B287,September!$D$3:$AH$3)+1)+INDEX(September!$C$3:$AH$169,14,MATCH(B287,September!$D$3:$AH$3)+1)+INDEX(September!$C$3:$AH$169,19,MATCH(B287,September!$D$3:$AH$3)+1)+INDEX(September!$C$3:$AH$169,24,MATCH(B287,September!$D$3:$AH$3)+1)+INDEX(September!$C$3:$AH$169,29,MATCH(B287,September!$D$3:$AH$3)+1)+INDEX(September!$C$3:$AH$169,34,MATCH(B287,September!$D$3:$AH$3)+1)+INDEX(September!$C$3:$AH$169,39,MATCH(B287,September!$D$3:$AH$3)+1)+INDEX(September!$C$3:$AH$169,44,MATCH(B287,September!$D$3:$AH$3)+1)+INDEX(September!$C$3:$AH$169,49,MATCH(B287,September!$D$3:$AH$3)+1)+INDEX(September!$C$3:$AH$169,54,MATCH(B287,September!$D$3:$AH$3)+1)+INDEX(September!$C$3:$AH$169,59,MATCH(B287,September!$D$3:$AH$3)+1)+INDEX(September!$C$3:$AH$169,64,MATCH(B287,September!$D$3:$AH$3)+1)+INDEX(September!$C$3:$AH$169,69,MATCH(B287,September!$D$3:$AH$3)+1)+INDEX(September!$C$3:$AH$169,74,MATCH(B287,September!$D$3:$AH$3)+1)+INDEX(September!$C$3:$AH$169,79,MATCH(B287,September!$D$3:$AH$3)+1)+INDEX(September!$C$3:$AH$169,84,MATCH(B287,September!$D$3:$AH$3)+1)+INDEX(September!$C$3:$AH$169,89,MATCH(B287,September!$D$3:$AH$3)+1)+INDEX(September!$C$3:$AH$169,94,MATCH(B287,September!$D$3:$AH$3)+1)+INDEX(September!$C$3:$AH$169,99,MATCH(B287,September!$D$3:$AH$3)+1)+INDEX(September!$C$3:$AH$169,104,MATCH(B287,September!$D$3:$AH$3)+1)+INDEX(September!$C$3:$AH$169,109,MATCH(B287,September!$D$3:$AH$3)+1)+INDEX(September!$C$3:$AH$169,114,MATCH(B287,September!$D$3:$AH$3)+1)+INDEX(September!$C$3:$AH$169,119,MATCH(B287,September!$D$3:$AH$3)+1)+INDEX(September!$C$3:$AH$169,124,MATCH(B287,September!$D$3:$AH$3)+1)+INDEX(September!$C$3:$AH$169,129,MATCH(B287,September!$D$3:$AH$3)+1)+INDEX(September!$C$3:$AH$169,134,MATCH(B287,September!$D$3:$AH$3)+1)+INDEX(September!$C$3:$AH$169,139,MATCH(B287,September!$D$3:$AH$3)+1)+INDEX(September!$C$3:$AH$169,144,MATCH(B287,September!$D$3:$AH$3)+1)+INDEX(September!$C$3:$AH$169,149,MATCH(B287,September!$D$3:$AH$3)+1)-INDEX(September!$B$5:$AH$169,MATCH("Patrick Janssen",September!$B$5:$B$169)+1,MATCH(B287,September!$D$3:$AH$3)+2)-INDEX(September!$B$5:$AH$169,MATCH("Patrick Ziesen",September!$B$5:$B$169)+1,MATCH(B287,September!$D$3:$AH$3)+2)-INDEX(September!$B$5:$AH$169,MATCH("Frido Meijer",September!$B$5:$B$169)+1,MATCH(B287,September!$D$3:$AH$3)+2)</f>
        <v>0</v>
      </c>
      <c r="I287" s="130">
        <v>0</v>
      </c>
      <c r="J287" s="130">
        <v>0</v>
      </c>
      <c r="L287" s="124"/>
      <c r="M287" s="111"/>
      <c r="N287" s="111">
        <f t="shared" si="81"/>
        <v>0</v>
      </c>
      <c r="P287" s="112">
        <f t="shared" si="86"/>
        <v>0</v>
      </c>
      <c r="Q287" s="112">
        <f t="shared" si="87"/>
        <v>0</v>
      </c>
    </row>
    <row r="288" spans="2:17" x14ac:dyDescent="0.25">
      <c r="B288" s="110">
        <f>DATE(Title!$F$12,$S$13,S28)</f>
        <v>41541</v>
      </c>
      <c r="C288" s="111">
        <f>IF(WEEKDAY(B288)=1,0,IF(WEEKDAY(B288)=4,'Hours Scheduled'!$K$44-1,IF(WEEKDAY(B288)=7,0,'Hours Scheduled'!$K$44)))</f>
        <v>21</v>
      </c>
      <c r="D288" s="17">
        <f t="shared" si="84"/>
        <v>157.5</v>
      </c>
      <c r="E288" s="127">
        <f t="shared" si="85"/>
        <v>160</v>
      </c>
      <c r="F288" s="111"/>
      <c r="G288" s="130">
        <f>INDEX(September!$C$3:$AH$169,3,MATCH(B288,September!$D$3:$AH$3)+1)+INDEX(September!$C$3:$AH$169,8,MATCH(B288,September!$D$3:$AH$3)+1)+INDEX(September!$C$3:$AH$169,13,MATCH(B288,September!$D$3:$AH$3)+1)+INDEX(September!$C$3:$AH$169,18,MATCH(B288,September!$D$3:$AH$3)+1)+INDEX(September!$C$3:$AH$169,23,MATCH(B288,September!$D$3:$AH$3)+1)+INDEX(September!$C$3:$AH$169,28,MATCH(B288,September!$D$3:$AH$3)+1)+INDEX(September!$C$3:$AH$169,33,MATCH(B288,September!$D$3:$AH$3)+1)+INDEX(September!$C$3:$AH$169,38,MATCH(B288,September!$D$3:$AH$3)+1)+INDEX(September!$C$3:$AH$169,43,MATCH(B288,September!$D$3:$AH$3)+1)+INDEX(September!$C$3:$AH$169,48,MATCH(B288,September!$D$3:$AH$3)+1)+INDEX(September!$C$3:$AH$169,53,MATCH(B288,September!$D$3:$AH$3)+1)+INDEX(September!$C$3:$AH$169,58,MATCH(B288,September!$D$3:$AH$3)+1)+INDEX(September!$C$3:$AH$169,63,MATCH(B288,September!$D$3:$AH$3)+1)+INDEX(September!$C$3:$AH$169,68,MATCH(B288,September!$D$3:$AH$3)+1)+INDEX(September!$C$3:$AH$169,73,MATCH(B288,September!$D$3:$AH$3)+1)+INDEX(September!$C$3:$AH$169,78,MATCH(B288,September!$D$3:$AH$3)+1)+INDEX(September!$C$3:$AH$169,83,MATCH(B288,September!$D$3:$AH$3)+1)+INDEX(September!$C$3:$AH$169,88,MATCH(B288,September!$D$3:$AH$3)+1)+INDEX(September!$C$3:$AH$169,93,MATCH(B288,September!$D$3:$AH$3)+1)+INDEX(September!$C$3:$AH$169,98,MATCH(B288,September!$D$3:$AH$3)+1)+INDEX(September!$C$3:$AH$169,103,MATCH(B288,September!$D$3:$AH$3)+1)+INDEX(September!$C$3:$AH$169,108,MATCH(B288,September!$D$3:$AH$3)+1)+INDEX(September!$C$3:$AH$169,113,MATCH(B288,September!$D$3:$AH$3)+1)+INDEX(September!$C$3:$AH$169,118,MATCH(B288,September!$D$3:$AH$3)+1)+INDEX(September!$C$3:$AH$169,123,MATCH(B288,September!$D$3:$AH$3)+1)+INDEX(September!$C$3:$AH$169,128,MATCH(B288,September!$D$3:$AH$3)+1)+INDEX(September!$C$3:$AH$169,133,MATCH(B288,September!$D$3:$AH$3)+1)+INDEX(September!$C$3:$AH$169,138,MATCH(B288,September!$D$3:$AH$3)+1)+INDEX(September!$C$3:$AH$169,143,MATCH(B288,September!$D$3:$AH$3)+1)+INDEX(September!$C$3:$AH$169,148,MATCH(B288,September!$D$3:$AH$3)+1)-INDEX(September!$B$5:$AH$169,MATCH("Patrick Janssen",September!$B$5:$B$169),MATCH(B288,September!$D$3:$AH$3)+2)-INDEX(September!$B$5:$AH$169,MATCH("Patrick Ziesen",September!$B$5:$B$169),MATCH(B288,September!$D$3:$AH$3)+2)-INDEX(September!$B$5:$AH$169,MATCH("Frido Meijer",September!$B$5:$B$169),MATCH(B288,September!$D$3:$AH$3)+2)</f>
        <v>8</v>
      </c>
      <c r="H288" s="130">
        <f>INDEX(September!$C$3:$AH$169,4,MATCH(B288,September!$D$3:$AH$3)+1)+INDEX(September!$C$3:$AH$169,9,MATCH(B288,September!$D$3:$AH$3)+1)+INDEX(September!$C$3:$AH$169,14,MATCH(B288,September!$D$3:$AH$3)+1)+INDEX(September!$C$3:$AH$169,19,MATCH(B288,September!$D$3:$AH$3)+1)+INDEX(September!$C$3:$AH$169,24,MATCH(B288,September!$D$3:$AH$3)+1)+INDEX(September!$C$3:$AH$169,29,MATCH(B288,September!$D$3:$AH$3)+1)+INDEX(September!$C$3:$AH$169,34,MATCH(B288,September!$D$3:$AH$3)+1)+INDEX(September!$C$3:$AH$169,39,MATCH(B288,September!$D$3:$AH$3)+1)+INDEX(September!$C$3:$AH$169,44,MATCH(B288,September!$D$3:$AH$3)+1)+INDEX(September!$C$3:$AH$169,49,MATCH(B288,September!$D$3:$AH$3)+1)+INDEX(September!$C$3:$AH$169,54,MATCH(B288,September!$D$3:$AH$3)+1)+INDEX(September!$C$3:$AH$169,59,MATCH(B288,September!$D$3:$AH$3)+1)+INDEX(September!$C$3:$AH$169,64,MATCH(B288,September!$D$3:$AH$3)+1)+INDEX(September!$C$3:$AH$169,69,MATCH(B288,September!$D$3:$AH$3)+1)+INDEX(September!$C$3:$AH$169,74,MATCH(B288,September!$D$3:$AH$3)+1)+INDEX(September!$C$3:$AH$169,79,MATCH(B288,September!$D$3:$AH$3)+1)+INDEX(September!$C$3:$AH$169,84,MATCH(B288,September!$D$3:$AH$3)+1)+INDEX(September!$C$3:$AH$169,89,MATCH(B288,September!$D$3:$AH$3)+1)+INDEX(September!$C$3:$AH$169,94,MATCH(B288,September!$D$3:$AH$3)+1)+INDEX(September!$C$3:$AH$169,99,MATCH(B288,September!$D$3:$AH$3)+1)+INDEX(September!$C$3:$AH$169,104,MATCH(B288,September!$D$3:$AH$3)+1)+INDEX(September!$C$3:$AH$169,109,MATCH(B288,September!$D$3:$AH$3)+1)+INDEX(September!$C$3:$AH$169,114,MATCH(B288,September!$D$3:$AH$3)+1)+INDEX(September!$C$3:$AH$169,119,MATCH(B288,September!$D$3:$AH$3)+1)+INDEX(September!$C$3:$AH$169,124,MATCH(B288,September!$D$3:$AH$3)+1)+INDEX(September!$C$3:$AH$169,129,MATCH(B288,September!$D$3:$AH$3)+1)+INDEX(September!$C$3:$AH$169,134,MATCH(B288,September!$D$3:$AH$3)+1)+INDEX(September!$C$3:$AH$169,139,MATCH(B288,September!$D$3:$AH$3)+1)+INDEX(September!$C$3:$AH$169,144,MATCH(B288,September!$D$3:$AH$3)+1)+INDEX(September!$C$3:$AH$169,149,MATCH(B288,September!$D$3:$AH$3)+1)-INDEX(September!$B$5:$AH$169,MATCH("Patrick Janssen",September!$B$5:$B$169)+1,MATCH(B288,September!$D$3:$AH$3)+2)-INDEX(September!$B$5:$AH$169,MATCH("Patrick Ziesen",September!$B$5:$B$169)+1,MATCH(B288,September!$D$3:$AH$3)+2)-INDEX(September!$B$5:$AH$169,MATCH("Frido Meijer",September!$B$5:$B$169)+1,MATCH(B288,September!$D$3:$AH$3)+2)</f>
        <v>0</v>
      </c>
      <c r="I288" s="130">
        <v>0</v>
      </c>
      <c r="J288" s="130">
        <v>0</v>
      </c>
      <c r="L288" s="124"/>
      <c r="M288" s="111"/>
      <c r="N288" s="111">
        <f t="shared" si="81"/>
        <v>0</v>
      </c>
      <c r="P288" s="112">
        <f t="shared" si="86"/>
        <v>0</v>
      </c>
      <c r="Q288" s="112">
        <f t="shared" si="87"/>
        <v>0</v>
      </c>
    </row>
    <row r="289" spans="2:17" x14ac:dyDescent="0.25">
      <c r="B289" s="110">
        <f>DATE(Title!$F$12,$S$13,S29)</f>
        <v>41542</v>
      </c>
      <c r="C289" s="111">
        <f>IF(WEEKDAY(B289)=1,0,IF(WEEKDAY(B289)=4,'Hours Scheduled'!$K$44-1,IF(WEEKDAY(B289)=7,0,'Hours Scheduled'!$K$44)))</f>
        <v>20</v>
      </c>
      <c r="D289" s="17">
        <f t="shared" si="84"/>
        <v>150</v>
      </c>
      <c r="E289" s="127">
        <f t="shared" si="85"/>
        <v>152</v>
      </c>
      <c r="F289" s="111"/>
      <c r="G289" s="130">
        <f>INDEX(September!$C$3:$AH$169,3,MATCH(B289,September!$D$3:$AH$3)+1)+INDEX(September!$C$3:$AH$169,8,MATCH(B289,September!$D$3:$AH$3)+1)+INDEX(September!$C$3:$AH$169,13,MATCH(B289,September!$D$3:$AH$3)+1)+INDEX(September!$C$3:$AH$169,18,MATCH(B289,September!$D$3:$AH$3)+1)+INDEX(September!$C$3:$AH$169,23,MATCH(B289,September!$D$3:$AH$3)+1)+INDEX(September!$C$3:$AH$169,28,MATCH(B289,September!$D$3:$AH$3)+1)+INDEX(September!$C$3:$AH$169,33,MATCH(B289,September!$D$3:$AH$3)+1)+INDEX(September!$C$3:$AH$169,38,MATCH(B289,September!$D$3:$AH$3)+1)+INDEX(September!$C$3:$AH$169,43,MATCH(B289,September!$D$3:$AH$3)+1)+INDEX(September!$C$3:$AH$169,48,MATCH(B289,September!$D$3:$AH$3)+1)+INDEX(September!$C$3:$AH$169,53,MATCH(B289,September!$D$3:$AH$3)+1)+INDEX(September!$C$3:$AH$169,58,MATCH(B289,September!$D$3:$AH$3)+1)+INDEX(September!$C$3:$AH$169,63,MATCH(B289,September!$D$3:$AH$3)+1)+INDEX(September!$C$3:$AH$169,68,MATCH(B289,September!$D$3:$AH$3)+1)+INDEX(September!$C$3:$AH$169,73,MATCH(B289,September!$D$3:$AH$3)+1)+INDEX(September!$C$3:$AH$169,78,MATCH(B289,September!$D$3:$AH$3)+1)+INDEX(September!$C$3:$AH$169,83,MATCH(B289,September!$D$3:$AH$3)+1)+INDEX(September!$C$3:$AH$169,88,MATCH(B289,September!$D$3:$AH$3)+1)+INDEX(September!$C$3:$AH$169,93,MATCH(B289,September!$D$3:$AH$3)+1)+INDEX(September!$C$3:$AH$169,98,MATCH(B289,September!$D$3:$AH$3)+1)+INDEX(September!$C$3:$AH$169,103,MATCH(B289,September!$D$3:$AH$3)+1)+INDEX(September!$C$3:$AH$169,108,MATCH(B289,September!$D$3:$AH$3)+1)+INDEX(September!$C$3:$AH$169,113,MATCH(B289,September!$D$3:$AH$3)+1)+INDEX(September!$C$3:$AH$169,118,MATCH(B289,September!$D$3:$AH$3)+1)+INDEX(September!$C$3:$AH$169,123,MATCH(B289,September!$D$3:$AH$3)+1)+INDEX(September!$C$3:$AH$169,128,MATCH(B289,September!$D$3:$AH$3)+1)+INDEX(September!$C$3:$AH$169,133,MATCH(B289,September!$D$3:$AH$3)+1)+INDEX(September!$C$3:$AH$169,138,MATCH(B289,September!$D$3:$AH$3)+1)+INDEX(September!$C$3:$AH$169,143,MATCH(B289,September!$D$3:$AH$3)+1)+INDEX(September!$C$3:$AH$169,148,MATCH(B289,September!$D$3:$AH$3)+1)-INDEX(September!$B$5:$AH$169,MATCH("Patrick Janssen",September!$B$5:$B$169),MATCH(B289,September!$D$3:$AH$3)+2)-INDEX(September!$B$5:$AH$169,MATCH("Patrick Ziesen",September!$B$5:$B$169),MATCH(B289,September!$D$3:$AH$3)+2)-INDEX(September!$B$5:$AH$169,MATCH("Frido Meijer",September!$B$5:$B$169),MATCH(B289,September!$D$3:$AH$3)+2)</f>
        <v>8</v>
      </c>
      <c r="H289" s="130">
        <f>INDEX(September!$C$3:$AH$169,4,MATCH(B289,September!$D$3:$AH$3)+1)+INDEX(September!$C$3:$AH$169,9,MATCH(B289,September!$D$3:$AH$3)+1)+INDEX(September!$C$3:$AH$169,14,MATCH(B289,September!$D$3:$AH$3)+1)+INDEX(September!$C$3:$AH$169,19,MATCH(B289,September!$D$3:$AH$3)+1)+INDEX(September!$C$3:$AH$169,24,MATCH(B289,September!$D$3:$AH$3)+1)+INDEX(September!$C$3:$AH$169,29,MATCH(B289,September!$D$3:$AH$3)+1)+INDEX(September!$C$3:$AH$169,34,MATCH(B289,September!$D$3:$AH$3)+1)+INDEX(September!$C$3:$AH$169,39,MATCH(B289,September!$D$3:$AH$3)+1)+INDEX(September!$C$3:$AH$169,44,MATCH(B289,September!$D$3:$AH$3)+1)+INDEX(September!$C$3:$AH$169,49,MATCH(B289,September!$D$3:$AH$3)+1)+INDEX(September!$C$3:$AH$169,54,MATCH(B289,September!$D$3:$AH$3)+1)+INDEX(September!$C$3:$AH$169,59,MATCH(B289,September!$D$3:$AH$3)+1)+INDEX(September!$C$3:$AH$169,64,MATCH(B289,September!$D$3:$AH$3)+1)+INDEX(September!$C$3:$AH$169,69,MATCH(B289,September!$D$3:$AH$3)+1)+INDEX(September!$C$3:$AH$169,74,MATCH(B289,September!$D$3:$AH$3)+1)+INDEX(September!$C$3:$AH$169,79,MATCH(B289,September!$D$3:$AH$3)+1)+INDEX(September!$C$3:$AH$169,84,MATCH(B289,September!$D$3:$AH$3)+1)+INDEX(September!$C$3:$AH$169,89,MATCH(B289,September!$D$3:$AH$3)+1)+INDEX(September!$C$3:$AH$169,94,MATCH(B289,September!$D$3:$AH$3)+1)+INDEX(September!$C$3:$AH$169,99,MATCH(B289,September!$D$3:$AH$3)+1)+INDEX(September!$C$3:$AH$169,104,MATCH(B289,September!$D$3:$AH$3)+1)+INDEX(September!$C$3:$AH$169,109,MATCH(B289,September!$D$3:$AH$3)+1)+INDEX(September!$C$3:$AH$169,114,MATCH(B289,September!$D$3:$AH$3)+1)+INDEX(September!$C$3:$AH$169,119,MATCH(B289,September!$D$3:$AH$3)+1)+INDEX(September!$C$3:$AH$169,124,MATCH(B289,September!$D$3:$AH$3)+1)+INDEX(September!$C$3:$AH$169,129,MATCH(B289,September!$D$3:$AH$3)+1)+INDEX(September!$C$3:$AH$169,134,MATCH(B289,September!$D$3:$AH$3)+1)+INDEX(September!$C$3:$AH$169,139,MATCH(B289,September!$D$3:$AH$3)+1)+INDEX(September!$C$3:$AH$169,144,MATCH(B289,September!$D$3:$AH$3)+1)+INDEX(September!$C$3:$AH$169,149,MATCH(B289,September!$D$3:$AH$3)+1)-INDEX(September!$B$5:$AH$169,MATCH("Patrick Janssen",September!$B$5:$B$169)+1,MATCH(B289,September!$D$3:$AH$3)+2)-INDEX(September!$B$5:$AH$169,MATCH("Patrick Ziesen",September!$B$5:$B$169)+1,MATCH(B289,September!$D$3:$AH$3)+2)-INDEX(September!$B$5:$AH$169,MATCH("Frido Meijer",September!$B$5:$B$169)+1,MATCH(B289,September!$D$3:$AH$3)+2)</f>
        <v>0</v>
      </c>
      <c r="I289" s="130">
        <v>0</v>
      </c>
      <c r="J289" s="130">
        <v>0</v>
      </c>
      <c r="L289" s="124"/>
      <c r="M289" s="111"/>
      <c r="N289" s="111">
        <f t="shared" si="81"/>
        <v>0</v>
      </c>
      <c r="P289" s="112">
        <f t="shared" si="86"/>
        <v>0</v>
      </c>
      <c r="Q289" s="112">
        <f t="shared" si="87"/>
        <v>0</v>
      </c>
    </row>
    <row r="290" spans="2:17" x14ac:dyDescent="0.25">
      <c r="B290" s="110">
        <f>DATE(Title!$F$12,$S$13,S30)</f>
        <v>41543</v>
      </c>
      <c r="C290" s="111">
        <f>IF(WEEKDAY(B290)=1,0,IF(WEEKDAY(B290)=4,'Hours Scheduled'!$K$44-1,IF(WEEKDAY(B290)=7,0,'Hours Scheduled'!$K$44)))</f>
        <v>21</v>
      </c>
      <c r="D290" s="17">
        <f t="shared" si="84"/>
        <v>157.5</v>
      </c>
      <c r="E290" s="127">
        <f t="shared" si="85"/>
        <v>160</v>
      </c>
      <c r="F290" s="111"/>
      <c r="G290" s="130">
        <f>INDEX(September!$C$3:$AH$169,3,MATCH(B290,September!$D$3:$AH$3)+1)+INDEX(September!$C$3:$AH$169,8,MATCH(B290,September!$D$3:$AH$3)+1)+INDEX(September!$C$3:$AH$169,13,MATCH(B290,September!$D$3:$AH$3)+1)+INDEX(September!$C$3:$AH$169,18,MATCH(B290,September!$D$3:$AH$3)+1)+INDEX(September!$C$3:$AH$169,23,MATCH(B290,September!$D$3:$AH$3)+1)+INDEX(September!$C$3:$AH$169,28,MATCH(B290,September!$D$3:$AH$3)+1)+INDEX(September!$C$3:$AH$169,33,MATCH(B290,September!$D$3:$AH$3)+1)+INDEX(September!$C$3:$AH$169,38,MATCH(B290,September!$D$3:$AH$3)+1)+INDEX(September!$C$3:$AH$169,43,MATCH(B290,September!$D$3:$AH$3)+1)+INDEX(September!$C$3:$AH$169,48,MATCH(B290,September!$D$3:$AH$3)+1)+INDEX(September!$C$3:$AH$169,53,MATCH(B290,September!$D$3:$AH$3)+1)+INDEX(September!$C$3:$AH$169,58,MATCH(B290,September!$D$3:$AH$3)+1)+INDEX(September!$C$3:$AH$169,63,MATCH(B290,September!$D$3:$AH$3)+1)+INDEX(September!$C$3:$AH$169,68,MATCH(B290,September!$D$3:$AH$3)+1)+INDEX(September!$C$3:$AH$169,73,MATCH(B290,September!$D$3:$AH$3)+1)+INDEX(September!$C$3:$AH$169,78,MATCH(B290,September!$D$3:$AH$3)+1)+INDEX(September!$C$3:$AH$169,83,MATCH(B290,September!$D$3:$AH$3)+1)+INDEX(September!$C$3:$AH$169,88,MATCH(B290,September!$D$3:$AH$3)+1)+INDEX(September!$C$3:$AH$169,93,MATCH(B290,September!$D$3:$AH$3)+1)+INDEX(September!$C$3:$AH$169,98,MATCH(B290,September!$D$3:$AH$3)+1)+INDEX(September!$C$3:$AH$169,103,MATCH(B290,September!$D$3:$AH$3)+1)+INDEX(September!$C$3:$AH$169,108,MATCH(B290,September!$D$3:$AH$3)+1)+INDEX(September!$C$3:$AH$169,113,MATCH(B290,September!$D$3:$AH$3)+1)+INDEX(September!$C$3:$AH$169,118,MATCH(B290,September!$D$3:$AH$3)+1)+INDEX(September!$C$3:$AH$169,123,MATCH(B290,September!$D$3:$AH$3)+1)+INDEX(September!$C$3:$AH$169,128,MATCH(B290,September!$D$3:$AH$3)+1)+INDEX(September!$C$3:$AH$169,133,MATCH(B290,September!$D$3:$AH$3)+1)+INDEX(September!$C$3:$AH$169,138,MATCH(B290,September!$D$3:$AH$3)+1)+INDEX(September!$C$3:$AH$169,143,MATCH(B290,September!$D$3:$AH$3)+1)+INDEX(September!$C$3:$AH$169,148,MATCH(B290,September!$D$3:$AH$3)+1)-INDEX(September!$B$5:$AH$169,MATCH("Patrick Janssen",September!$B$5:$B$169),MATCH(B290,September!$D$3:$AH$3)+2)-INDEX(September!$B$5:$AH$169,MATCH("Patrick Ziesen",September!$B$5:$B$169),MATCH(B290,September!$D$3:$AH$3)+2)-INDEX(September!$B$5:$AH$169,MATCH("Frido Meijer",September!$B$5:$B$169),MATCH(B290,September!$D$3:$AH$3)+2)</f>
        <v>8</v>
      </c>
      <c r="H290" s="130">
        <f>INDEX(September!$C$3:$AH$169,4,MATCH(B290,September!$D$3:$AH$3)+1)+INDEX(September!$C$3:$AH$169,9,MATCH(B290,September!$D$3:$AH$3)+1)+INDEX(September!$C$3:$AH$169,14,MATCH(B290,September!$D$3:$AH$3)+1)+INDEX(September!$C$3:$AH$169,19,MATCH(B290,September!$D$3:$AH$3)+1)+INDEX(September!$C$3:$AH$169,24,MATCH(B290,September!$D$3:$AH$3)+1)+INDEX(September!$C$3:$AH$169,29,MATCH(B290,September!$D$3:$AH$3)+1)+INDEX(September!$C$3:$AH$169,34,MATCH(B290,September!$D$3:$AH$3)+1)+INDEX(September!$C$3:$AH$169,39,MATCH(B290,September!$D$3:$AH$3)+1)+INDEX(September!$C$3:$AH$169,44,MATCH(B290,September!$D$3:$AH$3)+1)+INDEX(September!$C$3:$AH$169,49,MATCH(B290,September!$D$3:$AH$3)+1)+INDEX(September!$C$3:$AH$169,54,MATCH(B290,September!$D$3:$AH$3)+1)+INDEX(September!$C$3:$AH$169,59,MATCH(B290,September!$D$3:$AH$3)+1)+INDEX(September!$C$3:$AH$169,64,MATCH(B290,September!$D$3:$AH$3)+1)+INDEX(September!$C$3:$AH$169,69,MATCH(B290,September!$D$3:$AH$3)+1)+INDEX(September!$C$3:$AH$169,74,MATCH(B290,September!$D$3:$AH$3)+1)+INDEX(September!$C$3:$AH$169,79,MATCH(B290,September!$D$3:$AH$3)+1)+INDEX(September!$C$3:$AH$169,84,MATCH(B290,September!$D$3:$AH$3)+1)+INDEX(September!$C$3:$AH$169,89,MATCH(B290,September!$D$3:$AH$3)+1)+INDEX(September!$C$3:$AH$169,94,MATCH(B290,September!$D$3:$AH$3)+1)+INDEX(September!$C$3:$AH$169,99,MATCH(B290,September!$D$3:$AH$3)+1)+INDEX(September!$C$3:$AH$169,104,MATCH(B290,September!$D$3:$AH$3)+1)+INDEX(September!$C$3:$AH$169,109,MATCH(B290,September!$D$3:$AH$3)+1)+INDEX(September!$C$3:$AH$169,114,MATCH(B290,September!$D$3:$AH$3)+1)+INDEX(September!$C$3:$AH$169,119,MATCH(B290,September!$D$3:$AH$3)+1)+INDEX(September!$C$3:$AH$169,124,MATCH(B290,September!$D$3:$AH$3)+1)+INDEX(September!$C$3:$AH$169,129,MATCH(B290,September!$D$3:$AH$3)+1)+INDEX(September!$C$3:$AH$169,134,MATCH(B290,September!$D$3:$AH$3)+1)+INDEX(September!$C$3:$AH$169,139,MATCH(B290,September!$D$3:$AH$3)+1)+INDEX(September!$C$3:$AH$169,144,MATCH(B290,September!$D$3:$AH$3)+1)+INDEX(September!$C$3:$AH$169,149,MATCH(B290,September!$D$3:$AH$3)+1)-INDEX(September!$B$5:$AH$169,MATCH("Patrick Janssen",September!$B$5:$B$169)+1,MATCH(B290,September!$D$3:$AH$3)+2)-INDEX(September!$B$5:$AH$169,MATCH("Patrick Ziesen",September!$B$5:$B$169)+1,MATCH(B290,September!$D$3:$AH$3)+2)-INDEX(September!$B$5:$AH$169,MATCH("Frido Meijer",September!$B$5:$B$169)+1,MATCH(B290,September!$D$3:$AH$3)+2)</f>
        <v>0</v>
      </c>
      <c r="I290" s="130">
        <v>0</v>
      </c>
      <c r="J290" s="130">
        <v>0</v>
      </c>
      <c r="L290" s="124"/>
      <c r="M290" s="111"/>
      <c r="N290" s="111">
        <f t="shared" si="81"/>
        <v>0</v>
      </c>
      <c r="P290" s="112">
        <f t="shared" si="86"/>
        <v>0</v>
      </c>
      <c r="Q290" s="112">
        <f t="shared" si="87"/>
        <v>0</v>
      </c>
    </row>
    <row r="291" spans="2:17" x14ac:dyDescent="0.25">
      <c r="B291" s="110">
        <f>DATE(Title!$F$12,$S$13,S31)</f>
        <v>41544</v>
      </c>
      <c r="C291" s="111">
        <f>IF(WEEKDAY(B291)=1,0,IF(WEEKDAY(B291)=4,'Hours Scheduled'!$K$44-1,IF(WEEKDAY(B291)=7,0,'Hours Scheduled'!$K$44)))</f>
        <v>21</v>
      </c>
      <c r="D291" s="17">
        <f t="shared" si="84"/>
        <v>157.5</v>
      </c>
      <c r="E291" s="127">
        <f t="shared" si="85"/>
        <v>160</v>
      </c>
      <c r="F291" s="111"/>
      <c r="G291" s="130">
        <f>INDEX(September!$C$3:$AH$169,3,MATCH(B291,September!$D$3:$AH$3)+1)+INDEX(September!$C$3:$AH$169,8,MATCH(B291,September!$D$3:$AH$3)+1)+INDEX(September!$C$3:$AH$169,13,MATCH(B291,September!$D$3:$AH$3)+1)+INDEX(September!$C$3:$AH$169,18,MATCH(B291,September!$D$3:$AH$3)+1)+INDEX(September!$C$3:$AH$169,23,MATCH(B291,September!$D$3:$AH$3)+1)+INDEX(September!$C$3:$AH$169,28,MATCH(B291,September!$D$3:$AH$3)+1)+INDEX(September!$C$3:$AH$169,33,MATCH(B291,September!$D$3:$AH$3)+1)+INDEX(September!$C$3:$AH$169,38,MATCH(B291,September!$D$3:$AH$3)+1)+INDEX(September!$C$3:$AH$169,43,MATCH(B291,September!$D$3:$AH$3)+1)+INDEX(September!$C$3:$AH$169,48,MATCH(B291,September!$D$3:$AH$3)+1)+INDEX(September!$C$3:$AH$169,53,MATCH(B291,September!$D$3:$AH$3)+1)+INDEX(September!$C$3:$AH$169,58,MATCH(B291,September!$D$3:$AH$3)+1)+INDEX(September!$C$3:$AH$169,63,MATCH(B291,September!$D$3:$AH$3)+1)+INDEX(September!$C$3:$AH$169,68,MATCH(B291,September!$D$3:$AH$3)+1)+INDEX(September!$C$3:$AH$169,73,MATCH(B291,September!$D$3:$AH$3)+1)+INDEX(September!$C$3:$AH$169,78,MATCH(B291,September!$D$3:$AH$3)+1)+INDEX(September!$C$3:$AH$169,83,MATCH(B291,September!$D$3:$AH$3)+1)+INDEX(September!$C$3:$AH$169,88,MATCH(B291,September!$D$3:$AH$3)+1)+INDEX(September!$C$3:$AH$169,93,MATCH(B291,September!$D$3:$AH$3)+1)+INDEX(September!$C$3:$AH$169,98,MATCH(B291,September!$D$3:$AH$3)+1)+INDEX(September!$C$3:$AH$169,103,MATCH(B291,September!$D$3:$AH$3)+1)+INDEX(September!$C$3:$AH$169,108,MATCH(B291,September!$D$3:$AH$3)+1)+INDEX(September!$C$3:$AH$169,113,MATCH(B291,September!$D$3:$AH$3)+1)+INDEX(September!$C$3:$AH$169,118,MATCH(B291,September!$D$3:$AH$3)+1)+INDEX(September!$C$3:$AH$169,123,MATCH(B291,September!$D$3:$AH$3)+1)+INDEX(September!$C$3:$AH$169,128,MATCH(B291,September!$D$3:$AH$3)+1)+INDEX(September!$C$3:$AH$169,133,MATCH(B291,September!$D$3:$AH$3)+1)+INDEX(September!$C$3:$AH$169,138,MATCH(B291,September!$D$3:$AH$3)+1)+INDEX(September!$C$3:$AH$169,143,MATCH(B291,September!$D$3:$AH$3)+1)+INDEX(September!$C$3:$AH$169,148,MATCH(B291,September!$D$3:$AH$3)+1)-INDEX(September!$B$5:$AH$169,MATCH("Patrick Janssen",September!$B$5:$B$169),MATCH(B291,September!$D$3:$AH$3)+2)-INDEX(September!$B$5:$AH$169,MATCH("Patrick Ziesen",September!$B$5:$B$169),MATCH(B291,September!$D$3:$AH$3)+2)-INDEX(September!$B$5:$AH$169,MATCH("Frido Meijer",September!$B$5:$B$169),MATCH(B291,September!$D$3:$AH$3)+2)</f>
        <v>8</v>
      </c>
      <c r="H291" s="130">
        <f>INDEX(September!$C$3:$AH$169,4,MATCH(B291,September!$D$3:$AH$3)+1)+INDEX(September!$C$3:$AH$169,9,MATCH(B291,September!$D$3:$AH$3)+1)+INDEX(September!$C$3:$AH$169,14,MATCH(B291,September!$D$3:$AH$3)+1)+INDEX(September!$C$3:$AH$169,19,MATCH(B291,September!$D$3:$AH$3)+1)+INDEX(September!$C$3:$AH$169,24,MATCH(B291,September!$D$3:$AH$3)+1)+INDEX(September!$C$3:$AH$169,29,MATCH(B291,September!$D$3:$AH$3)+1)+INDEX(September!$C$3:$AH$169,34,MATCH(B291,September!$D$3:$AH$3)+1)+INDEX(September!$C$3:$AH$169,39,MATCH(B291,September!$D$3:$AH$3)+1)+INDEX(September!$C$3:$AH$169,44,MATCH(B291,September!$D$3:$AH$3)+1)+INDEX(September!$C$3:$AH$169,49,MATCH(B291,September!$D$3:$AH$3)+1)+INDEX(September!$C$3:$AH$169,54,MATCH(B291,September!$D$3:$AH$3)+1)+INDEX(September!$C$3:$AH$169,59,MATCH(B291,September!$D$3:$AH$3)+1)+INDEX(September!$C$3:$AH$169,64,MATCH(B291,September!$D$3:$AH$3)+1)+INDEX(September!$C$3:$AH$169,69,MATCH(B291,September!$D$3:$AH$3)+1)+INDEX(September!$C$3:$AH$169,74,MATCH(B291,September!$D$3:$AH$3)+1)+INDEX(September!$C$3:$AH$169,79,MATCH(B291,September!$D$3:$AH$3)+1)+INDEX(September!$C$3:$AH$169,84,MATCH(B291,September!$D$3:$AH$3)+1)+INDEX(September!$C$3:$AH$169,89,MATCH(B291,September!$D$3:$AH$3)+1)+INDEX(September!$C$3:$AH$169,94,MATCH(B291,September!$D$3:$AH$3)+1)+INDEX(September!$C$3:$AH$169,99,MATCH(B291,September!$D$3:$AH$3)+1)+INDEX(September!$C$3:$AH$169,104,MATCH(B291,September!$D$3:$AH$3)+1)+INDEX(September!$C$3:$AH$169,109,MATCH(B291,September!$D$3:$AH$3)+1)+INDEX(September!$C$3:$AH$169,114,MATCH(B291,September!$D$3:$AH$3)+1)+INDEX(September!$C$3:$AH$169,119,MATCH(B291,September!$D$3:$AH$3)+1)+INDEX(September!$C$3:$AH$169,124,MATCH(B291,September!$D$3:$AH$3)+1)+INDEX(September!$C$3:$AH$169,129,MATCH(B291,September!$D$3:$AH$3)+1)+INDEX(September!$C$3:$AH$169,134,MATCH(B291,September!$D$3:$AH$3)+1)+INDEX(September!$C$3:$AH$169,139,MATCH(B291,September!$D$3:$AH$3)+1)+INDEX(September!$C$3:$AH$169,144,MATCH(B291,September!$D$3:$AH$3)+1)+INDEX(September!$C$3:$AH$169,149,MATCH(B291,September!$D$3:$AH$3)+1)-INDEX(September!$B$5:$AH$169,MATCH("Patrick Janssen",September!$B$5:$B$169)+1,MATCH(B291,September!$D$3:$AH$3)+2)-INDEX(September!$B$5:$AH$169,MATCH("Patrick Ziesen",September!$B$5:$B$169)+1,MATCH(B291,September!$D$3:$AH$3)+2)-INDEX(September!$B$5:$AH$169,MATCH("Frido Meijer",September!$B$5:$B$169)+1,MATCH(B291,September!$D$3:$AH$3)+2)</f>
        <v>0</v>
      </c>
      <c r="I291" s="130">
        <v>0</v>
      </c>
      <c r="J291" s="130">
        <v>0</v>
      </c>
      <c r="L291" s="124"/>
      <c r="M291" s="111"/>
      <c r="N291" s="111">
        <f t="shared" si="81"/>
        <v>0</v>
      </c>
      <c r="P291" s="112">
        <f t="shared" si="86"/>
        <v>0</v>
      </c>
      <c r="Q291" s="112">
        <f t="shared" si="87"/>
        <v>0</v>
      </c>
    </row>
    <row r="292" spans="2:17" x14ac:dyDescent="0.25">
      <c r="B292" s="110">
        <f>DATE(Title!$F$12,$S$13,S32)</f>
        <v>41545</v>
      </c>
      <c r="C292" s="111">
        <f>IF(WEEKDAY(B292)=1,0,IF(WEEKDAY(B292)=4,'Hours Scheduled'!$K$44-1,IF(WEEKDAY(B292)=7,0,'Hours Scheduled'!$K$44)))</f>
        <v>0</v>
      </c>
      <c r="D292" s="17">
        <f t="shared" si="84"/>
        <v>0</v>
      </c>
      <c r="E292" s="127">
        <f t="shared" si="85"/>
        <v>0</v>
      </c>
      <c r="F292" s="111"/>
      <c r="G292" s="130">
        <f>INDEX(September!$C$3:$AH$169,3,MATCH(B292,September!$D$3:$AH$3)+1)+INDEX(September!$C$3:$AH$169,8,MATCH(B292,September!$D$3:$AH$3)+1)+INDEX(September!$C$3:$AH$169,13,MATCH(B292,September!$D$3:$AH$3)+1)+INDEX(September!$C$3:$AH$169,18,MATCH(B292,September!$D$3:$AH$3)+1)+INDEX(September!$C$3:$AH$169,23,MATCH(B292,September!$D$3:$AH$3)+1)+INDEX(September!$C$3:$AH$169,28,MATCH(B292,September!$D$3:$AH$3)+1)+INDEX(September!$C$3:$AH$169,33,MATCH(B292,September!$D$3:$AH$3)+1)+INDEX(September!$C$3:$AH$169,38,MATCH(B292,September!$D$3:$AH$3)+1)+INDEX(September!$C$3:$AH$169,43,MATCH(B292,September!$D$3:$AH$3)+1)+INDEX(September!$C$3:$AH$169,48,MATCH(B292,September!$D$3:$AH$3)+1)+INDEX(September!$C$3:$AH$169,53,MATCH(B292,September!$D$3:$AH$3)+1)+INDEX(September!$C$3:$AH$169,58,MATCH(B292,September!$D$3:$AH$3)+1)+INDEX(September!$C$3:$AH$169,63,MATCH(B292,September!$D$3:$AH$3)+1)+INDEX(September!$C$3:$AH$169,68,MATCH(B292,September!$D$3:$AH$3)+1)+INDEX(September!$C$3:$AH$169,73,MATCH(B292,September!$D$3:$AH$3)+1)+INDEX(September!$C$3:$AH$169,78,MATCH(B292,September!$D$3:$AH$3)+1)+INDEX(September!$C$3:$AH$169,83,MATCH(B292,September!$D$3:$AH$3)+1)+INDEX(September!$C$3:$AH$169,88,MATCH(B292,September!$D$3:$AH$3)+1)+INDEX(September!$C$3:$AH$169,93,MATCH(B292,September!$D$3:$AH$3)+1)+INDEX(September!$C$3:$AH$169,98,MATCH(B292,September!$D$3:$AH$3)+1)+INDEX(September!$C$3:$AH$169,103,MATCH(B292,September!$D$3:$AH$3)+1)+INDEX(September!$C$3:$AH$169,108,MATCH(B292,September!$D$3:$AH$3)+1)+INDEX(September!$C$3:$AH$169,113,MATCH(B292,September!$D$3:$AH$3)+1)+INDEX(September!$C$3:$AH$169,118,MATCH(B292,September!$D$3:$AH$3)+1)+INDEX(September!$C$3:$AH$169,123,MATCH(B292,September!$D$3:$AH$3)+1)+INDEX(September!$C$3:$AH$169,128,MATCH(B292,September!$D$3:$AH$3)+1)+INDEX(September!$C$3:$AH$169,133,MATCH(B292,September!$D$3:$AH$3)+1)+INDEX(September!$C$3:$AH$169,138,MATCH(B292,September!$D$3:$AH$3)+1)+INDEX(September!$C$3:$AH$169,143,MATCH(B292,September!$D$3:$AH$3)+1)+INDEX(September!$C$3:$AH$169,148,MATCH(B292,September!$D$3:$AH$3)+1)-INDEX(September!$B$5:$AH$169,MATCH("Patrick Janssen",September!$B$5:$B$169),MATCH(B292,September!$D$3:$AH$3)+2)-INDEX(September!$B$5:$AH$169,MATCH("Patrick Ziesen",September!$B$5:$B$169),MATCH(B292,September!$D$3:$AH$3)+2)-INDEX(September!$B$5:$AH$169,MATCH("Frido Meijer",September!$B$5:$B$169),MATCH(B292,September!$D$3:$AH$3)+2)</f>
        <v>0</v>
      </c>
      <c r="H292" s="130">
        <f>INDEX(September!$C$3:$AH$169,4,MATCH(B292,September!$D$3:$AH$3)+1)+INDEX(September!$C$3:$AH$169,9,MATCH(B292,September!$D$3:$AH$3)+1)+INDEX(September!$C$3:$AH$169,14,MATCH(B292,September!$D$3:$AH$3)+1)+INDEX(September!$C$3:$AH$169,19,MATCH(B292,September!$D$3:$AH$3)+1)+INDEX(September!$C$3:$AH$169,24,MATCH(B292,September!$D$3:$AH$3)+1)+INDEX(September!$C$3:$AH$169,29,MATCH(B292,September!$D$3:$AH$3)+1)+INDEX(September!$C$3:$AH$169,34,MATCH(B292,September!$D$3:$AH$3)+1)+INDEX(September!$C$3:$AH$169,39,MATCH(B292,September!$D$3:$AH$3)+1)+INDEX(September!$C$3:$AH$169,44,MATCH(B292,September!$D$3:$AH$3)+1)+INDEX(September!$C$3:$AH$169,49,MATCH(B292,September!$D$3:$AH$3)+1)+INDEX(September!$C$3:$AH$169,54,MATCH(B292,September!$D$3:$AH$3)+1)+INDEX(September!$C$3:$AH$169,59,MATCH(B292,September!$D$3:$AH$3)+1)+INDEX(September!$C$3:$AH$169,64,MATCH(B292,September!$D$3:$AH$3)+1)+INDEX(September!$C$3:$AH$169,69,MATCH(B292,September!$D$3:$AH$3)+1)+INDEX(September!$C$3:$AH$169,74,MATCH(B292,September!$D$3:$AH$3)+1)+INDEX(September!$C$3:$AH$169,79,MATCH(B292,September!$D$3:$AH$3)+1)+INDEX(September!$C$3:$AH$169,84,MATCH(B292,September!$D$3:$AH$3)+1)+INDEX(September!$C$3:$AH$169,89,MATCH(B292,September!$D$3:$AH$3)+1)+INDEX(September!$C$3:$AH$169,94,MATCH(B292,September!$D$3:$AH$3)+1)+INDEX(September!$C$3:$AH$169,99,MATCH(B292,September!$D$3:$AH$3)+1)+INDEX(September!$C$3:$AH$169,104,MATCH(B292,September!$D$3:$AH$3)+1)+INDEX(September!$C$3:$AH$169,109,MATCH(B292,September!$D$3:$AH$3)+1)+INDEX(September!$C$3:$AH$169,114,MATCH(B292,September!$D$3:$AH$3)+1)+INDEX(September!$C$3:$AH$169,119,MATCH(B292,September!$D$3:$AH$3)+1)+INDEX(September!$C$3:$AH$169,124,MATCH(B292,September!$D$3:$AH$3)+1)+INDEX(September!$C$3:$AH$169,129,MATCH(B292,September!$D$3:$AH$3)+1)+INDEX(September!$C$3:$AH$169,134,MATCH(B292,September!$D$3:$AH$3)+1)+INDEX(September!$C$3:$AH$169,139,MATCH(B292,September!$D$3:$AH$3)+1)+INDEX(September!$C$3:$AH$169,144,MATCH(B292,September!$D$3:$AH$3)+1)+INDEX(September!$C$3:$AH$169,149,MATCH(B292,September!$D$3:$AH$3)+1)-INDEX(September!$B$5:$AH$169,MATCH("Patrick Janssen",September!$B$5:$B$169)+1,MATCH(B292,September!$D$3:$AH$3)+2)-INDEX(September!$B$5:$AH$169,MATCH("Patrick Ziesen",September!$B$5:$B$169)+1,MATCH(B292,September!$D$3:$AH$3)+2)-INDEX(September!$B$5:$AH$169,MATCH("Frido Meijer",September!$B$5:$B$169)+1,MATCH(B292,September!$D$3:$AH$3)+2)</f>
        <v>0</v>
      </c>
      <c r="I292" s="130">
        <v>0</v>
      </c>
      <c r="J292" s="130">
        <v>0</v>
      </c>
      <c r="L292" s="124"/>
      <c r="M292" s="111"/>
      <c r="N292" s="111">
        <f t="shared" si="81"/>
        <v>0</v>
      </c>
      <c r="P292" s="112" t="str">
        <f t="shared" si="86"/>
        <v/>
      </c>
      <c r="Q292" s="112" t="str">
        <f t="shared" si="87"/>
        <v/>
      </c>
    </row>
    <row r="293" spans="2:17" x14ac:dyDescent="0.25">
      <c r="B293" s="110">
        <f>DATE(Title!$F$12,$S$13,S33)</f>
        <v>41546</v>
      </c>
      <c r="C293" s="111">
        <f>IF(WEEKDAY(B293)=1,0,IF(WEEKDAY(B293)=4,'Hours Scheduled'!$K$44-1,IF(WEEKDAY(B293)=7,0,'Hours Scheduled'!$K$44)))</f>
        <v>0</v>
      </c>
      <c r="D293" s="17">
        <f t="shared" si="84"/>
        <v>0</v>
      </c>
      <c r="E293" s="127">
        <f t="shared" si="85"/>
        <v>0</v>
      </c>
      <c r="F293" s="111"/>
      <c r="G293" s="130">
        <f>INDEX(September!$C$3:$AH$169,3,MATCH(B293,September!$D$3:$AH$3)+1)+INDEX(September!$C$3:$AH$169,8,MATCH(B293,September!$D$3:$AH$3)+1)+INDEX(September!$C$3:$AH$169,13,MATCH(B293,September!$D$3:$AH$3)+1)+INDEX(September!$C$3:$AH$169,18,MATCH(B293,September!$D$3:$AH$3)+1)+INDEX(September!$C$3:$AH$169,23,MATCH(B293,September!$D$3:$AH$3)+1)+INDEX(September!$C$3:$AH$169,28,MATCH(B293,September!$D$3:$AH$3)+1)+INDEX(September!$C$3:$AH$169,33,MATCH(B293,September!$D$3:$AH$3)+1)+INDEX(September!$C$3:$AH$169,38,MATCH(B293,September!$D$3:$AH$3)+1)+INDEX(September!$C$3:$AH$169,43,MATCH(B293,September!$D$3:$AH$3)+1)+INDEX(September!$C$3:$AH$169,48,MATCH(B293,September!$D$3:$AH$3)+1)+INDEX(September!$C$3:$AH$169,53,MATCH(B293,September!$D$3:$AH$3)+1)+INDEX(September!$C$3:$AH$169,58,MATCH(B293,September!$D$3:$AH$3)+1)+INDEX(September!$C$3:$AH$169,63,MATCH(B293,September!$D$3:$AH$3)+1)+INDEX(September!$C$3:$AH$169,68,MATCH(B293,September!$D$3:$AH$3)+1)+INDEX(September!$C$3:$AH$169,73,MATCH(B293,September!$D$3:$AH$3)+1)+INDEX(September!$C$3:$AH$169,78,MATCH(B293,September!$D$3:$AH$3)+1)+INDEX(September!$C$3:$AH$169,83,MATCH(B293,September!$D$3:$AH$3)+1)+INDEX(September!$C$3:$AH$169,88,MATCH(B293,September!$D$3:$AH$3)+1)+INDEX(September!$C$3:$AH$169,93,MATCH(B293,September!$D$3:$AH$3)+1)+INDEX(September!$C$3:$AH$169,98,MATCH(B293,September!$D$3:$AH$3)+1)+INDEX(September!$C$3:$AH$169,103,MATCH(B293,September!$D$3:$AH$3)+1)+INDEX(September!$C$3:$AH$169,108,MATCH(B293,September!$D$3:$AH$3)+1)+INDEX(September!$C$3:$AH$169,113,MATCH(B293,September!$D$3:$AH$3)+1)+INDEX(September!$C$3:$AH$169,118,MATCH(B293,September!$D$3:$AH$3)+1)+INDEX(September!$C$3:$AH$169,123,MATCH(B293,September!$D$3:$AH$3)+1)+INDEX(September!$C$3:$AH$169,128,MATCH(B293,September!$D$3:$AH$3)+1)+INDEX(September!$C$3:$AH$169,133,MATCH(B293,September!$D$3:$AH$3)+1)+INDEX(September!$C$3:$AH$169,138,MATCH(B293,September!$D$3:$AH$3)+1)+INDEX(September!$C$3:$AH$169,143,MATCH(B293,September!$D$3:$AH$3)+1)+INDEX(September!$C$3:$AH$169,148,MATCH(B293,September!$D$3:$AH$3)+1)-INDEX(September!$B$5:$AH$169,MATCH("Patrick Janssen",September!$B$5:$B$169),MATCH(B293,September!$D$3:$AH$3)+2)-INDEX(September!$B$5:$AH$169,MATCH("Patrick Ziesen",September!$B$5:$B$169),MATCH(B293,September!$D$3:$AH$3)+2)-INDEX(September!$B$5:$AH$169,MATCH("Frido Meijer",September!$B$5:$B$169),MATCH(B293,September!$D$3:$AH$3)+2)</f>
        <v>0</v>
      </c>
      <c r="H293" s="130">
        <f>INDEX(September!$C$3:$AH$169,4,MATCH(B293,September!$D$3:$AH$3)+1)+INDEX(September!$C$3:$AH$169,9,MATCH(B293,September!$D$3:$AH$3)+1)+INDEX(September!$C$3:$AH$169,14,MATCH(B293,September!$D$3:$AH$3)+1)+INDEX(September!$C$3:$AH$169,19,MATCH(B293,September!$D$3:$AH$3)+1)+INDEX(September!$C$3:$AH$169,24,MATCH(B293,September!$D$3:$AH$3)+1)+INDEX(September!$C$3:$AH$169,29,MATCH(B293,September!$D$3:$AH$3)+1)+INDEX(September!$C$3:$AH$169,34,MATCH(B293,September!$D$3:$AH$3)+1)+INDEX(September!$C$3:$AH$169,39,MATCH(B293,September!$D$3:$AH$3)+1)+INDEX(September!$C$3:$AH$169,44,MATCH(B293,September!$D$3:$AH$3)+1)+INDEX(September!$C$3:$AH$169,49,MATCH(B293,September!$D$3:$AH$3)+1)+INDEX(September!$C$3:$AH$169,54,MATCH(B293,September!$D$3:$AH$3)+1)+INDEX(September!$C$3:$AH$169,59,MATCH(B293,September!$D$3:$AH$3)+1)+INDEX(September!$C$3:$AH$169,64,MATCH(B293,September!$D$3:$AH$3)+1)+INDEX(September!$C$3:$AH$169,69,MATCH(B293,September!$D$3:$AH$3)+1)+INDEX(September!$C$3:$AH$169,74,MATCH(B293,September!$D$3:$AH$3)+1)+INDEX(September!$C$3:$AH$169,79,MATCH(B293,September!$D$3:$AH$3)+1)+INDEX(September!$C$3:$AH$169,84,MATCH(B293,September!$D$3:$AH$3)+1)+INDEX(September!$C$3:$AH$169,89,MATCH(B293,September!$D$3:$AH$3)+1)+INDEX(September!$C$3:$AH$169,94,MATCH(B293,September!$D$3:$AH$3)+1)+INDEX(September!$C$3:$AH$169,99,MATCH(B293,September!$D$3:$AH$3)+1)+INDEX(September!$C$3:$AH$169,104,MATCH(B293,September!$D$3:$AH$3)+1)+INDEX(September!$C$3:$AH$169,109,MATCH(B293,September!$D$3:$AH$3)+1)+INDEX(September!$C$3:$AH$169,114,MATCH(B293,September!$D$3:$AH$3)+1)+INDEX(September!$C$3:$AH$169,119,MATCH(B293,September!$D$3:$AH$3)+1)+INDEX(September!$C$3:$AH$169,124,MATCH(B293,September!$D$3:$AH$3)+1)+INDEX(September!$C$3:$AH$169,129,MATCH(B293,September!$D$3:$AH$3)+1)+INDEX(September!$C$3:$AH$169,134,MATCH(B293,September!$D$3:$AH$3)+1)+INDEX(September!$C$3:$AH$169,139,MATCH(B293,September!$D$3:$AH$3)+1)+INDEX(September!$C$3:$AH$169,144,MATCH(B293,September!$D$3:$AH$3)+1)+INDEX(September!$C$3:$AH$169,149,MATCH(B293,September!$D$3:$AH$3)+1)-INDEX(September!$B$5:$AH$169,MATCH("Patrick Janssen",September!$B$5:$B$169)+1,MATCH(B293,September!$D$3:$AH$3)+2)-INDEX(September!$B$5:$AH$169,MATCH("Patrick Ziesen",September!$B$5:$B$169)+1,MATCH(B293,September!$D$3:$AH$3)+2)-INDEX(September!$B$5:$AH$169,MATCH("Frido Meijer",September!$B$5:$B$169)+1,MATCH(B293,September!$D$3:$AH$3)+2)</f>
        <v>0</v>
      </c>
      <c r="I293" s="130">
        <v>0</v>
      </c>
      <c r="J293" s="130">
        <v>0</v>
      </c>
      <c r="L293" s="124"/>
      <c r="M293" s="111"/>
      <c r="N293" s="111">
        <f t="shared" si="81"/>
        <v>0</v>
      </c>
      <c r="P293" s="112" t="str">
        <f t="shared" si="86"/>
        <v/>
      </c>
      <c r="Q293" s="112" t="str">
        <f t="shared" si="87"/>
        <v/>
      </c>
    </row>
    <row r="294" spans="2:17" ht="15.75" thickBot="1" x14ac:dyDescent="0.3">
      <c r="B294" s="110">
        <f>DATE(Title!$F$12,$S$13,S34)</f>
        <v>41547</v>
      </c>
      <c r="C294" s="111">
        <f>IF(WEEKDAY(B294)=1,0,IF(WEEKDAY(B294)=4,'Hours Scheduled'!$K$44-1,IF(WEEKDAY(B294)=7,0,'Hours Scheduled'!$K$44)))</f>
        <v>21</v>
      </c>
      <c r="D294" s="17">
        <f t="shared" si="84"/>
        <v>157.5</v>
      </c>
      <c r="E294" s="127">
        <f t="shared" si="85"/>
        <v>160</v>
      </c>
      <c r="F294" s="113"/>
      <c r="G294" s="132">
        <f>INDEX(September!$C$3:$AH$169,3,MATCH(B294,September!$D$3:$AH$3)+1)+INDEX(September!$C$3:$AH$169,8,MATCH(B294,September!$D$3:$AH$3)+1)+INDEX(September!$C$3:$AH$169,13,MATCH(B294,September!$D$3:$AH$3)+1)+INDEX(September!$C$3:$AH$169,18,MATCH(B294,September!$D$3:$AH$3)+1)+INDEX(September!$C$3:$AH$169,23,MATCH(B294,September!$D$3:$AH$3)+1)+INDEX(September!$C$3:$AH$169,28,MATCH(B294,September!$D$3:$AH$3)+1)+INDEX(September!$C$3:$AH$169,33,MATCH(B294,September!$D$3:$AH$3)+1)+INDEX(September!$C$3:$AH$169,38,MATCH(B294,September!$D$3:$AH$3)+1)+INDEX(September!$C$3:$AH$169,43,MATCH(B294,September!$D$3:$AH$3)+1)+INDEX(September!$C$3:$AH$169,48,MATCH(B294,September!$D$3:$AH$3)+1)+INDEX(September!$C$3:$AH$169,53,MATCH(B294,September!$D$3:$AH$3)+1)+INDEX(September!$C$3:$AH$169,58,MATCH(B294,September!$D$3:$AH$3)+1)+INDEX(September!$C$3:$AH$169,63,MATCH(B294,September!$D$3:$AH$3)+1)+INDEX(September!$C$3:$AH$169,68,MATCH(B294,September!$D$3:$AH$3)+1)+INDEX(September!$C$3:$AH$169,73,MATCH(B294,September!$D$3:$AH$3)+1)+INDEX(September!$C$3:$AH$169,78,MATCH(B294,September!$D$3:$AH$3)+1)+INDEX(September!$C$3:$AH$169,83,MATCH(B294,September!$D$3:$AH$3)+1)+INDEX(September!$C$3:$AH$169,88,MATCH(B294,September!$D$3:$AH$3)+1)+INDEX(September!$C$3:$AH$169,93,MATCH(B294,September!$D$3:$AH$3)+1)+INDEX(September!$C$3:$AH$169,98,MATCH(B294,September!$D$3:$AH$3)+1)+INDEX(September!$C$3:$AH$169,103,MATCH(B294,September!$D$3:$AH$3)+1)+INDEX(September!$C$3:$AH$169,108,MATCH(B294,September!$D$3:$AH$3)+1)+INDEX(September!$C$3:$AH$169,113,MATCH(B294,September!$D$3:$AH$3)+1)+INDEX(September!$C$3:$AH$169,118,MATCH(B294,September!$D$3:$AH$3)+1)+INDEX(September!$C$3:$AH$169,123,MATCH(B294,September!$D$3:$AH$3)+1)+INDEX(September!$C$3:$AH$169,128,MATCH(B294,September!$D$3:$AH$3)+1)+INDEX(September!$C$3:$AH$169,133,MATCH(B294,September!$D$3:$AH$3)+1)+INDEX(September!$C$3:$AH$169,138,MATCH(B294,September!$D$3:$AH$3)+1)+INDEX(September!$C$3:$AH$169,143,MATCH(B294,September!$D$3:$AH$3)+1)+INDEX(September!$C$3:$AH$169,148,MATCH(B294,September!$D$3:$AH$3)+1)-INDEX(September!$B$5:$AH$169,MATCH("Patrick Janssen",September!$B$5:$B$169),MATCH(B294,September!$D$3:$AH$3)+2)-INDEX(September!$B$5:$AH$169,MATCH("Patrick Ziesen",September!$B$5:$B$169),MATCH(B294,September!$D$3:$AH$3)+2)-INDEX(September!$B$5:$AH$169,MATCH("Frido Meijer",September!$B$5:$B$169),MATCH(B294,September!$D$3:$AH$3)+2)</f>
        <v>8</v>
      </c>
      <c r="H294" s="132">
        <f>INDEX(September!$C$3:$AH$169,4,MATCH(B294,September!$D$3:$AH$3)+1)+INDEX(September!$C$3:$AH$169,9,MATCH(B294,September!$D$3:$AH$3)+1)+INDEX(September!$C$3:$AH$169,14,MATCH(B294,September!$D$3:$AH$3)+1)+INDEX(September!$C$3:$AH$169,19,MATCH(B294,September!$D$3:$AH$3)+1)+INDEX(September!$C$3:$AH$169,24,MATCH(B294,September!$D$3:$AH$3)+1)+INDEX(September!$C$3:$AH$169,29,MATCH(B294,September!$D$3:$AH$3)+1)+INDEX(September!$C$3:$AH$169,34,MATCH(B294,September!$D$3:$AH$3)+1)+INDEX(September!$C$3:$AH$169,39,MATCH(B294,September!$D$3:$AH$3)+1)+INDEX(September!$C$3:$AH$169,44,MATCH(B294,September!$D$3:$AH$3)+1)+INDEX(September!$C$3:$AH$169,49,MATCH(B294,September!$D$3:$AH$3)+1)+INDEX(September!$C$3:$AH$169,54,MATCH(B294,September!$D$3:$AH$3)+1)+INDEX(September!$C$3:$AH$169,59,MATCH(B294,September!$D$3:$AH$3)+1)+INDEX(September!$C$3:$AH$169,64,MATCH(B294,September!$D$3:$AH$3)+1)+INDEX(September!$C$3:$AH$169,69,MATCH(B294,September!$D$3:$AH$3)+1)+INDEX(September!$C$3:$AH$169,74,MATCH(B294,September!$D$3:$AH$3)+1)+INDEX(September!$C$3:$AH$169,79,MATCH(B294,September!$D$3:$AH$3)+1)+INDEX(September!$C$3:$AH$169,84,MATCH(B294,September!$D$3:$AH$3)+1)+INDEX(September!$C$3:$AH$169,89,MATCH(B294,September!$D$3:$AH$3)+1)+INDEX(September!$C$3:$AH$169,94,MATCH(B294,September!$D$3:$AH$3)+1)+INDEX(September!$C$3:$AH$169,99,MATCH(B294,September!$D$3:$AH$3)+1)+INDEX(September!$C$3:$AH$169,104,MATCH(B294,September!$D$3:$AH$3)+1)+INDEX(September!$C$3:$AH$169,109,MATCH(B294,September!$D$3:$AH$3)+1)+INDEX(September!$C$3:$AH$169,114,MATCH(B294,September!$D$3:$AH$3)+1)+INDEX(September!$C$3:$AH$169,119,MATCH(B294,September!$D$3:$AH$3)+1)+INDEX(September!$C$3:$AH$169,124,MATCH(B294,September!$D$3:$AH$3)+1)+INDEX(September!$C$3:$AH$169,129,MATCH(B294,September!$D$3:$AH$3)+1)+INDEX(September!$C$3:$AH$169,134,MATCH(B294,September!$D$3:$AH$3)+1)+INDEX(September!$C$3:$AH$169,139,MATCH(B294,September!$D$3:$AH$3)+1)+INDEX(September!$C$3:$AH$169,144,MATCH(B294,September!$D$3:$AH$3)+1)+INDEX(September!$C$3:$AH$169,149,MATCH(B294,September!$D$3:$AH$3)+1)-INDEX(September!$B$5:$AH$169,MATCH("Patrick Janssen",September!$B$5:$B$169)+1,MATCH(B294,September!$D$3:$AH$3)+2)-INDEX(September!$B$5:$AH$169,MATCH("Patrick Ziesen",September!$B$5:$B$169)+1,MATCH(B294,September!$D$3:$AH$3)+2)-INDEX(September!$B$5:$AH$169,MATCH("Frido Meijer",September!$B$5:$B$169)+1,MATCH(B294,September!$D$3:$AH$3)+2)</f>
        <v>0</v>
      </c>
      <c r="I294" s="130">
        <v>0</v>
      </c>
      <c r="J294" s="130">
        <v>0</v>
      </c>
      <c r="L294" s="124"/>
      <c r="M294" s="111"/>
      <c r="N294" s="111">
        <f t="shared" si="81"/>
        <v>0</v>
      </c>
      <c r="P294" s="112">
        <f t="shared" si="86"/>
        <v>0</v>
      </c>
      <c r="Q294" s="112">
        <f t="shared" si="87"/>
        <v>0</v>
      </c>
    </row>
    <row r="295" spans="2:17" ht="15.75" x14ac:dyDescent="0.25">
      <c r="B295" s="146" t="s">
        <v>7</v>
      </c>
      <c r="C295" s="114">
        <f>SUM(C265:C294)</f>
        <v>437</v>
      </c>
      <c r="D295" s="107">
        <f t="shared" ref="D295" si="88">C295*7.5</f>
        <v>3277.5</v>
      </c>
      <c r="E295" s="140">
        <f t="shared" si="85"/>
        <v>3304</v>
      </c>
      <c r="F295" s="114">
        <f>SUM(F265:F294)</f>
        <v>0</v>
      </c>
      <c r="G295" s="133">
        <f t="shared" ref="G295:J295" si="89">SUM(G265:G294)</f>
        <v>192</v>
      </c>
      <c r="H295" s="133">
        <f t="shared" si="89"/>
        <v>0</v>
      </c>
      <c r="I295" s="133">
        <f t="shared" si="89"/>
        <v>0</v>
      </c>
      <c r="J295" s="133">
        <f t="shared" si="89"/>
        <v>0</v>
      </c>
      <c r="K295" s="115"/>
      <c r="L295" s="114">
        <f>SUM(L265:L294)</f>
        <v>0</v>
      </c>
      <c r="M295" s="114">
        <f t="shared" ref="M295:N295" si="90">SUM(M265:M294)</f>
        <v>0</v>
      </c>
      <c r="N295" s="114">
        <f t="shared" si="90"/>
        <v>0</v>
      </c>
      <c r="O295" s="115"/>
      <c r="P295" s="116">
        <f t="shared" ref="P295" si="91">(L295+(M295/60)+N295)/(D295-F295-G295-H295-I295-J295)</f>
        <v>0</v>
      </c>
      <c r="Q295" s="116">
        <f t="shared" ref="Q295" si="92">(L295+(M295/60)+N295)/(D295-(G295+H295))</f>
        <v>0</v>
      </c>
    </row>
    <row r="296" spans="2:17" x14ac:dyDescent="0.25">
      <c r="B296"/>
      <c r="E296" s="127"/>
    </row>
    <row r="297" spans="2:17" x14ac:dyDescent="0.25">
      <c r="B297" s="110">
        <f>DATE(Title!$F$12,$S$14,S5)</f>
        <v>41548</v>
      </c>
      <c r="C297" s="111">
        <f>IF(WEEKDAY(B297)=1,0,IF(WEEKDAY(B297)=4,'Hours Scheduled'!$K$44-1,IF(WEEKDAY(B297)=7,0,'Hours Scheduled'!$K$44)))</f>
        <v>21</v>
      </c>
      <c r="D297" s="17">
        <f>C297*7.5</f>
        <v>157.5</v>
      </c>
      <c r="E297" s="127">
        <f>C297*8-G297-H297</f>
        <v>160</v>
      </c>
      <c r="F297" s="111"/>
      <c r="G297" s="130">
        <f>INDEX(October!$C$3:$AH$169,3,MATCH(B297,October!$D$3:$AH$3)+1)+INDEX(October!$C$3:$AH$169,8,MATCH(B297,October!$D$3:$AH$3)+1)+INDEX(October!$C$3:$AH$169,13,MATCH(B297,October!$D$3:$AH$3)+1)+INDEX(October!$C$3:$AH$169,18,MATCH(B297,October!$D$3:$AH$3)+1)+INDEX(October!$C$3:$AH$169,23,MATCH(B297,October!$D$3:$AH$3)+1)+INDEX(October!$C$3:$AH$169,28,MATCH(B297,October!$D$3:$AH$3)+1)+INDEX(October!$C$3:$AH$169,33,MATCH(B297,October!$D$3:$AH$3)+1)+INDEX(October!$C$3:$AH$169,38,MATCH(B297,October!$D$3:$AH$3)+1)+INDEX(October!$C$3:$AH$169,43,MATCH(B297,October!$D$3:$AH$3)+1)+INDEX(October!$C$3:$AH$169,48,MATCH(B297,October!$D$3:$AH$3)+1)+INDEX(October!$C$3:$AH$169,53,MATCH(B297,October!$D$3:$AH$3)+1)+INDEX(October!$C$3:$AH$169,58,MATCH(B297,October!$D$3:$AH$3)+1)+INDEX(October!$C$3:$AH$169,63,MATCH(B297,October!$D$3:$AH$3)+1)+INDEX(October!$C$3:$AH$169,68,MATCH(B297,October!$D$3:$AH$3)+1)+INDEX(October!$C$3:$AH$169,73,MATCH(B297,October!$D$3:$AH$3)+1)+INDEX(October!$C$3:$AH$169,78,MATCH(B297,October!$D$3:$AH$3)+1)+INDEX(October!$C$3:$AH$169,83,MATCH(B297,October!$D$3:$AH$3)+1)+INDEX(October!$C$3:$AH$169,88,MATCH(B297,October!$D$3:$AH$3)+1)+INDEX(October!$C$3:$AH$169,93,MATCH(B297,October!$D$3:$AH$3)+1)+INDEX(October!$C$3:$AH$169,98,MATCH(B297,October!$D$3:$AH$3)+1)+INDEX(October!$C$3:$AH$169,103,MATCH(B297,October!$D$3:$AH$3)+1)+INDEX(October!$C$3:$AH$169,108,MATCH(B297,October!$D$3:$AH$3)+1)+INDEX(October!$C$3:$AH$169,113,MATCH(B297,October!$D$3:$AH$3)+1)+INDEX(October!$C$3:$AH$169,118,MATCH(B297,October!$D$3:$AH$3)+1)+INDEX(October!$C$3:$AH$169,123,MATCH(B297,October!$D$3:$AH$3)+1)+INDEX(October!$C$3:$AH$169,128,MATCH(B297,October!$D$3:$AH$3)+1)+INDEX(October!$C$3:$AH$169,133,MATCH(B297,October!$D$3:$AH$3)+1)+INDEX(October!$C$3:$AH$169,138,MATCH(B297,October!$D$3:$AH$3)+1)+INDEX(October!$C$3:$AH$169,143,MATCH(B297,October!$D$3:$AH$3)+1)+INDEX(October!$C$3:$AH$169,148,MATCH(B297,October!$D$3:$AH$3)+1)-INDEX(October!$B$5:$AH$169,MATCH("Patrick Janssen",October!$B$5:$B$169),MATCH(B297,October!$D$3:$AH$3)+2)-INDEX(October!$B$5:$AH$169,MATCH("Patrick Ziesen",October!$B$5:$B$169),MATCH(B297,October!$D$3:$AH$3)+2)-INDEX(October!$B$5:$AH$169,MATCH("Frido Meijer",October!$B$5:$B$169),MATCH(B297,October!$D$3:$AH$3)+2)</f>
        <v>8</v>
      </c>
      <c r="H297" s="130">
        <f>INDEX(October!$C$3:$AH$169,4,MATCH(B297,October!$D$3:$AH$3)+1)+INDEX(October!$C$3:$AH$169,9,MATCH(B297,October!$D$3:$AH$3)+1)+INDEX(October!$C$3:$AH$169,14,MATCH(B297,October!$D$3:$AH$3)+1)+INDEX(October!$C$3:$AH$169,19,MATCH(B297,October!$D$3:$AH$3)+1)+INDEX(October!$C$3:$AH$169,24,MATCH(B297,October!$D$3:$AH$3)+1)+INDEX(October!$C$3:$AH$169,29,MATCH(B297,October!$D$3:$AH$3)+1)+INDEX(October!$C$3:$AH$169,34,MATCH(B297,October!$D$3:$AH$3)+1)+INDEX(October!$C$3:$AH$169,39,MATCH(B297,October!$D$3:$AH$3)+1)+INDEX(October!$C$3:$AH$169,44,MATCH(B297,October!$D$3:$AH$3)+1)+INDEX(October!$C$3:$AH$169,49,MATCH(B297,October!$D$3:$AH$3)+1)+INDEX(October!$C$3:$AH$169,54,MATCH(B297,October!$D$3:$AH$3)+1)+INDEX(October!$C$3:$AH$169,59,MATCH(B297,October!$D$3:$AH$3)+1)+INDEX(October!$C$3:$AH$169,64,MATCH(B297,October!$D$3:$AH$3)+1)+INDEX(October!$C$3:$AH$169,69,MATCH(B297,October!$D$3:$AH$3)+1)+INDEX(October!$C$3:$AH$169,74,MATCH(B297,October!$D$3:$AH$3)+1)+INDEX(October!$C$3:$AH$169,79,MATCH(B297,October!$D$3:$AH$3)+1)+INDEX(October!$C$3:$AH$169,84,MATCH(B297,October!$D$3:$AH$3)+1)+INDEX(October!$C$3:$AH$169,89,MATCH(B297,October!$D$3:$AH$3)+1)+INDEX(October!$C$3:$AH$169,94,MATCH(B297,October!$D$3:$AH$3)+1)+INDEX(October!$C$3:$AH$169,99,MATCH(B297,October!$D$3:$AH$3)+1)+INDEX(October!$C$3:$AH$169,104,MATCH(B297,October!$D$3:$AH$3)+1)+INDEX(October!$C$3:$AH$169,109,MATCH(B297,October!$D$3:$AH$3)+1)+INDEX(October!$C$3:$AH$169,114,MATCH(B297,October!$D$3:$AH$3)+1)+INDEX(October!$C$3:$AH$169,119,MATCH(B297,October!$D$3:$AH$3)+1)+INDEX(October!$C$3:$AH$169,124,MATCH(B297,October!$D$3:$AH$3)+1)+INDEX(October!$C$3:$AH$169,129,MATCH(B297,October!$D$3:$AH$3)+1)+INDEX(October!$C$3:$AH$169,134,MATCH(B297,October!$D$3:$AH$3)+1)+INDEX(October!$C$3:$AH$169,139,MATCH(B297,October!$D$3:$AH$3)+1)+INDEX(October!$C$3:$AH$169,144,MATCH(B297,October!$D$3:$AH$3)+1)+INDEX(October!$C$3:$AH$169,149,MATCH(B297,October!$D$3:$AH$3)+1)-INDEX(October!$B$5:$AH$169,MATCH("Patrick Janssen",October!$B$5:$B$169)+1,MATCH(B297,October!$D$3:$AH$3)+2)-INDEX(October!$B$5:$AH$169,MATCH("Patrick Ziesen",October!$B$5:$B$169)+1,MATCH(B297,October!$D$3:$AH$3)+2)-INDEX(October!$B$5:$AH$169,MATCH("Frido Meijer",October!$B$5:$B$169)+1,MATCH(B297,October!$D$3:$AH$3)+2)</f>
        <v>0</v>
      </c>
      <c r="I297" s="130">
        <v>0</v>
      </c>
      <c r="J297" s="130">
        <v>0</v>
      </c>
      <c r="L297" s="124"/>
      <c r="M297" s="111"/>
      <c r="N297" s="111">
        <f t="shared" ref="N297:N327" si="93">IF(L297="",0,6*7.5)</f>
        <v>0</v>
      </c>
      <c r="P297" s="112">
        <f t="shared" ref="P297" si="94">IFERROR((L297+(M297/60)+N297)/(D297-F297-G297-H297-I297-J297),"")</f>
        <v>0</v>
      </c>
      <c r="Q297" s="112">
        <f t="shared" ref="Q297" si="95">IFERROR((L297+(M297/60)+N297)/(D297-(G297+H297)),"")</f>
        <v>0</v>
      </c>
    </row>
    <row r="298" spans="2:17" x14ac:dyDescent="0.25">
      <c r="B298" s="110">
        <f>DATE(Title!$F$12,$S$14,S6)</f>
        <v>41549</v>
      </c>
      <c r="C298" s="111">
        <f>IF(WEEKDAY(B298)=1,0,IF(WEEKDAY(B298)=4,'Hours Scheduled'!$K$44-1,IF(WEEKDAY(B298)=7,0,'Hours Scheduled'!$K$44)))</f>
        <v>20</v>
      </c>
      <c r="D298" s="17">
        <f t="shared" ref="D298:D328" si="96">C298*7.5</f>
        <v>150</v>
      </c>
      <c r="E298" s="127">
        <f t="shared" ref="E298:E328" si="97">C298*8-G298-H298</f>
        <v>152</v>
      </c>
      <c r="F298" s="111"/>
      <c r="G298" s="130">
        <f>INDEX(October!$C$3:$AH$169,3,MATCH(B298,October!$D$3:$AH$3)+1)+INDEX(October!$C$3:$AH$169,8,MATCH(B298,October!$D$3:$AH$3)+1)+INDEX(October!$C$3:$AH$169,13,MATCH(B298,October!$D$3:$AH$3)+1)+INDEX(October!$C$3:$AH$169,18,MATCH(B298,October!$D$3:$AH$3)+1)+INDEX(October!$C$3:$AH$169,23,MATCH(B298,October!$D$3:$AH$3)+1)+INDEX(October!$C$3:$AH$169,28,MATCH(B298,October!$D$3:$AH$3)+1)+INDEX(October!$C$3:$AH$169,33,MATCH(B298,October!$D$3:$AH$3)+1)+INDEX(October!$C$3:$AH$169,38,MATCH(B298,October!$D$3:$AH$3)+1)+INDEX(October!$C$3:$AH$169,43,MATCH(B298,October!$D$3:$AH$3)+1)+INDEX(October!$C$3:$AH$169,48,MATCH(B298,October!$D$3:$AH$3)+1)+INDEX(October!$C$3:$AH$169,53,MATCH(B298,October!$D$3:$AH$3)+1)+INDEX(October!$C$3:$AH$169,58,MATCH(B298,October!$D$3:$AH$3)+1)+INDEX(October!$C$3:$AH$169,63,MATCH(B298,October!$D$3:$AH$3)+1)+INDEX(October!$C$3:$AH$169,68,MATCH(B298,October!$D$3:$AH$3)+1)+INDEX(October!$C$3:$AH$169,73,MATCH(B298,October!$D$3:$AH$3)+1)+INDEX(October!$C$3:$AH$169,78,MATCH(B298,October!$D$3:$AH$3)+1)+INDEX(October!$C$3:$AH$169,83,MATCH(B298,October!$D$3:$AH$3)+1)+INDEX(October!$C$3:$AH$169,88,MATCH(B298,October!$D$3:$AH$3)+1)+INDEX(October!$C$3:$AH$169,93,MATCH(B298,October!$D$3:$AH$3)+1)+INDEX(October!$C$3:$AH$169,98,MATCH(B298,October!$D$3:$AH$3)+1)+INDEX(October!$C$3:$AH$169,103,MATCH(B298,October!$D$3:$AH$3)+1)+INDEX(October!$C$3:$AH$169,108,MATCH(B298,October!$D$3:$AH$3)+1)+INDEX(October!$C$3:$AH$169,113,MATCH(B298,October!$D$3:$AH$3)+1)+INDEX(October!$C$3:$AH$169,118,MATCH(B298,October!$D$3:$AH$3)+1)+INDEX(October!$C$3:$AH$169,123,MATCH(B298,October!$D$3:$AH$3)+1)+INDEX(October!$C$3:$AH$169,128,MATCH(B298,October!$D$3:$AH$3)+1)+INDEX(October!$C$3:$AH$169,133,MATCH(B298,October!$D$3:$AH$3)+1)+INDEX(October!$C$3:$AH$169,138,MATCH(B298,October!$D$3:$AH$3)+1)+INDEX(October!$C$3:$AH$169,143,MATCH(B298,October!$D$3:$AH$3)+1)+INDEX(October!$C$3:$AH$169,148,MATCH(B298,October!$D$3:$AH$3)+1)-INDEX(October!$B$5:$AH$169,MATCH("Patrick Janssen",October!$B$5:$B$169),MATCH(B298,October!$D$3:$AH$3)+2)-INDEX(October!$B$5:$AH$169,MATCH("Patrick Ziesen",October!$B$5:$B$169),MATCH(B298,October!$D$3:$AH$3)+2)-INDEX(October!$B$5:$AH$169,MATCH("Frido Meijer",October!$B$5:$B$169),MATCH(B298,October!$D$3:$AH$3)+2)</f>
        <v>8</v>
      </c>
      <c r="H298" s="130">
        <f>INDEX(October!$C$3:$AH$169,4,MATCH(B298,October!$D$3:$AH$3)+1)+INDEX(October!$C$3:$AH$169,9,MATCH(B298,October!$D$3:$AH$3)+1)+INDEX(October!$C$3:$AH$169,14,MATCH(B298,October!$D$3:$AH$3)+1)+INDEX(October!$C$3:$AH$169,19,MATCH(B298,October!$D$3:$AH$3)+1)+INDEX(October!$C$3:$AH$169,24,MATCH(B298,October!$D$3:$AH$3)+1)+INDEX(October!$C$3:$AH$169,29,MATCH(B298,October!$D$3:$AH$3)+1)+INDEX(October!$C$3:$AH$169,34,MATCH(B298,October!$D$3:$AH$3)+1)+INDEX(October!$C$3:$AH$169,39,MATCH(B298,October!$D$3:$AH$3)+1)+INDEX(October!$C$3:$AH$169,44,MATCH(B298,October!$D$3:$AH$3)+1)+INDEX(October!$C$3:$AH$169,49,MATCH(B298,October!$D$3:$AH$3)+1)+INDEX(October!$C$3:$AH$169,54,MATCH(B298,October!$D$3:$AH$3)+1)+INDEX(October!$C$3:$AH$169,59,MATCH(B298,October!$D$3:$AH$3)+1)+INDEX(October!$C$3:$AH$169,64,MATCH(B298,October!$D$3:$AH$3)+1)+INDEX(October!$C$3:$AH$169,69,MATCH(B298,October!$D$3:$AH$3)+1)+INDEX(October!$C$3:$AH$169,74,MATCH(B298,October!$D$3:$AH$3)+1)+INDEX(October!$C$3:$AH$169,79,MATCH(B298,October!$D$3:$AH$3)+1)+INDEX(October!$C$3:$AH$169,84,MATCH(B298,October!$D$3:$AH$3)+1)+INDEX(October!$C$3:$AH$169,89,MATCH(B298,October!$D$3:$AH$3)+1)+INDEX(October!$C$3:$AH$169,94,MATCH(B298,October!$D$3:$AH$3)+1)+INDEX(October!$C$3:$AH$169,99,MATCH(B298,October!$D$3:$AH$3)+1)+INDEX(October!$C$3:$AH$169,104,MATCH(B298,October!$D$3:$AH$3)+1)+INDEX(October!$C$3:$AH$169,109,MATCH(B298,October!$D$3:$AH$3)+1)+INDEX(October!$C$3:$AH$169,114,MATCH(B298,October!$D$3:$AH$3)+1)+INDEX(October!$C$3:$AH$169,119,MATCH(B298,October!$D$3:$AH$3)+1)+INDEX(October!$C$3:$AH$169,124,MATCH(B298,October!$D$3:$AH$3)+1)+INDEX(October!$C$3:$AH$169,129,MATCH(B298,October!$D$3:$AH$3)+1)+INDEX(October!$C$3:$AH$169,134,MATCH(B298,October!$D$3:$AH$3)+1)+INDEX(October!$C$3:$AH$169,139,MATCH(B298,October!$D$3:$AH$3)+1)+INDEX(October!$C$3:$AH$169,144,MATCH(B298,October!$D$3:$AH$3)+1)+INDEX(October!$C$3:$AH$169,149,MATCH(B298,October!$D$3:$AH$3)+1)-INDEX(October!$B$5:$AH$169,MATCH("Patrick Janssen",October!$B$5:$B$169)+1,MATCH(B298,October!$D$3:$AH$3)+2)-INDEX(October!$B$5:$AH$169,MATCH("Patrick Ziesen",October!$B$5:$B$169)+1,MATCH(B298,October!$D$3:$AH$3)+2)-INDEX(October!$B$5:$AH$169,MATCH("Frido Meijer",October!$B$5:$B$169)+1,MATCH(B298,October!$D$3:$AH$3)+2)</f>
        <v>0</v>
      </c>
      <c r="I298" s="130">
        <v>0</v>
      </c>
      <c r="J298" s="130">
        <v>0</v>
      </c>
      <c r="L298" s="124"/>
      <c r="M298" s="111"/>
      <c r="N298" s="111">
        <f t="shared" si="93"/>
        <v>0</v>
      </c>
      <c r="P298" s="112">
        <f t="shared" ref="P298:P327" si="98">IFERROR((L298+(M298/60)+N298)/(D298-F298-G298-H298-I298-J298),"")</f>
        <v>0</v>
      </c>
      <c r="Q298" s="112">
        <f t="shared" ref="Q298:Q327" si="99">IFERROR((L298+(M298/60)+N298)/(D298-(G298+H298)),"")</f>
        <v>0</v>
      </c>
    </row>
    <row r="299" spans="2:17" x14ac:dyDescent="0.25">
      <c r="B299" s="110">
        <f>DATE(Title!$F$12,$S$14,S7)</f>
        <v>41550</v>
      </c>
      <c r="C299" s="111">
        <f>IF(WEEKDAY(B299)=1,0,IF(WEEKDAY(B299)=4,'Hours Scheduled'!$K$44-1,IF(WEEKDAY(B299)=7,0,'Hours Scheduled'!$K$44)))</f>
        <v>21</v>
      </c>
      <c r="D299" s="17">
        <f t="shared" si="96"/>
        <v>157.5</v>
      </c>
      <c r="E299" s="127">
        <f t="shared" si="97"/>
        <v>160</v>
      </c>
      <c r="F299" s="111"/>
      <c r="G299" s="130">
        <f>INDEX(October!$C$3:$AH$169,3,MATCH(B299,October!$D$3:$AH$3)+1)+INDEX(October!$C$3:$AH$169,8,MATCH(B299,October!$D$3:$AH$3)+1)+INDEX(October!$C$3:$AH$169,13,MATCH(B299,October!$D$3:$AH$3)+1)+INDEX(October!$C$3:$AH$169,18,MATCH(B299,October!$D$3:$AH$3)+1)+INDEX(October!$C$3:$AH$169,23,MATCH(B299,October!$D$3:$AH$3)+1)+INDEX(October!$C$3:$AH$169,28,MATCH(B299,October!$D$3:$AH$3)+1)+INDEX(October!$C$3:$AH$169,33,MATCH(B299,October!$D$3:$AH$3)+1)+INDEX(October!$C$3:$AH$169,38,MATCH(B299,October!$D$3:$AH$3)+1)+INDEX(October!$C$3:$AH$169,43,MATCH(B299,October!$D$3:$AH$3)+1)+INDEX(October!$C$3:$AH$169,48,MATCH(B299,October!$D$3:$AH$3)+1)+INDEX(October!$C$3:$AH$169,53,MATCH(B299,October!$D$3:$AH$3)+1)+INDEX(October!$C$3:$AH$169,58,MATCH(B299,October!$D$3:$AH$3)+1)+INDEX(October!$C$3:$AH$169,63,MATCH(B299,October!$D$3:$AH$3)+1)+INDEX(October!$C$3:$AH$169,68,MATCH(B299,October!$D$3:$AH$3)+1)+INDEX(October!$C$3:$AH$169,73,MATCH(B299,October!$D$3:$AH$3)+1)+INDEX(October!$C$3:$AH$169,78,MATCH(B299,October!$D$3:$AH$3)+1)+INDEX(October!$C$3:$AH$169,83,MATCH(B299,October!$D$3:$AH$3)+1)+INDEX(October!$C$3:$AH$169,88,MATCH(B299,October!$D$3:$AH$3)+1)+INDEX(October!$C$3:$AH$169,93,MATCH(B299,October!$D$3:$AH$3)+1)+INDEX(October!$C$3:$AH$169,98,MATCH(B299,October!$D$3:$AH$3)+1)+INDEX(October!$C$3:$AH$169,103,MATCH(B299,October!$D$3:$AH$3)+1)+INDEX(October!$C$3:$AH$169,108,MATCH(B299,October!$D$3:$AH$3)+1)+INDEX(October!$C$3:$AH$169,113,MATCH(B299,October!$D$3:$AH$3)+1)+INDEX(October!$C$3:$AH$169,118,MATCH(B299,October!$D$3:$AH$3)+1)+INDEX(October!$C$3:$AH$169,123,MATCH(B299,October!$D$3:$AH$3)+1)+INDEX(October!$C$3:$AH$169,128,MATCH(B299,October!$D$3:$AH$3)+1)+INDEX(October!$C$3:$AH$169,133,MATCH(B299,October!$D$3:$AH$3)+1)+INDEX(October!$C$3:$AH$169,138,MATCH(B299,October!$D$3:$AH$3)+1)+INDEX(October!$C$3:$AH$169,143,MATCH(B299,October!$D$3:$AH$3)+1)+INDEX(October!$C$3:$AH$169,148,MATCH(B299,October!$D$3:$AH$3)+1)-INDEX(October!$B$5:$AH$169,MATCH("Patrick Janssen",October!$B$5:$B$169),MATCH(B299,October!$D$3:$AH$3)+2)-INDEX(October!$B$5:$AH$169,MATCH("Patrick Ziesen",October!$B$5:$B$169),MATCH(B299,October!$D$3:$AH$3)+2)-INDEX(October!$B$5:$AH$169,MATCH("Frido Meijer",October!$B$5:$B$169),MATCH(B299,October!$D$3:$AH$3)+2)</f>
        <v>8</v>
      </c>
      <c r="H299" s="130">
        <f>INDEX(October!$C$3:$AH$169,4,MATCH(B299,October!$D$3:$AH$3)+1)+INDEX(October!$C$3:$AH$169,9,MATCH(B299,October!$D$3:$AH$3)+1)+INDEX(October!$C$3:$AH$169,14,MATCH(B299,October!$D$3:$AH$3)+1)+INDEX(October!$C$3:$AH$169,19,MATCH(B299,October!$D$3:$AH$3)+1)+INDEX(October!$C$3:$AH$169,24,MATCH(B299,October!$D$3:$AH$3)+1)+INDEX(October!$C$3:$AH$169,29,MATCH(B299,October!$D$3:$AH$3)+1)+INDEX(October!$C$3:$AH$169,34,MATCH(B299,October!$D$3:$AH$3)+1)+INDEX(October!$C$3:$AH$169,39,MATCH(B299,October!$D$3:$AH$3)+1)+INDEX(October!$C$3:$AH$169,44,MATCH(B299,October!$D$3:$AH$3)+1)+INDEX(October!$C$3:$AH$169,49,MATCH(B299,October!$D$3:$AH$3)+1)+INDEX(October!$C$3:$AH$169,54,MATCH(B299,October!$D$3:$AH$3)+1)+INDEX(October!$C$3:$AH$169,59,MATCH(B299,October!$D$3:$AH$3)+1)+INDEX(October!$C$3:$AH$169,64,MATCH(B299,October!$D$3:$AH$3)+1)+INDEX(October!$C$3:$AH$169,69,MATCH(B299,October!$D$3:$AH$3)+1)+INDEX(October!$C$3:$AH$169,74,MATCH(B299,October!$D$3:$AH$3)+1)+INDEX(October!$C$3:$AH$169,79,MATCH(B299,October!$D$3:$AH$3)+1)+INDEX(October!$C$3:$AH$169,84,MATCH(B299,October!$D$3:$AH$3)+1)+INDEX(October!$C$3:$AH$169,89,MATCH(B299,October!$D$3:$AH$3)+1)+INDEX(October!$C$3:$AH$169,94,MATCH(B299,October!$D$3:$AH$3)+1)+INDEX(October!$C$3:$AH$169,99,MATCH(B299,October!$D$3:$AH$3)+1)+INDEX(October!$C$3:$AH$169,104,MATCH(B299,October!$D$3:$AH$3)+1)+INDEX(October!$C$3:$AH$169,109,MATCH(B299,October!$D$3:$AH$3)+1)+INDEX(October!$C$3:$AH$169,114,MATCH(B299,October!$D$3:$AH$3)+1)+INDEX(October!$C$3:$AH$169,119,MATCH(B299,October!$D$3:$AH$3)+1)+INDEX(October!$C$3:$AH$169,124,MATCH(B299,October!$D$3:$AH$3)+1)+INDEX(October!$C$3:$AH$169,129,MATCH(B299,October!$D$3:$AH$3)+1)+INDEX(October!$C$3:$AH$169,134,MATCH(B299,October!$D$3:$AH$3)+1)+INDEX(October!$C$3:$AH$169,139,MATCH(B299,October!$D$3:$AH$3)+1)+INDEX(October!$C$3:$AH$169,144,MATCH(B299,October!$D$3:$AH$3)+1)+INDEX(October!$C$3:$AH$169,149,MATCH(B299,October!$D$3:$AH$3)+1)-INDEX(October!$B$5:$AH$169,MATCH("Patrick Janssen",October!$B$5:$B$169)+1,MATCH(B299,October!$D$3:$AH$3)+2)-INDEX(October!$B$5:$AH$169,MATCH("Patrick Ziesen",October!$B$5:$B$169)+1,MATCH(B299,October!$D$3:$AH$3)+2)-INDEX(October!$B$5:$AH$169,MATCH("Frido Meijer",October!$B$5:$B$169)+1,MATCH(B299,October!$D$3:$AH$3)+2)</f>
        <v>0</v>
      </c>
      <c r="I299" s="130">
        <v>0</v>
      </c>
      <c r="J299" s="130">
        <v>0</v>
      </c>
      <c r="L299" s="124"/>
      <c r="M299" s="111"/>
      <c r="N299" s="111">
        <f t="shared" si="93"/>
        <v>0</v>
      </c>
      <c r="P299" s="112">
        <f t="shared" si="98"/>
        <v>0</v>
      </c>
      <c r="Q299" s="112">
        <f t="shared" si="99"/>
        <v>0</v>
      </c>
    </row>
    <row r="300" spans="2:17" x14ac:dyDescent="0.25">
      <c r="B300" s="110">
        <f>DATE(Title!$F$12,$S$14,S8)</f>
        <v>41551</v>
      </c>
      <c r="C300" s="111">
        <f>IF(WEEKDAY(B300)=1,0,IF(WEEKDAY(B300)=4,'Hours Scheduled'!$K$44-1,IF(WEEKDAY(B300)=7,0,'Hours Scheduled'!$K$44)))</f>
        <v>21</v>
      </c>
      <c r="D300" s="17">
        <f t="shared" si="96"/>
        <v>157.5</v>
      </c>
      <c r="E300" s="127">
        <f t="shared" si="97"/>
        <v>160</v>
      </c>
      <c r="F300" s="111"/>
      <c r="G300" s="130">
        <f>INDEX(October!$C$3:$AH$169,3,MATCH(B300,October!$D$3:$AH$3)+1)+INDEX(October!$C$3:$AH$169,8,MATCH(B300,October!$D$3:$AH$3)+1)+INDEX(October!$C$3:$AH$169,13,MATCH(B300,October!$D$3:$AH$3)+1)+INDEX(October!$C$3:$AH$169,18,MATCH(B300,October!$D$3:$AH$3)+1)+INDEX(October!$C$3:$AH$169,23,MATCH(B300,October!$D$3:$AH$3)+1)+INDEX(October!$C$3:$AH$169,28,MATCH(B300,October!$D$3:$AH$3)+1)+INDEX(October!$C$3:$AH$169,33,MATCH(B300,October!$D$3:$AH$3)+1)+INDEX(October!$C$3:$AH$169,38,MATCH(B300,October!$D$3:$AH$3)+1)+INDEX(October!$C$3:$AH$169,43,MATCH(B300,October!$D$3:$AH$3)+1)+INDEX(October!$C$3:$AH$169,48,MATCH(B300,October!$D$3:$AH$3)+1)+INDEX(October!$C$3:$AH$169,53,MATCH(B300,October!$D$3:$AH$3)+1)+INDEX(October!$C$3:$AH$169,58,MATCH(B300,October!$D$3:$AH$3)+1)+INDEX(October!$C$3:$AH$169,63,MATCH(B300,October!$D$3:$AH$3)+1)+INDEX(October!$C$3:$AH$169,68,MATCH(B300,October!$D$3:$AH$3)+1)+INDEX(October!$C$3:$AH$169,73,MATCH(B300,October!$D$3:$AH$3)+1)+INDEX(October!$C$3:$AH$169,78,MATCH(B300,October!$D$3:$AH$3)+1)+INDEX(October!$C$3:$AH$169,83,MATCH(B300,October!$D$3:$AH$3)+1)+INDEX(October!$C$3:$AH$169,88,MATCH(B300,October!$D$3:$AH$3)+1)+INDEX(October!$C$3:$AH$169,93,MATCH(B300,October!$D$3:$AH$3)+1)+INDEX(October!$C$3:$AH$169,98,MATCH(B300,October!$D$3:$AH$3)+1)+INDEX(October!$C$3:$AH$169,103,MATCH(B300,October!$D$3:$AH$3)+1)+INDEX(October!$C$3:$AH$169,108,MATCH(B300,October!$D$3:$AH$3)+1)+INDEX(October!$C$3:$AH$169,113,MATCH(B300,October!$D$3:$AH$3)+1)+INDEX(October!$C$3:$AH$169,118,MATCH(B300,October!$D$3:$AH$3)+1)+INDEX(October!$C$3:$AH$169,123,MATCH(B300,October!$D$3:$AH$3)+1)+INDEX(October!$C$3:$AH$169,128,MATCH(B300,October!$D$3:$AH$3)+1)+INDEX(October!$C$3:$AH$169,133,MATCH(B300,October!$D$3:$AH$3)+1)+INDEX(October!$C$3:$AH$169,138,MATCH(B300,October!$D$3:$AH$3)+1)+INDEX(October!$C$3:$AH$169,143,MATCH(B300,October!$D$3:$AH$3)+1)+INDEX(October!$C$3:$AH$169,148,MATCH(B300,October!$D$3:$AH$3)+1)-INDEX(October!$B$5:$AH$169,MATCH("Patrick Janssen",October!$B$5:$B$169),MATCH(B300,October!$D$3:$AH$3)+2)-INDEX(October!$B$5:$AH$169,MATCH("Patrick Ziesen",October!$B$5:$B$169),MATCH(B300,October!$D$3:$AH$3)+2)-INDEX(October!$B$5:$AH$169,MATCH("Frido Meijer",October!$B$5:$B$169),MATCH(B300,October!$D$3:$AH$3)+2)</f>
        <v>8</v>
      </c>
      <c r="H300" s="130">
        <f>INDEX(October!$C$3:$AH$169,4,MATCH(B300,October!$D$3:$AH$3)+1)+INDEX(October!$C$3:$AH$169,9,MATCH(B300,October!$D$3:$AH$3)+1)+INDEX(October!$C$3:$AH$169,14,MATCH(B300,October!$D$3:$AH$3)+1)+INDEX(October!$C$3:$AH$169,19,MATCH(B300,October!$D$3:$AH$3)+1)+INDEX(October!$C$3:$AH$169,24,MATCH(B300,October!$D$3:$AH$3)+1)+INDEX(October!$C$3:$AH$169,29,MATCH(B300,October!$D$3:$AH$3)+1)+INDEX(October!$C$3:$AH$169,34,MATCH(B300,October!$D$3:$AH$3)+1)+INDEX(October!$C$3:$AH$169,39,MATCH(B300,October!$D$3:$AH$3)+1)+INDEX(October!$C$3:$AH$169,44,MATCH(B300,October!$D$3:$AH$3)+1)+INDEX(October!$C$3:$AH$169,49,MATCH(B300,October!$D$3:$AH$3)+1)+INDEX(October!$C$3:$AH$169,54,MATCH(B300,October!$D$3:$AH$3)+1)+INDEX(October!$C$3:$AH$169,59,MATCH(B300,October!$D$3:$AH$3)+1)+INDEX(October!$C$3:$AH$169,64,MATCH(B300,October!$D$3:$AH$3)+1)+INDEX(October!$C$3:$AH$169,69,MATCH(B300,October!$D$3:$AH$3)+1)+INDEX(October!$C$3:$AH$169,74,MATCH(B300,October!$D$3:$AH$3)+1)+INDEX(October!$C$3:$AH$169,79,MATCH(B300,October!$D$3:$AH$3)+1)+INDEX(October!$C$3:$AH$169,84,MATCH(B300,October!$D$3:$AH$3)+1)+INDEX(October!$C$3:$AH$169,89,MATCH(B300,October!$D$3:$AH$3)+1)+INDEX(October!$C$3:$AH$169,94,MATCH(B300,October!$D$3:$AH$3)+1)+INDEX(October!$C$3:$AH$169,99,MATCH(B300,October!$D$3:$AH$3)+1)+INDEX(October!$C$3:$AH$169,104,MATCH(B300,October!$D$3:$AH$3)+1)+INDEX(October!$C$3:$AH$169,109,MATCH(B300,October!$D$3:$AH$3)+1)+INDEX(October!$C$3:$AH$169,114,MATCH(B300,October!$D$3:$AH$3)+1)+INDEX(October!$C$3:$AH$169,119,MATCH(B300,October!$D$3:$AH$3)+1)+INDEX(October!$C$3:$AH$169,124,MATCH(B300,October!$D$3:$AH$3)+1)+INDEX(October!$C$3:$AH$169,129,MATCH(B300,October!$D$3:$AH$3)+1)+INDEX(October!$C$3:$AH$169,134,MATCH(B300,October!$D$3:$AH$3)+1)+INDEX(October!$C$3:$AH$169,139,MATCH(B300,October!$D$3:$AH$3)+1)+INDEX(October!$C$3:$AH$169,144,MATCH(B300,October!$D$3:$AH$3)+1)+INDEX(October!$C$3:$AH$169,149,MATCH(B300,October!$D$3:$AH$3)+1)-INDEX(October!$B$5:$AH$169,MATCH("Patrick Janssen",October!$B$5:$B$169)+1,MATCH(B300,October!$D$3:$AH$3)+2)-INDEX(October!$B$5:$AH$169,MATCH("Patrick Ziesen",October!$B$5:$B$169)+1,MATCH(B300,October!$D$3:$AH$3)+2)-INDEX(October!$B$5:$AH$169,MATCH("Frido Meijer",October!$B$5:$B$169)+1,MATCH(B300,October!$D$3:$AH$3)+2)</f>
        <v>0</v>
      </c>
      <c r="I300" s="130">
        <v>0</v>
      </c>
      <c r="J300" s="130">
        <v>0</v>
      </c>
      <c r="L300" s="124"/>
      <c r="M300" s="111"/>
      <c r="N300" s="111">
        <f t="shared" si="93"/>
        <v>0</v>
      </c>
      <c r="P300" s="112">
        <f t="shared" si="98"/>
        <v>0</v>
      </c>
      <c r="Q300" s="112">
        <f t="shared" si="99"/>
        <v>0</v>
      </c>
    </row>
    <row r="301" spans="2:17" x14ac:dyDescent="0.25">
      <c r="B301" s="110">
        <f>DATE(Title!$F$12,$S$14,S9)</f>
        <v>41552</v>
      </c>
      <c r="C301" s="111">
        <f>IF(WEEKDAY(B301)=1,0,IF(WEEKDAY(B301)=4,'Hours Scheduled'!$K$44-1,IF(WEEKDAY(B301)=7,0,'Hours Scheduled'!$K$44)))</f>
        <v>0</v>
      </c>
      <c r="D301" s="17">
        <f t="shared" si="96"/>
        <v>0</v>
      </c>
      <c r="E301" s="127">
        <f t="shared" si="97"/>
        <v>0</v>
      </c>
      <c r="F301" s="111"/>
      <c r="G301" s="130">
        <f>INDEX(October!$C$3:$AH$169,3,MATCH(B301,October!$D$3:$AH$3)+1)+INDEX(October!$C$3:$AH$169,8,MATCH(B301,October!$D$3:$AH$3)+1)+INDEX(October!$C$3:$AH$169,13,MATCH(B301,October!$D$3:$AH$3)+1)+INDEX(October!$C$3:$AH$169,18,MATCH(B301,October!$D$3:$AH$3)+1)+INDEX(October!$C$3:$AH$169,23,MATCH(B301,October!$D$3:$AH$3)+1)+INDEX(October!$C$3:$AH$169,28,MATCH(B301,October!$D$3:$AH$3)+1)+INDEX(October!$C$3:$AH$169,33,MATCH(B301,October!$D$3:$AH$3)+1)+INDEX(October!$C$3:$AH$169,38,MATCH(B301,October!$D$3:$AH$3)+1)+INDEX(October!$C$3:$AH$169,43,MATCH(B301,October!$D$3:$AH$3)+1)+INDEX(October!$C$3:$AH$169,48,MATCH(B301,October!$D$3:$AH$3)+1)+INDEX(October!$C$3:$AH$169,53,MATCH(B301,October!$D$3:$AH$3)+1)+INDEX(October!$C$3:$AH$169,58,MATCH(B301,October!$D$3:$AH$3)+1)+INDEX(October!$C$3:$AH$169,63,MATCH(B301,October!$D$3:$AH$3)+1)+INDEX(October!$C$3:$AH$169,68,MATCH(B301,October!$D$3:$AH$3)+1)+INDEX(October!$C$3:$AH$169,73,MATCH(B301,October!$D$3:$AH$3)+1)+INDEX(October!$C$3:$AH$169,78,MATCH(B301,October!$D$3:$AH$3)+1)+INDEX(October!$C$3:$AH$169,83,MATCH(B301,October!$D$3:$AH$3)+1)+INDEX(October!$C$3:$AH$169,88,MATCH(B301,October!$D$3:$AH$3)+1)+INDEX(October!$C$3:$AH$169,93,MATCH(B301,October!$D$3:$AH$3)+1)+INDEX(October!$C$3:$AH$169,98,MATCH(B301,October!$D$3:$AH$3)+1)+INDEX(October!$C$3:$AH$169,103,MATCH(B301,October!$D$3:$AH$3)+1)+INDEX(October!$C$3:$AH$169,108,MATCH(B301,October!$D$3:$AH$3)+1)+INDEX(October!$C$3:$AH$169,113,MATCH(B301,October!$D$3:$AH$3)+1)+INDEX(October!$C$3:$AH$169,118,MATCH(B301,October!$D$3:$AH$3)+1)+INDEX(October!$C$3:$AH$169,123,MATCH(B301,October!$D$3:$AH$3)+1)+INDEX(October!$C$3:$AH$169,128,MATCH(B301,October!$D$3:$AH$3)+1)+INDEX(October!$C$3:$AH$169,133,MATCH(B301,October!$D$3:$AH$3)+1)+INDEX(October!$C$3:$AH$169,138,MATCH(B301,October!$D$3:$AH$3)+1)+INDEX(October!$C$3:$AH$169,143,MATCH(B301,October!$D$3:$AH$3)+1)+INDEX(October!$C$3:$AH$169,148,MATCH(B301,October!$D$3:$AH$3)+1)-INDEX(October!$B$5:$AH$169,MATCH("Patrick Janssen",October!$B$5:$B$169),MATCH(B301,October!$D$3:$AH$3)+2)-INDEX(October!$B$5:$AH$169,MATCH("Patrick Ziesen",October!$B$5:$B$169),MATCH(B301,October!$D$3:$AH$3)+2)-INDEX(October!$B$5:$AH$169,MATCH("Frido Meijer",October!$B$5:$B$169),MATCH(B301,October!$D$3:$AH$3)+2)</f>
        <v>0</v>
      </c>
      <c r="H301" s="130">
        <f>INDEX(October!$C$3:$AH$169,4,MATCH(B301,October!$D$3:$AH$3)+1)+INDEX(October!$C$3:$AH$169,9,MATCH(B301,October!$D$3:$AH$3)+1)+INDEX(October!$C$3:$AH$169,14,MATCH(B301,October!$D$3:$AH$3)+1)+INDEX(October!$C$3:$AH$169,19,MATCH(B301,October!$D$3:$AH$3)+1)+INDEX(October!$C$3:$AH$169,24,MATCH(B301,October!$D$3:$AH$3)+1)+INDEX(October!$C$3:$AH$169,29,MATCH(B301,October!$D$3:$AH$3)+1)+INDEX(October!$C$3:$AH$169,34,MATCH(B301,October!$D$3:$AH$3)+1)+INDEX(October!$C$3:$AH$169,39,MATCH(B301,October!$D$3:$AH$3)+1)+INDEX(October!$C$3:$AH$169,44,MATCH(B301,October!$D$3:$AH$3)+1)+INDEX(October!$C$3:$AH$169,49,MATCH(B301,October!$D$3:$AH$3)+1)+INDEX(October!$C$3:$AH$169,54,MATCH(B301,October!$D$3:$AH$3)+1)+INDEX(October!$C$3:$AH$169,59,MATCH(B301,October!$D$3:$AH$3)+1)+INDEX(October!$C$3:$AH$169,64,MATCH(B301,October!$D$3:$AH$3)+1)+INDEX(October!$C$3:$AH$169,69,MATCH(B301,October!$D$3:$AH$3)+1)+INDEX(October!$C$3:$AH$169,74,MATCH(B301,October!$D$3:$AH$3)+1)+INDEX(October!$C$3:$AH$169,79,MATCH(B301,October!$D$3:$AH$3)+1)+INDEX(October!$C$3:$AH$169,84,MATCH(B301,October!$D$3:$AH$3)+1)+INDEX(October!$C$3:$AH$169,89,MATCH(B301,October!$D$3:$AH$3)+1)+INDEX(October!$C$3:$AH$169,94,MATCH(B301,October!$D$3:$AH$3)+1)+INDEX(October!$C$3:$AH$169,99,MATCH(B301,October!$D$3:$AH$3)+1)+INDEX(October!$C$3:$AH$169,104,MATCH(B301,October!$D$3:$AH$3)+1)+INDEX(October!$C$3:$AH$169,109,MATCH(B301,October!$D$3:$AH$3)+1)+INDEX(October!$C$3:$AH$169,114,MATCH(B301,October!$D$3:$AH$3)+1)+INDEX(October!$C$3:$AH$169,119,MATCH(B301,October!$D$3:$AH$3)+1)+INDEX(October!$C$3:$AH$169,124,MATCH(B301,October!$D$3:$AH$3)+1)+INDEX(October!$C$3:$AH$169,129,MATCH(B301,October!$D$3:$AH$3)+1)+INDEX(October!$C$3:$AH$169,134,MATCH(B301,October!$D$3:$AH$3)+1)+INDEX(October!$C$3:$AH$169,139,MATCH(B301,October!$D$3:$AH$3)+1)+INDEX(October!$C$3:$AH$169,144,MATCH(B301,October!$D$3:$AH$3)+1)+INDEX(October!$C$3:$AH$169,149,MATCH(B301,October!$D$3:$AH$3)+1)-INDEX(October!$B$5:$AH$169,MATCH("Patrick Janssen",October!$B$5:$B$169)+1,MATCH(B301,October!$D$3:$AH$3)+2)-INDEX(October!$B$5:$AH$169,MATCH("Patrick Ziesen",October!$B$5:$B$169)+1,MATCH(B301,October!$D$3:$AH$3)+2)-INDEX(October!$B$5:$AH$169,MATCH("Frido Meijer",October!$B$5:$B$169)+1,MATCH(B301,October!$D$3:$AH$3)+2)</f>
        <v>0</v>
      </c>
      <c r="I301" s="130">
        <v>0</v>
      </c>
      <c r="J301" s="130">
        <v>0</v>
      </c>
      <c r="L301" s="124"/>
      <c r="M301" s="111"/>
      <c r="N301" s="111">
        <f t="shared" si="93"/>
        <v>0</v>
      </c>
      <c r="P301" s="112" t="str">
        <f t="shared" si="98"/>
        <v/>
      </c>
      <c r="Q301" s="112" t="str">
        <f t="shared" si="99"/>
        <v/>
      </c>
    </row>
    <row r="302" spans="2:17" x14ac:dyDescent="0.25">
      <c r="B302" s="110">
        <f>DATE(Title!$F$12,$S$14,S10)</f>
        <v>41553</v>
      </c>
      <c r="C302" s="111">
        <f>IF(WEEKDAY(B302)=1,0,IF(WEEKDAY(B302)=4,'Hours Scheduled'!$K$44-1,IF(WEEKDAY(B302)=7,0,'Hours Scheduled'!$K$44)))</f>
        <v>0</v>
      </c>
      <c r="D302" s="17">
        <f t="shared" si="96"/>
        <v>0</v>
      </c>
      <c r="E302" s="127">
        <f t="shared" si="97"/>
        <v>0</v>
      </c>
      <c r="F302" s="111"/>
      <c r="G302" s="130">
        <f>INDEX(October!$C$3:$AH$169,3,MATCH(B302,October!$D$3:$AH$3)+1)+INDEX(October!$C$3:$AH$169,8,MATCH(B302,October!$D$3:$AH$3)+1)+INDEX(October!$C$3:$AH$169,13,MATCH(B302,October!$D$3:$AH$3)+1)+INDEX(October!$C$3:$AH$169,18,MATCH(B302,October!$D$3:$AH$3)+1)+INDEX(October!$C$3:$AH$169,23,MATCH(B302,October!$D$3:$AH$3)+1)+INDEX(October!$C$3:$AH$169,28,MATCH(B302,October!$D$3:$AH$3)+1)+INDEX(October!$C$3:$AH$169,33,MATCH(B302,October!$D$3:$AH$3)+1)+INDEX(October!$C$3:$AH$169,38,MATCH(B302,October!$D$3:$AH$3)+1)+INDEX(October!$C$3:$AH$169,43,MATCH(B302,October!$D$3:$AH$3)+1)+INDEX(October!$C$3:$AH$169,48,MATCH(B302,October!$D$3:$AH$3)+1)+INDEX(October!$C$3:$AH$169,53,MATCH(B302,October!$D$3:$AH$3)+1)+INDEX(October!$C$3:$AH$169,58,MATCH(B302,October!$D$3:$AH$3)+1)+INDEX(October!$C$3:$AH$169,63,MATCH(B302,October!$D$3:$AH$3)+1)+INDEX(October!$C$3:$AH$169,68,MATCH(B302,October!$D$3:$AH$3)+1)+INDEX(October!$C$3:$AH$169,73,MATCH(B302,October!$D$3:$AH$3)+1)+INDEX(October!$C$3:$AH$169,78,MATCH(B302,October!$D$3:$AH$3)+1)+INDEX(October!$C$3:$AH$169,83,MATCH(B302,October!$D$3:$AH$3)+1)+INDEX(October!$C$3:$AH$169,88,MATCH(B302,October!$D$3:$AH$3)+1)+INDEX(October!$C$3:$AH$169,93,MATCH(B302,October!$D$3:$AH$3)+1)+INDEX(October!$C$3:$AH$169,98,MATCH(B302,October!$D$3:$AH$3)+1)+INDEX(October!$C$3:$AH$169,103,MATCH(B302,October!$D$3:$AH$3)+1)+INDEX(October!$C$3:$AH$169,108,MATCH(B302,October!$D$3:$AH$3)+1)+INDEX(October!$C$3:$AH$169,113,MATCH(B302,October!$D$3:$AH$3)+1)+INDEX(October!$C$3:$AH$169,118,MATCH(B302,October!$D$3:$AH$3)+1)+INDEX(October!$C$3:$AH$169,123,MATCH(B302,October!$D$3:$AH$3)+1)+INDEX(October!$C$3:$AH$169,128,MATCH(B302,October!$D$3:$AH$3)+1)+INDEX(October!$C$3:$AH$169,133,MATCH(B302,October!$D$3:$AH$3)+1)+INDEX(October!$C$3:$AH$169,138,MATCH(B302,October!$D$3:$AH$3)+1)+INDEX(October!$C$3:$AH$169,143,MATCH(B302,October!$D$3:$AH$3)+1)+INDEX(October!$C$3:$AH$169,148,MATCH(B302,October!$D$3:$AH$3)+1)-INDEX(October!$B$5:$AH$169,MATCH("Patrick Janssen",October!$B$5:$B$169),MATCH(B302,October!$D$3:$AH$3)+2)-INDEX(October!$B$5:$AH$169,MATCH("Patrick Ziesen",October!$B$5:$B$169),MATCH(B302,October!$D$3:$AH$3)+2)-INDEX(October!$B$5:$AH$169,MATCH("Frido Meijer",October!$B$5:$B$169),MATCH(B302,October!$D$3:$AH$3)+2)</f>
        <v>0</v>
      </c>
      <c r="H302" s="130">
        <f>INDEX(October!$C$3:$AH$169,4,MATCH(B302,October!$D$3:$AH$3)+1)+INDEX(October!$C$3:$AH$169,9,MATCH(B302,October!$D$3:$AH$3)+1)+INDEX(October!$C$3:$AH$169,14,MATCH(B302,October!$D$3:$AH$3)+1)+INDEX(October!$C$3:$AH$169,19,MATCH(B302,October!$D$3:$AH$3)+1)+INDEX(October!$C$3:$AH$169,24,MATCH(B302,October!$D$3:$AH$3)+1)+INDEX(October!$C$3:$AH$169,29,MATCH(B302,October!$D$3:$AH$3)+1)+INDEX(October!$C$3:$AH$169,34,MATCH(B302,October!$D$3:$AH$3)+1)+INDEX(October!$C$3:$AH$169,39,MATCH(B302,October!$D$3:$AH$3)+1)+INDEX(October!$C$3:$AH$169,44,MATCH(B302,October!$D$3:$AH$3)+1)+INDEX(October!$C$3:$AH$169,49,MATCH(B302,October!$D$3:$AH$3)+1)+INDEX(October!$C$3:$AH$169,54,MATCH(B302,October!$D$3:$AH$3)+1)+INDEX(October!$C$3:$AH$169,59,MATCH(B302,October!$D$3:$AH$3)+1)+INDEX(October!$C$3:$AH$169,64,MATCH(B302,October!$D$3:$AH$3)+1)+INDEX(October!$C$3:$AH$169,69,MATCH(B302,October!$D$3:$AH$3)+1)+INDEX(October!$C$3:$AH$169,74,MATCH(B302,October!$D$3:$AH$3)+1)+INDEX(October!$C$3:$AH$169,79,MATCH(B302,October!$D$3:$AH$3)+1)+INDEX(October!$C$3:$AH$169,84,MATCH(B302,October!$D$3:$AH$3)+1)+INDEX(October!$C$3:$AH$169,89,MATCH(B302,October!$D$3:$AH$3)+1)+INDEX(October!$C$3:$AH$169,94,MATCH(B302,October!$D$3:$AH$3)+1)+INDEX(October!$C$3:$AH$169,99,MATCH(B302,October!$D$3:$AH$3)+1)+INDEX(October!$C$3:$AH$169,104,MATCH(B302,October!$D$3:$AH$3)+1)+INDEX(October!$C$3:$AH$169,109,MATCH(B302,October!$D$3:$AH$3)+1)+INDEX(October!$C$3:$AH$169,114,MATCH(B302,October!$D$3:$AH$3)+1)+INDEX(October!$C$3:$AH$169,119,MATCH(B302,October!$D$3:$AH$3)+1)+INDEX(October!$C$3:$AH$169,124,MATCH(B302,October!$D$3:$AH$3)+1)+INDEX(October!$C$3:$AH$169,129,MATCH(B302,October!$D$3:$AH$3)+1)+INDEX(October!$C$3:$AH$169,134,MATCH(B302,October!$D$3:$AH$3)+1)+INDEX(October!$C$3:$AH$169,139,MATCH(B302,October!$D$3:$AH$3)+1)+INDEX(October!$C$3:$AH$169,144,MATCH(B302,October!$D$3:$AH$3)+1)+INDEX(October!$C$3:$AH$169,149,MATCH(B302,October!$D$3:$AH$3)+1)-INDEX(October!$B$5:$AH$169,MATCH("Patrick Janssen",October!$B$5:$B$169)+1,MATCH(B302,October!$D$3:$AH$3)+2)-INDEX(October!$B$5:$AH$169,MATCH("Patrick Ziesen",October!$B$5:$B$169)+1,MATCH(B302,October!$D$3:$AH$3)+2)-INDEX(October!$B$5:$AH$169,MATCH("Frido Meijer",October!$B$5:$B$169)+1,MATCH(B302,October!$D$3:$AH$3)+2)</f>
        <v>0</v>
      </c>
      <c r="I302" s="130">
        <v>0</v>
      </c>
      <c r="J302" s="130">
        <v>0</v>
      </c>
      <c r="L302" s="111"/>
      <c r="M302" s="111"/>
      <c r="N302" s="111">
        <f t="shared" si="93"/>
        <v>0</v>
      </c>
      <c r="P302" s="112" t="str">
        <f t="shared" si="98"/>
        <v/>
      </c>
      <c r="Q302" s="112" t="str">
        <f t="shared" si="99"/>
        <v/>
      </c>
    </row>
    <row r="303" spans="2:17" x14ac:dyDescent="0.25">
      <c r="B303" s="110">
        <f>DATE(Title!$F$12,$S$14,S11)</f>
        <v>41554</v>
      </c>
      <c r="C303" s="111">
        <f>IF(WEEKDAY(B303)=1,0,IF(WEEKDAY(B303)=4,'Hours Scheduled'!$K$44-1,IF(WEEKDAY(B303)=7,0,'Hours Scheduled'!$K$44)))</f>
        <v>21</v>
      </c>
      <c r="D303" s="17">
        <f t="shared" si="96"/>
        <v>157.5</v>
      </c>
      <c r="E303" s="127">
        <f t="shared" si="97"/>
        <v>160</v>
      </c>
      <c r="F303" s="111"/>
      <c r="G303" s="130">
        <f>INDEX(October!$C$3:$AH$169,3,MATCH(B303,October!$D$3:$AH$3)+1)+INDEX(October!$C$3:$AH$169,8,MATCH(B303,October!$D$3:$AH$3)+1)+INDEX(October!$C$3:$AH$169,13,MATCH(B303,October!$D$3:$AH$3)+1)+INDEX(October!$C$3:$AH$169,18,MATCH(B303,October!$D$3:$AH$3)+1)+INDEX(October!$C$3:$AH$169,23,MATCH(B303,October!$D$3:$AH$3)+1)+INDEX(October!$C$3:$AH$169,28,MATCH(B303,October!$D$3:$AH$3)+1)+INDEX(October!$C$3:$AH$169,33,MATCH(B303,October!$D$3:$AH$3)+1)+INDEX(October!$C$3:$AH$169,38,MATCH(B303,October!$D$3:$AH$3)+1)+INDEX(October!$C$3:$AH$169,43,MATCH(B303,October!$D$3:$AH$3)+1)+INDEX(October!$C$3:$AH$169,48,MATCH(B303,October!$D$3:$AH$3)+1)+INDEX(October!$C$3:$AH$169,53,MATCH(B303,October!$D$3:$AH$3)+1)+INDEX(October!$C$3:$AH$169,58,MATCH(B303,October!$D$3:$AH$3)+1)+INDEX(October!$C$3:$AH$169,63,MATCH(B303,October!$D$3:$AH$3)+1)+INDEX(October!$C$3:$AH$169,68,MATCH(B303,October!$D$3:$AH$3)+1)+INDEX(October!$C$3:$AH$169,73,MATCH(B303,October!$D$3:$AH$3)+1)+INDEX(October!$C$3:$AH$169,78,MATCH(B303,October!$D$3:$AH$3)+1)+INDEX(October!$C$3:$AH$169,83,MATCH(B303,October!$D$3:$AH$3)+1)+INDEX(October!$C$3:$AH$169,88,MATCH(B303,October!$D$3:$AH$3)+1)+INDEX(October!$C$3:$AH$169,93,MATCH(B303,October!$D$3:$AH$3)+1)+INDEX(October!$C$3:$AH$169,98,MATCH(B303,October!$D$3:$AH$3)+1)+INDEX(October!$C$3:$AH$169,103,MATCH(B303,October!$D$3:$AH$3)+1)+INDEX(October!$C$3:$AH$169,108,MATCH(B303,October!$D$3:$AH$3)+1)+INDEX(October!$C$3:$AH$169,113,MATCH(B303,October!$D$3:$AH$3)+1)+INDEX(October!$C$3:$AH$169,118,MATCH(B303,October!$D$3:$AH$3)+1)+INDEX(October!$C$3:$AH$169,123,MATCH(B303,October!$D$3:$AH$3)+1)+INDEX(October!$C$3:$AH$169,128,MATCH(B303,October!$D$3:$AH$3)+1)+INDEX(October!$C$3:$AH$169,133,MATCH(B303,October!$D$3:$AH$3)+1)+INDEX(October!$C$3:$AH$169,138,MATCH(B303,October!$D$3:$AH$3)+1)+INDEX(October!$C$3:$AH$169,143,MATCH(B303,October!$D$3:$AH$3)+1)+INDEX(October!$C$3:$AH$169,148,MATCH(B303,October!$D$3:$AH$3)+1)-INDEX(October!$B$5:$AH$169,MATCH("Patrick Janssen",October!$B$5:$B$169),MATCH(B303,October!$D$3:$AH$3)+2)-INDEX(October!$B$5:$AH$169,MATCH("Patrick Ziesen",October!$B$5:$B$169),MATCH(B303,October!$D$3:$AH$3)+2)-INDEX(October!$B$5:$AH$169,MATCH("Frido Meijer",October!$B$5:$B$169),MATCH(B303,October!$D$3:$AH$3)+2)</f>
        <v>8</v>
      </c>
      <c r="H303" s="130">
        <f>INDEX(October!$C$3:$AH$169,4,MATCH(B303,October!$D$3:$AH$3)+1)+INDEX(October!$C$3:$AH$169,9,MATCH(B303,October!$D$3:$AH$3)+1)+INDEX(October!$C$3:$AH$169,14,MATCH(B303,October!$D$3:$AH$3)+1)+INDEX(October!$C$3:$AH$169,19,MATCH(B303,October!$D$3:$AH$3)+1)+INDEX(October!$C$3:$AH$169,24,MATCH(B303,October!$D$3:$AH$3)+1)+INDEX(October!$C$3:$AH$169,29,MATCH(B303,October!$D$3:$AH$3)+1)+INDEX(October!$C$3:$AH$169,34,MATCH(B303,October!$D$3:$AH$3)+1)+INDEX(October!$C$3:$AH$169,39,MATCH(B303,October!$D$3:$AH$3)+1)+INDEX(October!$C$3:$AH$169,44,MATCH(B303,October!$D$3:$AH$3)+1)+INDEX(October!$C$3:$AH$169,49,MATCH(B303,October!$D$3:$AH$3)+1)+INDEX(October!$C$3:$AH$169,54,MATCH(B303,October!$D$3:$AH$3)+1)+INDEX(October!$C$3:$AH$169,59,MATCH(B303,October!$D$3:$AH$3)+1)+INDEX(October!$C$3:$AH$169,64,MATCH(B303,October!$D$3:$AH$3)+1)+INDEX(October!$C$3:$AH$169,69,MATCH(B303,October!$D$3:$AH$3)+1)+INDEX(October!$C$3:$AH$169,74,MATCH(B303,October!$D$3:$AH$3)+1)+INDEX(October!$C$3:$AH$169,79,MATCH(B303,October!$D$3:$AH$3)+1)+INDEX(October!$C$3:$AH$169,84,MATCH(B303,October!$D$3:$AH$3)+1)+INDEX(October!$C$3:$AH$169,89,MATCH(B303,October!$D$3:$AH$3)+1)+INDEX(October!$C$3:$AH$169,94,MATCH(B303,October!$D$3:$AH$3)+1)+INDEX(October!$C$3:$AH$169,99,MATCH(B303,October!$D$3:$AH$3)+1)+INDEX(October!$C$3:$AH$169,104,MATCH(B303,October!$D$3:$AH$3)+1)+INDEX(October!$C$3:$AH$169,109,MATCH(B303,October!$D$3:$AH$3)+1)+INDEX(October!$C$3:$AH$169,114,MATCH(B303,October!$D$3:$AH$3)+1)+INDEX(October!$C$3:$AH$169,119,MATCH(B303,October!$D$3:$AH$3)+1)+INDEX(October!$C$3:$AH$169,124,MATCH(B303,October!$D$3:$AH$3)+1)+INDEX(October!$C$3:$AH$169,129,MATCH(B303,October!$D$3:$AH$3)+1)+INDEX(October!$C$3:$AH$169,134,MATCH(B303,October!$D$3:$AH$3)+1)+INDEX(October!$C$3:$AH$169,139,MATCH(B303,October!$D$3:$AH$3)+1)+INDEX(October!$C$3:$AH$169,144,MATCH(B303,October!$D$3:$AH$3)+1)+INDEX(October!$C$3:$AH$169,149,MATCH(B303,October!$D$3:$AH$3)+1)-INDEX(October!$B$5:$AH$169,MATCH("Patrick Janssen",October!$B$5:$B$169)+1,MATCH(B303,October!$D$3:$AH$3)+2)-INDEX(October!$B$5:$AH$169,MATCH("Patrick Ziesen",October!$B$5:$B$169)+1,MATCH(B303,October!$D$3:$AH$3)+2)-INDEX(October!$B$5:$AH$169,MATCH("Frido Meijer",October!$B$5:$B$169)+1,MATCH(B303,October!$D$3:$AH$3)+2)</f>
        <v>0</v>
      </c>
      <c r="I303" s="130">
        <v>0</v>
      </c>
      <c r="J303" s="130">
        <v>0</v>
      </c>
      <c r="L303" s="111"/>
      <c r="M303" s="111"/>
      <c r="N303" s="111">
        <f t="shared" si="93"/>
        <v>0</v>
      </c>
      <c r="P303" s="112">
        <f t="shared" si="98"/>
        <v>0</v>
      </c>
      <c r="Q303" s="112">
        <f t="shared" si="99"/>
        <v>0</v>
      </c>
    </row>
    <row r="304" spans="2:17" x14ac:dyDescent="0.25">
      <c r="B304" s="110">
        <f>DATE(Title!$F$12,$S$14,S12)</f>
        <v>41555</v>
      </c>
      <c r="C304" s="111">
        <f>IF(WEEKDAY(B304)=1,0,IF(WEEKDAY(B304)=4,'Hours Scheduled'!$K$44-1,IF(WEEKDAY(B304)=7,0,'Hours Scheduled'!$K$44)))</f>
        <v>21</v>
      </c>
      <c r="D304" s="17">
        <f t="shared" si="96"/>
        <v>157.5</v>
      </c>
      <c r="E304" s="127">
        <f t="shared" si="97"/>
        <v>160</v>
      </c>
      <c r="F304" s="111"/>
      <c r="G304" s="130">
        <f>INDEX(October!$C$3:$AH$169,3,MATCH(B304,October!$D$3:$AH$3)+1)+INDEX(October!$C$3:$AH$169,8,MATCH(B304,October!$D$3:$AH$3)+1)+INDEX(October!$C$3:$AH$169,13,MATCH(B304,October!$D$3:$AH$3)+1)+INDEX(October!$C$3:$AH$169,18,MATCH(B304,October!$D$3:$AH$3)+1)+INDEX(October!$C$3:$AH$169,23,MATCH(B304,October!$D$3:$AH$3)+1)+INDEX(October!$C$3:$AH$169,28,MATCH(B304,October!$D$3:$AH$3)+1)+INDEX(October!$C$3:$AH$169,33,MATCH(B304,October!$D$3:$AH$3)+1)+INDEX(October!$C$3:$AH$169,38,MATCH(B304,October!$D$3:$AH$3)+1)+INDEX(October!$C$3:$AH$169,43,MATCH(B304,October!$D$3:$AH$3)+1)+INDEX(October!$C$3:$AH$169,48,MATCH(B304,October!$D$3:$AH$3)+1)+INDEX(October!$C$3:$AH$169,53,MATCH(B304,October!$D$3:$AH$3)+1)+INDEX(October!$C$3:$AH$169,58,MATCH(B304,October!$D$3:$AH$3)+1)+INDEX(October!$C$3:$AH$169,63,MATCH(B304,October!$D$3:$AH$3)+1)+INDEX(October!$C$3:$AH$169,68,MATCH(B304,October!$D$3:$AH$3)+1)+INDEX(October!$C$3:$AH$169,73,MATCH(B304,October!$D$3:$AH$3)+1)+INDEX(October!$C$3:$AH$169,78,MATCH(B304,October!$D$3:$AH$3)+1)+INDEX(October!$C$3:$AH$169,83,MATCH(B304,October!$D$3:$AH$3)+1)+INDEX(October!$C$3:$AH$169,88,MATCH(B304,October!$D$3:$AH$3)+1)+INDEX(October!$C$3:$AH$169,93,MATCH(B304,October!$D$3:$AH$3)+1)+INDEX(October!$C$3:$AH$169,98,MATCH(B304,October!$D$3:$AH$3)+1)+INDEX(October!$C$3:$AH$169,103,MATCH(B304,October!$D$3:$AH$3)+1)+INDEX(October!$C$3:$AH$169,108,MATCH(B304,October!$D$3:$AH$3)+1)+INDEX(October!$C$3:$AH$169,113,MATCH(B304,October!$D$3:$AH$3)+1)+INDEX(October!$C$3:$AH$169,118,MATCH(B304,October!$D$3:$AH$3)+1)+INDEX(October!$C$3:$AH$169,123,MATCH(B304,October!$D$3:$AH$3)+1)+INDEX(October!$C$3:$AH$169,128,MATCH(B304,October!$D$3:$AH$3)+1)+INDEX(October!$C$3:$AH$169,133,MATCH(B304,October!$D$3:$AH$3)+1)+INDEX(October!$C$3:$AH$169,138,MATCH(B304,October!$D$3:$AH$3)+1)+INDEX(October!$C$3:$AH$169,143,MATCH(B304,October!$D$3:$AH$3)+1)+INDEX(October!$C$3:$AH$169,148,MATCH(B304,October!$D$3:$AH$3)+1)-INDEX(October!$B$5:$AH$169,MATCH("Patrick Janssen",October!$B$5:$B$169),MATCH(B304,October!$D$3:$AH$3)+2)-INDEX(October!$B$5:$AH$169,MATCH("Patrick Ziesen",October!$B$5:$B$169),MATCH(B304,October!$D$3:$AH$3)+2)-INDEX(October!$B$5:$AH$169,MATCH("Frido Meijer",October!$B$5:$B$169),MATCH(B304,October!$D$3:$AH$3)+2)</f>
        <v>8</v>
      </c>
      <c r="H304" s="130">
        <f>INDEX(October!$C$3:$AH$169,4,MATCH(B304,October!$D$3:$AH$3)+1)+INDEX(October!$C$3:$AH$169,9,MATCH(B304,October!$D$3:$AH$3)+1)+INDEX(October!$C$3:$AH$169,14,MATCH(B304,October!$D$3:$AH$3)+1)+INDEX(October!$C$3:$AH$169,19,MATCH(B304,October!$D$3:$AH$3)+1)+INDEX(October!$C$3:$AH$169,24,MATCH(B304,October!$D$3:$AH$3)+1)+INDEX(October!$C$3:$AH$169,29,MATCH(B304,October!$D$3:$AH$3)+1)+INDEX(October!$C$3:$AH$169,34,MATCH(B304,October!$D$3:$AH$3)+1)+INDEX(October!$C$3:$AH$169,39,MATCH(B304,October!$D$3:$AH$3)+1)+INDEX(October!$C$3:$AH$169,44,MATCH(B304,October!$D$3:$AH$3)+1)+INDEX(October!$C$3:$AH$169,49,MATCH(B304,October!$D$3:$AH$3)+1)+INDEX(October!$C$3:$AH$169,54,MATCH(B304,October!$D$3:$AH$3)+1)+INDEX(October!$C$3:$AH$169,59,MATCH(B304,October!$D$3:$AH$3)+1)+INDEX(October!$C$3:$AH$169,64,MATCH(B304,October!$D$3:$AH$3)+1)+INDEX(October!$C$3:$AH$169,69,MATCH(B304,October!$D$3:$AH$3)+1)+INDEX(October!$C$3:$AH$169,74,MATCH(B304,October!$D$3:$AH$3)+1)+INDEX(October!$C$3:$AH$169,79,MATCH(B304,October!$D$3:$AH$3)+1)+INDEX(October!$C$3:$AH$169,84,MATCH(B304,October!$D$3:$AH$3)+1)+INDEX(October!$C$3:$AH$169,89,MATCH(B304,October!$D$3:$AH$3)+1)+INDEX(October!$C$3:$AH$169,94,MATCH(B304,October!$D$3:$AH$3)+1)+INDEX(October!$C$3:$AH$169,99,MATCH(B304,October!$D$3:$AH$3)+1)+INDEX(October!$C$3:$AH$169,104,MATCH(B304,October!$D$3:$AH$3)+1)+INDEX(October!$C$3:$AH$169,109,MATCH(B304,October!$D$3:$AH$3)+1)+INDEX(October!$C$3:$AH$169,114,MATCH(B304,October!$D$3:$AH$3)+1)+INDEX(October!$C$3:$AH$169,119,MATCH(B304,October!$D$3:$AH$3)+1)+INDEX(October!$C$3:$AH$169,124,MATCH(B304,October!$D$3:$AH$3)+1)+INDEX(October!$C$3:$AH$169,129,MATCH(B304,October!$D$3:$AH$3)+1)+INDEX(October!$C$3:$AH$169,134,MATCH(B304,October!$D$3:$AH$3)+1)+INDEX(October!$C$3:$AH$169,139,MATCH(B304,October!$D$3:$AH$3)+1)+INDEX(October!$C$3:$AH$169,144,MATCH(B304,October!$D$3:$AH$3)+1)+INDEX(October!$C$3:$AH$169,149,MATCH(B304,October!$D$3:$AH$3)+1)-INDEX(October!$B$5:$AH$169,MATCH("Patrick Janssen",October!$B$5:$B$169)+1,MATCH(B304,October!$D$3:$AH$3)+2)-INDEX(October!$B$5:$AH$169,MATCH("Patrick Ziesen",October!$B$5:$B$169)+1,MATCH(B304,October!$D$3:$AH$3)+2)-INDEX(October!$B$5:$AH$169,MATCH("Frido Meijer",October!$B$5:$B$169)+1,MATCH(B304,October!$D$3:$AH$3)+2)</f>
        <v>0</v>
      </c>
      <c r="I304" s="130">
        <v>0</v>
      </c>
      <c r="J304" s="130">
        <v>0</v>
      </c>
      <c r="L304" s="111"/>
      <c r="M304" s="111"/>
      <c r="N304" s="111">
        <f t="shared" si="93"/>
        <v>0</v>
      </c>
      <c r="P304" s="112">
        <f t="shared" si="98"/>
        <v>0</v>
      </c>
      <c r="Q304" s="112">
        <f t="shared" si="99"/>
        <v>0</v>
      </c>
    </row>
    <row r="305" spans="2:17" x14ac:dyDescent="0.25">
      <c r="B305" s="110">
        <f>DATE(Title!$F$12,$S$14,S13)</f>
        <v>41556</v>
      </c>
      <c r="C305" s="111">
        <f>IF(WEEKDAY(B305)=1,0,IF(WEEKDAY(B305)=4,'Hours Scheduled'!$K$44-1,IF(WEEKDAY(B305)=7,0,'Hours Scheduled'!$K$44)))</f>
        <v>20</v>
      </c>
      <c r="D305" s="17">
        <f t="shared" si="96"/>
        <v>150</v>
      </c>
      <c r="E305" s="127">
        <f t="shared" si="97"/>
        <v>152</v>
      </c>
      <c r="F305" s="111"/>
      <c r="G305" s="130">
        <f>INDEX(October!$C$3:$AH$169,3,MATCH(B305,October!$D$3:$AH$3)+1)+INDEX(October!$C$3:$AH$169,8,MATCH(B305,October!$D$3:$AH$3)+1)+INDEX(October!$C$3:$AH$169,13,MATCH(B305,October!$D$3:$AH$3)+1)+INDEX(October!$C$3:$AH$169,18,MATCH(B305,October!$D$3:$AH$3)+1)+INDEX(October!$C$3:$AH$169,23,MATCH(B305,October!$D$3:$AH$3)+1)+INDEX(October!$C$3:$AH$169,28,MATCH(B305,October!$D$3:$AH$3)+1)+INDEX(October!$C$3:$AH$169,33,MATCH(B305,October!$D$3:$AH$3)+1)+INDEX(October!$C$3:$AH$169,38,MATCH(B305,October!$D$3:$AH$3)+1)+INDEX(October!$C$3:$AH$169,43,MATCH(B305,October!$D$3:$AH$3)+1)+INDEX(October!$C$3:$AH$169,48,MATCH(B305,October!$D$3:$AH$3)+1)+INDEX(October!$C$3:$AH$169,53,MATCH(B305,October!$D$3:$AH$3)+1)+INDEX(October!$C$3:$AH$169,58,MATCH(B305,October!$D$3:$AH$3)+1)+INDEX(October!$C$3:$AH$169,63,MATCH(B305,October!$D$3:$AH$3)+1)+INDEX(October!$C$3:$AH$169,68,MATCH(B305,October!$D$3:$AH$3)+1)+INDEX(October!$C$3:$AH$169,73,MATCH(B305,October!$D$3:$AH$3)+1)+INDEX(October!$C$3:$AH$169,78,MATCH(B305,October!$D$3:$AH$3)+1)+INDEX(October!$C$3:$AH$169,83,MATCH(B305,October!$D$3:$AH$3)+1)+INDEX(October!$C$3:$AH$169,88,MATCH(B305,October!$D$3:$AH$3)+1)+INDEX(October!$C$3:$AH$169,93,MATCH(B305,October!$D$3:$AH$3)+1)+INDEX(October!$C$3:$AH$169,98,MATCH(B305,October!$D$3:$AH$3)+1)+INDEX(October!$C$3:$AH$169,103,MATCH(B305,October!$D$3:$AH$3)+1)+INDEX(October!$C$3:$AH$169,108,MATCH(B305,October!$D$3:$AH$3)+1)+INDEX(October!$C$3:$AH$169,113,MATCH(B305,October!$D$3:$AH$3)+1)+INDEX(October!$C$3:$AH$169,118,MATCH(B305,October!$D$3:$AH$3)+1)+INDEX(October!$C$3:$AH$169,123,MATCH(B305,October!$D$3:$AH$3)+1)+INDEX(October!$C$3:$AH$169,128,MATCH(B305,October!$D$3:$AH$3)+1)+INDEX(October!$C$3:$AH$169,133,MATCH(B305,October!$D$3:$AH$3)+1)+INDEX(October!$C$3:$AH$169,138,MATCH(B305,October!$D$3:$AH$3)+1)+INDEX(October!$C$3:$AH$169,143,MATCH(B305,October!$D$3:$AH$3)+1)+INDEX(October!$C$3:$AH$169,148,MATCH(B305,October!$D$3:$AH$3)+1)-INDEX(October!$B$5:$AH$169,MATCH("Patrick Janssen",October!$B$5:$B$169),MATCH(B305,October!$D$3:$AH$3)+2)-INDEX(October!$B$5:$AH$169,MATCH("Patrick Ziesen",October!$B$5:$B$169),MATCH(B305,October!$D$3:$AH$3)+2)-INDEX(October!$B$5:$AH$169,MATCH("Frido Meijer",October!$B$5:$B$169),MATCH(B305,October!$D$3:$AH$3)+2)</f>
        <v>8</v>
      </c>
      <c r="H305" s="130">
        <f>INDEX(October!$C$3:$AH$169,4,MATCH(B305,October!$D$3:$AH$3)+1)+INDEX(October!$C$3:$AH$169,9,MATCH(B305,October!$D$3:$AH$3)+1)+INDEX(October!$C$3:$AH$169,14,MATCH(B305,October!$D$3:$AH$3)+1)+INDEX(October!$C$3:$AH$169,19,MATCH(B305,October!$D$3:$AH$3)+1)+INDEX(October!$C$3:$AH$169,24,MATCH(B305,October!$D$3:$AH$3)+1)+INDEX(October!$C$3:$AH$169,29,MATCH(B305,October!$D$3:$AH$3)+1)+INDEX(October!$C$3:$AH$169,34,MATCH(B305,October!$D$3:$AH$3)+1)+INDEX(October!$C$3:$AH$169,39,MATCH(B305,October!$D$3:$AH$3)+1)+INDEX(October!$C$3:$AH$169,44,MATCH(B305,October!$D$3:$AH$3)+1)+INDEX(October!$C$3:$AH$169,49,MATCH(B305,October!$D$3:$AH$3)+1)+INDEX(October!$C$3:$AH$169,54,MATCH(B305,October!$D$3:$AH$3)+1)+INDEX(October!$C$3:$AH$169,59,MATCH(B305,October!$D$3:$AH$3)+1)+INDEX(October!$C$3:$AH$169,64,MATCH(B305,October!$D$3:$AH$3)+1)+INDEX(October!$C$3:$AH$169,69,MATCH(B305,October!$D$3:$AH$3)+1)+INDEX(October!$C$3:$AH$169,74,MATCH(B305,October!$D$3:$AH$3)+1)+INDEX(October!$C$3:$AH$169,79,MATCH(B305,October!$D$3:$AH$3)+1)+INDEX(October!$C$3:$AH$169,84,MATCH(B305,October!$D$3:$AH$3)+1)+INDEX(October!$C$3:$AH$169,89,MATCH(B305,October!$D$3:$AH$3)+1)+INDEX(October!$C$3:$AH$169,94,MATCH(B305,October!$D$3:$AH$3)+1)+INDEX(October!$C$3:$AH$169,99,MATCH(B305,October!$D$3:$AH$3)+1)+INDEX(October!$C$3:$AH$169,104,MATCH(B305,October!$D$3:$AH$3)+1)+INDEX(October!$C$3:$AH$169,109,MATCH(B305,October!$D$3:$AH$3)+1)+INDEX(October!$C$3:$AH$169,114,MATCH(B305,October!$D$3:$AH$3)+1)+INDEX(October!$C$3:$AH$169,119,MATCH(B305,October!$D$3:$AH$3)+1)+INDEX(October!$C$3:$AH$169,124,MATCH(B305,October!$D$3:$AH$3)+1)+INDEX(October!$C$3:$AH$169,129,MATCH(B305,October!$D$3:$AH$3)+1)+INDEX(October!$C$3:$AH$169,134,MATCH(B305,October!$D$3:$AH$3)+1)+INDEX(October!$C$3:$AH$169,139,MATCH(B305,October!$D$3:$AH$3)+1)+INDEX(October!$C$3:$AH$169,144,MATCH(B305,October!$D$3:$AH$3)+1)+INDEX(October!$C$3:$AH$169,149,MATCH(B305,October!$D$3:$AH$3)+1)-INDEX(October!$B$5:$AH$169,MATCH("Patrick Janssen",October!$B$5:$B$169)+1,MATCH(B305,October!$D$3:$AH$3)+2)-INDEX(October!$B$5:$AH$169,MATCH("Patrick Ziesen",October!$B$5:$B$169)+1,MATCH(B305,October!$D$3:$AH$3)+2)-INDEX(October!$B$5:$AH$169,MATCH("Frido Meijer",October!$B$5:$B$169)+1,MATCH(B305,October!$D$3:$AH$3)+2)</f>
        <v>0</v>
      </c>
      <c r="I305" s="130">
        <v>0</v>
      </c>
      <c r="J305" s="130">
        <v>0</v>
      </c>
      <c r="L305" s="111"/>
      <c r="M305" s="111"/>
      <c r="N305" s="111">
        <f t="shared" si="93"/>
        <v>0</v>
      </c>
      <c r="P305" s="112">
        <f t="shared" si="98"/>
        <v>0</v>
      </c>
      <c r="Q305" s="112">
        <f t="shared" si="99"/>
        <v>0</v>
      </c>
    </row>
    <row r="306" spans="2:17" x14ac:dyDescent="0.25">
      <c r="B306" s="110">
        <f>DATE(Title!$F$12,$S$14,S14)</f>
        <v>41557</v>
      </c>
      <c r="C306" s="111">
        <f>IF(WEEKDAY(B306)=1,0,IF(WEEKDAY(B306)=4,'Hours Scheduled'!$K$44-1,IF(WEEKDAY(B306)=7,0,'Hours Scheduled'!$K$44)))</f>
        <v>21</v>
      </c>
      <c r="D306" s="17">
        <f t="shared" si="96"/>
        <v>157.5</v>
      </c>
      <c r="E306" s="127">
        <f t="shared" si="97"/>
        <v>160</v>
      </c>
      <c r="F306" s="111"/>
      <c r="G306" s="130">
        <f>INDEX(October!$C$3:$AH$169,3,MATCH(B306,October!$D$3:$AH$3)+1)+INDEX(October!$C$3:$AH$169,8,MATCH(B306,October!$D$3:$AH$3)+1)+INDEX(October!$C$3:$AH$169,13,MATCH(B306,October!$D$3:$AH$3)+1)+INDEX(October!$C$3:$AH$169,18,MATCH(B306,October!$D$3:$AH$3)+1)+INDEX(October!$C$3:$AH$169,23,MATCH(B306,October!$D$3:$AH$3)+1)+INDEX(October!$C$3:$AH$169,28,MATCH(B306,October!$D$3:$AH$3)+1)+INDEX(October!$C$3:$AH$169,33,MATCH(B306,October!$D$3:$AH$3)+1)+INDEX(October!$C$3:$AH$169,38,MATCH(B306,October!$D$3:$AH$3)+1)+INDEX(October!$C$3:$AH$169,43,MATCH(B306,October!$D$3:$AH$3)+1)+INDEX(October!$C$3:$AH$169,48,MATCH(B306,October!$D$3:$AH$3)+1)+INDEX(October!$C$3:$AH$169,53,MATCH(B306,October!$D$3:$AH$3)+1)+INDEX(October!$C$3:$AH$169,58,MATCH(B306,October!$D$3:$AH$3)+1)+INDEX(October!$C$3:$AH$169,63,MATCH(B306,October!$D$3:$AH$3)+1)+INDEX(October!$C$3:$AH$169,68,MATCH(B306,October!$D$3:$AH$3)+1)+INDEX(October!$C$3:$AH$169,73,MATCH(B306,October!$D$3:$AH$3)+1)+INDEX(October!$C$3:$AH$169,78,MATCH(B306,October!$D$3:$AH$3)+1)+INDEX(October!$C$3:$AH$169,83,MATCH(B306,October!$D$3:$AH$3)+1)+INDEX(October!$C$3:$AH$169,88,MATCH(B306,October!$D$3:$AH$3)+1)+INDEX(October!$C$3:$AH$169,93,MATCH(B306,October!$D$3:$AH$3)+1)+INDEX(October!$C$3:$AH$169,98,MATCH(B306,October!$D$3:$AH$3)+1)+INDEX(October!$C$3:$AH$169,103,MATCH(B306,October!$D$3:$AH$3)+1)+INDEX(October!$C$3:$AH$169,108,MATCH(B306,October!$D$3:$AH$3)+1)+INDEX(October!$C$3:$AH$169,113,MATCH(B306,October!$D$3:$AH$3)+1)+INDEX(October!$C$3:$AH$169,118,MATCH(B306,October!$D$3:$AH$3)+1)+INDEX(October!$C$3:$AH$169,123,MATCH(B306,October!$D$3:$AH$3)+1)+INDEX(October!$C$3:$AH$169,128,MATCH(B306,October!$D$3:$AH$3)+1)+INDEX(October!$C$3:$AH$169,133,MATCH(B306,October!$D$3:$AH$3)+1)+INDEX(October!$C$3:$AH$169,138,MATCH(B306,October!$D$3:$AH$3)+1)+INDEX(October!$C$3:$AH$169,143,MATCH(B306,October!$D$3:$AH$3)+1)+INDEX(October!$C$3:$AH$169,148,MATCH(B306,October!$D$3:$AH$3)+1)-INDEX(October!$B$5:$AH$169,MATCH("Patrick Janssen",October!$B$5:$B$169),MATCH(B306,October!$D$3:$AH$3)+2)-INDEX(October!$B$5:$AH$169,MATCH("Patrick Ziesen",October!$B$5:$B$169),MATCH(B306,October!$D$3:$AH$3)+2)-INDEX(October!$B$5:$AH$169,MATCH("Frido Meijer",October!$B$5:$B$169),MATCH(B306,October!$D$3:$AH$3)+2)</f>
        <v>8</v>
      </c>
      <c r="H306" s="130">
        <f>INDEX(October!$C$3:$AH$169,4,MATCH(B306,October!$D$3:$AH$3)+1)+INDEX(October!$C$3:$AH$169,9,MATCH(B306,October!$D$3:$AH$3)+1)+INDEX(October!$C$3:$AH$169,14,MATCH(B306,October!$D$3:$AH$3)+1)+INDEX(October!$C$3:$AH$169,19,MATCH(B306,October!$D$3:$AH$3)+1)+INDEX(October!$C$3:$AH$169,24,MATCH(B306,October!$D$3:$AH$3)+1)+INDEX(October!$C$3:$AH$169,29,MATCH(B306,October!$D$3:$AH$3)+1)+INDEX(October!$C$3:$AH$169,34,MATCH(B306,October!$D$3:$AH$3)+1)+INDEX(October!$C$3:$AH$169,39,MATCH(B306,October!$D$3:$AH$3)+1)+INDEX(October!$C$3:$AH$169,44,MATCH(B306,October!$D$3:$AH$3)+1)+INDEX(October!$C$3:$AH$169,49,MATCH(B306,October!$D$3:$AH$3)+1)+INDEX(October!$C$3:$AH$169,54,MATCH(B306,October!$D$3:$AH$3)+1)+INDEX(October!$C$3:$AH$169,59,MATCH(B306,October!$D$3:$AH$3)+1)+INDEX(October!$C$3:$AH$169,64,MATCH(B306,October!$D$3:$AH$3)+1)+INDEX(October!$C$3:$AH$169,69,MATCH(B306,October!$D$3:$AH$3)+1)+INDEX(October!$C$3:$AH$169,74,MATCH(B306,October!$D$3:$AH$3)+1)+INDEX(October!$C$3:$AH$169,79,MATCH(B306,October!$D$3:$AH$3)+1)+INDEX(October!$C$3:$AH$169,84,MATCH(B306,October!$D$3:$AH$3)+1)+INDEX(October!$C$3:$AH$169,89,MATCH(B306,October!$D$3:$AH$3)+1)+INDEX(October!$C$3:$AH$169,94,MATCH(B306,October!$D$3:$AH$3)+1)+INDEX(October!$C$3:$AH$169,99,MATCH(B306,October!$D$3:$AH$3)+1)+INDEX(October!$C$3:$AH$169,104,MATCH(B306,October!$D$3:$AH$3)+1)+INDEX(October!$C$3:$AH$169,109,MATCH(B306,October!$D$3:$AH$3)+1)+INDEX(October!$C$3:$AH$169,114,MATCH(B306,October!$D$3:$AH$3)+1)+INDEX(October!$C$3:$AH$169,119,MATCH(B306,October!$D$3:$AH$3)+1)+INDEX(October!$C$3:$AH$169,124,MATCH(B306,October!$D$3:$AH$3)+1)+INDEX(October!$C$3:$AH$169,129,MATCH(B306,October!$D$3:$AH$3)+1)+INDEX(October!$C$3:$AH$169,134,MATCH(B306,October!$D$3:$AH$3)+1)+INDEX(October!$C$3:$AH$169,139,MATCH(B306,October!$D$3:$AH$3)+1)+INDEX(October!$C$3:$AH$169,144,MATCH(B306,October!$D$3:$AH$3)+1)+INDEX(October!$C$3:$AH$169,149,MATCH(B306,October!$D$3:$AH$3)+1)-INDEX(October!$B$5:$AH$169,MATCH("Patrick Janssen",October!$B$5:$B$169)+1,MATCH(B306,October!$D$3:$AH$3)+2)-INDEX(October!$B$5:$AH$169,MATCH("Patrick Ziesen",October!$B$5:$B$169)+1,MATCH(B306,October!$D$3:$AH$3)+2)-INDEX(October!$B$5:$AH$169,MATCH("Frido Meijer",October!$B$5:$B$169)+1,MATCH(B306,October!$D$3:$AH$3)+2)</f>
        <v>0</v>
      </c>
      <c r="I306" s="130">
        <v>0</v>
      </c>
      <c r="J306" s="130">
        <v>0</v>
      </c>
      <c r="L306" s="111"/>
      <c r="M306" s="111"/>
      <c r="N306" s="111">
        <f t="shared" si="93"/>
        <v>0</v>
      </c>
      <c r="P306" s="112">
        <f t="shared" si="98"/>
        <v>0</v>
      </c>
      <c r="Q306" s="112">
        <f t="shared" si="99"/>
        <v>0</v>
      </c>
    </row>
    <row r="307" spans="2:17" x14ac:dyDescent="0.25">
      <c r="B307" s="110">
        <f>DATE(Title!$F$12,$S$14,S15)</f>
        <v>41558</v>
      </c>
      <c r="C307" s="111">
        <f>IF(WEEKDAY(B307)=1,0,IF(WEEKDAY(B307)=4,'Hours Scheduled'!$K$44-1,IF(WEEKDAY(B307)=7,0,'Hours Scheduled'!$K$44)))</f>
        <v>21</v>
      </c>
      <c r="D307" s="17">
        <f t="shared" si="96"/>
        <v>157.5</v>
      </c>
      <c r="E307" s="127">
        <f t="shared" si="97"/>
        <v>160</v>
      </c>
      <c r="F307" s="111"/>
      <c r="G307" s="130">
        <f>INDEX(October!$C$3:$AH$169,3,MATCH(B307,October!$D$3:$AH$3)+1)+INDEX(October!$C$3:$AH$169,8,MATCH(B307,October!$D$3:$AH$3)+1)+INDEX(October!$C$3:$AH$169,13,MATCH(B307,October!$D$3:$AH$3)+1)+INDEX(October!$C$3:$AH$169,18,MATCH(B307,October!$D$3:$AH$3)+1)+INDEX(October!$C$3:$AH$169,23,MATCH(B307,October!$D$3:$AH$3)+1)+INDEX(October!$C$3:$AH$169,28,MATCH(B307,October!$D$3:$AH$3)+1)+INDEX(October!$C$3:$AH$169,33,MATCH(B307,October!$D$3:$AH$3)+1)+INDEX(October!$C$3:$AH$169,38,MATCH(B307,October!$D$3:$AH$3)+1)+INDEX(October!$C$3:$AH$169,43,MATCH(B307,October!$D$3:$AH$3)+1)+INDEX(October!$C$3:$AH$169,48,MATCH(B307,October!$D$3:$AH$3)+1)+INDEX(October!$C$3:$AH$169,53,MATCH(B307,October!$D$3:$AH$3)+1)+INDEX(October!$C$3:$AH$169,58,MATCH(B307,October!$D$3:$AH$3)+1)+INDEX(October!$C$3:$AH$169,63,MATCH(B307,October!$D$3:$AH$3)+1)+INDEX(October!$C$3:$AH$169,68,MATCH(B307,October!$D$3:$AH$3)+1)+INDEX(October!$C$3:$AH$169,73,MATCH(B307,October!$D$3:$AH$3)+1)+INDEX(October!$C$3:$AH$169,78,MATCH(B307,October!$D$3:$AH$3)+1)+INDEX(October!$C$3:$AH$169,83,MATCH(B307,October!$D$3:$AH$3)+1)+INDEX(October!$C$3:$AH$169,88,MATCH(B307,October!$D$3:$AH$3)+1)+INDEX(October!$C$3:$AH$169,93,MATCH(B307,October!$D$3:$AH$3)+1)+INDEX(October!$C$3:$AH$169,98,MATCH(B307,October!$D$3:$AH$3)+1)+INDEX(October!$C$3:$AH$169,103,MATCH(B307,October!$D$3:$AH$3)+1)+INDEX(October!$C$3:$AH$169,108,MATCH(B307,October!$D$3:$AH$3)+1)+INDEX(October!$C$3:$AH$169,113,MATCH(B307,October!$D$3:$AH$3)+1)+INDEX(October!$C$3:$AH$169,118,MATCH(B307,October!$D$3:$AH$3)+1)+INDEX(October!$C$3:$AH$169,123,MATCH(B307,October!$D$3:$AH$3)+1)+INDEX(October!$C$3:$AH$169,128,MATCH(B307,October!$D$3:$AH$3)+1)+INDEX(October!$C$3:$AH$169,133,MATCH(B307,October!$D$3:$AH$3)+1)+INDEX(October!$C$3:$AH$169,138,MATCH(B307,October!$D$3:$AH$3)+1)+INDEX(October!$C$3:$AH$169,143,MATCH(B307,October!$D$3:$AH$3)+1)+INDEX(October!$C$3:$AH$169,148,MATCH(B307,October!$D$3:$AH$3)+1)-INDEX(October!$B$5:$AH$169,MATCH("Patrick Janssen",October!$B$5:$B$169),MATCH(B307,October!$D$3:$AH$3)+2)-INDEX(October!$B$5:$AH$169,MATCH("Patrick Ziesen",October!$B$5:$B$169),MATCH(B307,October!$D$3:$AH$3)+2)-INDEX(October!$B$5:$AH$169,MATCH("Frido Meijer",October!$B$5:$B$169),MATCH(B307,October!$D$3:$AH$3)+2)</f>
        <v>8</v>
      </c>
      <c r="H307" s="130">
        <f>INDEX(October!$C$3:$AH$169,4,MATCH(B307,October!$D$3:$AH$3)+1)+INDEX(October!$C$3:$AH$169,9,MATCH(B307,October!$D$3:$AH$3)+1)+INDEX(October!$C$3:$AH$169,14,MATCH(B307,October!$D$3:$AH$3)+1)+INDEX(October!$C$3:$AH$169,19,MATCH(B307,October!$D$3:$AH$3)+1)+INDEX(October!$C$3:$AH$169,24,MATCH(B307,October!$D$3:$AH$3)+1)+INDEX(October!$C$3:$AH$169,29,MATCH(B307,October!$D$3:$AH$3)+1)+INDEX(October!$C$3:$AH$169,34,MATCH(B307,October!$D$3:$AH$3)+1)+INDEX(October!$C$3:$AH$169,39,MATCH(B307,October!$D$3:$AH$3)+1)+INDEX(October!$C$3:$AH$169,44,MATCH(B307,October!$D$3:$AH$3)+1)+INDEX(October!$C$3:$AH$169,49,MATCH(B307,October!$D$3:$AH$3)+1)+INDEX(October!$C$3:$AH$169,54,MATCH(B307,October!$D$3:$AH$3)+1)+INDEX(October!$C$3:$AH$169,59,MATCH(B307,October!$D$3:$AH$3)+1)+INDEX(October!$C$3:$AH$169,64,MATCH(B307,October!$D$3:$AH$3)+1)+INDEX(October!$C$3:$AH$169,69,MATCH(B307,October!$D$3:$AH$3)+1)+INDEX(October!$C$3:$AH$169,74,MATCH(B307,October!$D$3:$AH$3)+1)+INDEX(October!$C$3:$AH$169,79,MATCH(B307,October!$D$3:$AH$3)+1)+INDEX(October!$C$3:$AH$169,84,MATCH(B307,October!$D$3:$AH$3)+1)+INDEX(October!$C$3:$AH$169,89,MATCH(B307,October!$D$3:$AH$3)+1)+INDEX(October!$C$3:$AH$169,94,MATCH(B307,October!$D$3:$AH$3)+1)+INDEX(October!$C$3:$AH$169,99,MATCH(B307,October!$D$3:$AH$3)+1)+INDEX(October!$C$3:$AH$169,104,MATCH(B307,October!$D$3:$AH$3)+1)+INDEX(October!$C$3:$AH$169,109,MATCH(B307,October!$D$3:$AH$3)+1)+INDEX(October!$C$3:$AH$169,114,MATCH(B307,October!$D$3:$AH$3)+1)+INDEX(October!$C$3:$AH$169,119,MATCH(B307,October!$D$3:$AH$3)+1)+INDEX(October!$C$3:$AH$169,124,MATCH(B307,October!$D$3:$AH$3)+1)+INDEX(October!$C$3:$AH$169,129,MATCH(B307,October!$D$3:$AH$3)+1)+INDEX(October!$C$3:$AH$169,134,MATCH(B307,October!$D$3:$AH$3)+1)+INDEX(October!$C$3:$AH$169,139,MATCH(B307,October!$D$3:$AH$3)+1)+INDEX(October!$C$3:$AH$169,144,MATCH(B307,October!$D$3:$AH$3)+1)+INDEX(October!$C$3:$AH$169,149,MATCH(B307,October!$D$3:$AH$3)+1)-INDEX(October!$B$5:$AH$169,MATCH("Patrick Janssen",October!$B$5:$B$169)+1,MATCH(B307,October!$D$3:$AH$3)+2)-INDEX(October!$B$5:$AH$169,MATCH("Patrick Ziesen",October!$B$5:$B$169)+1,MATCH(B307,October!$D$3:$AH$3)+2)-INDEX(October!$B$5:$AH$169,MATCH("Frido Meijer",October!$B$5:$B$169)+1,MATCH(B307,October!$D$3:$AH$3)+2)</f>
        <v>0</v>
      </c>
      <c r="I307" s="130">
        <v>0</v>
      </c>
      <c r="J307" s="130">
        <v>0</v>
      </c>
      <c r="L307" s="111"/>
      <c r="M307" s="111"/>
      <c r="N307" s="111">
        <f t="shared" si="93"/>
        <v>0</v>
      </c>
      <c r="P307" s="112">
        <f t="shared" si="98"/>
        <v>0</v>
      </c>
      <c r="Q307" s="112">
        <f t="shared" si="99"/>
        <v>0</v>
      </c>
    </row>
    <row r="308" spans="2:17" x14ac:dyDescent="0.25">
      <c r="B308" s="110">
        <f>DATE(Title!$F$12,$S$14,S16)</f>
        <v>41559</v>
      </c>
      <c r="C308" s="111">
        <f>IF(WEEKDAY(B308)=1,0,IF(WEEKDAY(B308)=4,'Hours Scheduled'!$K$44-1,IF(WEEKDAY(B308)=7,0,'Hours Scheduled'!$K$44)))</f>
        <v>0</v>
      </c>
      <c r="D308" s="17">
        <f t="shared" si="96"/>
        <v>0</v>
      </c>
      <c r="E308" s="127">
        <f t="shared" si="97"/>
        <v>0</v>
      </c>
      <c r="F308" s="111"/>
      <c r="G308" s="130">
        <f>INDEX(October!$C$3:$AH$169,3,MATCH(B308,October!$D$3:$AH$3)+1)+INDEX(October!$C$3:$AH$169,8,MATCH(B308,October!$D$3:$AH$3)+1)+INDEX(October!$C$3:$AH$169,13,MATCH(B308,October!$D$3:$AH$3)+1)+INDEX(October!$C$3:$AH$169,18,MATCH(B308,October!$D$3:$AH$3)+1)+INDEX(October!$C$3:$AH$169,23,MATCH(B308,October!$D$3:$AH$3)+1)+INDEX(October!$C$3:$AH$169,28,MATCH(B308,October!$D$3:$AH$3)+1)+INDEX(October!$C$3:$AH$169,33,MATCH(B308,October!$D$3:$AH$3)+1)+INDEX(October!$C$3:$AH$169,38,MATCH(B308,October!$D$3:$AH$3)+1)+INDEX(October!$C$3:$AH$169,43,MATCH(B308,October!$D$3:$AH$3)+1)+INDEX(October!$C$3:$AH$169,48,MATCH(B308,October!$D$3:$AH$3)+1)+INDEX(October!$C$3:$AH$169,53,MATCH(B308,October!$D$3:$AH$3)+1)+INDEX(October!$C$3:$AH$169,58,MATCH(B308,October!$D$3:$AH$3)+1)+INDEX(October!$C$3:$AH$169,63,MATCH(B308,October!$D$3:$AH$3)+1)+INDEX(October!$C$3:$AH$169,68,MATCH(B308,October!$D$3:$AH$3)+1)+INDEX(October!$C$3:$AH$169,73,MATCH(B308,October!$D$3:$AH$3)+1)+INDEX(October!$C$3:$AH$169,78,MATCH(B308,October!$D$3:$AH$3)+1)+INDEX(October!$C$3:$AH$169,83,MATCH(B308,October!$D$3:$AH$3)+1)+INDEX(October!$C$3:$AH$169,88,MATCH(B308,October!$D$3:$AH$3)+1)+INDEX(October!$C$3:$AH$169,93,MATCH(B308,October!$D$3:$AH$3)+1)+INDEX(October!$C$3:$AH$169,98,MATCH(B308,October!$D$3:$AH$3)+1)+INDEX(October!$C$3:$AH$169,103,MATCH(B308,October!$D$3:$AH$3)+1)+INDEX(October!$C$3:$AH$169,108,MATCH(B308,October!$D$3:$AH$3)+1)+INDEX(October!$C$3:$AH$169,113,MATCH(B308,October!$D$3:$AH$3)+1)+INDEX(October!$C$3:$AH$169,118,MATCH(B308,October!$D$3:$AH$3)+1)+INDEX(October!$C$3:$AH$169,123,MATCH(B308,October!$D$3:$AH$3)+1)+INDEX(October!$C$3:$AH$169,128,MATCH(B308,October!$D$3:$AH$3)+1)+INDEX(October!$C$3:$AH$169,133,MATCH(B308,October!$D$3:$AH$3)+1)+INDEX(October!$C$3:$AH$169,138,MATCH(B308,October!$D$3:$AH$3)+1)+INDEX(October!$C$3:$AH$169,143,MATCH(B308,October!$D$3:$AH$3)+1)+INDEX(October!$C$3:$AH$169,148,MATCH(B308,October!$D$3:$AH$3)+1)-INDEX(October!$B$5:$AH$169,MATCH("Patrick Janssen",October!$B$5:$B$169),MATCH(B308,October!$D$3:$AH$3)+2)-INDEX(October!$B$5:$AH$169,MATCH("Patrick Ziesen",October!$B$5:$B$169),MATCH(B308,October!$D$3:$AH$3)+2)-INDEX(October!$B$5:$AH$169,MATCH("Frido Meijer",October!$B$5:$B$169),MATCH(B308,October!$D$3:$AH$3)+2)</f>
        <v>0</v>
      </c>
      <c r="H308" s="130">
        <f>INDEX(October!$C$3:$AH$169,4,MATCH(B308,October!$D$3:$AH$3)+1)+INDEX(October!$C$3:$AH$169,9,MATCH(B308,October!$D$3:$AH$3)+1)+INDEX(October!$C$3:$AH$169,14,MATCH(B308,October!$D$3:$AH$3)+1)+INDEX(October!$C$3:$AH$169,19,MATCH(B308,October!$D$3:$AH$3)+1)+INDEX(October!$C$3:$AH$169,24,MATCH(B308,October!$D$3:$AH$3)+1)+INDEX(October!$C$3:$AH$169,29,MATCH(B308,October!$D$3:$AH$3)+1)+INDEX(October!$C$3:$AH$169,34,MATCH(B308,October!$D$3:$AH$3)+1)+INDEX(October!$C$3:$AH$169,39,MATCH(B308,October!$D$3:$AH$3)+1)+INDEX(October!$C$3:$AH$169,44,MATCH(B308,October!$D$3:$AH$3)+1)+INDEX(October!$C$3:$AH$169,49,MATCH(B308,October!$D$3:$AH$3)+1)+INDEX(October!$C$3:$AH$169,54,MATCH(B308,October!$D$3:$AH$3)+1)+INDEX(October!$C$3:$AH$169,59,MATCH(B308,October!$D$3:$AH$3)+1)+INDEX(October!$C$3:$AH$169,64,MATCH(B308,October!$D$3:$AH$3)+1)+INDEX(October!$C$3:$AH$169,69,MATCH(B308,October!$D$3:$AH$3)+1)+INDEX(October!$C$3:$AH$169,74,MATCH(B308,October!$D$3:$AH$3)+1)+INDEX(October!$C$3:$AH$169,79,MATCH(B308,October!$D$3:$AH$3)+1)+INDEX(October!$C$3:$AH$169,84,MATCH(B308,October!$D$3:$AH$3)+1)+INDEX(October!$C$3:$AH$169,89,MATCH(B308,October!$D$3:$AH$3)+1)+INDEX(October!$C$3:$AH$169,94,MATCH(B308,October!$D$3:$AH$3)+1)+INDEX(October!$C$3:$AH$169,99,MATCH(B308,October!$D$3:$AH$3)+1)+INDEX(October!$C$3:$AH$169,104,MATCH(B308,October!$D$3:$AH$3)+1)+INDEX(October!$C$3:$AH$169,109,MATCH(B308,October!$D$3:$AH$3)+1)+INDEX(October!$C$3:$AH$169,114,MATCH(B308,October!$D$3:$AH$3)+1)+INDEX(October!$C$3:$AH$169,119,MATCH(B308,October!$D$3:$AH$3)+1)+INDEX(October!$C$3:$AH$169,124,MATCH(B308,October!$D$3:$AH$3)+1)+INDEX(October!$C$3:$AH$169,129,MATCH(B308,October!$D$3:$AH$3)+1)+INDEX(October!$C$3:$AH$169,134,MATCH(B308,October!$D$3:$AH$3)+1)+INDEX(October!$C$3:$AH$169,139,MATCH(B308,October!$D$3:$AH$3)+1)+INDEX(October!$C$3:$AH$169,144,MATCH(B308,October!$D$3:$AH$3)+1)+INDEX(October!$C$3:$AH$169,149,MATCH(B308,October!$D$3:$AH$3)+1)-INDEX(October!$B$5:$AH$169,MATCH("Patrick Janssen",October!$B$5:$B$169)+1,MATCH(B308,October!$D$3:$AH$3)+2)-INDEX(October!$B$5:$AH$169,MATCH("Patrick Ziesen",October!$B$5:$B$169)+1,MATCH(B308,October!$D$3:$AH$3)+2)-INDEX(October!$B$5:$AH$169,MATCH("Frido Meijer",October!$B$5:$B$169)+1,MATCH(B308,October!$D$3:$AH$3)+2)</f>
        <v>0</v>
      </c>
      <c r="I308" s="130">
        <v>0</v>
      </c>
      <c r="J308" s="130">
        <v>0</v>
      </c>
      <c r="L308" s="111"/>
      <c r="M308" s="111"/>
      <c r="N308" s="111">
        <f t="shared" si="93"/>
        <v>0</v>
      </c>
      <c r="P308" s="112" t="str">
        <f t="shared" si="98"/>
        <v/>
      </c>
      <c r="Q308" s="112" t="str">
        <f t="shared" si="99"/>
        <v/>
      </c>
    </row>
    <row r="309" spans="2:17" x14ac:dyDescent="0.25">
      <c r="B309" s="110">
        <f>DATE(Title!$F$12,$S$14,S17)</f>
        <v>41560</v>
      </c>
      <c r="C309" s="111">
        <f>IF(WEEKDAY(B309)=1,0,IF(WEEKDAY(B309)=4,'Hours Scheduled'!$K$44-1,IF(WEEKDAY(B309)=7,0,'Hours Scheduled'!$K$44)))</f>
        <v>0</v>
      </c>
      <c r="D309" s="17">
        <f t="shared" si="96"/>
        <v>0</v>
      </c>
      <c r="E309" s="127">
        <f t="shared" si="97"/>
        <v>0</v>
      </c>
      <c r="F309" s="111"/>
      <c r="G309" s="130">
        <f>INDEX(October!$C$3:$AH$169,3,MATCH(B309,October!$D$3:$AH$3)+1)+INDEX(October!$C$3:$AH$169,8,MATCH(B309,October!$D$3:$AH$3)+1)+INDEX(October!$C$3:$AH$169,13,MATCH(B309,October!$D$3:$AH$3)+1)+INDEX(October!$C$3:$AH$169,18,MATCH(B309,October!$D$3:$AH$3)+1)+INDEX(October!$C$3:$AH$169,23,MATCH(B309,October!$D$3:$AH$3)+1)+INDEX(October!$C$3:$AH$169,28,MATCH(B309,October!$D$3:$AH$3)+1)+INDEX(October!$C$3:$AH$169,33,MATCH(B309,October!$D$3:$AH$3)+1)+INDEX(October!$C$3:$AH$169,38,MATCH(B309,October!$D$3:$AH$3)+1)+INDEX(October!$C$3:$AH$169,43,MATCH(B309,October!$D$3:$AH$3)+1)+INDEX(October!$C$3:$AH$169,48,MATCH(B309,October!$D$3:$AH$3)+1)+INDEX(October!$C$3:$AH$169,53,MATCH(B309,October!$D$3:$AH$3)+1)+INDEX(October!$C$3:$AH$169,58,MATCH(B309,October!$D$3:$AH$3)+1)+INDEX(October!$C$3:$AH$169,63,MATCH(B309,October!$D$3:$AH$3)+1)+INDEX(October!$C$3:$AH$169,68,MATCH(B309,October!$D$3:$AH$3)+1)+INDEX(October!$C$3:$AH$169,73,MATCH(B309,October!$D$3:$AH$3)+1)+INDEX(October!$C$3:$AH$169,78,MATCH(B309,October!$D$3:$AH$3)+1)+INDEX(October!$C$3:$AH$169,83,MATCH(B309,October!$D$3:$AH$3)+1)+INDEX(October!$C$3:$AH$169,88,MATCH(B309,October!$D$3:$AH$3)+1)+INDEX(October!$C$3:$AH$169,93,MATCH(B309,October!$D$3:$AH$3)+1)+INDEX(October!$C$3:$AH$169,98,MATCH(B309,October!$D$3:$AH$3)+1)+INDEX(October!$C$3:$AH$169,103,MATCH(B309,October!$D$3:$AH$3)+1)+INDEX(October!$C$3:$AH$169,108,MATCH(B309,October!$D$3:$AH$3)+1)+INDEX(October!$C$3:$AH$169,113,MATCH(B309,October!$D$3:$AH$3)+1)+INDEX(October!$C$3:$AH$169,118,MATCH(B309,October!$D$3:$AH$3)+1)+INDEX(October!$C$3:$AH$169,123,MATCH(B309,October!$D$3:$AH$3)+1)+INDEX(October!$C$3:$AH$169,128,MATCH(B309,October!$D$3:$AH$3)+1)+INDEX(October!$C$3:$AH$169,133,MATCH(B309,October!$D$3:$AH$3)+1)+INDEX(October!$C$3:$AH$169,138,MATCH(B309,October!$D$3:$AH$3)+1)+INDEX(October!$C$3:$AH$169,143,MATCH(B309,October!$D$3:$AH$3)+1)+INDEX(October!$C$3:$AH$169,148,MATCH(B309,October!$D$3:$AH$3)+1)-INDEX(October!$B$5:$AH$169,MATCH("Patrick Janssen",October!$B$5:$B$169),MATCH(B309,October!$D$3:$AH$3)+2)-INDEX(October!$B$5:$AH$169,MATCH("Patrick Ziesen",October!$B$5:$B$169),MATCH(B309,October!$D$3:$AH$3)+2)-INDEX(October!$B$5:$AH$169,MATCH("Frido Meijer",October!$B$5:$B$169),MATCH(B309,October!$D$3:$AH$3)+2)</f>
        <v>0</v>
      </c>
      <c r="H309" s="130">
        <f>INDEX(October!$C$3:$AH$169,4,MATCH(B309,October!$D$3:$AH$3)+1)+INDEX(October!$C$3:$AH$169,9,MATCH(B309,October!$D$3:$AH$3)+1)+INDEX(October!$C$3:$AH$169,14,MATCH(B309,October!$D$3:$AH$3)+1)+INDEX(October!$C$3:$AH$169,19,MATCH(B309,October!$D$3:$AH$3)+1)+INDEX(October!$C$3:$AH$169,24,MATCH(B309,October!$D$3:$AH$3)+1)+INDEX(October!$C$3:$AH$169,29,MATCH(B309,October!$D$3:$AH$3)+1)+INDEX(October!$C$3:$AH$169,34,MATCH(B309,October!$D$3:$AH$3)+1)+INDEX(October!$C$3:$AH$169,39,MATCH(B309,October!$D$3:$AH$3)+1)+INDEX(October!$C$3:$AH$169,44,MATCH(B309,October!$D$3:$AH$3)+1)+INDEX(October!$C$3:$AH$169,49,MATCH(B309,October!$D$3:$AH$3)+1)+INDEX(October!$C$3:$AH$169,54,MATCH(B309,October!$D$3:$AH$3)+1)+INDEX(October!$C$3:$AH$169,59,MATCH(B309,October!$D$3:$AH$3)+1)+INDEX(October!$C$3:$AH$169,64,MATCH(B309,October!$D$3:$AH$3)+1)+INDEX(October!$C$3:$AH$169,69,MATCH(B309,October!$D$3:$AH$3)+1)+INDEX(October!$C$3:$AH$169,74,MATCH(B309,October!$D$3:$AH$3)+1)+INDEX(October!$C$3:$AH$169,79,MATCH(B309,October!$D$3:$AH$3)+1)+INDEX(October!$C$3:$AH$169,84,MATCH(B309,October!$D$3:$AH$3)+1)+INDEX(October!$C$3:$AH$169,89,MATCH(B309,October!$D$3:$AH$3)+1)+INDEX(October!$C$3:$AH$169,94,MATCH(B309,October!$D$3:$AH$3)+1)+INDEX(October!$C$3:$AH$169,99,MATCH(B309,October!$D$3:$AH$3)+1)+INDEX(October!$C$3:$AH$169,104,MATCH(B309,October!$D$3:$AH$3)+1)+INDEX(October!$C$3:$AH$169,109,MATCH(B309,October!$D$3:$AH$3)+1)+INDEX(October!$C$3:$AH$169,114,MATCH(B309,October!$D$3:$AH$3)+1)+INDEX(October!$C$3:$AH$169,119,MATCH(B309,October!$D$3:$AH$3)+1)+INDEX(October!$C$3:$AH$169,124,MATCH(B309,October!$D$3:$AH$3)+1)+INDEX(October!$C$3:$AH$169,129,MATCH(B309,October!$D$3:$AH$3)+1)+INDEX(October!$C$3:$AH$169,134,MATCH(B309,October!$D$3:$AH$3)+1)+INDEX(October!$C$3:$AH$169,139,MATCH(B309,October!$D$3:$AH$3)+1)+INDEX(October!$C$3:$AH$169,144,MATCH(B309,October!$D$3:$AH$3)+1)+INDEX(October!$C$3:$AH$169,149,MATCH(B309,October!$D$3:$AH$3)+1)-INDEX(October!$B$5:$AH$169,MATCH("Patrick Janssen",October!$B$5:$B$169)+1,MATCH(B309,October!$D$3:$AH$3)+2)-INDEX(October!$B$5:$AH$169,MATCH("Patrick Ziesen",October!$B$5:$B$169)+1,MATCH(B309,October!$D$3:$AH$3)+2)-INDEX(October!$B$5:$AH$169,MATCH("Frido Meijer",October!$B$5:$B$169)+1,MATCH(B309,October!$D$3:$AH$3)+2)</f>
        <v>0</v>
      </c>
      <c r="I309" s="130">
        <v>0</v>
      </c>
      <c r="J309" s="130">
        <v>0</v>
      </c>
      <c r="L309" s="111"/>
      <c r="M309" s="111"/>
      <c r="N309" s="111">
        <f t="shared" si="93"/>
        <v>0</v>
      </c>
      <c r="P309" s="112" t="str">
        <f t="shared" si="98"/>
        <v/>
      </c>
      <c r="Q309" s="112" t="str">
        <f t="shared" si="99"/>
        <v/>
      </c>
    </row>
    <row r="310" spans="2:17" x14ac:dyDescent="0.25">
      <c r="B310" s="110">
        <f>DATE(Title!$F$12,$S$14,S18)</f>
        <v>41561</v>
      </c>
      <c r="C310" s="111">
        <f>IF(WEEKDAY(B310)=1,0,IF(WEEKDAY(B310)=4,'Hours Scheduled'!$K$44-1,IF(WEEKDAY(B310)=7,0,'Hours Scheduled'!$K$44)))</f>
        <v>21</v>
      </c>
      <c r="D310" s="17">
        <f t="shared" si="96"/>
        <v>157.5</v>
      </c>
      <c r="E310" s="127">
        <f t="shared" si="97"/>
        <v>168</v>
      </c>
      <c r="F310" s="111"/>
      <c r="G310" s="130">
        <f>INDEX(October!$C$3:$AH$169,3,MATCH(B310,October!$D$3:$AH$3)+1)+INDEX(October!$C$3:$AH$169,8,MATCH(B310,October!$D$3:$AH$3)+1)+INDEX(October!$C$3:$AH$169,13,MATCH(B310,October!$D$3:$AH$3)+1)+INDEX(October!$C$3:$AH$169,18,MATCH(B310,October!$D$3:$AH$3)+1)+INDEX(October!$C$3:$AH$169,23,MATCH(B310,October!$D$3:$AH$3)+1)+INDEX(October!$C$3:$AH$169,28,MATCH(B310,October!$D$3:$AH$3)+1)+INDEX(October!$C$3:$AH$169,33,MATCH(B310,October!$D$3:$AH$3)+1)+INDEX(October!$C$3:$AH$169,38,MATCH(B310,October!$D$3:$AH$3)+1)+INDEX(October!$C$3:$AH$169,43,MATCH(B310,October!$D$3:$AH$3)+1)+INDEX(October!$C$3:$AH$169,48,MATCH(B310,October!$D$3:$AH$3)+1)+INDEX(October!$C$3:$AH$169,53,MATCH(B310,October!$D$3:$AH$3)+1)+INDEX(October!$C$3:$AH$169,58,MATCH(B310,October!$D$3:$AH$3)+1)+INDEX(October!$C$3:$AH$169,63,MATCH(B310,October!$D$3:$AH$3)+1)+INDEX(October!$C$3:$AH$169,68,MATCH(B310,October!$D$3:$AH$3)+1)+INDEX(October!$C$3:$AH$169,73,MATCH(B310,October!$D$3:$AH$3)+1)+INDEX(October!$C$3:$AH$169,78,MATCH(B310,October!$D$3:$AH$3)+1)+INDEX(October!$C$3:$AH$169,83,MATCH(B310,October!$D$3:$AH$3)+1)+INDEX(October!$C$3:$AH$169,88,MATCH(B310,October!$D$3:$AH$3)+1)+INDEX(October!$C$3:$AH$169,93,MATCH(B310,October!$D$3:$AH$3)+1)+INDEX(October!$C$3:$AH$169,98,MATCH(B310,October!$D$3:$AH$3)+1)+INDEX(October!$C$3:$AH$169,103,MATCH(B310,October!$D$3:$AH$3)+1)+INDEX(October!$C$3:$AH$169,108,MATCH(B310,October!$D$3:$AH$3)+1)+INDEX(October!$C$3:$AH$169,113,MATCH(B310,October!$D$3:$AH$3)+1)+INDEX(October!$C$3:$AH$169,118,MATCH(B310,October!$D$3:$AH$3)+1)+INDEX(October!$C$3:$AH$169,123,MATCH(B310,October!$D$3:$AH$3)+1)+INDEX(October!$C$3:$AH$169,128,MATCH(B310,October!$D$3:$AH$3)+1)+INDEX(October!$C$3:$AH$169,133,MATCH(B310,October!$D$3:$AH$3)+1)+INDEX(October!$C$3:$AH$169,138,MATCH(B310,October!$D$3:$AH$3)+1)+INDEX(October!$C$3:$AH$169,143,MATCH(B310,October!$D$3:$AH$3)+1)+INDEX(October!$C$3:$AH$169,148,MATCH(B310,October!$D$3:$AH$3)+1)-INDEX(October!$B$5:$AH$169,MATCH("Patrick Janssen",October!$B$5:$B$169),MATCH(B310,October!$D$3:$AH$3)+2)-INDEX(October!$B$5:$AH$169,MATCH("Patrick Ziesen",October!$B$5:$B$169),MATCH(B310,October!$D$3:$AH$3)+2)-INDEX(October!$B$5:$AH$169,MATCH("Frido Meijer",October!$B$5:$B$169),MATCH(B310,October!$D$3:$AH$3)+2)</f>
        <v>0</v>
      </c>
      <c r="H310" s="130">
        <f>INDEX(October!$C$3:$AH$169,4,MATCH(B310,October!$D$3:$AH$3)+1)+INDEX(October!$C$3:$AH$169,9,MATCH(B310,October!$D$3:$AH$3)+1)+INDEX(October!$C$3:$AH$169,14,MATCH(B310,October!$D$3:$AH$3)+1)+INDEX(October!$C$3:$AH$169,19,MATCH(B310,October!$D$3:$AH$3)+1)+INDEX(October!$C$3:$AH$169,24,MATCH(B310,October!$D$3:$AH$3)+1)+INDEX(October!$C$3:$AH$169,29,MATCH(B310,October!$D$3:$AH$3)+1)+INDEX(October!$C$3:$AH$169,34,MATCH(B310,October!$D$3:$AH$3)+1)+INDEX(October!$C$3:$AH$169,39,MATCH(B310,October!$D$3:$AH$3)+1)+INDEX(October!$C$3:$AH$169,44,MATCH(B310,October!$D$3:$AH$3)+1)+INDEX(October!$C$3:$AH$169,49,MATCH(B310,October!$D$3:$AH$3)+1)+INDEX(October!$C$3:$AH$169,54,MATCH(B310,October!$D$3:$AH$3)+1)+INDEX(October!$C$3:$AH$169,59,MATCH(B310,October!$D$3:$AH$3)+1)+INDEX(October!$C$3:$AH$169,64,MATCH(B310,October!$D$3:$AH$3)+1)+INDEX(October!$C$3:$AH$169,69,MATCH(B310,October!$D$3:$AH$3)+1)+INDEX(October!$C$3:$AH$169,74,MATCH(B310,October!$D$3:$AH$3)+1)+INDEX(October!$C$3:$AH$169,79,MATCH(B310,October!$D$3:$AH$3)+1)+INDEX(October!$C$3:$AH$169,84,MATCH(B310,October!$D$3:$AH$3)+1)+INDEX(October!$C$3:$AH$169,89,MATCH(B310,October!$D$3:$AH$3)+1)+INDEX(October!$C$3:$AH$169,94,MATCH(B310,October!$D$3:$AH$3)+1)+INDEX(October!$C$3:$AH$169,99,MATCH(B310,October!$D$3:$AH$3)+1)+INDEX(October!$C$3:$AH$169,104,MATCH(B310,October!$D$3:$AH$3)+1)+INDEX(October!$C$3:$AH$169,109,MATCH(B310,October!$D$3:$AH$3)+1)+INDEX(October!$C$3:$AH$169,114,MATCH(B310,October!$D$3:$AH$3)+1)+INDEX(October!$C$3:$AH$169,119,MATCH(B310,October!$D$3:$AH$3)+1)+INDEX(October!$C$3:$AH$169,124,MATCH(B310,October!$D$3:$AH$3)+1)+INDEX(October!$C$3:$AH$169,129,MATCH(B310,October!$D$3:$AH$3)+1)+INDEX(October!$C$3:$AH$169,134,MATCH(B310,October!$D$3:$AH$3)+1)+INDEX(October!$C$3:$AH$169,139,MATCH(B310,October!$D$3:$AH$3)+1)+INDEX(October!$C$3:$AH$169,144,MATCH(B310,October!$D$3:$AH$3)+1)+INDEX(October!$C$3:$AH$169,149,MATCH(B310,October!$D$3:$AH$3)+1)-INDEX(October!$B$5:$AH$169,MATCH("Patrick Janssen",October!$B$5:$B$169)+1,MATCH(B310,October!$D$3:$AH$3)+2)-INDEX(October!$B$5:$AH$169,MATCH("Patrick Ziesen",October!$B$5:$B$169)+1,MATCH(B310,October!$D$3:$AH$3)+2)-INDEX(October!$B$5:$AH$169,MATCH("Frido Meijer",October!$B$5:$B$169)+1,MATCH(B310,October!$D$3:$AH$3)+2)</f>
        <v>0</v>
      </c>
      <c r="I310" s="130">
        <v>0</v>
      </c>
      <c r="J310" s="130">
        <v>0</v>
      </c>
      <c r="L310" s="111"/>
      <c r="M310" s="111"/>
      <c r="N310" s="111">
        <f t="shared" si="93"/>
        <v>0</v>
      </c>
      <c r="P310" s="112">
        <f t="shared" si="98"/>
        <v>0</v>
      </c>
      <c r="Q310" s="112">
        <f t="shared" si="99"/>
        <v>0</v>
      </c>
    </row>
    <row r="311" spans="2:17" x14ac:dyDescent="0.25">
      <c r="B311" s="110">
        <f>DATE(Title!$F$12,$S$14,S19)</f>
        <v>41562</v>
      </c>
      <c r="C311" s="111">
        <f>IF(WEEKDAY(B311)=1,0,IF(WEEKDAY(B311)=4,'Hours Scheduled'!$K$44-1,IF(WEEKDAY(B311)=7,0,'Hours Scheduled'!$K$44)))</f>
        <v>21</v>
      </c>
      <c r="D311" s="17">
        <f t="shared" si="96"/>
        <v>157.5</v>
      </c>
      <c r="E311" s="127">
        <f t="shared" si="97"/>
        <v>168</v>
      </c>
      <c r="F311" s="111"/>
      <c r="G311" s="130">
        <f>INDEX(October!$C$3:$AH$169,3,MATCH(B311,October!$D$3:$AH$3)+1)+INDEX(October!$C$3:$AH$169,8,MATCH(B311,October!$D$3:$AH$3)+1)+INDEX(October!$C$3:$AH$169,13,MATCH(B311,October!$D$3:$AH$3)+1)+INDEX(October!$C$3:$AH$169,18,MATCH(B311,October!$D$3:$AH$3)+1)+INDEX(October!$C$3:$AH$169,23,MATCH(B311,October!$D$3:$AH$3)+1)+INDEX(October!$C$3:$AH$169,28,MATCH(B311,October!$D$3:$AH$3)+1)+INDEX(October!$C$3:$AH$169,33,MATCH(B311,October!$D$3:$AH$3)+1)+INDEX(October!$C$3:$AH$169,38,MATCH(B311,October!$D$3:$AH$3)+1)+INDEX(October!$C$3:$AH$169,43,MATCH(B311,October!$D$3:$AH$3)+1)+INDEX(October!$C$3:$AH$169,48,MATCH(B311,October!$D$3:$AH$3)+1)+INDEX(October!$C$3:$AH$169,53,MATCH(B311,October!$D$3:$AH$3)+1)+INDEX(October!$C$3:$AH$169,58,MATCH(B311,October!$D$3:$AH$3)+1)+INDEX(October!$C$3:$AH$169,63,MATCH(B311,October!$D$3:$AH$3)+1)+INDEX(October!$C$3:$AH$169,68,MATCH(B311,October!$D$3:$AH$3)+1)+INDEX(October!$C$3:$AH$169,73,MATCH(B311,October!$D$3:$AH$3)+1)+INDEX(October!$C$3:$AH$169,78,MATCH(B311,October!$D$3:$AH$3)+1)+INDEX(October!$C$3:$AH$169,83,MATCH(B311,October!$D$3:$AH$3)+1)+INDEX(October!$C$3:$AH$169,88,MATCH(B311,October!$D$3:$AH$3)+1)+INDEX(October!$C$3:$AH$169,93,MATCH(B311,October!$D$3:$AH$3)+1)+INDEX(October!$C$3:$AH$169,98,MATCH(B311,October!$D$3:$AH$3)+1)+INDEX(October!$C$3:$AH$169,103,MATCH(B311,October!$D$3:$AH$3)+1)+INDEX(October!$C$3:$AH$169,108,MATCH(B311,October!$D$3:$AH$3)+1)+INDEX(October!$C$3:$AH$169,113,MATCH(B311,October!$D$3:$AH$3)+1)+INDEX(October!$C$3:$AH$169,118,MATCH(B311,October!$D$3:$AH$3)+1)+INDEX(October!$C$3:$AH$169,123,MATCH(B311,October!$D$3:$AH$3)+1)+INDEX(October!$C$3:$AH$169,128,MATCH(B311,October!$D$3:$AH$3)+1)+INDEX(October!$C$3:$AH$169,133,MATCH(B311,October!$D$3:$AH$3)+1)+INDEX(October!$C$3:$AH$169,138,MATCH(B311,October!$D$3:$AH$3)+1)+INDEX(October!$C$3:$AH$169,143,MATCH(B311,October!$D$3:$AH$3)+1)+INDEX(October!$C$3:$AH$169,148,MATCH(B311,October!$D$3:$AH$3)+1)-INDEX(October!$B$5:$AH$169,MATCH("Patrick Janssen",October!$B$5:$B$169),MATCH(B311,October!$D$3:$AH$3)+2)-INDEX(October!$B$5:$AH$169,MATCH("Patrick Ziesen",October!$B$5:$B$169),MATCH(B311,October!$D$3:$AH$3)+2)-INDEX(October!$B$5:$AH$169,MATCH("Frido Meijer",October!$B$5:$B$169),MATCH(B311,October!$D$3:$AH$3)+2)</f>
        <v>0</v>
      </c>
      <c r="H311" s="130">
        <f>INDEX(October!$C$3:$AH$169,4,MATCH(B311,October!$D$3:$AH$3)+1)+INDEX(October!$C$3:$AH$169,9,MATCH(B311,October!$D$3:$AH$3)+1)+INDEX(October!$C$3:$AH$169,14,MATCH(B311,October!$D$3:$AH$3)+1)+INDEX(October!$C$3:$AH$169,19,MATCH(B311,October!$D$3:$AH$3)+1)+INDEX(October!$C$3:$AH$169,24,MATCH(B311,October!$D$3:$AH$3)+1)+INDEX(October!$C$3:$AH$169,29,MATCH(B311,October!$D$3:$AH$3)+1)+INDEX(October!$C$3:$AH$169,34,MATCH(B311,October!$D$3:$AH$3)+1)+INDEX(October!$C$3:$AH$169,39,MATCH(B311,October!$D$3:$AH$3)+1)+INDEX(October!$C$3:$AH$169,44,MATCH(B311,October!$D$3:$AH$3)+1)+INDEX(October!$C$3:$AH$169,49,MATCH(B311,October!$D$3:$AH$3)+1)+INDEX(October!$C$3:$AH$169,54,MATCH(B311,October!$D$3:$AH$3)+1)+INDEX(October!$C$3:$AH$169,59,MATCH(B311,October!$D$3:$AH$3)+1)+INDEX(October!$C$3:$AH$169,64,MATCH(B311,October!$D$3:$AH$3)+1)+INDEX(October!$C$3:$AH$169,69,MATCH(B311,October!$D$3:$AH$3)+1)+INDEX(October!$C$3:$AH$169,74,MATCH(B311,October!$D$3:$AH$3)+1)+INDEX(October!$C$3:$AH$169,79,MATCH(B311,October!$D$3:$AH$3)+1)+INDEX(October!$C$3:$AH$169,84,MATCH(B311,October!$D$3:$AH$3)+1)+INDEX(October!$C$3:$AH$169,89,MATCH(B311,October!$D$3:$AH$3)+1)+INDEX(October!$C$3:$AH$169,94,MATCH(B311,October!$D$3:$AH$3)+1)+INDEX(October!$C$3:$AH$169,99,MATCH(B311,October!$D$3:$AH$3)+1)+INDEX(October!$C$3:$AH$169,104,MATCH(B311,October!$D$3:$AH$3)+1)+INDEX(October!$C$3:$AH$169,109,MATCH(B311,October!$D$3:$AH$3)+1)+INDEX(October!$C$3:$AH$169,114,MATCH(B311,October!$D$3:$AH$3)+1)+INDEX(October!$C$3:$AH$169,119,MATCH(B311,October!$D$3:$AH$3)+1)+INDEX(October!$C$3:$AH$169,124,MATCH(B311,October!$D$3:$AH$3)+1)+INDEX(October!$C$3:$AH$169,129,MATCH(B311,October!$D$3:$AH$3)+1)+INDEX(October!$C$3:$AH$169,134,MATCH(B311,October!$D$3:$AH$3)+1)+INDEX(October!$C$3:$AH$169,139,MATCH(B311,October!$D$3:$AH$3)+1)+INDEX(October!$C$3:$AH$169,144,MATCH(B311,October!$D$3:$AH$3)+1)+INDEX(October!$C$3:$AH$169,149,MATCH(B311,October!$D$3:$AH$3)+1)-INDEX(October!$B$5:$AH$169,MATCH("Patrick Janssen",October!$B$5:$B$169)+1,MATCH(B311,October!$D$3:$AH$3)+2)-INDEX(October!$B$5:$AH$169,MATCH("Patrick Ziesen",October!$B$5:$B$169)+1,MATCH(B311,October!$D$3:$AH$3)+2)-INDEX(October!$B$5:$AH$169,MATCH("Frido Meijer",October!$B$5:$B$169)+1,MATCH(B311,October!$D$3:$AH$3)+2)</f>
        <v>0</v>
      </c>
      <c r="I311" s="130">
        <v>0</v>
      </c>
      <c r="J311" s="130">
        <v>0</v>
      </c>
      <c r="L311" s="111"/>
      <c r="M311" s="111"/>
      <c r="N311" s="111">
        <f t="shared" si="93"/>
        <v>0</v>
      </c>
      <c r="P311" s="112">
        <f t="shared" si="98"/>
        <v>0</v>
      </c>
      <c r="Q311" s="112">
        <f t="shared" si="99"/>
        <v>0</v>
      </c>
    </row>
    <row r="312" spans="2:17" x14ac:dyDescent="0.25">
      <c r="B312" s="110">
        <f>DATE(Title!$F$12,$S$14,S20)</f>
        <v>41563</v>
      </c>
      <c r="C312" s="111">
        <f>IF(WEEKDAY(B312)=1,0,IF(WEEKDAY(B312)=4,'Hours Scheduled'!$K$44-1,IF(WEEKDAY(B312)=7,0,'Hours Scheduled'!$K$44)))</f>
        <v>20</v>
      </c>
      <c r="D312" s="17">
        <f t="shared" si="96"/>
        <v>150</v>
      </c>
      <c r="E312" s="127">
        <f t="shared" si="97"/>
        <v>160</v>
      </c>
      <c r="F312" s="111"/>
      <c r="G312" s="130">
        <f>INDEX(October!$C$3:$AH$169,3,MATCH(B312,October!$D$3:$AH$3)+1)+INDEX(October!$C$3:$AH$169,8,MATCH(B312,October!$D$3:$AH$3)+1)+INDEX(October!$C$3:$AH$169,13,MATCH(B312,October!$D$3:$AH$3)+1)+INDEX(October!$C$3:$AH$169,18,MATCH(B312,October!$D$3:$AH$3)+1)+INDEX(October!$C$3:$AH$169,23,MATCH(B312,October!$D$3:$AH$3)+1)+INDEX(October!$C$3:$AH$169,28,MATCH(B312,October!$D$3:$AH$3)+1)+INDEX(October!$C$3:$AH$169,33,MATCH(B312,October!$D$3:$AH$3)+1)+INDEX(October!$C$3:$AH$169,38,MATCH(B312,October!$D$3:$AH$3)+1)+INDEX(October!$C$3:$AH$169,43,MATCH(B312,October!$D$3:$AH$3)+1)+INDEX(October!$C$3:$AH$169,48,MATCH(B312,October!$D$3:$AH$3)+1)+INDEX(October!$C$3:$AH$169,53,MATCH(B312,October!$D$3:$AH$3)+1)+INDEX(October!$C$3:$AH$169,58,MATCH(B312,October!$D$3:$AH$3)+1)+INDEX(October!$C$3:$AH$169,63,MATCH(B312,October!$D$3:$AH$3)+1)+INDEX(October!$C$3:$AH$169,68,MATCH(B312,October!$D$3:$AH$3)+1)+INDEX(October!$C$3:$AH$169,73,MATCH(B312,October!$D$3:$AH$3)+1)+INDEX(October!$C$3:$AH$169,78,MATCH(B312,October!$D$3:$AH$3)+1)+INDEX(October!$C$3:$AH$169,83,MATCH(B312,October!$D$3:$AH$3)+1)+INDEX(October!$C$3:$AH$169,88,MATCH(B312,October!$D$3:$AH$3)+1)+INDEX(October!$C$3:$AH$169,93,MATCH(B312,October!$D$3:$AH$3)+1)+INDEX(October!$C$3:$AH$169,98,MATCH(B312,October!$D$3:$AH$3)+1)+INDEX(October!$C$3:$AH$169,103,MATCH(B312,October!$D$3:$AH$3)+1)+INDEX(October!$C$3:$AH$169,108,MATCH(B312,October!$D$3:$AH$3)+1)+INDEX(October!$C$3:$AH$169,113,MATCH(B312,October!$D$3:$AH$3)+1)+INDEX(October!$C$3:$AH$169,118,MATCH(B312,October!$D$3:$AH$3)+1)+INDEX(October!$C$3:$AH$169,123,MATCH(B312,October!$D$3:$AH$3)+1)+INDEX(October!$C$3:$AH$169,128,MATCH(B312,October!$D$3:$AH$3)+1)+INDEX(October!$C$3:$AH$169,133,MATCH(B312,October!$D$3:$AH$3)+1)+INDEX(October!$C$3:$AH$169,138,MATCH(B312,October!$D$3:$AH$3)+1)+INDEX(October!$C$3:$AH$169,143,MATCH(B312,October!$D$3:$AH$3)+1)+INDEX(October!$C$3:$AH$169,148,MATCH(B312,October!$D$3:$AH$3)+1)-INDEX(October!$B$5:$AH$169,MATCH("Patrick Janssen",October!$B$5:$B$169),MATCH(B312,October!$D$3:$AH$3)+2)-INDEX(October!$B$5:$AH$169,MATCH("Patrick Ziesen",October!$B$5:$B$169),MATCH(B312,October!$D$3:$AH$3)+2)-INDEX(October!$B$5:$AH$169,MATCH("Frido Meijer",October!$B$5:$B$169),MATCH(B312,October!$D$3:$AH$3)+2)</f>
        <v>0</v>
      </c>
      <c r="H312" s="130">
        <f>INDEX(October!$C$3:$AH$169,4,MATCH(B312,October!$D$3:$AH$3)+1)+INDEX(October!$C$3:$AH$169,9,MATCH(B312,October!$D$3:$AH$3)+1)+INDEX(October!$C$3:$AH$169,14,MATCH(B312,October!$D$3:$AH$3)+1)+INDEX(October!$C$3:$AH$169,19,MATCH(B312,October!$D$3:$AH$3)+1)+INDEX(October!$C$3:$AH$169,24,MATCH(B312,October!$D$3:$AH$3)+1)+INDEX(October!$C$3:$AH$169,29,MATCH(B312,October!$D$3:$AH$3)+1)+INDEX(October!$C$3:$AH$169,34,MATCH(B312,October!$D$3:$AH$3)+1)+INDEX(October!$C$3:$AH$169,39,MATCH(B312,October!$D$3:$AH$3)+1)+INDEX(October!$C$3:$AH$169,44,MATCH(B312,October!$D$3:$AH$3)+1)+INDEX(October!$C$3:$AH$169,49,MATCH(B312,October!$D$3:$AH$3)+1)+INDEX(October!$C$3:$AH$169,54,MATCH(B312,October!$D$3:$AH$3)+1)+INDEX(October!$C$3:$AH$169,59,MATCH(B312,October!$D$3:$AH$3)+1)+INDEX(October!$C$3:$AH$169,64,MATCH(B312,October!$D$3:$AH$3)+1)+INDEX(October!$C$3:$AH$169,69,MATCH(B312,October!$D$3:$AH$3)+1)+INDEX(October!$C$3:$AH$169,74,MATCH(B312,October!$D$3:$AH$3)+1)+INDEX(October!$C$3:$AH$169,79,MATCH(B312,October!$D$3:$AH$3)+1)+INDEX(October!$C$3:$AH$169,84,MATCH(B312,October!$D$3:$AH$3)+1)+INDEX(October!$C$3:$AH$169,89,MATCH(B312,October!$D$3:$AH$3)+1)+INDEX(October!$C$3:$AH$169,94,MATCH(B312,October!$D$3:$AH$3)+1)+INDEX(October!$C$3:$AH$169,99,MATCH(B312,October!$D$3:$AH$3)+1)+INDEX(October!$C$3:$AH$169,104,MATCH(B312,October!$D$3:$AH$3)+1)+INDEX(October!$C$3:$AH$169,109,MATCH(B312,October!$D$3:$AH$3)+1)+INDEX(October!$C$3:$AH$169,114,MATCH(B312,October!$D$3:$AH$3)+1)+INDEX(October!$C$3:$AH$169,119,MATCH(B312,October!$D$3:$AH$3)+1)+INDEX(October!$C$3:$AH$169,124,MATCH(B312,October!$D$3:$AH$3)+1)+INDEX(October!$C$3:$AH$169,129,MATCH(B312,October!$D$3:$AH$3)+1)+INDEX(October!$C$3:$AH$169,134,MATCH(B312,October!$D$3:$AH$3)+1)+INDEX(October!$C$3:$AH$169,139,MATCH(B312,October!$D$3:$AH$3)+1)+INDEX(October!$C$3:$AH$169,144,MATCH(B312,October!$D$3:$AH$3)+1)+INDEX(October!$C$3:$AH$169,149,MATCH(B312,October!$D$3:$AH$3)+1)-INDEX(October!$B$5:$AH$169,MATCH("Patrick Janssen",October!$B$5:$B$169)+1,MATCH(B312,October!$D$3:$AH$3)+2)-INDEX(October!$B$5:$AH$169,MATCH("Patrick Ziesen",October!$B$5:$B$169)+1,MATCH(B312,October!$D$3:$AH$3)+2)-INDEX(October!$B$5:$AH$169,MATCH("Frido Meijer",October!$B$5:$B$169)+1,MATCH(B312,October!$D$3:$AH$3)+2)</f>
        <v>0</v>
      </c>
      <c r="I312" s="130">
        <v>0</v>
      </c>
      <c r="J312" s="130">
        <v>0</v>
      </c>
      <c r="L312" s="111"/>
      <c r="M312" s="111"/>
      <c r="N312" s="111">
        <f t="shared" si="93"/>
        <v>0</v>
      </c>
      <c r="P312" s="112">
        <f t="shared" si="98"/>
        <v>0</v>
      </c>
      <c r="Q312" s="112">
        <f t="shared" si="99"/>
        <v>0</v>
      </c>
    </row>
    <row r="313" spans="2:17" x14ac:dyDescent="0.25">
      <c r="B313" s="110">
        <f>DATE(Title!$F$12,$S$14,S21)</f>
        <v>41564</v>
      </c>
      <c r="C313" s="111">
        <f>IF(WEEKDAY(B313)=1,0,IF(WEEKDAY(B313)=4,'Hours Scheduled'!$K$44-1,IF(WEEKDAY(B313)=7,0,'Hours Scheduled'!$K$44)))</f>
        <v>21</v>
      </c>
      <c r="D313" s="17">
        <f t="shared" si="96"/>
        <v>157.5</v>
      </c>
      <c r="E313" s="127">
        <f t="shared" si="97"/>
        <v>168</v>
      </c>
      <c r="F313" s="111"/>
      <c r="G313" s="130">
        <f>INDEX(October!$C$3:$AH$169,3,MATCH(B313,October!$D$3:$AH$3)+1)+INDEX(October!$C$3:$AH$169,8,MATCH(B313,October!$D$3:$AH$3)+1)+INDEX(October!$C$3:$AH$169,13,MATCH(B313,October!$D$3:$AH$3)+1)+INDEX(October!$C$3:$AH$169,18,MATCH(B313,October!$D$3:$AH$3)+1)+INDEX(October!$C$3:$AH$169,23,MATCH(B313,October!$D$3:$AH$3)+1)+INDEX(October!$C$3:$AH$169,28,MATCH(B313,October!$D$3:$AH$3)+1)+INDEX(October!$C$3:$AH$169,33,MATCH(B313,October!$D$3:$AH$3)+1)+INDEX(October!$C$3:$AH$169,38,MATCH(B313,October!$D$3:$AH$3)+1)+INDEX(October!$C$3:$AH$169,43,MATCH(B313,October!$D$3:$AH$3)+1)+INDEX(October!$C$3:$AH$169,48,MATCH(B313,October!$D$3:$AH$3)+1)+INDEX(October!$C$3:$AH$169,53,MATCH(B313,October!$D$3:$AH$3)+1)+INDEX(October!$C$3:$AH$169,58,MATCH(B313,October!$D$3:$AH$3)+1)+INDEX(October!$C$3:$AH$169,63,MATCH(B313,October!$D$3:$AH$3)+1)+INDEX(October!$C$3:$AH$169,68,MATCH(B313,October!$D$3:$AH$3)+1)+INDEX(October!$C$3:$AH$169,73,MATCH(B313,October!$D$3:$AH$3)+1)+INDEX(October!$C$3:$AH$169,78,MATCH(B313,October!$D$3:$AH$3)+1)+INDEX(October!$C$3:$AH$169,83,MATCH(B313,October!$D$3:$AH$3)+1)+INDEX(October!$C$3:$AH$169,88,MATCH(B313,October!$D$3:$AH$3)+1)+INDEX(October!$C$3:$AH$169,93,MATCH(B313,October!$D$3:$AH$3)+1)+INDEX(October!$C$3:$AH$169,98,MATCH(B313,October!$D$3:$AH$3)+1)+INDEX(October!$C$3:$AH$169,103,MATCH(B313,October!$D$3:$AH$3)+1)+INDEX(October!$C$3:$AH$169,108,MATCH(B313,October!$D$3:$AH$3)+1)+INDEX(October!$C$3:$AH$169,113,MATCH(B313,October!$D$3:$AH$3)+1)+INDEX(October!$C$3:$AH$169,118,MATCH(B313,October!$D$3:$AH$3)+1)+INDEX(October!$C$3:$AH$169,123,MATCH(B313,October!$D$3:$AH$3)+1)+INDEX(October!$C$3:$AH$169,128,MATCH(B313,October!$D$3:$AH$3)+1)+INDEX(October!$C$3:$AH$169,133,MATCH(B313,October!$D$3:$AH$3)+1)+INDEX(October!$C$3:$AH$169,138,MATCH(B313,October!$D$3:$AH$3)+1)+INDEX(October!$C$3:$AH$169,143,MATCH(B313,October!$D$3:$AH$3)+1)+INDEX(October!$C$3:$AH$169,148,MATCH(B313,October!$D$3:$AH$3)+1)-INDEX(October!$B$5:$AH$169,MATCH("Patrick Janssen",October!$B$5:$B$169),MATCH(B313,October!$D$3:$AH$3)+2)-INDEX(October!$B$5:$AH$169,MATCH("Patrick Ziesen",October!$B$5:$B$169),MATCH(B313,October!$D$3:$AH$3)+2)-INDEX(October!$B$5:$AH$169,MATCH("Frido Meijer",October!$B$5:$B$169),MATCH(B313,October!$D$3:$AH$3)+2)</f>
        <v>0</v>
      </c>
      <c r="H313" s="130">
        <f>INDEX(October!$C$3:$AH$169,4,MATCH(B313,October!$D$3:$AH$3)+1)+INDEX(October!$C$3:$AH$169,9,MATCH(B313,October!$D$3:$AH$3)+1)+INDEX(October!$C$3:$AH$169,14,MATCH(B313,October!$D$3:$AH$3)+1)+INDEX(October!$C$3:$AH$169,19,MATCH(B313,October!$D$3:$AH$3)+1)+INDEX(October!$C$3:$AH$169,24,MATCH(B313,October!$D$3:$AH$3)+1)+INDEX(October!$C$3:$AH$169,29,MATCH(B313,October!$D$3:$AH$3)+1)+INDEX(October!$C$3:$AH$169,34,MATCH(B313,October!$D$3:$AH$3)+1)+INDEX(October!$C$3:$AH$169,39,MATCH(B313,October!$D$3:$AH$3)+1)+INDEX(October!$C$3:$AH$169,44,MATCH(B313,October!$D$3:$AH$3)+1)+INDEX(October!$C$3:$AH$169,49,MATCH(B313,October!$D$3:$AH$3)+1)+INDEX(October!$C$3:$AH$169,54,MATCH(B313,October!$D$3:$AH$3)+1)+INDEX(October!$C$3:$AH$169,59,MATCH(B313,October!$D$3:$AH$3)+1)+INDEX(October!$C$3:$AH$169,64,MATCH(B313,October!$D$3:$AH$3)+1)+INDEX(October!$C$3:$AH$169,69,MATCH(B313,October!$D$3:$AH$3)+1)+INDEX(October!$C$3:$AH$169,74,MATCH(B313,October!$D$3:$AH$3)+1)+INDEX(October!$C$3:$AH$169,79,MATCH(B313,October!$D$3:$AH$3)+1)+INDEX(October!$C$3:$AH$169,84,MATCH(B313,October!$D$3:$AH$3)+1)+INDEX(October!$C$3:$AH$169,89,MATCH(B313,October!$D$3:$AH$3)+1)+INDEX(October!$C$3:$AH$169,94,MATCH(B313,October!$D$3:$AH$3)+1)+INDEX(October!$C$3:$AH$169,99,MATCH(B313,October!$D$3:$AH$3)+1)+INDEX(October!$C$3:$AH$169,104,MATCH(B313,October!$D$3:$AH$3)+1)+INDEX(October!$C$3:$AH$169,109,MATCH(B313,October!$D$3:$AH$3)+1)+INDEX(October!$C$3:$AH$169,114,MATCH(B313,October!$D$3:$AH$3)+1)+INDEX(October!$C$3:$AH$169,119,MATCH(B313,October!$D$3:$AH$3)+1)+INDEX(October!$C$3:$AH$169,124,MATCH(B313,October!$D$3:$AH$3)+1)+INDEX(October!$C$3:$AH$169,129,MATCH(B313,October!$D$3:$AH$3)+1)+INDEX(October!$C$3:$AH$169,134,MATCH(B313,October!$D$3:$AH$3)+1)+INDEX(October!$C$3:$AH$169,139,MATCH(B313,October!$D$3:$AH$3)+1)+INDEX(October!$C$3:$AH$169,144,MATCH(B313,October!$D$3:$AH$3)+1)+INDEX(October!$C$3:$AH$169,149,MATCH(B313,October!$D$3:$AH$3)+1)-INDEX(October!$B$5:$AH$169,MATCH("Patrick Janssen",October!$B$5:$B$169)+1,MATCH(B313,October!$D$3:$AH$3)+2)-INDEX(October!$B$5:$AH$169,MATCH("Patrick Ziesen",October!$B$5:$B$169)+1,MATCH(B313,October!$D$3:$AH$3)+2)-INDEX(October!$B$5:$AH$169,MATCH("Frido Meijer",October!$B$5:$B$169)+1,MATCH(B313,October!$D$3:$AH$3)+2)</f>
        <v>0</v>
      </c>
      <c r="I313" s="130">
        <v>0</v>
      </c>
      <c r="J313" s="130">
        <v>0</v>
      </c>
      <c r="L313" s="111"/>
      <c r="M313" s="111"/>
      <c r="N313" s="111">
        <f t="shared" si="93"/>
        <v>0</v>
      </c>
      <c r="P313" s="112">
        <f t="shared" si="98"/>
        <v>0</v>
      </c>
      <c r="Q313" s="112">
        <f t="shared" si="99"/>
        <v>0</v>
      </c>
    </row>
    <row r="314" spans="2:17" x14ac:dyDescent="0.25">
      <c r="B314" s="110">
        <f>DATE(Title!$F$12,$S$14,S22)</f>
        <v>41565</v>
      </c>
      <c r="C314" s="111">
        <f>IF(WEEKDAY(B314)=1,0,IF(WEEKDAY(B314)=4,'Hours Scheduled'!$K$44-1,IF(WEEKDAY(B314)=7,0,'Hours Scheduled'!$K$44)))</f>
        <v>21</v>
      </c>
      <c r="D314" s="17">
        <f t="shared" si="96"/>
        <v>157.5</v>
      </c>
      <c r="E314" s="127">
        <f t="shared" si="97"/>
        <v>168</v>
      </c>
      <c r="F314" s="111"/>
      <c r="G314" s="130">
        <f>INDEX(October!$C$3:$AH$169,3,MATCH(B314,October!$D$3:$AH$3)+1)+INDEX(October!$C$3:$AH$169,8,MATCH(B314,October!$D$3:$AH$3)+1)+INDEX(October!$C$3:$AH$169,13,MATCH(B314,October!$D$3:$AH$3)+1)+INDEX(October!$C$3:$AH$169,18,MATCH(B314,October!$D$3:$AH$3)+1)+INDEX(October!$C$3:$AH$169,23,MATCH(B314,October!$D$3:$AH$3)+1)+INDEX(October!$C$3:$AH$169,28,MATCH(B314,October!$D$3:$AH$3)+1)+INDEX(October!$C$3:$AH$169,33,MATCH(B314,October!$D$3:$AH$3)+1)+INDEX(October!$C$3:$AH$169,38,MATCH(B314,October!$D$3:$AH$3)+1)+INDEX(October!$C$3:$AH$169,43,MATCH(B314,October!$D$3:$AH$3)+1)+INDEX(October!$C$3:$AH$169,48,MATCH(B314,October!$D$3:$AH$3)+1)+INDEX(October!$C$3:$AH$169,53,MATCH(B314,October!$D$3:$AH$3)+1)+INDEX(October!$C$3:$AH$169,58,MATCH(B314,October!$D$3:$AH$3)+1)+INDEX(October!$C$3:$AH$169,63,MATCH(B314,October!$D$3:$AH$3)+1)+INDEX(October!$C$3:$AH$169,68,MATCH(B314,October!$D$3:$AH$3)+1)+INDEX(October!$C$3:$AH$169,73,MATCH(B314,October!$D$3:$AH$3)+1)+INDEX(October!$C$3:$AH$169,78,MATCH(B314,October!$D$3:$AH$3)+1)+INDEX(October!$C$3:$AH$169,83,MATCH(B314,October!$D$3:$AH$3)+1)+INDEX(October!$C$3:$AH$169,88,MATCH(B314,October!$D$3:$AH$3)+1)+INDEX(October!$C$3:$AH$169,93,MATCH(B314,October!$D$3:$AH$3)+1)+INDEX(October!$C$3:$AH$169,98,MATCH(B314,October!$D$3:$AH$3)+1)+INDEX(October!$C$3:$AH$169,103,MATCH(B314,October!$D$3:$AH$3)+1)+INDEX(October!$C$3:$AH$169,108,MATCH(B314,October!$D$3:$AH$3)+1)+INDEX(October!$C$3:$AH$169,113,MATCH(B314,October!$D$3:$AH$3)+1)+INDEX(October!$C$3:$AH$169,118,MATCH(B314,October!$D$3:$AH$3)+1)+INDEX(October!$C$3:$AH$169,123,MATCH(B314,October!$D$3:$AH$3)+1)+INDEX(October!$C$3:$AH$169,128,MATCH(B314,October!$D$3:$AH$3)+1)+INDEX(October!$C$3:$AH$169,133,MATCH(B314,October!$D$3:$AH$3)+1)+INDEX(October!$C$3:$AH$169,138,MATCH(B314,October!$D$3:$AH$3)+1)+INDEX(October!$C$3:$AH$169,143,MATCH(B314,October!$D$3:$AH$3)+1)+INDEX(October!$C$3:$AH$169,148,MATCH(B314,October!$D$3:$AH$3)+1)-INDEX(October!$B$5:$AH$169,MATCH("Patrick Janssen",October!$B$5:$B$169),MATCH(B314,October!$D$3:$AH$3)+2)-INDEX(October!$B$5:$AH$169,MATCH("Patrick Ziesen",October!$B$5:$B$169),MATCH(B314,October!$D$3:$AH$3)+2)-INDEX(October!$B$5:$AH$169,MATCH("Frido Meijer",October!$B$5:$B$169),MATCH(B314,October!$D$3:$AH$3)+2)</f>
        <v>0</v>
      </c>
      <c r="H314" s="130">
        <f>INDEX(October!$C$3:$AH$169,4,MATCH(B314,October!$D$3:$AH$3)+1)+INDEX(October!$C$3:$AH$169,9,MATCH(B314,October!$D$3:$AH$3)+1)+INDEX(October!$C$3:$AH$169,14,MATCH(B314,October!$D$3:$AH$3)+1)+INDEX(October!$C$3:$AH$169,19,MATCH(B314,October!$D$3:$AH$3)+1)+INDEX(October!$C$3:$AH$169,24,MATCH(B314,October!$D$3:$AH$3)+1)+INDEX(October!$C$3:$AH$169,29,MATCH(B314,October!$D$3:$AH$3)+1)+INDEX(October!$C$3:$AH$169,34,MATCH(B314,October!$D$3:$AH$3)+1)+INDEX(October!$C$3:$AH$169,39,MATCH(B314,October!$D$3:$AH$3)+1)+INDEX(October!$C$3:$AH$169,44,MATCH(B314,October!$D$3:$AH$3)+1)+INDEX(October!$C$3:$AH$169,49,MATCH(B314,October!$D$3:$AH$3)+1)+INDEX(October!$C$3:$AH$169,54,MATCH(B314,October!$D$3:$AH$3)+1)+INDEX(October!$C$3:$AH$169,59,MATCH(B314,October!$D$3:$AH$3)+1)+INDEX(October!$C$3:$AH$169,64,MATCH(B314,October!$D$3:$AH$3)+1)+INDEX(October!$C$3:$AH$169,69,MATCH(B314,October!$D$3:$AH$3)+1)+INDEX(October!$C$3:$AH$169,74,MATCH(B314,October!$D$3:$AH$3)+1)+INDEX(October!$C$3:$AH$169,79,MATCH(B314,October!$D$3:$AH$3)+1)+INDEX(October!$C$3:$AH$169,84,MATCH(B314,October!$D$3:$AH$3)+1)+INDEX(October!$C$3:$AH$169,89,MATCH(B314,October!$D$3:$AH$3)+1)+INDEX(October!$C$3:$AH$169,94,MATCH(B314,October!$D$3:$AH$3)+1)+INDEX(October!$C$3:$AH$169,99,MATCH(B314,October!$D$3:$AH$3)+1)+INDEX(October!$C$3:$AH$169,104,MATCH(B314,October!$D$3:$AH$3)+1)+INDEX(October!$C$3:$AH$169,109,MATCH(B314,October!$D$3:$AH$3)+1)+INDEX(October!$C$3:$AH$169,114,MATCH(B314,October!$D$3:$AH$3)+1)+INDEX(October!$C$3:$AH$169,119,MATCH(B314,October!$D$3:$AH$3)+1)+INDEX(October!$C$3:$AH$169,124,MATCH(B314,October!$D$3:$AH$3)+1)+INDEX(October!$C$3:$AH$169,129,MATCH(B314,October!$D$3:$AH$3)+1)+INDEX(October!$C$3:$AH$169,134,MATCH(B314,October!$D$3:$AH$3)+1)+INDEX(October!$C$3:$AH$169,139,MATCH(B314,October!$D$3:$AH$3)+1)+INDEX(October!$C$3:$AH$169,144,MATCH(B314,October!$D$3:$AH$3)+1)+INDEX(October!$C$3:$AH$169,149,MATCH(B314,October!$D$3:$AH$3)+1)-INDEX(October!$B$5:$AH$169,MATCH("Patrick Janssen",October!$B$5:$B$169)+1,MATCH(B314,October!$D$3:$AH$3)+2)-INDEX(October!$B$5:$AH$169,MATCH("Patrick Ziesen",October!$B$5:$B$169)+1,MATCH(B314,October!$D$3:$AH$3)+2)-INDEX(October!$B$5:$AH$169,MATCH("Frido Meijer",October!$B$5:$B$169)+1,MATCH(B314,October!$D$3:$AH$3)+2)</f>
        <v>0</v>
      </c>
      <c r="I314" s="130">
        <v>0</v>
      </c>
      <c r="J314" s="130">
        <v>0</v>
      </c>
      <c r="L314" s="111"/>
      <c r="M314" s="111"/>
      <c r="N314" s="111">
        <f t="shared" si="93"/>
        <v>0</v>
      </c>
      <c r="P314" s="112">
        <f t="shared" si="98"/>
        <v>0</v>
      </c>
      <c r="Q314" s="112">
        <f t="shared" si="99"/>
        <v>0</v>
      </c>
    </row>
    <row r="315" spans="2:17" x14ac:dyDescent="0.25">
      <c r="B315" s="110">
        <f>DATE(Title!$F$12,$S$14,S23)</f>
        <v>41566</v>
      </c>
      <c r="C315" s="111">
        <f>IF(WEEKDAY(B315)=1,0,IF(WEEKDAY(B315)=4,'Hours Scheduled'!$K$44-1,IF(WEEKDAY(B315)=7,0,'Hours Scheduled'!$K$44)))</f>
        <v>0</v>
      </c>
      <c r="D315" s="17">
        <f t="shared" si="96"/>
        <v>0</v>
      </c>
      <c r="E315" s="127">
        <f t="shared" si="97"/>
        <v>0</v>
      </c>
      <c r="F315" s="111"/>
      <c r="G315" s="130">
        <f>INDEX(October!$C$3:$AH$169,3,MATCH(B315,October!$D$3:$AH$3)+1)+INDEX(October!$C$3:$AH$169,8,MATCH(B315,October!$D$3:$AH$3)+1)+INDEX(October!$C$3:$AH$169,13,MATCH(B315,October!$D$3:$AH$3)+1)+INDEX(October!$C$3:$AH$169,18,MATCH(B315,October!$D$3:$AH$3)+1)+INDEX(October!$C$3:$AH$169,23,MATCH(B315,October!$D$3:$AH$3)+1)+INDEX(October!$C$3:$AH$169,28,MATCH(B315,October!$D$3:$AH$3)+1)+INDEX(October!$C$3:$AH$169,33,MATCH(B315,October!$D$3:$AH$3)+1)+INDEX(October!$C$3:$AH$169,38,MATCH(B315,October!$D$3:$AH$3)+1)+INDEX(October!$C$3:$AH$169,43,MATCH(B315,October!$D$3:$AH$3)+1)+INDEX(October!$C$3:$AH$169,48,MATCH(B315,October!$D$3:$AH$3)+1)+INDEX(October!$C$3:$AH$169,53,MATCH(B315,October!$D$3:$AH$3)+1)+INDEX(October!$C$3:$AH$169,58,MATCH(B315,October!$D$3:$AH$3)+1)+INDEX(October!$C$3:$AH$169,63,MATCH(B315,October!$D$3:$AH$3)+1)+INDEX(October!$C$3:$AH$169,68,MATCH(B315,October!$D$3:$AH$3)+1)+INDEX(October!$C$3:$AH$169,73,MATCH(B315,October!$D$3:$AH$3)+1)+INDEX(October!$C$3:$AH$169,78,MATCH(B315,October!$D$3:$AH$3)+1)+INDEX(October!$C$3:$AH$169,83,MATCH(B315,October!$D$3:$AH$3)+1)+INDEX(October!$C$3:$AH$169,88,MATCH(B315,October!$D$3:$AH$3)+1)+INDEX(October!$C$3:$AH$169,93,MATCH(B315,October!$D$3:$AH$3)+1)+INDEX(October!$C$3:$AH$169,98,MATCH(B315,October!$D$3:$AH$3)+1)+INDEX(October!$C$3:$AH$169,103,MATCH(B315,October!$D$3:$AH$3)+1)+INDEX(October!$C$3:$AH$169,108,MATCH(B315,October!$D$3:$AH$3)+1)+INDEX(October!$C$3:$AH$169,113,MATCH(B315,October!$D$3:$AH$3)+1)+INDEX(October!$C$3:$AH$169,118,MATCH(B315,October!$D$3:$AH$3)+1)+INDEX(October!$C$3:$AH$169,123,MATCH(B315,October!$D$3:$AH$3)+1)+INDEX(October!$C$3:$AH$169,128,MATCH(B315,October!$D$3:$AH$3)+1)+INDEX(October!$C$3:$AH$169,133,MATCH(B315,October!$D$3:$AH$3)+1)+INDEX(October!$C$3:$AH$169,138,MATCH(B315,October!$D$3:$AH$3)+1)+INDEX(October!$C$3:$AH$169,143,MATCH(B315,October!$D$3:$AH$3)+1)+INDEX(October!$C$3:$AH$169,148,MATCH(B315,October!$D$3:$AH$3)+1)-INDEX(October!$B$5:$AH$169,MATCH("Patrick Janssen",October!$B$5:$B$169),MATCH(B315,October!$D$3:$AH$3)+2)-INDEX(October!$B$5:$AH$169,MATCH("Patrick Ziesen",October!$B$5:$B$169),MATCH(B315,October!$D$3:$AH$3)+2)-INDEX(October!$B$5:$AH$169,MATCH("Frido Meijer",October!$B$5:$B$169),MATCH(B315,October!$D$3:$AH$3)+2)</f>
        <v>0</v>
      </c>
      <c r="H315" s="130">
        <f>INDEX(October!$C$3:$AH$169,4,MATCH(B315,October!$D$3:$AH$3)+1)+INDEX(October!$C$3:$AH$169,9,MATCH(B315,October!$D$3:$AH$3)+1)+INDEX(October!$C$3:$AH$169,14,MATCH(B315,October!$D$3:$AH$3)+1)+INDEX(October!$C$3:$AH$169,19,MATCH(B315,October!$D$3:$AH$3)+1)+INDEX(October!$C$3:$AH$169,24,MATCH(B315,October!$D$3:$AH$3)+1)+INDEX(October!$C$3:$AH$169,29,MATCH(B315,October!$D$3:$AH$3)+1)+INDEX(October!$C$3:$AH$169,34,MATCH(B315,October!$D$3:$AH$3)+1)+INDEX(October!$C$3:$AH$169,39,MATCH(B315,October!$D$3:$AH$3)+1)+INDEX(October!$C$3:$AH$169,44,MATCH(B315,October!$D$3:$AH$3)+1)+INDEX(October!$C$3:$AH$169,49,MATCH(B315,October!$D$3:$AH$3)+1)+INDEX(October!$C$3:$AH$169,54,MATCH(B315,October!$D$3:$AH$3)+1)+INDEX(October!$C$3:$AH$169,59,MATCH(B315,October!$D$3:$AH$3)+1)+INDEX(October!$C$3:$AH$169,64,MATCH(B315,October!$D$3:$AH$3)+1)+INDEX(October!$C$3:$AH$169,69,MATCH(B315,October!$D$3:$AH$3)+1)+INDEX(October!$C$3:$AH$169,74,MATCH(B315,October!$D$3:$AH$3)+1)+INDEX(October!$C$3:$AH$169,79,MATCH(B315,October!$D$3:$AH$3)+1)+INDEX(October!$C$3:$AH$169,84,MATCH(B315,October!$D$3:$AH$3)+1)+INDEX(October!$C$3:$AH$169,89,MATCH(B315,October!$D$3:$AH$3)+1)+INDEX(October!$C$3:$AH$169,94,MATCH(B315,October!$D$3:$AH$3)+1)+INDEX(October!$C$3:$AH$169,99,MATCH(B315,October!$D$3:$AH$3)+1)+INDEX(October!$C$3:$AH$169,104,MATCH(B315,October!$D$3:$AH$3)+1)+INDEX(October!$C$3:$AH$169,109,MATCH(B315,October!$D$3:$AH$3)+1)+INDEX(October!$C$3:$AH$169,114,MATCH(B315,October!$D$3:$AH$3)+1)+INDEX(October!$C$3:$AH$169,119,MATCH(B315,October!$D$3:$AH$3)+1)+INDEX(October!$C$3:$AH$169,124,MATCH(B315,October!$D$3:$AH$3)+1)+INDEX(October!$C$3:$AH$169,129,MATCH(B315,October!$D$3:$AH$3)+1)+INDEX(October!$C$3:$AH$169,134,MATCH(B315,October!$D$3:$AH$3)+1)+INDEX(October!$C$3:$AH$169,139,MATCH(B315,October!$D$3:$AH$3)+1)+INDEX(October!$C$3:$AH$169,144,MATCH(B315,October!$D$3:$AH$3)+1)+INDEX(October!$C$3:$AH$169,149,MATCH(B315,October!$D$3:$AH$3)+1)-INDEX(October!$B$5:$AH$169,MATCH("Patrick Janssen",October!$B$5:$B$169)+1,MATCH(B315,October!$D$3:$AH$3)+2)-INDEX(October!$B$5:$AH$169,MATCH("Patrick Ziesen",October!$B$5:$B$169)+1,MATCH(B315,October!$D$3:$AH$3)+2)-INDEX(October!$B$5:$AH$169,MATCH("Frido Meijer",October!$B$5:$B$169)+1,MATCH(B315,October!$D$3:$AH$3)+2)</f>
        <v>0</v>
      </c>
      <c r="I315" s="130">
        <v>0</v>
      </c>
      <c r="J315" s="130">
        <v>0</v>
      </c>
      <c r="L315" s="111"/>
      <c r="M315" s="111"/>
      <c r="N315" s="111">
        <f t="shared" si="93"/>
        <v>0</v>
      </c>
      <c r="P315" s="112" t="str">
        <f t="shared" si="98"/>
        <v/>
      </c>
      <c r="Q315" s="112" t="str">
        <f t="shared" si="99"/>
        <v/>
      </c>
    </row>
    <row r="316" spans="2:17" x14ac:dyDescent="0.25">
      <c r="B316" s="110">
        <f>DATE(Title!$F$12,$S$14,S24)</f>
        <v>41567</v>
      </c>
      <c r="C316" s="111">
        <f>IF(WEEKDAY(B316)=1,0,IF(WEEKDAY(B316)=4,'Hours Scheduled'!$K$44-1,IF(WEEKDAY(B316)=7,0,'Hours Scheduled'!$K$44)))</f>
        <v>0</v>
      </c>
      <c r="D316" s="17">
        <f t="shared" si="96"/>
        <v>0</v>
      </c>
      <c r="E316" s="127">
        <f t="shared" si="97"/>
        <v>0</v>
      </c>
      <c r="F316" s="111"/>
      <c r="G316" s="130">
        <f>INDEX(October!$C$3:$AH$169,3,MATCH(B316,October!$D$3:$AH$3)+1)+INDEX(October!$C$3:$AH$169,8,MATCH(B316,October!$D$3:$AH$3)+1)+INDEX(October!$C$3:$AH$169,13,MATCH(B316,October!$D$3:$AH$3)+1)+INDEX(October!$C$3:$AH$169,18,MATCH(B316,October!$D$3:$AH$3)+1)+INDEX(October!$C$3:$AH$169,23,MATCH(B316,October!$D$3:$AH$3)+1)+INDEX(October!$C$3:$AH$169,28,MATCH(B316,October!$D$3:$AH$3)+1)+INDEX(October!$C$3:$AH$169,33,MATCH(B316,October!$D$3:$AH$3)+1)+INDEX(October!$C$3:$AH$169,38,MATCH(B316,October!$D$3:$AH$3)+1)+INDEX(October!$C$3:$AH$169,43,MATCH(B316,October!$D$3:$AH$3)+1)+INDEX(October!$C$3:$AH$169,48,MATCH(B316,October!$D$3:$AH$3)+1)+INDEX(October!$C$3:$AH$169,53,MATCH(B316,October!$D$3:$AH$3)+1)+INDEX(October!$C$3:$AH$169,58,MATCH(B316,October!$D$3:$AH$3)+1)+INDEX(October!$C$3:$AH$169,63,MATCH(B316,October!$D$3:$AH$3)+1)+INDEX(October!$C$3:$AH$169,68,MATCH(B316,October!$D$3:$AH$3)+1)+INDEX(October!$C$3:$AH$169,73,MATCH(B316,October!$D$3:$AH$3)+1)+INDEX(October!$C$3:$AH$169,78,MATCH(B316,October!$D$3:$AH$3)+1)+INDEX(October!$C$3:$AH$169,83,MATCH(B316,October!$D$3:$AH$3)+1)+INDEX(October!$C$3:$AH$169,88,MATCH(B316,October!$D$3:$AH$3)+1)+INDEX(October!$C$3:$AH$169,93,MATCH(B316,October!$D$3:$AH$3)+1)+INDEX(October!$C$3:$AH$169,98,MATCH(B316,October!$D$3:$AH$3)+1)+INDEX(October!$C$3:$AH$169,103,MATCH(B316,October!$D$3:$AH$3)+1)+INDEX(October!$C$3:$AH$169,108,MATCH(B316,October!$D$3:$AH$3)+1)+INDEX(October!$C$3:$AH$169,113,MATCH(B316,October!$D$3:$AH$3)+1)+INDEX(October!$C$3:$AH$169,118,MATCH(B316,October!$D$3:$AH$3)+1)+INDEX(October!$C$3:$AH$169,123,MATCH(B316,October!$D$3:$AH$3)+1)+INDEX(October!$C$3:$AH$169,128,MATCH(B316,October!$D$3:$AH$3)+1)+INDEX(October!$C$3:$AH$169,133,MATCH(B316,October!$D$3:$AH$3)+1)+INDEX(October!$C$3:$AH$169,138,MATCH(B316,October!$D$3:$AH$3)+1)+INDEX(October!$C$3:$AH$169,143,MATCH(B316,October!$D$3:$AH$3)+1)+INDEX(October!$C$3:$AH$169,148,MATCH(B316,October!$D$3:$AH$3)+1)-INDEX(October!$B$5:$AH$169,MATCH("Patrick Janssen",October!$B$5:$B$169),MATCH(B316,October!$D$3:$AH$3)+2)-INDEX(October!$B$5:$AH$169,MATCH("Patrick Ziesen",October!$B$5:$B$169),MATCH(B316,October!$D$3:$AH$3)+2)-INDEX(October!$B$5:$AH$169,MATCH("Frido Meijer",October!$B$5:$B$169),MATCH(B316,October!$D$3:$AH$3)+2)</f>
        <v>0</v>
      </c>
      <c r="H316" s="130">
        <f>INDEX(October!$C$3:$AH$169,4,MATCH(B316,October!$D$3:$AH$3)+1)+INDEX(October!$C$3:$AH$169,9,MATCH(B316,October!$D$3:$AH$3)+1)+INDEX(October!$C$3:$AH$169,14,MATCH(B316,October!$D$3:$AH$3)+1)+INDEX(October!$C$3:$AH$169,19,MATCH(B316,October!$D$3:$AH$3)+1)+INDEX(October!$C$3:$AH$169,24,MATCH(B316,October!$D$3:$AH$3)+1)+INDEX(October!$C$3:$AH$169,29,MATCH(B316,October!$D$3:$AH$3)+1)+INDEX(October!$C$3:$AH$169,34,MATCH(B316,October!$D$3:$AH$3)+1)+INDEX(October!$C$3:$AH$169,39,MATCH(B316,October!$D$3:$AH$3)+1)+INDEX(October!$C$3:$AH$169,44,MATCH(B316,October!$D$3:$AH$3)+1)+INDEX(October!$C$3:$AH$169,49,MATCH(B316,October!$D$3:$AH$3)+1)+INDEX(October!$C$3:$AH$169,54,MATCH(B316,October!$D$3:$AH$3)+1)+INDEX(October!$C$3:$AH$169,59,MATCH(B316,October!$D$3:$AH$3)+1)+INDEX(October!$C$3:$AH$169,64,MATCH(B316,October!$D$3:$AH$3)+1)+INDEX(October!$C$3:$AH$169,69,MATCH(B316,October!$D$3:$AH$3)+1)+INDEX(October!$C$3:$AH$169,74,MATCH(B316,October!$D$3:$AH$3)+1)+INDEX(October!$C$3:$AH$169,79,MATCH(B316,October!$D$3:$AH$3)+1)+INDEX(October!$C$3:$AH$169,84,MATCH(B316,October!$D$3:$AH$3)+1)+INDEX(October!$C$3:$AH$169,89,MATCH(B316,October!$D$3:$AH$3)+1)+INDEX(October!$C$3:$AH$169,94,MATCH(B316,October!$D$3:$AH$3)+1)+INDEX(October!$C$3:$AH$169,99,MATCH(B316,October!$D$3:$AH$3)+1)+INDEX(October!$C$3:$AH$169,104,MATCH(B316,October!$D$3:$AH$3)+1)+INDEX(October!$C$3:$AH$169,109,MATCH(B316,October!$D$3:$AH$3)+1)+INDEX(October!$C$3:$AH$169,114,MATCH(B316,October!$D$3:$AH$3)+1)+INDEX(October!$C$3:$AH$169,119,MATCH(B316,October!$D$3:$AH$3)+1)+INDEX(October!$C$3:$AH$169,124,MATCH(B316,October!$D$3:$AH$3)+1)+INDEX(October!$C$3:$AH$169,129,MATCH(B316,October!$D$3:$AH$3)+1)+INDEX(October!$C$3:$AH$169,134,MATCH(B316,October!$D$3:$AH$3)+1)+INDEX(October!$C$3:$AH$169,139,MATCH(B316,October!$D$3:$AH$3)+1)+INDEX(October!$C$3:$AH$169,144,MATCH(B316,October!$D$3:$AH$3)+1)+INDEX(October!$C$3:$AH$169,149,MATCH(B316,October!$D$3:$AH$3)+1)-INDEX(October!$B$5:$AH$169,MATCH("Patrick Janssen",October!$B$5:$B$169)+1,MATCH(B316,October!$D$3:$AH$3)+2)-INDEX(October!$B$5:$AH$169,MATCH("Patrick Ziesen",October!$B$5:$B$169)+1,MATCH(B316,October!$D$3:$AH$3)+2)-INDEX(October!$B$5:$AH$169,MATCH("Frido Meijer",October!$B$5:$B$169)+1,MATCH(B316,October!$D$3:$AH$3)+2)</f>
        <v>0</v>
      </c>
      <c r="I316" s="130">
        <v>0</v>
      </c>
      <c r="J316" s="130">
        <v>0</v>
      </c>
      <c r="L316" s="111"/>
      <c r="M316" s="111"/>
      <c r="N316" s="111">
        <f t="shared" si="93"/>
        <v>0</v>
      </c>
      <c r="P316" s="112" t="str">
        <f t="shared" si="98"/>
        <v/>
      </c>
      <c r="Q316" s="112" t="str">
        <f t="shared" si="99"/>
        <v/>
      </c>
    </row>
    <row r="317" spans="2:17" x14ac:dyDescent="0.25">
      <c r="B317" s="110">
        <f>DATE(Title!$F$12,$S$14,S25)</f>
        <v>41568</v>
      </c>
      <c r="C317" s="111">
        <f>IF(WEEKDAY(B317)=1,0,IF(WEEKDAY(B317)=4,'Hours Scheduled'!$K$44-1,IF(WEEKDAY(B317)=7,0,'Hours Scheduled'!$K$44)))</f>
        <v>21</v>
      </c>
      <c r="D317" s="17">
        <f t="shared" si="96"/>
        <v>157.5</v>
      </c>
      <c r="E317" s="127">
        <f t="shared" si="97"/>
        <v>168</v>
      </c>
      <c r="F317" s="111"/>
      <c r="G317" s="130">
        <f>INDEX(October!$C$3:$AH$169,3,MATCH(B317,October!$D$3:$AH$3)+1)+INDEX(October!$C$3:$AH$169,8,MATCH(B317,October!$D$3:$AH$3)+1)+INDEX(October!$C$3:$AH$169,13,MATCH(B317,October!$D$3:$AH$3)+1)+INDEX(October!$C$3:$AH$169,18,MATCH(B317,October!$D$3:$AH$3)+1)+INDEX(October!$C$3:$AH$169,23,MATCH(B317,October!$D$3:$AH$3)+1)+INDEX(October!$C$3:$AH$169,28,MATCH(B317,October!$D$3:$AH$3)+1)+INDEX(October!$C$3:$AH$169,33,MATCH(B317,October!$D$3:$AH$3)+1)+INDEX(October!$C$3:$AH$169,38,MATCH(B317,October!$D$3:$AH$3)+1)+INDEX(October!$C$3:$AH$169,43,MATCH(B317,October!$D$3:$AH$3)+1)+INDEX(October!$C$3:$AH$169,48,MATCH(B317,October!$D$3:$AH$3)+1)+INDEX(October!$C$3:$AH$169,53,MATCH(B317,October!$D$3:$AH$3)+1)+INDEX(October!$C$3:$AH$169,58,MATCH(B317,October!$D$3:$AH$3)+1)+INDEX(October!$C$3:$AH$169,63,MATCH(B317,October!$D$3:$AH$3)+1)+INDEX(October!$C$3:$AH$169,68,MATCH(B317,October!$D$3:$AH$3)+1)+INDEX(October!$C$3:$AH$169,73,MATCH(B317,October!$D$3:$AH$3)+1)+INDEX(October!$C$3:$AH$169,78,MATCH(B317,October!$D$3:$AH$3)+1)+INDEX(October!$C$3:$AH$169,83,MATCH(B317,October!$D$3:$AH$3)+1)+INDEX(October!$C$3:$AH$169,88,MATCH(B317,October!$D$3:$AH$3)+1)+INDEX(October!$C$3:$AH$169,93,MATCH(B317,October!$D$3:$AH$3)+1)+INDEX(October!$C$3:$AH$169,98,MATCH(B317,October!$D$3:$AH$3)+1)+INDEX(October!$C$3:$AH$169,103,MATCH(B317,October!$D$3:$AH$3)+1)+INDEX(October!$C$3:$AH$169,108,MATCH(B317,October!$D$3:$AH$3)+1)+INDEX(October!$C$3:$AH$169,113,MATCH(B317,October!$D$3:$AH$3)+1)+INDEX(October!$C$3:$AH$169,118,MATCH(B317,October!$D$3:$AH$3)+1)+INDEX(October!$C$3:$AH$169,123,MATCH(B317,October!$D$3:$AH$3)+1)+INDEX(October!$C$3:$AH$169,128,MATCH(B317,October!$D$3:$AH$3)+1)+INDEX(October!$C$3:$AH$169,133,MATCH(B317,October!$D$3:$AH$3)+1)+INDEX(October!$C$3:$AH$169,138,MATCH(B317,October!$D$3:$AH$3)+1)+INDEX(October!$C$3:$AH$169,143,MATCH(B317,October!$D$3:$AH$3)+1)+INDEX(October!$C$3:$AH$169,148,MATCH(B317,October!$D$3:$AH$3)+1)-INDEX(October!$B$5:$AH$169,MATCH("Patrick Janssen",October!$B$5:$B$169),MATCH(B317,October!$D$3:$AH$3)+2)-INDEX(October!$B$5:$AH$169,MATCH("Patrick Ziesen",October!$B$5:$B$169),MATCH(B317,October!$D$3:$AH$3)+2)-INDEX(October!$B$5:$AH$169,MATCH("Frido Meijer",October!$B$5:$B$169),MATCH(B317,October!$D$3:$AH$3)+2)</f>
        <v>0</v>
      </c>
      <c r="H317" s="130">
        <f>INDEX(October!$C$3:$AH$169,4,MATCH(B317,October!$D$3:$AH$3)+1)+INDEX(October!$C$3:$AH$169,9,MATCH(B317,October!$D$3:$AH$3)+1)+INDEX(October!$C$3:$AH$169,14,MATCH(B317,October!$D$3:$AH$3)+1)+INDEX(October!$C$3:$AH$169,19,MATCH(B317,October!$D$3:$AH$3)+1)+INDEX(October!$C$3:$AH$169,24,MATCH(B317,October!$D$3:$AH$3)+1)+INDEX(October!$C$3:$AH$169,29,MATCH(B317,October!$D$3:$AH$3)+1)+INDEX(October!$C$3:$AH$169,34,MATCH(B317,October!$D$3:$AH$3)+1)+INDEX(October!$C$3:$AH$169,39,MATCH(B317,October!$D$3:$AH$3)+1)+INDEX(October!$C$3:$AH$169,44,MATCH(B317,October!$D$3:$AH$3)+1)+INDEX(October!$C$3:$AH$169,49,MATCH(B317,October!$D$3:$AH$3)+1)+INDEX(October!$C$3:$AH$169,54,MATCH(B317,October!$D$3:$AH$3)+1)+INDEX(October!$C$3:$AH$169,59,MATCH(B317,October!$D$3:$AH$3)+1)+INDEX(October!$C$3:$AH$169,64,MATCH(B317,October!$D$3:$AH$3)+1)+INDEX(October!$C$3:$AH$169,69,MATCH(B317,October!$D$3:$AH$3)+1)+INDEX(October!$C$3:$AH$169,74,MATCH(B317,October!$D$3:$AH$3)+1)+INDEX(October!$C$3:$AH$169,79,MATCH(B317,October!$D$3:$AH$3)+1)+INDEX(October!$C$3:$AH$169,84,MATCH(B317,October!$D$3:$AH$3)+1)+INDEX(October!$C$3:$AH$169,89,MATCH(B317,October!$D$3:$AH$3)+1)+INDEX(October!$C$3:$AH$169,94,MATCH(B317,October!$D$3:$AH$3)+1)+INDEX(October!$C$3:$AH$169,99,MATCH(B317,October!$D$3:$AH$3)+1)+INDEX(October!$C$3:$AH$169,104,MATCH(B317,October!$D$3:$AH$3)+1)+INDEX(October!$C$3:$AH$169,109,MATCH(B317,October!$D$3:$AH$3)+1)+INDEX(October!$C$3:$AH$169,114,MATCH(B317,October!$D$3:$AH$3)+1)+INDEX(October!$C$3:$AH$169,119,MATCH(B317,October!$D$3:$AH$3)+1)+INDEX(October!$C$3:$AH$169,124,MATCH(B317,October!$D$3:$AH$3)+1)+INDEX(October!$C$3:$AH$169,129,MATCH(B317,October!$D$3:$AH$3)+1)+INDEX(October!$C$3:$AH$169,134,MATCH(B317,October!$D$3:$AH$3)+1)+INDEX(October!$C$3:$AH$169,139,MATCH(B317,October!$D$3:$AH$3)+1)+INDEX(October!$C$3:$AH$169,144,MATCH(B317,October!$D$3:$AH$3)+1)+INDEX(October!$C$3:$AH$169,149,MATCH(B317,October!$D$3:$AH$3)+1)-INDEX(October!$B$5:$AH$169,MATCH("Patrick Janssen",October!$B$5:$B$169)+1,MATCH(B317,October!$D$3:$AH$3)+2)-INDEX(October!$B$5:$AH$169,MATCH("Patrick Ziesen",October!$B$5:$B$169)+1,MATCH(B317,October!$D$3:$AH$3)+2)-INDEX(October!$B$5:$AH$169,MATCH("Frido Meijer",October!$B$5:$B$169)+1,MATCH(B317,October!$D$3:$AH$3)+2)</f>
        <v>0</v>
      </c>
      <c r="I317" s="130">
        <v>0</v>
      </c>
      <c r="J317" s="130">
        <v>0</v>
      </c>
      <c r="L317" s="111"/>
      <c r="M317" s="111"/>
      <c r="N317" s="111">
        <f t="shared" si="93"/>
        <v>0</v>
      </c>
      <c r="P317" s="112">
        <f t="shared" si="98"/>
        <v>0</v>
      </c>
      <c r="Q317" s="112">
        <f t="shared" si="99"/>
        <v>0</v>
      </c>
    </row>
    <row r="318" spans="2:17" x14ac:dyDescent="0.25">
      <c r="B318" s="110">
        <f>DATE(Title!$F$12,$S$14,S26)</f>
        <v>41569</v>
      </c>
      <c r="C318" s="111">
        <f>IF(WEEKDAY(B318)=1,0,IF(WEEKDAY(B318)=4,'Hours Scheduled'!$K$44-1,IF(WEEKDAY(B318)=7,0,'Hours Scheduled'!$K$44)))</f>
        <v>21</v>
      </c>
      <c r="D318" s="17">
        <f t="shared" si="96"/>
        <v>157.5</v>
      </c>
      <c r="E318" s="127">
        <f t="shared" si="97"/>
        <v>168</v>
      </c>
      <c r="F318" s="111"/>
      <c r="G318" s="130">
        <f>INDEX(October!$C$3:$AH$169,3,MATCH(B318,October!$D$3:$AH$3)+1)+INDEX(October!$C$3:$AH$169,8,MATCH(B318,October!$D$3:$AH$3)+1)+INDEX(October!$C$3:$AH$169,13,MATCH(B318,October!$D$3:$AH$3)+1)+INDEX(October!$C$3:$AH$169,18,MATCH(B318,October!$D$3:$AH$3)+1)+INDEX(October!$C$3:$AH$169,23,MATCH(B318,October!$D$3:$AH$3)+1)+INDEX(October!$C$3:$AH$169,28,MATCH(B318,October!$D$3:$AH$3)+1)+INDEX(October!$C$3:$AH$169,33,MATCH(B318,October!$D$3:$AH$3)+1)+INDEX(October!$C$3:$AH$169,38,MATCH(B318,October!$D$3:$AH$3)+1)+INDEX(October!$C$3:$AH$169,43,MATCH(B318,October!$D$3:$AH$3)+1)+INDEX(October!$C$3:$AH$169,48,MATCH(B318,October!$D$3:$AH$3)+1)+INDEX(October!$C$3:$AH$169,53,MATCH(B318,October!$D$3:$AH$3)+1)+INDEX(October!$C$3:$AH$169,58,MATCH(B318,October!$D$3:$AH$3)+1)+INDEX(October!$C$3:$AH$169,63,MATCH(B318,October!$D$3:$AH$3)+1)+INDEX(October!$C$3:$AH$169,68,MATCH(B318,October!$D$3:$AH$3)+1)+INDEX(October!$C$3:$AH$169,73,MATCH(B318,October!$D$3:$AH$3)+1)+INDEX(October!$C$3:$AH$169,78,MATCH(B318,October!$D$3:$AH$3)+1)+INDEX(October!$C$3:$AH$169,83,MATCH(B318,October!$D$3:$AH$3)+1)+INDEX(October!$C$3:$AH$169,88,MATCH(B318,October!$D$3:$AH$3)+1)+INDEX(October!$C$3:$AH$169,93,MATCH(B318,October!$D$3:$AH$3)+1)+INDEX(October!$C$3:$AH$169,98,MATCH(B318,October!$D$3:$AH$3)+1)+INDEX(October!$C$3:$AH$169,103,MATCH(B318,October!$D$3:$AH$3)+1)+INDEX(October!$C$3:$AH$169,108,MATCH(B318,October!$D$3:$AH$3)+1)+INDEX(October!$C$3:$AH$169,113,MATCH(B318,October!$D$3:$AH$3)+1)+INDEX(October!$C$3:$AH$169,118,MATCH(B318,October!$D$3:$AH$3)+1)+INDEX(October!$C$3:$AH$169,123,MATCH(B318,October!$D$3:$AH$3)+1)+INDEX(October!$C$3:$AH$169,128,MATCH(B318,October!$D$3:$AH$3)+1)+INDEX(October!$C$3:$AH$169,133,MATCH(B318,October!$D$3:$AH$3)+1)+INDEX(October!$C$3:$AH$169,138,MATCH(B318,October!$D$3:$AH$3)+1)+INDEX(October!$C$3:$AH$169,143,MATCH(B318,October!$D$3:$AH$3)+1)+INDEX(October!$C$3:$AH$169,148,MATCH(B318,October!$D$3:$AH$3)+1)-INDEX(October!$B$5:$AH$169,MATCH("Patrick Janssen",October!$B$5:$B$169),MATCH(B318,October!$D$3:$AH$3)+2)-INDEX(October!$B$5:$AH$169,MATCH("Patrick Ziesen",October!$B$5:$B$169),MATCH(B318,October!$D$3:$AH$3)+2)-INDEX(October!$B$5:$AH$169,MATCH("Frido Meijer",October!$B$5:$B$169),MATCH(B318,October!$D$3:$AH$3)+2)</f>
        <v>0</v>
      </c>
      <c r="H318" s="130">
        <f>INDEX(October!$C$3:$AH$169,4,MATCH(B318,October!$D$3:$AH$3)+1)+INDEX(October!$C$3:$AH$169,9,MATCH(B318,October!$D$3:$AH$3)+1)+INDEX(October!$C$3:$AH$169,14,MATCH(B318,October!$D$3:$AH$3)+1)+INDEX(October!$C$3:$AH$169,19,MATCH(B318,October!$D$3:$AH$3)+1)+INDEX(October!$C$3:$AH$169,24,MATCH(B318,October!$D$3:$AH$3)+1)+INDEX(October!$C$3:$AH$169,29,MATCH(B318,October!$D$3:$AH$3)+1)+INDEX(October!$C$3:$AH$169,34,MATCH(B318,October!$D$3:$AH$3)+1)+INDEX(October!$C$3:$AH$169,39,MATCH(B318,October!$D$3:$AH$3)+1)+INDEX(October!$C$3:$AH$169,44,MATCH(B318,October!$D$3:$AH$3)+1)+INDEX(October!$C$3:$AH$169,49,MATCH(B318,October!$D$3:$AH$3)+1)+INDEX(October!$C$3:$AH$169,54,MATCH(B318,October!$D$3:$AH$3)+1)+INDEX(October!$C$3:$AH$169,59,MATCH(B318,October!$D$3:$AH$3)+1)+INDEX(October!$C$3:$AH$169,64,MATCH(B318,October!$D$3:$AH$3)+1)+INDEX(October!$C$3:$AH$169,69,MATCH(B318,October!$D$3:$AH$3)+1)+INDEX(October!$C$3:$AH$169,74,MATCH(B318,October!$D$3:$AH$3)+1)+INDEX(October!$C$3:$AH$169,79,MATCH(B318,October!$D$3:$AH$3)+1)+INDEX(October!$C$3:$AH$169,84,MATCH(B318,October!$D$3:$AH$3)+1)+INDEX(October!$C$3:$AH$169,89,MATCH(B318,October!$D$3:$AH$3)+1)+INDEX(October!$C$3:$AH$169,94,MATCH(B318,October!$D$3:$AH$3)+1)+INDEX(October!$C$3:$AH$169,99,MATCH(B318,October!$D$3:$AH$3)+1)+INDEX(October!$C$3:$AH$169,104,MATCH(B318,October!$D$3:$AH$3)+1)+INDEX(October!$C$3:$AH$169,109,MATCH(B318,October!$D$3:$AH$3)+1)+INDEX(October!$C$3:$AH$169,114,MATCH(B318,October!$D$3:$AH$3)+1)+INDEX(October!$C$3:$AH$169,119,MATCH(B318,October!$D$3:$AH$3)+1)+INDEX(October!$C$3:$AH$169,124,MATCH(B318,October!$D$3:$AH$3)+1)+INDEX(October!$C$3:$AH$169,129,MATCH(B318,October!$D$3:$AH$3)+1)+INDEX(October!$C$3:$AH$169,134,MATCH(B318,October!$D$3:$AH$3)+1)+INDEX(October!$C$3:$AH$169,139,MATCH(B318,October!$D$3:$AH$3)+1)+INDEX(October!$C$3:$AH$169,144,MATCH(B318,October!$D$3:$AH$3)+1)+INDEX(October!$C$3:$AH$169,149,MATCH(B318,October!$D$3:$AH$3)+1)-INDEX(October!$B$5:$AH$169,MATCH("Patrick Janssen",October!$B$5:$B$169)+1,MATCH(B318,October!$D$3:$AH$3)+2)-INDEX(October!$B$5:$AH$169,MATCH("Patrick Ziesen",October!$B$5:$B$169)+1,MATCH(B318,October!$D$3:$AH$3)+2)-INDEX(October!$B$5:$AH$169,MATCH("Frido Meijer",October!$B$5:$B$169)+1,MATCH(B318,October!$D$3:$AH$3)+2)</f>
        <v>0</v>
      </c>
      <c r="I318" s="130">
        <v>0</v>
      </c>
      <c r="J318" s="130">
        <v>0</v>
      </c>
      <c r="L318" s="111"/>
      <c r="M318" s="111"/>
      <c r="N318" s="111">
        <f t="shared" si="93"/>
        <v>0</v>
      </c>
      <c r="P318" s="112">
        <f t="shared" si="98"/>
        <v>0</v>
      </c>
      <c r="Q318" s="112">
        <f t="shared" si="99"/>
        <v>0</v>
      </c>
    </row>
    <row r="319" spans="2:17" x14ac:dyDescent="0.25">
      <c r="B319" s="110">
        <f>DATE(Title!$F$12,$S$14,S27)</f>
        <v>41570</v>
      </c>
      <c r="C319" s="111">
        <f>IF(WEEKDAY(B319)=1,0,IF(WEEKDAY(B319)=4,'Hours Scheduled'!$K$44-1,IF(WEEKDAY(B319)=7,0,'Hours Scheduled'!$K$44)))</f>
        <v>20</v>
      </c>
      <c r="D319" s="17">
        <f t="shared" si="96"/>
        <v>150</v>
      </c>
      <c r="E319" s="127">
        <f t="shared" si="97"/>
        <v>160</v>
      </c>
      <c r="F319" s="111"/>
      <c r="G319" s="130">
        <f>INDEX(October!$C$3:$AH$169,3,MATCH(B319,October!$D$3:$AH$3)+1)+INDEX(October!$C$3:$AH$169,8,MATCH(B319,October!$D$3:$AH$3)+1)+INDEX(October!$C$3:$AH$169,13,MATCH(B319,October!$D$3:$AH$3)+1)+INDEX(October!$C$3:$AH$169,18,MATCH(B319,October!$D$3:$AH$3)+1)+INDEX(October!$C$3:$AH$169,23,MATCH(B319,October!$D$3:$AH$3)+1)+INDEX(October!$C$3:$AH$169,28,MATCH(B319,October!$D$3:$AH$3)+1)+INDEX(October!$C$3:$AH$169,33,MATCH(B319,October!$D$3:$AH$3)+1)+INDEX(October!$C$3:$AH$169,38,MATCH(B319,October!$D$3:$AH$3)+1)+INDEX(October!$C$3:$AH$169,43,MATCH(B319,October!$D$3:$AH$3)+1)+INDEX(October!$C$3:$AH$169,48,MATCH(B319,October!$D$3:$AH$3)+1)+INDEX(October!$C$3:$AH$169,53,MATCH(B319,October!$D$3:$AH$3)+1)+INDEX(October!$C$3:$AH$169,58,MATCH(B319,October!$D$3:$AH$3)+1)+INDEX(October!$C$3:$AH$169,63,MATCH(B319,October!$D$3:$AH$3)+1)+INDEX(October!$C$3:$AH$169,68,MATCH(B319,October!$D$3:$AH$3)+1)+INDEX(October!$C$3:$AH$169,73,MATCH(B319,October!$D$3:$AH$3)+1)+INDEX(October!$C$3:$AH$169,78,MATCH(B319,October!$D$3:$AH$3)+1)+INDEX(October!$C$3:$AH$169,83,MATCH(B319,October!$D$3:$AH$3)+1)+INDEX(October!$C$3:$AH$169,88,MATCH(B319,October!$D$3:$AH$3)+1)+INDEX(October!$C$3:$AH$169,93,MATCH(B319,October!$D$3:$AH$3)+1)+INDEX(October!$C$3:$AH$169,98,MATCH(B319,October!$D$3:$AH$3)+1)+INDEX(October!$C$3:$AH$169,103,MATCH(B319,October!$D$3:$AH$3)+1)+INDEX(October!$C$3:$AH$169,108,MATCH(B319,October!$D$3:$AH$3)+1)+INDEX(October!$C$3:$AH$169,113,MATCH(B319,October!$D$3:$AH$3)+1)+INDEX(October!$C$3:$AH$169,118,MATCH(B319,October!$D$3:$AH$3)+1)+INDEX(October!$C$3:$AH$169,123,MATCH(B319,October!$D$3:$AH$3)+1)+INDEX(October!$C$3:$AH$169,128,MATCH(B319,October!$D$3:$AH$3)+1)+INDEX(October!$C$3:$AH$169,133,MATCH(B319,October!$D$3:$AH$3)+1)+INDEX(October!$C$3:$AH$169,138,MATCH(B319,October!$D$3:$AH$3)+1)+INDEX(October!$C$3:$AH$169,143,MATCH(B319,October!$D$3:$AH$3)+1)+INDEX(October!$C$3:$AH$169,148,MATCH(B319,October!$D$3:$AH$3)+1)-INDEX(October!$B$5:$AH$169,MATCH("Patrick Janssen",October!$B$5:$B$169),MATCH(B319,October!$D$3:$AH$3)+2)-INDEX(October!$B$5:$AH$169,MATCH("Patrick Ziesen",October!$B$5:$B$169),MATCH(B319,October!$D$3:$AH$3)+2)-INDEX(October!$B$5:$AH$169,MATCH("Frido Meijer",October!$B$5:$B$169),MATCH(B319,October!$D$3:$AH$3)+2)</f>
        <v>0</v>
      </c>
      <c r="H319" s="130">
        <f>INDEX(October!$C$3:$AH$169,4,MATCH(B319,October!$D$3:$AH$3)+1)+INDEX(October!$C$3:$AH$169,9,MATCH(B319,October!$D$3:$AH$3)+1)+INDEX(October!$C$3:$AH$169,14,MATCH(B319,October!$D$3:$AH$3)+1)+INDEX(October!$C$3:$AH$169,19,MATCH(B319,October!$D$3:$AH$3)+1)+INDEX(October!$C$3:$AH$169,24,MATCH(B319,October!$D$3:$AH$3)+1)+INDEX(October!$C$3:$AH$169,29,MATCH(B319,October!$D$3:$AH$3)+1)+INDEX(October!$C$3:$AH$169,34,MATCH(B319,October!$D$3:$AH$3)+1)+INDEX(October!$C$3:$AH$169,39,MATCH(B319,October!$D$3:$AH$3)+1)+INDEX(October!$C$3:$AH$169,44,MATCH(B319,October!$D$3:$AH$3)+1)+INDEX(October!$C$3:$AH$169,49,MATCH(B319,October!$D$3:$AH$3)+1)+INDEX(October!$C$3:$AH$169,54,MATCH(B319,October!$D$3:$AH$3)+1)+INDEX(October!$C$3:$AH$169,59,MATCH(B319,October!$D$3:$AH$3)+1)+INDEX(October!$C$3:$AH$169,64,MATCH(B319,October!$D$3:$AH$3)+1)+INDEX(October!$C$3:$AH$169,69,MATCH(B319,October!$D$3:$AH$3)+1)+INDEX(October!$C$3:$AH$169,74,MATCH(B319,October!$D$3:$AH$3)+1)+INDEX(October!$C$3:$AH$169,79,MATCH(B319,October!$D$3:$AH$3)+1)+INDEX(October!$C$3:$AH$169,84,MATCH(B319,October!$D$3:$AH$3)+1)+INDEX(October!$C$3:$AH$169,89,MATCH(B319,October!$D$3:$AH$3)+1)+INDEX(October!$C$3:$AH$169,94,MATCH(B319,October!$D$3:$AH$3)+1)+INDEX(October!$C$3:$AH$169,99,MATCH(B319,October!$D$3:$AH$3)+1)+INDEX(October!$C$3:$AH$169,104,MATCH(B319,October!$D$3:$AH$3)+1)+INDEX(October!$C$3:$AH$169,109,MATCH(B319,October!$D$3:$AH$3)+1)+INDEX(October!$C$3:$AH$169,114,MATCH(B319,October!$D$3:$AH$3)+1)+INDEX(October!$C$3:$AH$169,119,MATCH(B319,October!$D$3:$AH$3)+1)+INDEX(October!$C$3:$AH$169,124,MATCH(B319,October!$D$3:$AH$3)+1)+INDEX(October!$C$3:$AH$169,129,MATCH(B319,October!$D$3:$AH$3)+1)+INDEX(October!$C$3:$AH$169,134,MATCH(B319,October!$D$3:$AH$3)+1)+INDEX(October!$C$3:$AH$169,139,MATCH(B319,October!$D$3:$AH$3)+1)+INDEX(October!$C$3:$AH$169,144,MATCH(B319,October!$D$3:$AH$3)+1)+INDEX(October!$C$3:$AH$169,149,MATCH(B319,October!$D$3:$AH$3)+1)-INDEX(October!$B$5:$AH$169,MATCH("Patrick Janssen",October!$B$5:$B$169)+1,MATCH(B319,October!$D$3:$AH$3)+2)-INDEX(October!$B$5:$AH$169,MATCH("Patrick Ziesen",October!$B$5:$B$169)+1,MATCH(B319,October!$D$3:$AH$3)+2)-INDEX(October!$B$5:$AH$169,MATCH("Frido Meijer",October!$B$5:$B$169)+1,MATCH(B319,October!$D$3:$AH$3)+2)</f>
        <v>0</v>
      </c>
      <c r="I319" s="130">
        <v>0</v>
      </c>
      <c r="J319" s="130">
        <v>0</v>
      </c>
      <c r="L319" s="111"/>
      <c r="M319" s="111"/>
      <c r="N319" s="111">
        <f t="shared" si="93"/>
        <v>0</v>
      </c>
      <c r="P319" s="112">
        <f t="shared" si="98"/>
        <v>0</v>
      </c>
      <c r="Q319" s="112">
        <f t="shared" si="99"/>
        <v>0</v>
      </c>
    </row>
    <row r="320" spans="2:17" x14ac:dyDescent="0.25">
      <c r="B320" s="110">
        <f>DATE(Title!$F$12,$S$14,S28)</f>
        <v>41571</v>
      </c>
      <c r="C320" s="111">
        <f>IF(WEEKDAY(B320)=1,0,IF(WEEKDAY(B320)=4,'Hours Scheduled'!$K$44-1,IF(WEEKDAY(B320)=7,0,'Hours Scheduled'!$K$44)))</f>
        <v>21</v>
      </c>
      <c r="D320" s="17">
        <f t="shared" si="96"/>
        <v>157.5</v>
      </c>
      <c r="E320" s="127">
        <f t="shared" si="97"/>
        <v>168</v>
      </c>
      <c r="F320" s="111"/>
      <c r="G320" s="130">
        <f>INDEX(October!$C$3:$AH$169,3,MATCH(B320,October!$D$3:$AH$3)+1)+INDEX(October!$C$3:$AH$169,8,MATCH(B320,October!$D$3:$AH$3)+1)+INDEX(October!$C$3:$AH$169,13,MATCH(B320,October!$D$3:$AH$3)+1)+INDEX(October!$C$3:$AH$169,18,MATCH(B320,October!$D$3:$AH$3)+1)+INDEX(October!$C$3:$AH$169,23,MATCH(B320,October!$D$3:$AH$3)+1)+INDEX(October!$C$3:$AH$169,28,MATCH(B320,October!$D$3:$AH$3)+1)+INDEX(October!$C$3:$AH$169,33,MATCH(B320,October!$D$3:$AH$3)+1)+INDEX(October!$C$3:$AH$169,38,MATCH(B320,October!$D$3:$AH$3)+1)+INDEX(October!$C$3:$AH$169,43,MATCH(B320,October!$D$3:$AH$3)+1)+INDEX(October!$C$3:$AH$169,48,MATCH(B320,October!$D$3:$AH$3)+1)+INDEX(October!$C$3:$AH$169,53,MATCH(B320,October!$D$3:$AH$3)+1)+INDEX(October!$C$3:$AH$169,58,MATCH(B320,October!$D$3:$AH$3)+1)+INDEX(October!$C$3:$AH$169,63,MATCH(B320,October!$D$3:$AH$3)+1)+INDEX(October!$C$3:$AH$169,68,MATCH(B320,October!$D$3:$AH$3)+1)+INDEX(October!$C$3:$AH$169,73,MATCH(B320,October!$D$3:$AH$3)+1)+INDEX(October!$C$3:$AH$169,78,MATCH(B320,October!$D$3:$AH$3)+1)+INDEX(October!$C$3:$AH$169,83,MATCH(B320,October!$D$3:$AH$3)+1)+INDEX(October!$C$3:$AH$169,88,MATCH(B320,October!$D$3:$AH$3)+1)+INDEX(October!$C$3:$AH$169,93,MATCH(B320,October!$D$3:$AH$3)+1)+INDEX(October!$C$3:$AH$169,98,MATCH(B320,October!$D$3:$AH$3)+1)+INDEX(October!$C$3:$AH$169,103,MATCH(B320,October!$D$3:$AH$3)+1)+INDEX(October!$C$3:$AH$169,108,MATCH(B320,October!$D$3:$AH$3)+1)+INDEX(October!$C$3:$AH$169,113,MATCH(B320,October!$D$3:$AH$3)+1)+INDEX(October!$C$3:$AH$169,118,MATCH(B320,October!$D$3:$AH$3)+1)+INDEX(October!$C$3:$AH$169,123,MATCH(B320,October!$D$3:$AH$3)+1)+INDEX(October!$C$3:$AH$169,128,MATCH(B320,October!$D$3:$AH$3)+1)+INDEX(October!$C$3:$AH$169,133,MATCH(B320,October!$D$3:$AH$3)+1)+INDEX(October!$C$3:$AH$169,138,MATCH(B320,October!$D$3:$AH$3)+1)+INDEX(October!$C$3:$AH$169,143,MATCH(B320,October!$D$3:$AH$3)+1)+INDEX(October!$C$3:$AH$169,148,MATCH(B320,October!$D$3:$AH$3)+1)-INDEX(October!$B$5:$AH$169,MATCH("Patrick Janssen",October!$B$5:$B$169),MATCH(B320,October!$D$3:$AH$3)+2)-INDEX(October!$B$5:$AH$169,MATCH("Patrick Ziesen",October!$B$5:$B$169),MATCH(B320,October!$D$3:$AH$3)+2)-INDEX(October!$B$5:$AH$169,MATCH("Frido Meijer",October!$B$5:$B$169),MATCH(B320,October!$D$3:$AH$3)+2)</f>
        <v>0</v>
      </c>
      <c r="H320" s="130">
        <f>INDEX(October!$C$3:$AH$169,4,MATCH(B320,October!$D$3:$AH$3)+1)+INDEX(October!$C$3:$AH$169,9,MATCH(B320,October!$D$3:$AH$3)+1)+INDEX(October!$C$3:$AH$169,14,MATCH(B320,October!$D$3:$AH$3)+1)+INDEX(October!$C$3:$AH$169,19,MATCH(B320,October!$D$3:$AH$3)+1)+INDEX(October!$C$3:$AH$169,24,MATCH(B320,October!$D$3:$AH$3)+1)+INDEX(October!$C$3:$AH$169,29,MATCH(B320,October!$D$3:$AH$3)+1)+INDEX(October!$C$3:$AH$169,34,MATCH(B320,October!$D$3:$AH$3)+1)+INDEX(October!$C$3:$AH$169,39,MATCH(B320,October!$D$3:$AH$3)+1)+INDEX(October!$C$3:$AH$169,44,MATCH(B320,October!$D$3:$AH$3)+1)+INDEX(October!$C$3:$AH$169,49,MATCH(B320,October!$D$3:$AH$3)+1)+INDEX(October!$C$3:$AH$169,54,MATCH(B320,October!$D$3:$AH$3)+1)+INDEX(October!$C$3:$AH$169,59,MATCH(B320,October!$D$3:$AH$3)+1)+INDEX(October!$C$3:$AH$169,64,MATCH(B320,October!$D$3:$AH$3)+1)+INDEX(October!$C$3:$AH$169,69,MATCH(B320,October!$D$3:$AH$3)+1)+INDEX(October!$C$3:$AH$169,74,MATCH(B320,October!$D$3:$AH$3)+1)+INDEX(October!$C$3:$AH$169,79,MATCH(B320,October!$D$3:$AH$3)+1)+INDEX(October!$C$3:$AH$169,84,MATCH(B320,October!$D$3:$AH$3)+1)+INDEX(October!$C$3:$AH$169,89,MATCH(B320,October!$D$3:$AH$3)+1)+INDEX(October!$C$3:$AH$169,94,MATCH(B320,October!$D$3:$AH$3)+1)+INDEX(October!$C$3:$AH$169,99,MATCH(B320,October!$D$3:$AH$3)+1)+INDEX(October!$C$3:$AH$169,104,MATCH(B320,October!$D$3:$AH$3)+1)+INDEX(October!$C$3:$AH$169,109,MATCH(B320,October!$D$3:$AH$3)+1)+INDEX(October!$C$3:$AH$169,114,MATCH(B320,October!$D$3:$AH$3)+1)+INDEX(October!$C$3:$AH$169,119,MATCH(B320,October!$D$3:$AH$3)+1)+INDEX(October!$C$3:$AH$169,124,MATCH(B320,October!$D$3:$AH$3)+1)+INDEX(October!$C$3:$AH$169,129,MATCH(B320,October!$D$3:$AH$3)+1)+INDEX(October!$C$3:$AH$169,134,MATCH(B320,October!$D$3:$AH$3)+1)+INDEX(October!$C$3:$AH$169,139,MATCH(B320,October!$D$3:$AH$3)+1)+INDEX(October!$C$3:$AH$169,144,MATCH(B320,October!$D$3:$AH$3)+1)+INDEX(October!$C$3:$AH$169,149,MATCH(B320,October!$D$3:$AH$3)+1)-INDEX(October!$B$5:$AH$169,MATCH("Patrick Janssen",October!$B$5:$B$169)+1,MATCH(B320,October!$D$3:$AH$3)+2)-INDEX(October!$B$5:$AH$169,MATCH("Patrick Ziesen",October!$B$5:$B$169)+1,MATCH(B320,October!$D$3:$AH$3)+2)-INDEX(October!$B$5:$AH$169,MATCH("Frido Meijer",October!$B$5:$B$169)+1,MATCH(B320,October!$D$3:$AH$3)+2)</f>
        <v>0</v>
      </c>
      <c r="I320" s="130">
        <v>0</v>
      </c>
      <c r="J320" s="130">
        <v>0</v>
      </c>
      <c r="L320" s="111"/>
      <c r="M320" s="111"/>
      <c r="N320" s="111">
        <f t="shared" si="93"/>
        <v>0</v>
      </c>
      <c r="P320" s="112">
        <f t="shared" si="98"/>
        <v>0</v>
      </c>
      <c r="Q320" s="112">
        <f t="shared" si="99"/>
        <v>0</v>
      </c>
    </row>
    <row r="321" spans="2:17" x14ac:dyDescent="0.25">
      <c r="B321" s="110">
        <f>DATE(Title!$F$12,$S$14,S29)</f>
        <v>41572</v>
      </c>
      <c r="C321" s="111">
        <f>IF(WEEKDAY(B321)=1,0,IF(WEEKDAY(B321)=4,'Hours Scheduled'!$K$44-1,IF(WEEKDAY(B321)=7,0,'Hours Scheduled'!$K$44)))</f>
        <v>21</v>
      </c>
      <c r="D321" s="17">
        <f t="shared" si="96"/>
        <v>157.5</v>
      </c>
      <c r="E321" s="127">
        <f t="shared" si="97"/>
        <v>168</v>
      </c>
      <c r="F321" s="111"/>
      <c r="G321" s="130">
        <f>INDEX(October!$C$3:$AH$169,3,MATCH(B321,October!$D$3:$AH$3)+1)+INDEX(October!$C$3:$AH$169,8,MATCH(B321,October!$D$3:$AH$3)+1)+INDEX(October!$C$3:$AH$169,13,MATCH(B321,October!$D$3:$AH$3)+1)+INDEX(October!$C$3:$AH$169,18,MATCH(B321,October!$D$3:$AH$3)+1)+INDEX(October!$C$3:$AH$169,23,MATCH(B321,October!$D$3:$AH$3)+1)+INDEX(October!$C$3:$AH$169,28,MATCH(B321,October!$D$3:$AH$3)+1)+INDEX(October!$C$3:$AH$169,33,MATCH(B321,October!$D$3:$AH$3)+1)+INDEX(October!$C$3:$AH$169,38,MATCH(B321,October!$D$3:$AH$3)+1)+INDEX(October!$C$3:$AH$169,43,MATCH(B321,October!$D$3:$AH$3)+1)+INDEX(October!$C$3:$AH$169,48,MATCH(B321,October!$D$3:$AH$3)+1)+INDEX(October!$C$3:$AH$169,53,MATCH(B321,October!$D$3:$AH$3)+1)+INDEX(October!$C$3:$AH$169,58,MATCH(B321,October!$D$3:$AH$3)+1)+INDEX(October!$C$3:$AH$169,63,MATCH(B321,October!$D$3:$AH$3)+1)+INDEX(October!$C$3:$AH$169,68,MATCH(B321,October!$D$3:$AH$3)+1)+INDEX(October!$C$3:$AH$169,73,MATCH(B321,October!$D$3:$AH$3)+1)+INDEX(October!$C$3:$AH$169,78,MATCH(B321,October!$D$3:$AH$3)+1)+INDEX(October!$C$3:$AH$169,83,MATCH(B321,October!$D$3:$AH$3)+1)+INDEX(October!$C$3:$AH$169,88,MATCH(B321,October!$D$3:$AH$3)+1)+INDEX(October!$C$3:$AH$169,93,MATCH(B321,October!$D$3:$AH$3)+1)+INDEX(October!$C$3:$AH$169,98,MATCH(B321,October!$D$3:$AH$3)+1)+INDEX(October!$C$3:$AH$169,103,MATCH(B321,October!$D$3:$AH$3)+1)+INDEX(October!$C$3:$AH$169,108,MATCH(B321,October!$D$3:$AH$3)+1)+INDEX(October!$C$3:$AH$169,113,MATCH(B321,October!$D$3:$AH$3)+1)+INDEX(October!$C$3:$AH$169,118,MATCH(B321,October!$D$3:$AH$3)+1)+INDEX(October!$C$3:$AH$169,123,MATCH(B321,October!$D$3:$AH$3)+1)+INDEX(October!$C$3:$AH$169,128,MATCH(B321,October!$D$3:$AH$3)+1)+INDEX(October!$C$3:$AH$169,133,MATCH(B321,October!$D$3:$AH$3)+1)+INDEX(October!$C$3:$AH$169,138,MATCH(B321,October!$D$3:$AH$3)+1)+INDEX(October!$C$3:$AH$169,143,MATCH(B321,October!$D$3:$AH$3)+1)+INDEX(October!$C$3:$AH$169,148,MATCH(B321,October!$D$3:$AH$3)+1)-INDEX(October!$B$5:$AH$169,MATCH("Patrick Janssen",October!$B$5:$B$169),MATCH(B321,October!$D$3:$AH$3)+2)-INDEX(October!$B$5:$AH$169,MATCH("Patrick Ziesen",October!$B$5:$B$169),MATCH(B321,October!$D$3:$AH$3)+2)-INDEX(October!$B$5:$AH$169,MATCH("Frido Meijer",October!$B$5:$B$169),MATCH(B321,October!$D$3:$AH$3)+2)</f>
        <v>0</v>
      </c>
      <c r="H321" s="130">
        <f>INDEX(October!$C$3:$AH$169,4,MATCH(B321,October!$D$3:$AH$3)+1)+INDEX(October!$C$3:$AH$169,9,MATCH(B321,October!$D$3:$AH$3)+1)+INDEX(October!$C$3:$AH$169,14,MATCH(B321,October!$D$3:$AH$3)+1)+INDEX(October!$C$3:$AH$169,19,MATCH(B321,October!$D$3:$AH$3)+1)+INDEX(October!$C$3:$AH$169,24,MATCH(B321,October!$D$3:$AH$3)+1)+INDEX(October!$C$3:$AH$169,29,MATCH(B321,October!$D$3:$AH$3)+1)+INDEX(October!$C$3:$AH$169,34,MATCH(B321,October!$D$3:$AH$3)+1)+INDEX(October!$C$3:$AH$169,39,MATCH(B321,October!$D$3:$AH$3)+1)+INDEX(October!$C$3:$AH$169,44,MATCH(B321,October!$D$3:$AH$3)+1)+INDEX(October!$C$3:$AH$169,49,MATCH(B321,October!$D$3:$AH$3)+1)+INDEX(October!$C$3:$AH$169,54,MATCH(B321,October!$D$3:$AH$3)+1)+INDEX(October!$C$3:$AH$169,59,MATCH(B321,October!$D$3:$AH$3)+1)+INDEX(October!$C$3:$AH$169,64,MATCH(B321,October!$D$3:$AH$3)+1)+INDEX(October!$C$3:$AH$169,69,MATCH(B321,October!$D$3:$AH$3)+1)+INDEX(October!$C$3:$AH$169,74,MATCH(B321,October!$D$3:$AH$3)+1)+INDEX(October!$C$3:$AH$169,79,MATCH(B321,October!$D$3:$AH$3)+1)+INDEX(October!$C$3:$AH$169,84,MATCH(B321,October!$D$3:$AH$3)+1)+INDEX(October!$C$3:$AH$169,89,MATCH(B321,October!$D$3:$AH$3)+1)+INDEX(October!$C$3:$AH$169,94,MATCH(B321,October!$D$3:$AH$3)+1)+INDEX(October!$C$3:$AH$169,99,MATCH(B321,October!$D$3:$AH$3)+1)+INDEX(October!$C$3:$AH$169,104,MATCH(B321,October!$D$3:$AH$3)+1)+INDEX(October!$C$3:$AH$169,109,MATCH(B321,October!$D$3:$AH$3)+1)+INDEX(October!$C$3:$AH$169,114,MATCH(B321,October!$D$3:$AH$3)+1)+INDEX(October!$C$3:$AH$169,119,MATCH(B321,October!$D$3:$AH$3)+1)+INDEX(October!$C$3:$AH$169,124,MATCH(B321,October!$D$3:$AH$3)+1)+INDEX(October!$C$3:$AH$169,129,MATCH(B321,October!$D$3:$AH$3)+1)+INDEX(October!$C$3:$AH$169,134,MATCH(B321,October!$D$3:$AH$3)+1)+INDEX(October!$C$3:$AH$169,139,MATCH(B321,October!$D$3:$AH$3)+1)+INDEX(October!$C$3:$AH$169,144,MATCH(B321,October!$D$3:$AH$3)+1)+INDEX(October!$C$3:$AH$169,149,MATCH(B321,October!$D$3:$AH$3)+1)-INDEX(October!$B$5:$AH$169,MATCH("Patrick Janssen",October!$B$5:$B$169)+1,MATCH(B321,October!$D$3:$AH$3)+2)-INDEX(October!$B$5:$AH$169,MATCH("Patrick Ziesen",October!$B$5:$B$169)+1,MATCH(B321,October!$D$3:$AH$3)+2)-INDEX(October!$B$5:$AH$169,MATCH("Frido Meijer",October!$B$5:$B$169)+1,MATCH(B321,October!$D$3:$AH$3)+2)</f>
        <v>0</v>
      </c>
      <c r="I321" s="130">
        <v>0</v>
      </c>
      <c r="J321" s="130">
        <v>0</v>
      </c>
      <c r="L321" s="111"/>
      <c r="M321" s="111"/>
      <c r="N321" s="111">
        <f t="shared" si="93"/>
        <v>0</v>
      </c>
      <c r="P321" s="112">
        <f t="shared" si="98"/>
        <v>0</v>
      </c>
      <c r="Q321" s="112">
        <f t="shared" si="99"/>
        <v>0</v>
      </c>
    </row>
    <row r="322" spans="2:17" x14ac:dyDescent="0.25">
      <c r="B322" s="110">
        <f>DATE(Title!$F$12,$S$14,S30)</f>
        <v>41573</v>
      </c>
      <c r="C322" s="111">
        <f>IF(WEEKDAY(B322)=1,0,IF(WEEKDAY(B322)=4,'Hours Scheduled'!$K$44-1,IF(WEEKDAY(B322)=7,0,'Hours Scheduled'!$K$44)))</f>
        <v>0</v>
      </c>
      <c r="D322" s="17">
        <f t="shared" si="96"/>
        <v>0</v>
      </c>
      <c r="E322" s="127">
        <f t="shared" si="97"/>
        <v>0</v>
      </c>
      <c r="F322" s="111"/>
      <c r="G322" s="130">
        <f>INDEX(October!$C$3:$AH$169,3,MATCH(B322,October!$D$3:$AH$3)+1)+INDEX(October!$C$3:$AH$169,8,MATCH(B322,October!$D$3:$AH$3)+1)+INDEX(October!$C$3:$AH$169,13,MATCH(B322,October!$D$3:$AH$3)+1)+INDEX(October!$C$3:$AH$169,18,MATCH(B322,October!$D$3:$AH$3)+1)+INDEX(October!$C$3:$AH$169,23,MATCH(B322,October!$D$3:$AH$3)+1)+INDEX(October!$C$3:$AH$169,28,MATCH(B322,October!$D$3:$AH$3)+1)+INDEX(October!$C$3:$AH$169,33,MATCH(B322,October!$D$3:$AH$3)+1)+INDEX(October!$C$3:$AH$169,38,MATCH(B322,October!$D$3:$AH$3)+1)+INDEX(October!$C$3:$AH$169,43,MATCH(B322,October!$D$3:$AH$3)+1)+INDEX(October!$C$3:$AH$169,48,MATCH(B322,October!$D$3:$AH$3)+1)+INDEX(October!$C$3:$AH$169,53,MATCH(B322,October!$D$3:$AH$3)+1)+INDEX(October!$C$3:$AH$169,58,MATCH(B322,October!$D$3:$AH$3)+1)+INDEX(October!$C$3:$AH$169,63,MATCH(B322,October!$D$3:$AH$3)+1)+INDEX(October!$C$3:$AH$169,68,MATCH(B322,October!$D$3:$AH$3)+1)+INDEX(October!$C$3:$AH$169,73,MATCH(B322,October!$D$3:$AH$3)+1)+INDEX(October!$C$3:$AH$169,78,MATCH(B322,October!$D$3:$AH$3)+1)+INDEX(October!$C$3:$AH$169,83,MATCH(B322,October!$D$3:$AH$3)+1)+INDEX(October!$C$3:$AH$169,88,MATCH(B322,October!$D$3:$AH$3)+1)+INDEX(October!$C$3:$AH$169,93,MATCH(B322,October!$D$3:$AH$3)+1)+INDEX(October!$C$3:$AH$169,98,MATCH(B322,October!$D$3:$AH$3)+1)+INDEX(October!$C$3:$AH$169,103,MATCH(B322,October!$D$3:$AH$3)+1)+INDEX(October!$C$3:$AH$169,108,MATCH(B322,October!$D$3:$AH$3)+1)+INDEX(October!$C$3:$AH$169,113,MATCH(B322,October!$D$3:$AH$3)+1)+INDEX(October!$C$3:$AH$169,118,MATCH(B322,October!$D$3:$AH$3)+1)+INDEX(October!$C$3:$AH$169,123,MATCH(B322,October!$D$3:$AH$3)+1)+INDEX(October!$C$3:$AH$169,128,MATCH(B322,October!$D$3:$AH$3)+1)+INDEX(October!$C$3:$AH$169,133,MATCH(B322,October!$D$3:$AH$3)+1)+INDEX(October!$C$3:$AH$169,138,MATCH(B322,October!$D$3:$AH$3)+1)+INDEX(October!$C$3:$AH$169,143,MATCH(B322,October!$D$3:$AH$3)+1)+INDEX(October!$C$3:$AH$169,148,MATCH(B322,October!$D$3:$AH$3)+1)-INDEX(October!$B$5:$AH$169,MATCH("Patrick Janssen",October!$B$5:$B$169),MATCH(B322,October!$D$3:$AH$3)+2)-INDEX(October!$B$5:$AH$169,MATCH("Patrick Ziesen",October!$B$5:$B$169),MATCH(B322,October!$D$3:$AH$3)+2)-INDEX(October!$B$5:$AH$169,MATCH("Frido Meijer",October!$B$5:$B$169),MATCH(B322,October!$D$3:$AH$3)+2)</f>
        <v>0</v>
      </c>
      <c r="H322" s="130">
        <f>INDEX(October!$C$3:$AH$169,4,MATCH(B322,October!$D$3:$AH$3)+1)+INDEX(October!$C$3:$AH$169,9,MATCH(B322,October!$D$3:$AH$3)+1)+INDEX(October!$C$3:$AH$169,14,MATCH(B322,October!$D$3:$AH$3)+1)+INDEX(October!$C$3:$AH$169,19,MATCH(B322,October!$D$3:$AH$3)+1)+INDEX(October!$C$3:$AH$169,24,MATCH(B322,October!$D$3:$AH$3)+1)+INDEX(October!$C$3:$AH$169,29,MATCH(B322,October!$D$3:$AH$3)+1)+INDEX(October!$C$3:$AH$169,34,MATCH(B322,October!$D$3:$AH$3)+1)+INDEX(October!$C$3:$AH$169,39,MATCH(B322,October!$D$3:$AH$3)+1)+INDEX(October!$C$3:$AH$169,44,MATCH(B322,October!$D$3:$AH$3)+1)+INDEX(October!$C$3:$AH$169,49,MATCH(B322,October!$D$3:$AH$3)+1)+INDEX(October!$C$3:$AH$169,54,MATCH(B322,October!$D$3:$AH$3)+1)+INDEX(October!$C$3:$AH$169,59,MATCH(B322,October!$D$3:$AH$3)+1)+INDEX(October!$C$3:$AH$169,64,MATCH(B322,October!$D$3:$AH$3)+1)+INDEX(October!$C$3:$AH$169,69,MATCH(B322,October!$D$3:$AH$3)+1)+INDEX(October!$C$3:$AH$169,74,MATCH(B322,October!$D$3:$AH$3)+1)+INDEX(October!$C$3:$AH$169,79,MATCH(B322,October!$D$3:$AH$3)+1)+INDEX(October!$C$3:$AH$169,84,MATCH(B322,October!$D$3:$AH$3)+1)+INDEX(October!$C$3:$AH$169,89,MATCH(B322,October!$D$3:$AH$3)+1)+INDEX(October!$C$3:$AH$169,94,MATCH(B322,October!$D$3:$AH$3)+1)+INDEX(October!$C$3:$AH$169,99,MATCH(B322,October!$D$3:$AH$3)+1)+INDEX(October!$C$3:$AH$169,104,MATCH(B322,October!$D$3:$AH$3)+1)+INDEX(October!$C$3:$AH$169,109,MATCH(B322,October!$D$3:$AH$3)+1)+INDEX(October!$C$3:$AH$169,114,MATCH(B322,October!$D$3:$AH$3)+1)+INDEX(October!$C$3:$AH$169,119,MATCH(B322,October!$D$3:$AH$3)+1)+INDEX(October!$C$3:$AH$169,124,MATCH(B322,October!$D$3:$AH$3)+1)+INDEX(October!$C$3:$AH$169,129,MATCH(B322,October!$D$3:$AH$3)+1)+INDEX(October!$C$3:$AH$169,134,MATCH(B322,October!$D$3:$AH$3)+1)+INDEX(October!$C$3:$AH$169,139,MATCH(B322,October!$D$3:$AH$3)+1)+INDEX(October!$C$3:$AH$169,144,MATCH(B322,October!$D$3:$AH$3)+1)+INDEX(October!$C$3:$AH$169,149,MATCH(B322,October!$D$3:$AH$3)+1)-INDEX(October!$B$5:$AH$169,MATCH("Patrick Janssen",October!$B$5:$B$169)+1,MATCH(B322,October!$D$3:$AH$3)+2)-INDEX(October!$B$5:$AH$169,MATCH("Patrick Ziesen",October!$B$5:$B$169)+1,MATCH(B322,October!$D$3:$AH$3)+2)-INDEX(October!$B$5:$AH$169,MATCH("Frido Meijer",October!$B$5:$B$169)+1,MATCH(B322,October!$D$3:$AH$3)+2)</f>
        <v>0</v>
      </c>
      <c r="I322" s="130">
        <v>0</v>
      </c>
      <c r="J322" s="130">
        <v>0</v>
      </c>
      <c r="L322" s="111"/>
      <c r="M322" s="111"/>
      <c r="N322" s="111">
        <f t="shared" si="93"/>
        <v>0</v>
      </c>
      <c r="P322" s="112" t="str">
        <f t="shared" si="98"/>
        <v/>
      </c>
      <c r="Q322" s="112" t="str">
        <f t="shared" si="99"/>
        <v/>
      </c>
    </row>
    <row r="323" spans="2:17" x14ac:dyDescent="0.25">
      <c r="B323" s="110">
        <f>DATE(Title!$F$12,$S$14,S31)</f>
        <v>41574</v>
      </c>
      <c r="C323" s="111">
        <f>IF(WEEKDAY(B323)=1,0,IF(WEEKDAY(B323)=4,'Hours Scheduled'!$K$44-1,IF(WEEKDAY(B323)=7,0,'Hours Scheduled'!$K$44)))</f>
        <v>0</v>
      </c>
      <c r="D323" s="17">
        <f t="shared" si="96"/>
        <v>0</v>
      </c>
      <c r="E323" s="127">
        <f t="shared" si="97"/>
        <v>0</v>
      </c>
      <c r="F323" s="111"/>
      <c r="G323" s="130">
        <f>INDEX(October!$C$3:$AH$169,3,MATCH(B323,October!$D$3:$AH$3)+1)+INDEX(October!$C$3:$AH$169,8,MATCH(B323,October!$D$3:$AH$3)+1)+INDEX(October!$C$3:$AH$169,13,MATCH(B323,October!$D$3:$AH$3)+1)+INDEX(October!$C$3:$AH$169,18,MATCH(B323,October!$D$3:$AH$3)+1)+INDEX(October!$C$3:$AH$169,23,MATCH(B323,October!$D$3:$AH$3)+1)+INDEX(October!$C$3:$AH$169,28,MATCH(B323,October!$D$3:$AH$3)+1)+INDEX(October!$C$3:$AH$169,33,MATCH(B323,October!$D$3:$AH$3)+1)+INDEX(October!$C$3:$AH$169,38,MATCH(B323,October!$D$3:$AH$3)+1)+INDEX(October!$C$3:$AH$169,43,MATCH(B323,October!$D$3:$AH$3)+1)+INDEX(October!$C$3:$AH$169,48,MATCH(B323,October!$D$3:$AH$3)+1)+INDEX(October!$C$3:$AH$169,53,MATCH(B323,October!$D$3:$AH$3)+1)+INDEX(October!$C$3:$AH$169,58,MATCH(B323,October!$D$3:$AH$3)+1)+INDEX(October!$C$3:$AH$169,63,MATCH(B323,October!$D$3:$AH$3)+1)+INDEX(October!$C$3:$AH$169,68,MATCH(B323,October!$D$3:$AH$3)+1)+INDEX(October!$C$3:$AH$169,73,MATCH(B323,October!$D$3:$AH$3)+1)+INDEX(October!$C$3:$AH$169,78,MATCH(B323,October!$D$3:$AH$3)+1)+INDEX(October!$C$3:$AH$169,83,MATCH(B323,October!$D$3:$AH$3)+1)+INDEX(October!$C$3:$AH$169,88,MATCH(B323,October!$D$3:$AH$3)+1)+INDEX(October!$C$3:$AH$169,93,MATCH(B323,October!$D$3:$AH$3)+1)+INDEX(October!$C$3:$AH$169,98,MATCH(B323,October!$D$3:$AH$3)+1)+INDEX(October!$C$3:$AH$169,103,MATCH(B323,October!$D$3:$AH$3)+1)+INDEX(October!$C$3:$AH$169,108,MATCH(B323,October!$D$3:$AH$3)+1)+INDEX(October!$C$3:$AH$169,113,MATCH(B323,October!$D$3:$AH$3)+1)+INDEX(October!$C$3:$AH$169,118,MATCH(B323,October!$D$3:$AH$3)+1)+INDEX(October!$C$3:$AH$169,123,MATCH(B323,October!$D$3:$AH$3)+1)+INDEX(October!$C$3:$AH$169,128,MATCH(B323,October!$D$3:$AH$3)+1)+INDEX(October!$C$3:$AH$169,133,MATCH(B323,October!$D$3:$AH$3)+1)+INDEX(October!$C$3:$AH$169,138,MATCH(B323,October!$D$3:$AH$3)+1)+INDEX(October!$C$3:$AH$169,143,MATCH(B323,October!$D$3:$AH$3)+1)+INDEX(October!$C$3:$AH$169,148,MATCH(B323,October!$D$3:$AH$3)+1)-INDEX(October!$B$5:$AH$169,MATCH("Patrick Janssen",October!$B$5:$B$169),MATCH(B323,October!$D$3:$AH$3)+2)-INDEX(October!$B$5:$AH$169,MATCH("Patrick Ziesen",October!$B$5:$B$169),MATCH(B323,October!$D$3:$AH$3)+2)-INDEX(October!$B$5:$AH$169,MATCH("Frido Meijer",October!$B$5:$B$169),MATCH(B323,October!$D$3:$AH$3)+2)</f>
        <v>0</v>
      </c>
      <c r="H323" s="130">
        <f>INDEX(October!$C$3:$AH$169,4,MATCH(B323,October!$D$3:$AH$3)+1)+INDEX(October!$C$3:$AH$169,9,MATCH(B323,October!$D$3:$AH$3)+1)+INDEX(October!$C$3:$AH$169,14,MATCH(B323,October!$D$3:$AH$3)+1)+INDEX(October!$C$3:$AH$169,19,MATCH(B323,October!$D$3:$AH$3)+1)+INDEX(October!$C$3:$AH$169,24,MATCH(B323,October!$D$3:$AH$3)+1)+INDEX(October!$C$3:$AH$169,29,MATCH(B323,October!$D$3:$AH$3)+1)+INDEX(October!$C$3:$AH$169,34,MATCH(B323,October!$D$3:$AH$3)+1)+INDEX(October!$C$3:$AH$169,39,MATCH(B323,October!$D$3:$AH$3)+1)+INDEX(October!$C$3:$AH$169,44,MATCH(B323,October!$D$3:$AH$3)+1)+INDEX(October!$C$3:$AH$169,49,MATCH(B323,October!$D$3:$AH$3)+1)+INDEX(October!$C$3:$AH$169,54,MATCH(B323,October!$D$3:$AH$3)+1)+INDEX(October!$C$3:$AH$169,59,MATCH(B323,October!$D$3:$AH$3)+1)+INDEX(October!$C$3:$AH$169,64,MATCH(B323,October!$D$3:$AH$3)+1)+INDEX(October!$C$3:$AH$169,69,MATCH(B323,October!$D$3:$AH$3)+1)+INDEX(October!$C$3:$AH$169,74,MATCH(B323,October!$D$3:$AH$3)+1)+INDEX(October!$C$3:$AH$169,79,MATCH(B323,October!$D$3:$AH$3)+1)+INDEX(October!$C$3:$AH$169,84,MATCH(B323,October!$D$3:$AH$3)+1)+INDEX(October!$C$3:$AH$169,89,MATCH(B323,October!$D$3:$AH$3)+1)+INDEX(October!$C$3:$AH$169,94,MATCH(B323,October!$D$3:$AH$3)+1)+INDEX(October!$C$3:$AH$169,99,MATCH(B323,October!$D$3:$AH$3)+1)+INDEX(October!$C$3:$AH$169,104,MATCH(B323,October!$D$3:$AH$3)+1)+INDEX(October!$C$3:$AH$169,109,MATCH(B323,October!$D$3:$AH$3)+1)+INDEX(October!$C$3:$AH$169,114,MATCH(B323,October!$D$3:$AH$3)+1)+INDEX(October!$C$3:$AH$169,119,MATCH(B323,October!$D$3:$AH$3)+1)+INDEX(October!$C$3:$AH$169,124,MATCH(B323,October!$D$3:$AH$3)+1)+INDEX(October!$C$3:$AH$169,129,MATCH(B323,October!$D$3:$AH$3)+1)+INDEX(October!$C$3:$AH$169,134,MATCH(B323,October!$D$3:$AH$3)+1)+INDEX(October!$C$3:$AH$169,139,MATCH(B323,October!$D$3:$AH$3)+1)+INDEX(October!$C$3:$AH$169,144,MATCH(B323,October!$D$3:$AH$3)+1)+INDEX(October!$C$3:$AH$169,149,MATCH(B323,October!$D$3:$AH$3)+1)-INDEX(October!$B$5:$AH$169,MATCH("Patrick Janssen",October!$B$5:$B$169)+1,MATCH(B323,October!$D$3:$AH$3)+2)-INDEX(October!$B$5:$AH$169,MATCH("Patrick Ziesen",October!$B$5:$B$169)+1,MATCH(B323,October!$D$3:$AH$3)+2)-INDEX(October!$B$5:$AH$169,MATCH("Frido Meijer",October!$B$5:$B$169)+1,MATCH(B323,October!$D$3:$AH$3)+2)</f>
        <v>0</v>
      </c>
      <c r="I323" s="130">
        <v>0</v>
      </c>
      <c r="J323" s="130">
        <v>0</v>
      </c>
      <c r="L323" s="111"/>
      <c r="M323" s="111"/>
      <c r="N323" s="111">
        <f t="shared" si="93"/>
        <v>0</v>
      </c>
      <c r="P323" s="112" t="str">
        <f t="shared" si="98"/>
        <v/>
      </c>
      <c r="Q323" s="112" t="str">
        <f t="shared" si="99"/>
        <v/>
      </c>
    </row>
    <row r="324" spans="2:17" x14ac:dyDescent="0.25">
      <c r="B324" s="110">
        <f>DATE(Title!$F$12,$S$14,S32)</f>
        <v>41575</v>
      </c>
      <c r="C324" s="111">
        <f>IF(WEEKDAY(B324)=1,0,IF(WEEKDAY(B324)=4,'Hours Scheduled'!$K$44-1,IF(WEEKDAY(B324)=7,0,'Hours Scheduled'!$K$44)))</f>
        <v>21</v>
      </c>
      <c r="D324" s="17">
        <f t="shared" si="96"/>
        <v>157.5</v>
      </c>
      <c r="E324" s="127">
        <f t="shared" si="97"/>
        <v>168</v>
      </c>
      <c r="F324" s="111"/>
      <c r="G324" s="130">
        <f>INDEX(October!$C$3:$AH$169,3,MATCH(B324,October!$D$3:$AH$3)+1)+INDEX(October!$C$3:$AH$169,8,MATCH(B324,October!$D$3:$AH$3)+1)+INDEX(October!$C$3:$AH$169,13,MATCH(B324,October!$D$3:$AH$3)+1)+INDEX(October!$C$3:$AH$169,18,MATCH(B324,October!$D$3:$AH$3)+1)+INDEX(October!$C$3:$AH$169,23,MATCH(B324,October!$D$3:$AH$3)+1)+INDEX(October!$C$3:$AH$169,28,MATCH(B324,October!$D$3:$AH$3)+1)+INDEX(October!$C$3:$AH$169,33,MATCH(B324,October!$D$3:$AH$3)+1)+INDEX(October!$C$3:$AH$169,38,MATCH(B324,October!$D$3:$AH$3)+1)+INDEX(October!$C$3:$AH$169,43,MATCH(B324,October!$D$3:$AH$3)+1)+INDEX(October!$C$3:$AH$169,48,MATCH(B324,October!$D$3:$AH$3)+1)+INDEX(October!$C$3:$AH$169,53,MATCH(B324,October!$D$3:$AH$3)+1)+INDEX(October!$C$3:$AH$169,58,MATCH(B324,October!$D$3:$AH$3)+1)+INDEX(October!$C$3:$AH$169,63,MATCH(B324,October!$D$3:$AH$3)+1)+INDEX(October!$C$3:$AH$169,68,MATCH(B324,October!$D$3:$AH$3)+1)+INDEX(October!$C$3:$AH$169,73,MATCH(B324,October!$D$3:$AH$3)+1)+INDEX(October!$C$3:$AH$169,78,MATCH(B324,October!$D$3:$AH$3)+1)+INDEX(October!$C$3:$AH$169,83,MATCH(B324,October!$D$3:$AH$3)+1)+INDEX(October!$C$3:$AH$169,88,MATCH(B324,October!$D$3:$AH$3)+1)+INDEX(October!$C$3:$AH$169,93,MATCH(B324,October!$D$3:$AH$3)+1)+INDEX(October!$C$3:$AH$169,98,MATCH(B324,October!$D$3:$AH$3)+1)+INDEX(October!$C$3:$AH$169,103,MATCH(B324,October!$D$3:$AH$3)+1)+INDEX(October!$C$3:$AH$169,108,MATCH(B324,October!$D$3:$AH$3)+1)+INDEX(October!$C$3:$AH$169,113,MATCH(B324,October!$D$3:$AH$3)+1)+INDEX(October!$C$3:$AH$169,118,MATCH(B324,October!$D$3:$AH$3)+1)+INDEX(October!$C$3:$AH$169,123,MATCH(B324,October!$D$3:$AH$3)+1)+INDEX(October!$C$3:$AH$169,128,MATCH(B324,October!$D$3:$AH$3)+1)+INDEX(October!$C$3:$AH$169,133,MATCH(B324,October!$D$3:$AH$3)+1)+INDEX(October!$C$3:$AH$169,138,MATCH(B324,October!$D$3:$AH$3)+1)+INDEX(October!$C$3:$AH$169,143,MATCH(B324,October!$D$3:$AH$3)+1)+INDEX(October!$C$3:$AH$169,148,MATCH(B324,October!$D$3:$AH$3)+1)-INDEX(October!$B$5:$AH$169,MATCH("Patrick Janssen",October!$B$5:$B$169),MATCH(B324,October!$D$3:$AH$3)+2)-INDEX(October!$B$5:$AH$169,MATCH("Patrick Ziesen",October!$B$5:$B$169),MATCH(B324,October!$D$3:$AH$3)+2)-INDEX(October!$B$5:$AH$169,MATCH("Frido Meijer",October!$B$5:$B$169),MATCH(B324,October!$D$3:$AH$3)+2)</f>
        <v>0</v>
      </c>
      <c r="H324" s="130">
        <f>INDEX(October!$C$3:$AH$169,4,MATCH(B324,October!$D$3:$AH$3)+1)+INDEX(October!$C$3:$AH$169,9,MATCH(B324,October!$D$3:$AH$3)+1)+INDEX(October!$C$3:$AH$169,14,MATCH(B324,October!$D$3:$AH$3)+1)+INDEX(October!$C$3:$AH$169,19,MATCH(B324,October!$D$3:$AH$3)+1)+INDEX(October!$C$3:$AH$169,24,MATCH(B324,October!$D$3:$AH$3)+1)+INDEX(October!$C$3:$AH$169,29,MATCH(B324,October!$D$3:$AH$3)+1)+INDEX(October!$C$3:$AH$169,34,MATCH(B324,October!$D$3:$AH$3)+1)+INDEX(October!$C$3:$AH$169,39,MATCH(B324,October!$D$3:$AH$3)+1)+INDEX(October!$C$3:$AH$169,44,MATCH(B324,October!$D$3:$AH$3)+1)+INDEX(October!$C$3:$AH$169,49,MATCH(B324,October!$D$3:$AH$3)+1)+INDEX(October!$C$3:$AH$169,54,MATCH(B324,October!$D$3:$AH$3)+1)+INDEX(October!$C$3:$AH$169,59,MATCH(B324,October!$D$3:$AH$3)+1)+INDEX(October!$C$3:$AH$169,64,MATCH(B324,October!$D$3:$AH$3)+1)+INDEX(October!$C$3:$AH$169,69,MATCH(B324,October!$D$3:$AH$3)+1)+INDEX(October!$C$3:$AH$169,74,MATCH(B324,October!$D$3:$AH$3)+1)+INDEX(October!$C$3:$AH$169,79,MATCH(B324,October!$D$3:$AH$3)+1)+INDEX(October!$C$3:$AH$169,84,MATCH(B324,October!$D$3:$AH$3)+1)+INDEX(October!$C$3:$AH$169,89,MATCH(B324,October!$D$3:$AH$3)+1)+INDEX(October!$C$3:$AH$169,94,MATCH(B324,October!$D$3:$AH$3)+1)+INDEX(October!$C$3:$AH$169,99,MATCH(B324,October!$D$3:$AH$3)+1)+INDEX(October!$C$3:$AH$169,104,MATCH(B324,October!$D$3:$AH$3)+1)+INDEX(October!$C$3:$AH$169,109,MATCH(B324,October!$D$3:$AH$3)+1)+INDEX(October!$C$3:$AH$169,114,MATCH(B324,October!$D$3:$AH$3)+1)+INDEX(October!$C$3:$AH$169,119,MATCH(B324,October!$D$3:$AH$3)+1)+INDEX(October!$C$3:$AH$169,124,MATCH(B324,October!$D$3:$AH$3)+1)+INDEX(October!$C$3:$AH$169,129,MATCH(B324,October!$D$3:$AH$3)+1)+INDEX(October!$C$3:$AH$169,134,MATCH(B324,October!$D$3:$AH$3)+1)+INDEX(October!$C$3:$AH$169,139,MATCH(B324,October!$D$3:$AH$3)+1)+INDEX(October!$C$3:$AH$169,144,MATCH(B324,October!$D$3:$AH$3)+1)+INDEX(October!$C$3:$AH$169,149,MATCH(B324,October!$D$3:$AH$3)+1)-INDEX(October!$B$5:$AH$169,MATCH("Patrick Janssen",October!$B$5:$B$169)+1,MATCH(B324,October!$D$3:$AH$3)+2)-INDEX(October!$B$5:$AH$169,MATCH("Patrick Ziesen",October!$B$5:$B$169)+1,MATCH(B324,October!$D$3:$AH$3)+2)-INDEX(October!$B$5:$AH$169,MATCH("Frido Meijer",October!$B$5:$B$169)+1,MATCH(B324,October!$D$3:$AH$3)+2)</f>
        <v>0</v>
      </c>
      <c r="I324" s="130">
        <v>0</v>
      </c>
      <c r="J324" s="130">
        <v>0</v>
      </c>
      <c r="L324" s="111"/>
      <c r="M324" s="111"/>
      <c r="N324" s="111">
        <f t="shared" si="93"/>
        <v>0</v>
      </c>
      <c r="P324" s="112">
        <f t="shared" si="98"/>
        <v>0</v>
      </c>
      <c r="Q324" s="112">
        <f t="shared" si="99"/>
        <v>0</v>
      </c>
    </row>
    <row r="325" spans="2:17" x14ac:dyDescent="0.25">
      <c r="B325" s="110">
        <f>DATE(Title!$F$12,$S$14,S33)</f>
        <v>41576</v>
      </c>
      <c r="C325" s="111">
        <f>IF(WEEKDAY(B325)=1,0,IF(WEEKDAY(B325)=4,'Hours Scheduled'!$K$44-1,IF(WEEKDAY(B325)=7,0,'Hours Scheduled'!$K$44)))</f>
        <v>21</v>
      </c>
      <c r="D325" s="17">
        <f t="shared" si="96"/>
        <v>157.5</v>
      </c>
      <c r="E325" s="127">
        <f t="shared" si="97"/>
        <v>168</v>
      </c>
      <c r="F325" s="111"/>
      <c r="G325" s="130">
        <f>INDEX(October!$C$3:$AH$169,3,MATCH(B325,October!$D$3:$AH$3)+1)+INDEX(October!$C$3:$AH$169,8,MATCH(B325,October!$D$3:$AH$3)+1)+INDEX(October!$C$3:$AH$169,13,MATCH(B325,October!$D$3:$AH$3)+1)+INDEX(October!$C$3:$AH$169,18,MATCH(B325,October!$D$3:$AH$3)+1)+INDEX(October!$C$3:$AH$169,23,MATCH(B325,October!$D$3:$AH$3)+1)+INDEX(October!$C$3:$AH$169,28,MATCH(B325,October!$D$3:$AH$3)+1)+INDEX(October!$C$3:$AH$169,33,MATCH(B325,October!$D$3:$AH$3)+1)+INDEX(October!$C$3:$AH$169,38,MATCH(B325,October!$D$3:$AH$3)+1)+INDEX(October!$C$3:$AH$169,43,MATCH(B325,October!$D$3:$AH$3)+1)+INDEX(October!$C$3:$AH$169,48,MATCH(B325,October!$D$3:$AH$3)+1)+INDEX(October!$C$3:$AH$169,53,MATCH(B325,October!$D$3:$AH$3)+1)+INDEX(October!$C$3:$AH$169,58,MATCH(B325,October!$D$3:$AH$3)+1)+INDEX(October!$C$3:$AH$169,63,MATCH(B325,October!$D$3:$AH$3)+1)+INDEX(October!$C$3:$AH$169,68,MATCH(B325,October!$D$3:$AH$3)+1)+INDEX(October!$C$3:$AH$169,73,MATCH(B325,October!$D$3:$AH$3)+1)+INDEX(October!$C$3:$AH$169,78,MATCH(B325,October!$D$3:$AH$3)+1)+INDEX(October!$C$3:$AH$169,83,MATCH(B325,October!$D$3:$AH$3)+1)+INDEX(October!$C$3:$AH$169,88,MATCH(B325,October!$D$3:$AH$3)+1)+INDEX(October!$C$3:$AH$169,93,MATCH(B325,October!$D$3:$AH$3)+1)+INDEX(October!$C$3:$AH$169,98,MATCH(B325,October!$D$3:$AH$3)+1)+INDEX(October!$C$3:$AH$169,103,MATCH(B325,October!$D$3:$AH$3)+1)+INDEX(October!$C$3:$AH$169,108,MATCH(B325,October!$D$3:$AH$3)+1)+INDEX(October!$C$3:$AH$169,113,MATCH(B325,October!$D$3:$AH$3)+1)+INDEX(October!$C$3:$AH$169,118,MATCH(B325,October!$D$3:$AH$3)+1)+INDEX(October!$C$3:$AH$169,123,MATCH(B325,October!$D$3:$AH$3)+1)+INDEX(October!$C$3:$AH$169,128,MATCH(B325,October!$D$3:$AH$3)+1)+INDEX(October!$C$3:$AH$169,133,MATCH(B325,October!$D$3:$AH$3)+1)+INDEX(October!$C$3:$AH$169,138,MATCH(B325,October!$D$3:$AH$3)+1)+INDEX(October!$C$3:$AH$169,143,MATCH(B325,October!$D$3:$AH$3)+1)+INDEX(October!$C$3:$AH$169,148,MATCH(B325,October!$D$3:$AH$3)+1)-INDEX(October!$B$5:$AH$169,MATCH("Patrick Janssen",October!$B$5:$B$169),MATCH(B325,October!$D$3:$AH$3)+2)-INDEX(October!$B$5:$AH$169,MATCH("Patrick Ziesen",October!$B$5:$B$169),MATCH(B325,October!$D$3:$AH$3)+2)-INDEX(October!$B$5:$AH$169,MATCH("Frido Meijer",October!$B$5:$B$169),MATCH(B325,October!$D$3:$AH$3)+2)</f>
        <v>0</v>
      </c>
      <c r="H325" s="130">
        <f>INDEX(October!$C$3:$AH$169,4,MATCH(B325,October!$D$3:$AH$3)+1)+INDEX(October!$C$3:$AH$169,9,MATCH(B325,October!$D$3:$AH$3)+1)+INDEX(October!$C$3:$AH$169,14,MATCH(B325,October!$D$3:$AH$3)+1)+INDEX(October!$C$3:$AH$169,19,MATCH(B325,October!$D$3:$AH$3)+1)+INDEX(October!$C$3:$AH$169,24,MATCH(B325,October!$D$3:$AH$3)+1)+INDEX(October!$C$3:$AH$169,29,MATCH(B325,October!$D$3:$AH$3)+1)+INDEX(October!$C$3:$AH$169,34,MATCH(B325,October!$D$3:$AH$3)+1)+INDEX(October!$C$3:$AH$169,39,MATCH(B325,October!$D$3:$AH$3)+1)+INDEX(October!$C$3:$AH$169,44,MATCH(B325,October!$D$3:$AH$3)+1)+INDEX(October!$C$3:$AH$169,49,MATCH(B325,October!$D$3:$AH$3)+1)+INDEX(October!$C$3:$AH$169,54,MATCH(B325,October!$D$3:$AH$3)+1)+INDEX(October!$C$3:$AH$169,59,MATCH(B325,October!$D$3:$AH$3)+1)+INDEX(October!$C$3:$AH$169,64,MATCH(B325,October!$D$3:$AH$3)+1)+INDEX(October!$C$3:$AH$169,69,MATCH(B325,October!$D$3:$AH$3)+1)+INDEX(October!$C$3:$AH$169,74,MATCH(B325,October!$D$3:$AH$3)+1)+INDEX(October!$C$3:$AH$169,79,MATCH(B325,October!$D$3:$AH$3)+1)+INDEX(October!$C$3:$AH$169,84,MATCH(B325,October!$D$3:$AH$3)+1)+INDEX(October!$C$3:$AH$169,89,MATCH(B325,October!$D$3:$AH$3)+1)+INDEX(October!$C$3:$AH$169,94,MATCH(B325,October!$D$3:$AH$3)+1)+INDEX(October!$C$3:$AH$169,99,MATCH(B325,October!$D$3:$AH$3)+1)+INDEX(October!$C$3:$AH$169,104,MATCH(B325,October!$D$3:$AH$3)+1)+INDEX(October!$C$3:$AH$169,109,MATCH(B325,October!$D$3:$AH$3)+1)+INDEX(October!$C$3:$AH$169,114,MATCH(B325,October!$D$3:$AH$3)+1)+INDEX(October!$C$3:$AH$169,119,MATCH(B325,October!$D$3:$AH$3)+1)+INDEX(October!$C$3:$AH$169,124,MATCH(B325,October!$D$3:$AH$3)+1)+INDEX(October!$C$3:$AH$169,129,MATCH(B325,October!$D$3:$AH$3)+1)+INDEX(October!$C$3:$AH$169,134,MATCH(B325,October!$D$3:$AH$3)+1)+INDEX(October!$C$3:$AH$169,139,MATCH(B325,October!$D$3:$AH$3)+1)+INDEX(October!$C$3:$AH$169,144,MATCH(B325,October!$D$3:$AH$3)+1)+INDEX(October!$C$3:$AH$169,149,MATCH(B325,October!$D$3:$AH$3)+1)-INDEX(October!$B$5:$AH$169,MATCH("Patrick Janssen",October!$B$5:$B$169)+1,MATCH(B325,October!$D$3:$AH$3)+2)-INDEX(October!$B$5:$AH$169,MATCH("Patrick Ziesen",October!$B$5:$B$169)+1,MATCH(B325,October!$D$3:$AH$3)+2)-INDEX(October!$B$5:$AH$169,MATCH("Frido Meijer",October!$B$5:$B$169)+1,MATCH(B325,October!$D$3:$AH$3)+2)</f>
        <v>0</v>
      </c>
      <c r="I325" s="130">
        <v>0</v>
      </c>
      <c r="J325" s="130">
        <v>0</v>
      </c>
      <c r="L325" s="111"/>
      <c r="M325" s="111"/>
      <c r="N325" s="111">
        <f t="shared" si="93"/>
        <v>0</v>
      </c>
      <c r="P325" s="112">
        <f t="shared" si="98"/>
        <v>0</v>
      </c>
      <c r="Q325" s="112">
        <f t="shared" si="99"/>
        <v>0</v>
      </c>
    </row>
    <row r="326" spans="2:17" x14ac:dyDescent="0.25">
      <c r="B326" s="110">
        <f>DATE(Title!$F$12,$S$14,S34)</f>
        <v>41577</v>
      </c>
      <c r="C326" s="111">
        <f>IF(WEEKDAY(B326)=1,0,IF(WEEKDAY(B326)=4,'Hours Scheduled'!$K$44-1,IF(WEEKDAY(B326)=7,0,'Hours Scheduled'!$K$44)))</f>
        <v>20</v>
      </c>
      <c r="D326" s="17">
        <f t="shared" si="96"/>
        <v>150</v>
      </c>
      <c r="E326" s="127">
        <f t="shared" si="97"/>
        <v>160</v>
      </c>
      <c r="F326" s="111"/>
      <c r="G326" s="130">
        <f>INDEX(October!$C$3:$AH$169,3,MATCH(B326,October!$D$3:$AH$3)+1)+INDEX(October!$C$3:$AH$169,8,MATCH(B326,October!$D$3:$AH$3)+1)+INDEX(October!$C$3:$AH$169,13,MATCH(B326,October!$D$3:$AH$3)+1)+INDEX(October!$C$3:$AH$169,18,MATCH(B326,October!$D$3:$AH$3)+1)+INDEX(October!$C$3:$AH$169,23,MATCH(B326,October!$D$3:$AH$3)+1)+INDEX(October!$C$3:$AH$169,28,MATCH(B326,October!$D$3:$AH$3)+1)+INDEX(October!$C$3:$AH$169,33,MATCH(B326,October!$D$3:$AH$3)+1)+INDEX(October!$C$3:$AH$169,38,MATCH(B326,October!$D$3:$AH$3)+1)+INDEX(October!$C$3:$AH$169,43,MATCH(B326,October!$D$3:$AH$3)+1)+INDEX(October!$C$3:$AH$169,48,MATCH(B326,October!$D$3:$AH$3)+1)+INDEX(October!$C$3:$AH$169,53,MATCH(B326,October!$D$3:$AH$3)+1)+INDEX(October!$C$3:$AH$169,58,MATCH(B326,October!$D$3:$AH$3)+1)+INDEX(October!$C$3:$AH$169,63,MATCH(B326,October!$D$3:$AH$3)+1)+INDEX(October!$C$3:$AH$169,68,MATCH(B326,October!$D$3:$AH$3)+1)+INDEX(October!$C$3:$AH$169,73,MATCH(B326,October!$D$3:$AH$3)+1)+INDEX(October!$C$3:$AH$169,78,MATCH(B326,October!$D$3:$AH$3)+1)+INDEX(October!$C$3:$AH$169,83,MATCH(B326,October!$D$3:$AH$3)+1)+INDEX(October!$C$3:$AH$169,88,MATCH(B326,October!$D$3:$AH$3)+1)+INDEX(October!$C$3:$AH$169,93,MATCH(B326,October!$D$3:$AH$3)+1)+INDEX(October!$C$3:$AH$169,98,MATCH(B326,October!$D$3:$AH$3)+1)+INDEX(October!$C$3:$AH$169,103,MATCH(B326,October!$D$3:$AH$3)+1)+INDEX(October!$C$3:$AH$169,108,MATCH(B326,October!$D$3:$AH$3)+1)+INDEX(October!$C$3:$AH$169,113,MATCH(B326,October!$D$3:$AH$3)+1)+INDEX(October!$C$3:$AH$169,118,MATCH(B326,October!$D$3:$AH$3)+1)+INDEX(October!$C$3:$AH$169,123,MATCH(B326,October!$D$3:$AH$3)+1)+INDEX(October!$C$3:$AH$169,128,MATCH(B326,October!$D$3:$AH$3)+1)+INDEX(October!$C$3:$AH$169,133,MATCH(B326,October!$D$3:$AH$3)+1)+INDEX(October!$C$3:$AH$169,138,MATCH(B326,October!$D$3:$AH$3)+1)+INDEX(October!$C$3:$AH$169,143,MATCH(B326,October!$D$3:$AH$3)+1)+INDEX(October!$C$3:$AH$169,148,MATCH(B326,October!$D$3:$AH$3)+1)-INDEX(October!$B$5:$AH$169,MATCH("Patrick Janssen",October!$B$5:$B$169),MATCH(B326,October!$D$3:$AH$3)+2)-INDEX(October!$B$5:$AH$169,MATCH("Patrick Ziesen",October!$B$5:$B$169),MATCH(B326,October!$D$3:$AH$3)+2)-INDEX(October!$B$5:$AH$169,MATCH("Frido Meijer",October!$B$5:$B$169),MATCH(B326,October!$D$3:$AH$3)+2)</f>
        <v>0</v>
      </c>
      <c r="H326" s="130">
        <f>INDEX(October!$C$3:$AH$169,4,MATCH(B326,October!$D$3:$AH$3)+1)+INDEX(October!$C$3:$AH$169,9,MATCH(B326,October!$D$3:$AH$3)+1)+INDEX(October!$C$3:$AH$169,14,MATCH(B326,October!$D$3:$AH$3)+1)+INDEX(October!$C$3:$AH$169,19,MATCH(B326,October!$D$3:$AH$3)+1)+INDEX(October!$C$3:$AH$169,24,MATCH(B326,October!$D$3:$AH$3)+1)+INDEX(October!$C$3:$AH$169,29,MATCH(B326,October!$D$3:$AH$3)+1)+INDEX(October!$C$3:$AH$169,34,MATCH(B326,October!$D$3:$AH$3)+1)+INDEX(October!$C$3:$AH$169,39,MATCH(B326,October!$D$3:$AH$3)+1)+INDEX(October!$C$3:$AH$169,44,MATCH(B326,October!$D$3:$AH$3)+1)+INDEX(October!$C$3:$AH$169,49,MATCH(B326,October!$D$3:$AH$3)+1)+INDEX(October!$C$3:$AH$169,54,MATCH(B326,October!$D$3:$AH$3)+1)+INDEX(October!$C$3:$AH$169,59,MATCH(B326,October!$D$3:$AH$3)+1)+INDEX(October!$C$3:$AH$169,64,MATCH(B326,October!$D$3:$AH$3)+1)+INDEX(October!$C$3:$AH$169,69,MATCH(B326,October!$D$3:$AH$3)+1)+INDEX(October!$C$3:$AH$169,74,MATCH(B326,October!$D$3:$AH$3)+1)+INDEX(October!$C$3:$AH$169,79,MATCH(B326,October!$D$3:$AH$3)+1)+INDEX(October!$C$3:$AH$169,84,MATCH(B326,October!$D$3:$AH$3)+1)+INDEX(October!$C$3:$AH$169,89,MATCH(B326,October!$D$3:$AH$3)+1)+INDEX(October!$C$3:$AH$169,94,MATCH(B326,October!$D$3:$AH$3)+1)+INDEX(October!$C$3:$AH$169,99,MATCH(B326,October!$D$3:$AH$3)+1)+INDEX(October!$C$3:$AH$169,104,MATCH(B326,October!$D$3:$AH$3)+1)+INDEX(October!$C$3:$AH$169,109,MATCH(B326,October!$D$3:$AH$3)+1)+INDEX(October!$C$3:$AH$169,114,MATCH(B326,October!$D$3:$AH$3)+1)+INDEX(October!$C$3:$AH$169,119,MATCH(B326,October!$D$3:$AH$3)+1)+INDEX(October!$C$3:$AH$169,124,MATCH(B326,October!$D$3:$AH$3)+1)+INDEX(October!$C$3:$AH$169,129,MATCH(B326,October!$D$3:$AH$3)+1)+INDEX(October!$C$3:$AH$169,134,MATCH(B326,October!$D$3:$AH$3)+1)+INDEX(October!$C$3:$AH$169,139,MATCH(B326,October!$D$3:$AH$3)+1)+INDEX(October!$C$3:$AH$169,144,MATCH(B326,October!$D$3:$AH$3)+1)+INDEX(October!$C$3:$AH$169,149,MATCH(B326,October!$D$3:$AH$3)+1)-INDEX(October!$B$5:$AH$169,MATCH("Patrick Janssen",October!$B$5:$B$169)+1,MATCH(B326,October!$D$3:$AH$3)+2)-INDEX(October!$B$5:$AH$169,MATCH("Patrick Ziesen",October!$B$5:$B$169)+1,MATCH(B326,October!$D$3:$AH$3)+2)-INDEX(October!$B$5:$AH$169,MATCH("Frido Meijer",October!$B$5:$B$169)+1,MATCH(B326,October!$D$3:$AH$3)+2)</f>
        <v>0</v>
      </c>
      <c r="I326" s="130">
        <v>0</v>
      </c>
      <c r="J326" s="130">
        <v>0</v>
      </c>
      <c r="L326" s="111"/>
      <c r="M326" s="111"/>
      <c r="N326" s="111">
        <f t="shared" si="93"/>
        <v>0</v>
      </c>
      <c r="P326" s="112">
        <f t="shared" si="98"/>
        <v>0</v>
      </c>
      <c r="Q326" s="112">
        <f t="shared" si="99"/>
        <v>0</v>
      </c>
    </row>
    <row r="327" spans="2:17" ht="15.75" thickBot="1" x14ac:dyDescent="0.3">
      <c r="B327" s="110">
        <f>DATE(Title!$F$12,$S$14,S35)</f>
        <v>41578</v>
      </c>
      <c r="C327" s="111">
        <f>IF(WEEKDAY(B327)=1,0,IF(WEEKDAY(B327)=4,'Hours Scheduled'!$K$44-1,IF(WEEKDAY(B327)=7,0,'Hours Scheduled'!$K$44)))</f>
        <v>21</v>
      </c>
      <c r="D327" s="17">
        <f t="shared" si="96"/>
        <v>157.5</v>
      </c>
      <c r="E327" s="127">
        <f t="shared" si="97"/>
        <v>168</v>
      </c>
      <c r="F327" s="113"/>
      <c r="G327" s="132">
        <f>INDEX(October!$C$3:$AH$169,3,MATCH(B327,October!$D$3:$AH$3)+1)+INDEX(October!$C$3:$AH$169,8,MATCH(B327,October!$D$3:$AH$3)+1)+INDEX(October!$C$3:$AH$169,13,MATCH(B327,October!$D$3:$AH$3)+1)+INDEX(October!$C$3:$AH$169,18,MATCH(B327,October!$D$3:$AH$3)+1)+INDEX(October!$C$3:$AH$169,23,MATCH(B327,October!$D$3:$AH$3)+1)+INDEX(October!$C$3:$AH$169,28,MATCH(B327,October!$D$3:$AH$3)+1)+INDEX(October!$C$3:$AH$169,33,MATCH(B327,October!$D$3:$AH$3)+1)+INDEX(October!$C$3:$AH$169,38,MATCH(B327,October!$D$3:$AH$3)+1)+INDEX(October!$C$3:$AH$169,43,MATCH(B327,October!$D$3:$AH$3)+1)+INDEX(October!$C$3:$AH$169,48,MATCH(B327,October!$D$3:$AH$3)+1)+INDEX(October!$C$3:$AH$169,53,MATCH(B327,October!$D$3:$AH$3)+1)+INDEX(October!$C$3:$AH$169,58,MATCH(B327,October!$D$3:$AH$3)+1)+INDEX(October!$C$3:$AH$169,63,MATCH(B327,October!$D$3:$AH$3)+1)+INDEX(October!$C$3:$AH$169,68,MATCH(B327,October!$D$3:$AH$3)+1)+INDEX(October!$C$3:$AH$169,73,MATCH(B327,October!$D$3:$AH$3)+1)+INDEX(October!$C$3:$AH$169,78,MATCH(B327,October!$D$3:$AH$3)+1)+INDEX(October!$C$3:$AH$169,83,MATCH(B327,October!$D$3:$AH$3)+1)+INDEX(October!$C$3:$AH$169,88,MATCH(B327,October!$D$3:$AH$3)+1)+INDEX(October!$C$3:$AH$169,93,MATCH(B327,October!$D$3:$AH$3)+1)+INDEX(October!$C$3:$AH$169,98,MATCH(B327,October!$D$3:$AH$3)+1)+INDEX(October!$C$3:$AH$169,103,MATCH(B327,October!$D$3:$AH$3)+1)+INDEX(October!$C$3:$AH$169,108,MATCH(B327,October!$D$3:$AH$3)+1)+INDEX(October!$C$3:$AH$169,113,MATCH(B327,October!$D$3:$AH$3)+1)+INDEX(October!$C$3:$AH$169,118,MATCH(B327,October!$D$3:$AH$3)+1)+INDEX(October!$C$3:$AH$169,123,MATCH(B327,October!$D$3:$AH$3)+1)+INDEX(October!$C$3:$AH$169,128,MATCH(B327,October!$D$3:$AH$3)+1)+INDEX(October!$C$3:$AH$169,133,MATCH(B327,October!$D$3:$AH$3)+1)+INDEX(October!$C$3:$AH$169,138,MATCH(B327,October!$D$3:$AH$3)+1)+INDEX(October!$C$3:$AH$169,143,MATCH(B327,October!$D$3:$AH$3)+1)+INDEX(October!$C$3:$AH$169,148,MATCH(B327,October!$D$3:$AH$3)+1)-INDEX(October!$B$5:$AH$169,MATCH("Patrick Janssen",October!$B$5:$B$169),MATCH(B327,October!$D$3:$AH$3)+2)-INDEX(October!$B$5:$AH$169,MATCH("Patrick Ziesen",October!$B$5:$B$169),MATCH(B327,October!$D$3:$AH$3)+2)-INDEX(October!$B$5:$AH$169,MATCH("Frido Meijer",October!$B$5:$B$169),MATCH(B327,October!$D$3:$AH$3)+2)</f>
        <v>0</v>
      </c>
      <c r="H327" s="132">
        <f>INDEX(October!$C$3:$AH$169,4,MATCH(B327,October!$D$3:$AH$3)+1)+INDEX(October!$C$3:$AH$169,9,MATCH(B327,October!$D$3:$AH$3)+1)+INDEX(October!$C$3:$AH$169,14,MATCH(B327,October!$D$3:$AH$3)+1)+INDEX(October!$C$3:$AH$169,19,MATCH(B327,October!$D$3:$AH$3)+1)+INDEX(October!$C$3:$AH$169,24,MATCH(B327,October!$D$3:$AH$3)+1)+INDEX(October!$C$3:$AH$169,29,MATCH(B327,October!$D$3:$AH$3)+1)+INDEX(October!$C$3:$AH$169,34,MATCH(B327,October!$D$3:$AH$3)+1)+INDEX(October!$C$3:$AH$169,39,MATCH(B327,October!$D$3:$AH$3)+1)+INDEX(October!$C$3:$AH$169,44,MATCH(B327,October!$D$3:$AH$3)+1)+INDEX(October!$C$3:$AH$169,49,MATCH(B327,October!$D$3:$AH$3)+1)+INDEX(October!$C$3:$AH$169,54,MATCH(B327,October!$D$3:$AH$3)+1)+INDEX(October!$C$3:$AH$169,59,MATCH(B327,October!$D$3:$AH$3)+1)+INDEX(October!$C$3:$AH$169,64,MATCH(B327,October!$D$3:$AH$3)+1)+INDEX(October!$C$3:$AH$169,69,MATCH(B327,October!$D$3:$AH$3)+1)+INDEX(October!$C$3:$AH$169,74,MATCH(B327,October!$D$3:$AH$3)+1)+INDEX(October!$C$3:$AH$169,79,MATCH(B327,October!$D$3:$AH$3)+1)+INDEX(October!$C$3:$AH$169,84,MATCH(B327,October!$D$3:$AH$3)+1)+INDEX(October!$C$3:$AH$169,89,MATCH(B327,October!$D$3:$AH$3)+1)+INDEX(October!$C$3:$AH$169,94,MATCH(B327,October!$D$3:$AH$3)+1)+INDEX(October!$C$3:$AH$169,99,MATCH(B327,October!$D$3:$AH$3)+1)+INDEX(October!$C$3:$AH$169,104,MATCH(B327,October!$D$3:$AH$3)+1)+INDEX(October!$C$3:$AH$169,109,MATCH(B327,October!$D$3:$AH$3)+1)+INDEX(October!$C$3:$AH$169,114,MATCH(B327,October!$D$3:$AH$3)+1)+INDEX(October!$C$3:$AH$169,119,MATCH(B327,October!$D$3:$AH$3)+1)+INDEX(October!$C$3:$AH$169,124,MATCH(B327,October!$D$3:$AH$3)+1)+INDEX(October!$C$3:$AH$169,129,MATCH(B327,October!$D$3:$AH$3)+1)+INDEX(October!$C$3:$AH$169,134,MATCH(B327,October!$D$3:$AH$3)+1)+INDEX(October!$C$3:$AH$169,139,MATCH(B327,October!$D$3:$AH$3)+1)+INDEX(October!$C$3:$AH$169,144,MATCH(B327,October!$D$3:$AH$3)+1)+INDEX(October!$C$3:$AH$169,149,MATCH(B327,October!$D$3:$AH$3)+1)-INDEX(October!$B$5:$AH$169,MATCH("Patrick Janssen",October!$B$5:$B$169)+1,MATCH(B327,October!$D$3:$AH$3)+2)-INDEX(October!$B$5:$AH$169,MATCH("Patrick Ziesen",October!$B$5:$B$169)+1,MATCH(B327,October!$D$3:$AH$3)+2)-INDEX(October!$B$5:$AH$169,MATCH("Frido Meijer",October!$B$5:$B$169)+1,MATCH(B327,October!$D$3:$AH$3)+2)</f>
        <v>0</v>
      </c>
      <c r="I327" s="130">
        <v>0</v>
      </c>
      <c r="J327" s="130">
        <v>0</v>
      </c>
      <c r="L327" s="111"/>
      <c r="M327" s="111"/>
      <c r="N327" s="111">
        <f t="shared" si="93"/>
        <v>0</v>
      </c>
      <c r="P327" s="112">
        <f t="shared" si="98"/>
        <v>0</v>
      </c>
      <c r="Q327" s="112">
        <f t="shared" si="99"/>
        <v>0</v>
      </c>
    </row>
    <row r="328" spans="2:17" ht="15.75" x14ac:dyDescent="0.25">
      <c r="B328" s="146" t="s">
        <v>7</v>
      </c>
      <c r="C328" s="114">
        <f>SUM(C297:C327)</f>
        <v>478</v>
      </c>
      <c r="D328" s="107">
        <f t="shared" si="96"/>
        <v>3585</v>
      </c>
      <c r="E328" s="140">
        <f t="shared" si="97"/>
        <v>3752</v>
      </c>
      <c r="F328" s="114">
        <f>SUM(F297:F327)</f>
        <v>0</v>
      </c>
      <c r="G328" s="133">
        <f t="shared" ref="G328:J328" si="100">SUM(G297:G327)</f>
        <v>72</v>
      </c>
      <c r="H328" s="133">
        <f t="shared" si="100"/>
        <v>0</v>
      </c>
      <c r="I328" s="133">
        <f t="shared" si="100"/>
        <v>0</v>
      </c>
      <c r="J328" s="133">
        <f t="shared" si="100"/>
        <v>0</v>
      </c>
      <c r="K328" s="115"/>
      <c r="L328" s="114">
        <f>SUM(L297:L327)</f>
        <v>0</v>
      </c>
      <c r="M328" s="114">
        <f t="shared" ref="M328:N328" si="101">SUM(M297:M327)</f>
        <v>0</v>
      </c>
      <c r="N328" s="114">
        <f t="shared" si="101"/>
        <v>0</v>
      </c>
      <c r="O328" s="115"/>
      <c r="P328" s="116">
        <f t="shared" ref="P328" si="102">(L328+(M328/60)+N328)/(D328-F328-G328-H328-I328-J328)</f>
        <v>0</v>
      </c>
      <c r="Q328" s="116">
        <f t="shared" ref="Q328" si="103">(L328+(M328/60)+N328)/(D328-(G328+H328))</f>
        <v>0</v>
      </c>
    </row>
    <row r="329" spans="2:17" x14ac:dyDescent="0.25">
      <c r="B329"/>
      <c r="E329" s="127"/>
    </row>
    <row r="330" spans="2:17" x14ac:dyDescent="0.25">
      <c r="B330" s="110">
        <f>DATE(Title!$F$12,$S$15,S5)</f>
        <v>41579</v>
      </c>
      <c r="C330" s="111">
        <f>IF(WEEKDAY(B330)=1,0,IF(WEEKDAY(B330)=4,'Hours Scheduled'!$N$44-1,IF(WEEKDAY(B330)=7,0,'Hours Scheduled'!$N$44)))</f>
        <v>21</v>
      </c>
      <c r="D330" s="17">
        <f>C330*7.5</f>
        <v>157.5</v>
      </c>
      <c r="E330" s="127">
        <f>C330*8-G330-H330</f>
        <v>168</v>
      </c>
      <c r="F330" s="111"/>
      <c r="G330" s="130">
        <f>INDEX(November!$C$3:$AH$169,3,MATCH(B330,November!$D$3:$AH$3)+1)+INDEX(November!$C$3:$AH$169,8,MATCH(B330,November!$D$3:$AH$3)+1)+INDEX(November!$C$3:$AH$169,13,MATCH(B330,November!$D$3:$AH$3)+1)+INDEX(November!$C$3:$AH$169,18,MATCH(B330,November!$D$3:$AH$3)+1)+INDEX(November!$C$3:$AH$169,23,MATCH(B330,November!$D$3:$AH$3)+1)+INDEX(November!$C$3:$AH$169,28,MATCH(B330,November!$D$3:$AH$3)+1)+INDEX(November!$C$3:$AH$169,33,MATCH(B330,November!$D$3:$AH$3)+1)+INDEX(November!$C$3:$AH$169,38,MATCH(B330,November!$D$3:$AH$3)+1)+INDEX(November!$C$3:$AH$169,43,MATCH(B330,November!$D$3:$AH$3)+1)+INDEX(November!$C$3:$AH$169,48,MATCH(B330,November!$D$3:$AH$3)+1)+INDEX(November!$C$3:$AH$169,53,MATCH(B330,November!$D$3:$AH$3)+1)+INDEX(November!$C$3:$AH$169,58,MATCH(B330,November!$D$3:$AH$3)+1)+INDEX(November!$C$3:$AH$169,63,MATCH(B330,November!$D$3:$AH$3)+1)+INDEX(November!$C$3:$AH$169,68,MATCH(B330,November!$D$3:$AH$3)+1)+INDEX(November!$C$3:$AH$169,73,MATCH(B330,November!$D$3:$AH$3)+1)+INDEX(November!$C$3:$AH$169,78,MATCH(B330,November!$D$3:$AH$3)+1)+INDEX(November!$C$3:$AH$169,83,MATCH(B330,November!$D$3:$AH$3)+1)+INDEX(November!$C$3:$AH$169,88,MATCH(B330,November!$D$3:$AH$3)+1)+INDEX(November!$C$3:$AH$169,93,MATCH(B330,November!$D$3:$AH$3)+1)+INDEX(November!$C$3:$AH$169,98,MATCH(B330,November!$D$3:$AH$3)+1)+INDEX(November!$C$3:$AH$169,103,MATCH(B330,November!$D$3:$AH$3)+1)+INDEX(November!$C$3:$AH$169,108,MATCH(B330,November!$D$3:$AH$3)+1)+INDEX(November!$C$3:$AH$169,113,MATCH(B330,November!$D$3:$AH$3)+1)+INDEX(November!$C$3:$AH$169,118,MATCH(B330,November!$D$3:$AH$3)+1)+INDEX(November!$C$3:$AH$169,123,MATCH(B330,November!$D$3:$AH$3)+1)+INDEX(November!$C$3:$AH$169,128,MATCH(B330,November!$D$3:$AH$3)+1)+INDEX(November!$C$3:$AH$169,133,MATCH(B330,November!$D$3:$AH$3)+1)+INDEX(November!$C$3:$AH$169,138,MATCH(B330,November!$D$3:$AH$3)+1)+INDEX(November!$C$3:$AH$169,143,MATCH(B330,November!$D$3:$AH$3)+1)+INDEX(November!$C$3:$AH$169,148,MATCH(B330,November!$D$3:$AH$3)+1)-INDEX(November!$B$5:$AH$169,MATCH("Patrick Janssen",November!$B$5:$B$169),MATCH(B330,November!$D$3:$AH$3)+2)-INDEX(November!$B$5:$AH$169,MATCH("Patrick Ziesen",November!$B$5:$B$169),MATCH(B330,November!$D$3:$AH$3)+2)-INDEX(November!$B$5:$AH$169,MATCH("Frido Meijer",November!$B$5:$B$169),MATCH(B330,November!$D$3:$AH$3)+2)</f>
        <v>0</v>
      </c>
      <c r="H330" s="130">
        <f>INDEX(November!$C$3:$AH$169,4,MATCH(B330,November!$D$3:$AH$3)+1)+INDEX(November!$C$3:$AH$169,9,MATCH(B330,November!$D$3:$AH$3)+1)+INDEX(November!$C$3:$AH$169,14,MATCH(B330,November!$D$3:$AH$3)+1)+INDEX(November!$C$3:$AH$169,19,MATCH(B330,November!$D$3:$AH$3)+1)+INDEX(November!$C$3:$AH$169,24,MATCH(B330,November!$D$3:$AH$3)+1)+INDEX(November!$C$3:$AH$169,29,MATCH(B330,November!$D$3:$AH$3)+1)+INDEX(November!$C$3:$AH$169,34,MATCH(B330,November!$D$3:$AH$3)+1)+INDEX(November!$C$3:$AH$169,39,MATCH(B330,November!$D$3:$AH$3)+1)+INDEX(November!$C$3:$AH$169,44,MATCH(B330,November!$D$3:$AH$3)+1)+INDEX(November!$C$3:$AH$169,49,MATCH(B330,November!$D$3:$AH$3)+1)+INDEX(November!$C$3:$AH$169,54,MATCH(B330,November!$D$3:$AH$3)+1)+INDEX(November!$C$3:$AH$169,59,MATCH(B330,November!$D$3:$AH$3)+1)+INDEX(November!$C$3:$AH$169,64,MATCH(B330,November!$D$3:$AH$3)+1)+INDEX(November!$C$3:$AH$169,69,MATCH(B330,November!$D$3:$AH$3)+1)+INDEX(November!$C$3:$AH$169,74,MATCH(B330,November!$D$3:$AH$3)+1)+INDEX(November!$C$3:$AH$169,79,MATCH(B330,November!$D$3:$AH$3)+1)+INDEX(November!$C$3:$AH$169,84,MATCH(B330,November!$D$3:$AH$3)+1)+INDEX(November!$C$3:$AH$169,89,MATCH(B330,November!$D$3:$AH$3)+1)+INDEX(November!$C$3:$AH$169,94,MATCH(B330,November!$D$3:$AH$3)+1)+INDEX(November!$C$3:$AH$169,99,MATCH(B330,November!$D$3:$AH$3)+1)+INDEX(November!$C$3:$AH$169,104,MATCH(B330,November!$D$3:$AH$3)+1)+INDEX(November!$C$3:$AH$169,109,MATCH(B330,November!$D$3:$AH$3)+1)+INDEX(November!$C$3:$AH$169,114,MATCH(B330,November!$D$3:$AH$3)+1)+INDEX(November!$C$3:$AH$169,119,MATCH(B330,November!$D$3:$AH$3)+1)+INDEX(November!$C$3:$AH$169,124,MATCH(B330,November!$D$3:$AH$3)+1)+INDEX(November!$C$3:$AH$169,129,MATCH(B330,November!$D$3:$AH$3)+1)+INDEX(November!$C$3:$AH$169,134,MATCH(B330,November!$D$3:$AH$3)+1)+INDEX(November!$C$3:$AH$169,139,MATCH(B330,November!$D$3:$AH$3)+1)+INDEX(November!$C$3:$AH$169,144,MATCH(B330,November!$D$3:$AH$3)+1)+INDEX(November!$C$3:$AH$169,149,MATCH(B330,November!$D$3:$AH$3)+1)-INDEX(November!$B$5:$AH$169,MATCH("Patrick Janssen",November!$B$5:$B$169)+1,MATCH(B330,November!$D$3:$AH$3)+2)-INDEX(November!$B$5:$AH$169,MATCH("Patrick Ziesen",November!$B$5:$B$169)+1,MATCH(B330,November!$D$3:$AH$3)+2)-INDEX(November!$B$5:$AH$169,MATCH("Frido Meijer",November!$B$5:$B$169)+1,MATCH(B330,November!$D$3:$AH$3)+2)</f>
        <v>0</v>
      </c>
      <c r="I330" s="130">
        <v>0</v>
      </c>
      <c r="J330" s="130">
        <v>0</v>
      </c>
      <c r="L330" s="165"/>
      <c r="M330" s="111"/>
      <c r="N330" s="111">
        <f t="shared" ref="N330:N359" si="104">IF(L330="",0,6*7.5)</f>
        <v>0</v>
      </c>
      <c r="P330" s="112">
        <f t="shared" ref="P330:P360" si="105">IFERROR((L330+(M330/60)+N330)/(D330-F330-G330-H330-I330-J330),"")</f>
        <v>0</v>
      </c>
      <c r="Q330" s="112">
        <f t="shared" ref="Q330:Q360" si="106">IFERROR((L330+(M330/60)+N330)/(D330-(G330+H330)),"")</f>
        <v>0</v>
      </c>
    </row>
    <row r="331" spans="2:17" x14ac:dyDescent="0.25">
      <c r="B331" s="110">
        <f>DATE(Title!$F$12,$S$15,S6)</f>
        <v>41580</v>
      </c>
      <c r="C331" s="111">
        <f>IF(WEEKDAY(B331)=1,0,IF(WEEKDAY(B331)=4,'Hours Scheduled'!$N$44-1,IF(WEEKDAY(B331)=7,0,'Hours Scheduled'!$N$44)))</f>
        <v>0</v>
      </c>
      <c r="D331" s="17">
        <f t="shared" ref="D331:D360" si="107">C331*7.5</f>
        <v>0</v>
      </c>
      <c r="E331" s="127">
        <f t="shared" ref="E331:E360" si="108">C331*8-G331-H331</f>
        <v>0</v>
      </c>
      <c r="F331" s="111"/>
      <c r="G331" s="130">
        <f>INDEX(November!$C$3:$AH$169,3,MATCH(B331,November!$D$3:$AH$3)+1)+INDEX(November!$C$3:$AH$169,8,MATCH(B331,November!$D$3:$AH$3)+1)+INDEX(November!$C$3:$AH$169,13,MATCH(B331,November!$D$3:$AH$3)+1)+INDEX(November!$C$3:$AH$169,18,MATCH(B331,November!$D$3:$AH$3)+1)+INDEX(November!$C$3:$AH$169,23,MATCH(B331,November!$D$3:$AH$3)+1)+INDEX(November!$C$3:$AH$169,28,MATCH(B331,November!$D$3:$AH$3)+1)+INDEX(November!$C$3:$AH$169,33,MATCH(B331,November!$D$3:$AH$3)+1)+INDEX(November!$C$3:$AH$169,38,MATCH(B331,November!$D$3:$AH$3)+1)+INDEX(November!$C$3:$AH$169,43,MATCH(B331,November!$D$3:$AH$3)+1)+INDEX(November!$C$3:$AH$169,48,MATCH(B331,November!$D$3:$AH$3)+1)+INDEX(November!$C$3:$AH$169,53,MATCH(B331,November!$D$3:$AH$3)+1)+INDEX(November!$C$3:$AH$169,58,MATCH(B331,November!$D$3:$AH$3)+1)+INDEX(November!$C$3:$AH$169,63,MATCH(B331,November!$D$3:$AH$3)+1)+INDEX(November!$C$3:$AH$169,68,MATCH(B331,November!$D$3:$AH$3)+1)+INDEX(November!$C$3:$AH$169,73,MATCH(B331,November!$D$3:$AH$3)+1)+INDEX(November!$C$3:$AH$169,78,MATCH(B331,November!$D$3:$AH$3)+1)+INDEX(November!$C$3:$AH$169,83,MATCH(B331,November!$D$3:$AH$3)+1)+INDEX(November!$C$3:$AH$169,88,MATCH(B331,November!$D$3:$AH$3)+1)+INDEX(November!$C$3:$AH$169,93,MATCH(B331,November!$D$3:$AH$3)+1)+INDEX(November!$C$3:$AH$169,98,MATCH(B331,November!$D$3:$AH$3)+1)+INDEX(November!$C$3:$AH$169,103,MATCH(B331,November!$D$3:$AH$3)+1)+INDEX(November!$C$3:$AH$169,108,MATCH(B331,November!$D$3:$AH$3)+1)+INDEX(November!$C$3:$AH$169,113,MATCH(B331,November!$D$3:$AH$3)+1)+INDEX(November!$C$3:$AH$169,118,MATCH(B331,November!$D$3:$AH$3)+1)+INDEX(November!$C$3:$AH$169,123,MATCH(B331,November!$D$3:$AH$3)+1)+INDEX(November!$C$3:$AH$169,128,MATCH(B331,November!$D$3:$AH$3)+1)+INDEX(November!$C$3:$AH$169,133,MATCH(B331,November!$D$3:$AH$3)+1)+INDEX(November!$C$3:$AH$169,138,MATCH(B331,November!$D$3:$AH$3)+1)+INDEX(November!$C$3:$AH$169,143,MATCH(B331,November!$D$3:$AH$3)+1)+INDEX(November!$C$3:$AH$169,148,MATCH(B331,November!$D$3:$AH$3)+1)-INDEX(November!$B$5:$AH$169,MATCH("Patrick Janssen",November!$B$5:$B$169),MATCH(B331,November!$D$3:$AH$3)+2)-INDEX(November!$B$5:$AH$169,MATCH("Patrick Ziesen",November!$B$5:$B$169),MATCH(B331,November!$D$3:$AH$3)+2)-INDEX(November!$B$5:$AH$169,MATCH("Frido Meijer",November!$B$5:$B$169),MATCH(B331,November!$D$3:$AH$3)+2)</f>
        <v>0</v>
      </c>
      <c r="H331" s="130">
        <f>INDEX(November!$C$3:$AH$169,4,MATCH(B331,November!$D$3:$AH$3)+1)+INDEX(November!$C$3:$AH$169,9,MATCH(B331,November!$D$3:$AH$3)+1)+INDEX(November!$C$3:$AH$169,14,MATCH(B331,November!$D$3:$AH$3)+1)+INDEX(November!$C$3:$AH$169,19,MATCH(B331,November!$D$3:$AH$3)+1)+INDEX(November!$C$3:$AH$169,24,MATCH(B331,November!$D$3:$AH$3)+1)+INDEX(November!$C$3:$AH$169,29,MATCH(B331,November!$D$3:$AH$3)+1)+INDEX(November!$C$3:$AH$169,34,MATCH(B331,November!$D$3:$AH$3)+1)+INDEX(November!$C$3:$AH$169,39,MATCH(B331,November!$D$3:$AH$3)+1)+INDEX(November!$C$3:$AH$169,44,MATCH(B331,November!$D$3:$AH$3)+1)+INDEX(November!$C$3:$AH$169,49,MATCH(B331,November!$D$3:$AH$3)+1)+INDEX(November!$C$3:$AH$169,54,MATCH(B331,November!$D$3:$AH$3)+1)+INDEX(November!$C$3:$AH$169,59,MATCH(B331,November!$D$3:$AH$3)+1)+INDEX(November!$C$3:$AH$169,64,MATCH(B331,November!$D$3:$AH$3)+1)+INDEX(November!$C$3:$AH$169,69,MATCH(B331,November!$D$3:$AH$3)+1)+INDEX(November!$C$3:$AH$169,74,MATCH(B331,November!$D$3:$AH$3)+1)+INDEX(November!$C$3:$AH$169,79,MATCH(B331,November!$D$3:$AH$3)+1)+INDEX(November!$C$3:$AH$169,84,MATCH(B331,November!$D$3:$AH$3)+1)+INDEX(November!$C$3:$AH$169,89,MATCH(B331,November!$D$3:$AH$3)+1)+INDEX(November!$C$3:$AH$169,94,MATCH(B331,November!$D$3:$AH$3)+1)+INDEX(November!$C$3:$AH$169,99,MATCH(B331,November!$D$3:$AH$3)+1)+INDEX(November!$C$3:$AH$169,104,MATCH(B331,November!$D$3:$AH$3)+1)+INDEX(November!$C$3:$AH$169,109,MATCH(B331,November!$D$3:$AH$3)+1)+INDEX(November!$C$3:$AH$169,114,MATCH(B331,November!$D$3:$AH$3)+1)+INDEX(November!$C$3:$AH$169,119,MATCH(B331,November!$D$3:$AH$3)+1)+INDEX(November!$C$3:$AH$169,124,MATCH(B331,November!$D$3:$AH$3)+1)+INDEX(November!$C$3:$AH$169,129,MATCH(B331,November!$D$3:$AH$3)+1)+INDEX(November!$C$3:$AH$169,134,MATCH(B331,November!$D$3:$AH$3)+1)+INDEX(November!$C$3:$AH$169,139,MATCH(B331,November!$D$3:$AH$3)+1)+INDEX(November!$C$3:$AH$169,144,MATCH(B331,November!$D$3:$AH$3)+1)+INDEX(November!$C$3:$AH$169,149,MATCH(B331,November!$D$3:$AH$3)+1)-INDEX(November!$B$5:$AH$169,MATCH("Patrick Janssen",November!$B$5:$B$169)+1,MATCH(B331,November!$D$3:$AH$3)+2)-INDEX(November!$B$5:$AH$169,MATCH("Patrick Ziesen",November!$B$5:$B$169)+1,MATCH(B331,November!$D$3:$AH$3)+2)-INDEX(November!$B$5:$AH$169,MATCH("Frido Meijer",November!$B$5:$B$169)+1,MATCH(B331,November!$D$3:$AH$3)+2)</f>
        <v>0</v>
      </c>
      <c r="I331" s="130">
        <v>0</v>
      </c>
      <c r="J331" s="130">
        <v>0</v>
      </c>
      <c r="L331" s="165"/>
      <c r="M331" s="111"/>
      <c r="N331" s="111">
        <f t="shared" si="104"/>
        <v>0</v>
      </c>
      <c r="P331" s="112" t="str">
        <f t="shared" si="105"/>
        <v/>
      </c>
      <c r="Q331" s="112" t="str">
        <f t="shared" si="106"/>
        <v/>
      </c>
    </row>
    <row r="332" spans="2:17" x14ac:dyDescent="0.25">
      <c r="B332" s="110">
        <f>DATE(Title!$F$12,$S$15,S7)</f>
        <v>41581</v>
      </c>
      <c r="C332" s="111">
        <f>IF(WEEKDAY(B332)=1,0,IF(WEEKDAY(B332)=4,'Hours Scheduled'!$N$44-1,IF(WEEKDAY(B332)=7,0,'Hours Scheduled'!$N$44)))</f>
        <v>0</v>
      </c>
      <c r="D332" s="17">
        <f t="shared" si="107"/>
        <v>0</v>
      </c>
      <c r="E332" s="127">
        <f t="shared" si="108"/>
        <v>0</v>
      </c>
      <c r="F332" s="111"/>
      <c r="G332" s="130">
        <f>INDEX(November!$C$3:$AH$169,3,MATCH(B332,November!$D$3:$AH$3)+1)+INDEX(November!$C$3:$AH$169,8,MATCH(B332,November!$D$3:$AH$3)+1)+INDEX(November!$C$3:$AH$169,13,MATCH(B332,November!$D$3:$AH$3)+1)+INDEX(November!$C$3:$AH$169,18,MATCH(B332,November!$D$3:$AH$3)+1)+INDEX(November!$C$3:$AH$169,23,MATCH(B332,November!$D$3:$AH$3)+1)+INDEX(November!$C$3:$AH$169,28,MATCH(B332,November!$D$3:$AH$3)+1)+INDEX(November!$C$3:$AH$169,33,MATCH(B332,November!$D$3:$AH$3)+1)+INDEX(November!$C$3:$AH$169,38,MATCH(B332,November!$D$3:$AH$3)+1)+INDEX(November!$C$3:$AH$169,43,MATCH(B332,November!$D$3:$AH$3)+1)+INDEX(November!$C$3:$AH$169,48,MATCH(B332,November!$D$3:$AH$3)+1)+INDEX(November!$C$3:$AH$169,53,MATCH(B332,November!$D$3:$AH$3)+1)+INDEX(November!$C$3:$AH$169,58,MATCH(B332,November!$D$3:$AH$3)+1)+INDEX(November!$C$3:$AH$169,63,MATCH(B332,November!$D$3:$AH$3)+1)+INDEX(November!$C$3:$AH$169,68,MATCH(B332,November!$D$3:$AH$3)+1)+INDEX(November!$C$3:$AH$169,73,MATCH(B332,November!$D$3:$AH$3)+1)+INDEX(November!$C$3:$AH$169,78,MATCH(B332,November!$D$3:$AH$3)+1)+INDEX(November!$C$3:$AH$169,83,MATCH(B332,November!$D$3:$AH$3)+1)+INDEX(November!$C$3:$AH$169,88,MATCH(B332,November!$D$3:$AH$3)+1)+INDEX(November!$C$3:$AH$169,93,MATCH(B332,November!$D$3:$AH$3)+1)+INDEX(November!$C$3:$AH$169,98,MATCH(B332,November!$D$3:$AH$3)+1)+INDEX(November!$C$3:$AH$169,103,MATCH(B332,November!$D$3:$AH$3)+1)+INDEX(November!$C$3:$AH$169,108,MATCH(B332,November!$D$3:$AH$3)+1)+INDEX(November!$C$3:$AH$169,113,MATCH(B332,November!$D$3:$AH$3)+1)+INDEX(November!$C$3:$AH$169,118,MATCH(B332,November!$D$3:$AH$3)+1)+INDEX(November!$C$3:$AH$169,123,MATCH(B332,November!$D$3:$AH$3)+1)+INDEX(November!$C$3:$AH$169,128,MATCH(B332,November!$D$3:$AH$3)+1)+INDEX(November!$C$3:$AH$169,133,MATCH(B332,November!$D$3:$AH$3)+1)+INDEX(November!$C$3:$AH$169,138,MATCH(B332,November!$D$3:$AH$3)+1)+INDEX(November!$C$3:$AH$169,143,MATCH(B332,November!$D$3:$AH$3)+1)+INDEX(November!$C$3:$AH$169,148,MATCH(B332,November!$D$3:$AH$3)+1)-INDEX(November!$B$5:$AH$169,MATCH("Patrick Janssen",November!$B$5:$B$169),MATCH(B332,November!$D$3:$AH$3)+2)-INDEX(November!$B$5:$AH$169,MATCH("Patrick Ziesen",November!$B$5:$B$169),MATCH(B332,November!$D$3:$AH$3)+2)-INDEX(November!$B$5:$AH$169,MATCH("Frido Meijer",November!$B$5:$B$169),MATCH(B332,November!$D$3:$AH$3)+2)</f>
        <v>0</v>
      </c>
      <c r="H332" s="130">
        <f>INDEX(November!$C$3:$AH$169,4,MATCH(B332,November!$D$3:$AH$3)+1)+INDEX(November!$C$3:$AH$169,9,MATCH(B332,November!$D$3:$AH$3)+1)+INDEX(November!$C$3:$AH$169,14,MATCH(B332,November!$D$3:$AH$3)+1)+INDEX(November!$C$3:$AH$169,19,MATCH(B332,November!$D$3:$AH$3)+1)+INDEX(November!$C$3:$AH$169,24,MATCH(B332,November!$D$3:$AH$3)+1)+INDEX(November!$C$3:$AH$169,29,MATCH(B332,November!$D$3:$AH$3)+1)+INDEX(November!$C$3:$AH$169,34,MATCH(B332,November!$D$3:$AH$3)+1)+INDEX(November!$C$3:$AH$169,39,MATCH(B332,November!$D$3:$AH$3)+1)+INDEX(November!$C$3:$AH$169,44,MATCH(B332,November!$D$3:$AH$3)+1)+INDEX(November!$C$3:$AH$169,49,MATCH(B332,November!$D$3:$AH$3)+1)+INDEX(November!$C$3:$AH$169,54,MATCH(B332,November!$D$3:$AH$3)+1)+INDEX(November!$C$3:$AH$169,59,MATCH(B332,November!$D$3:$AH$3)+1)+INDEX(November!$C$3:$AH$169,64,MATCH(B332,November!$D$3:$AH$3)+1)+INDEX(November!$C$3:$AH$169,69,MATCH(B332,November!$D$3:$AH$3)+1)+INDEX(November!$C$3:$AH$169,74,MATCH(B332,November!$D$3:$AH$3)+1)+INDEX(November!$C$3:$AH$169,79,MATCH(B332,November!$D$3:$AH$3)+1)+INDEX(November!$C$3:$AH$169,84,MATCH(B332,November!$D$3:$AH$3)+1)+INDEX(November!$C$3:$AH$169,89,MATCH(B332,November!$D$3:$AH$3)+1)+INDEX(November!$C$3:$AH$169,94,MATCH(B332,November!$D$3:$AH$3)+1)+INDEX(November!$C$3:$AH$169,99,MATCH(B332,November!$D$3:$AH$3)+1)+INDEX(November!$C$3:$AH$169,104,MATCH(B332,November!$D$3:$AH$3)+1)+INDEX(November!$C$3:$AH$169,109,MATCH(B332,November!$D$3:$AH$3)+1)+INDEX(November!$C$3:$AH$169,114,MATCH(B332,November!$D$3:$AH$3)+1)+INDEX(November!$C$3:$AH$169,119,MATCH(B332,November!$D$3:$AH$3)+1)+INDEX(November!$C$3:$AH$169,124,MATCH(B332,November!$D$3:$AH$3)+1)+INDEX(November!$C$3:$AH$169,129,MATCH(B332,November!$D$3:$AH$3)+1)+INDEX(November!$C$3:$AH$169,134,MATCH(B332,November!$D$3:$AH$3)+1)+INDEX(November!$C$3:$AH$169,139,MATCH(B332,November!$D$3:$AH$3)+1)+INDEX(November!$C$3:$AH$169,144,MATCH(B332,November!$D$3:$AH$3)+1)+INDEX(November!$C$3:$AH$169,149,MATCH(B332,November!$D$3:$AH$3)+1)-INDEX(November!$B$5:$AH$169,MATCH("Patrick Janssen",November!$B$5:$B$169)+1,MATCH(B332,November!$D$3:$AH$3)+2)-INDEX(November!$B$5:$AH$169,MATCH("Patrick Ziesen",November!$B$5:$B$169)+1,MATCH(B332,November!$D$3:$AH$3)+2)-INDEX(November!$B$5:$AH$169,MATCH("Frido Meijer",November!$B$5:$B$169)+1,MATCH(B332,November!$D$3:$AH$3)+2)</f>
        <v>0</v>
      </c>
      <c r="I332" s="130">
        <v>0</v>
      </c>
      <c r="J332" s="130">
        <v>0</v>
      </c>
      <c r="L332" s="165"/>
      <c r="M332" s="111"/>
      <c r="N332" s="111">
        <f t="shared" si="104"/>
        <v>0</v>
      </c>
      <c r="P332" s="112" t="str">
        <f t="shared" si="105"/>
        <v/>
      </c>
      <c r="Q332" s="112" t="str">
        <f t="shared" si="106"/>
        <v/>
      </c>
    </row>
    <row r="333" spans="2:17" x14ac:dyDescent="0.25">
      <c r="B333" s="110">
        <f>DATE(Title!$F$12,$S$15,S8)</f>
        <v>41582</v>
      </c>
      <c r="C333" s="111">
        <f>IF(WEEKDAY(B333)=1,0,IF(WEEKDAY(B333)=4,'Hours Scheduled'!$N$44-1,IF(WEEKDAY(B333)=7,0,'Hours Scheduled'!$N$44)))</f>
        <v>21</v>
      </c>
      <c r="D333" s="17">
        <f t="shared" si="107"/>
        <v>157.5</v>
      </c>
      <c r="E333" s="127">
        <f t="shared" si="108"/>
        <v>168</v>
      </c>
      <c r="F333" s="111"/>
      <c r="G333" s="130">
        <f>INDEX(November!$C$3:$AH$169,3,MATCH(B333,November!$D$3:$AH$3)+1)+INDEX(November!$C$3:$AH$169,8,MATCH(B333,November!$D$3:$AH$3)+1)+INDEX(November!$C$3:$AH$169,13,MATCH(B333,November!$D$3:$AH$3)+1)+INDEX(November!$C$3:$AH$169,18,MATCH(B333,November!$D$3:$AH$3)+1)+INDEX(November!$C$3:$AH$169,23,MATCH(B333,November!$D$3:$AH$3)+1)+INDEX(November!$C$3:$AH$169,28,MATCH(B333,November!$D$3:$AH$3)+1)+INDEX(November!$C$3:$AH$169,33,MATCH(B333,November!$D$3:$AH$3)+1)+INDEX(November!$C$3:$AH$169,38,MATCH(B333,November!$D$3:$AH$3)+1)+INDEX(November!$C$3:$AH$169,43,MATCH(B333,November!$D$3:$AH$3)+1)+INDEX(November!$C$3:$AH$169,48,MATCH(B333,November!$D$3:$AH$3)+1)+INDEX(November!$C$3:$AH$169,53,MATCH(B333,November!$D$3:$AH$3)+1)+INDEX(November!$C$3:$AH$169,58,MATCH(B333,November!$D$3:$AH$3)+1)+INDEX(November!$C$3:$AH$169,63,MATCH(B333,November!$D$3:$AH$3)+1)+INDEX(November!$C$3:$AH$169,68,MATCH(B333,November!$D$3:$AH$3)+1)+INDEX(November!$C$3:$AH$169,73,MATCH(B333,November!$D$3:$AH$3)+1)+INDEX(November!$C$3:$AH$169,78,MATCH(B333,November!$D$3:$AH$3)+1)+INDEX(November!$C$3:$AH$169,83,MATCH(B333,November!$D$3:$AH$3)+1)+INDEX(November!$C$3:$AH$169,88,MATCH(B333,November!$D$3:$AH$3)+1)+INDEX(November!$C$3:$AH$169,93,MATCH(B333,November!$D$3:$AH$3)+1)+INDEX(November!$C$3:$AH$169,98,MATCH(B333,November!$D$3:$AH$3)+1)+INDEX(November!$C$3:$AH$169,103,MATCH(B333,November!$D$3:$AH$3)+1)+INDEX(November!$C$3:$AH$169,108,MATCH(B333,November!$D$3:$AH$3)+1)+INDEX(November!$C$3:$AH$169,113,MATCH(B333,November!$D$3:$AH$3)+1)+INDEX(November!$C$3:$AH$169,118,MATCH(B333,November!$D$3:$AH$3)+1)+INDEX(November!$C$3:$AH$169,123,MATCH(B333,November!$D$3:$AH$3)+1)+INDEX(November!$C$3:$AH$169,128,MATCH(B333,November!$D$3:$AH$3)+1)+INDEX(November!$C$3:$AH$169,133,MATCH(B333,November!$D$3:$AH$3)+1)+INDEX(November!$C$3:$AH$169,138,MATCH(B333,November!$D$3:$AH$3)+1)+INDEX(November!$C$3:$AH$169,143,MATCH(B333,November!$D$3:$AH$3)+1)+INDEX(November!$C$3:$AH$169,148,MATCH(B333,November!$D$3:$AH$3)+1)-INDEX(November!$B$5:$AH$169,MATCH("Patrick Janssen",November!$B$5:$B$169),MATCH(B333,November!$D$3:$AH$3)+2)-INDEX(November!$B$5:$AH$169,MATCH("Patrick Ziesen",November!$B$5:$B$169),MATCH(B333,November!$D$3:$AH$3)+2)-INDEX(November!$B$5:$AH$169,MATCH("Frido Meijer",November!$B$5:$B$169),MATCH(B333,November!$D$3:$AH$3)+2)</f>
        <v>0</v>
      </c>
      <c r="H333" s="130">
        <f>INDEX(November!$C$3:$AH$169,4,MATCH(B333,November!$D$3:$AH$3)+1)+INDEX(November!$C$3:$AH$169,9,MATCH(B333,November!$D$3:$AH$3)+1)+INDEX(November!$C$3:$AH$169,14,MATCH(B333,November!$D$3:$AH$3)+1)+INDEX(November!$C$3:$AH$169,19,MATCH(B333,November!$D$3:$AH$3)+1)+INDEX(November!$C$3:$AH$169,24,MATCH(B333,November!$D$3:$AH$3)+1)+INDEX(November!$C$3:$AH$169,29,MATCH(B333,November!$D$3:$AH$3)+1)+INDEX(November!$C$3:$AH$169,34,MATCH(B333,November!$D$3:$AH$3)+1)+INDEX(November!$C$3:$AH$169,39,MATCH(B333,November!$D$3:$AH$3)+1)+INDEX(November!$C$3:$AH$169,44,MATCH(B333,November!$D$3:$AH$3)+1)+INDEX(November!$C$3:$AH$169,49,MATCH(B333,November!$D$3:$AH$3)+1)+INDEX(November!$C$3:$AH$169,54,MATCH(B333,November!$D$3:$AH$3)+1)+INDEX(November!$C$3:$AH$169,59,MATCH(B333,November!$D$3:$AH$3)+1)+INDEX(November!$C$3:$AH$169,64,MATCH(B333,November!$D$3:$AH$3)+1)+INDEX(November!$C$3:$AH$169,69,MATCH(B333,November!$D$3:$AH$3)+1)+INDEX(November!$C$3:$AH$169,74,MATCH(B333,November!$D$3:$AH$3)+1)+INDEX(November!$C$3:$AH$169,79,MATCH(B333,November!$D$3:$AH$3)+1)+INDEX(November!$C$3:$AH$169,84,MATCH(B333,November!$D$3:$AH$3)+1)+INDEX(November!$C$3:$AH$169,89,MATCH(B333,November!$D$3:$AH$3)+1)+INDEX(November!$C$3:$AH$169,94,MATCH(B333,November!$D$3:$AH$3)+1)+INDEX(November!$C$3:$AH$169,99,MATCH(B333,November!$D$3:$AH$3)+1)+INDEX(November!$C$3:$AH$169,104,MATCH(B333,November!$D$3:$AH$3)+1)+INDEX(November!$C$3:$AH$169,109,MATCH(B333,November!$D$3:$AH$3)+1)+INDEX(November!$C$3:$AH$169,114,MATCH(B333,November!$D$3:$AH$3)+1)+INDEX(November!$C$3:$AH$169,119,MATCH(B333,November!$D$3:$AH$3)+1)+INDEX(November!$C$3:$AH$169,124,MATCH(B333,November!$D$3:$AH$3)+1)+INDEX(November!$C$3:$AH$169,129,MATCH(B333,November!$D$3:$AH$3)+1)+INDEX(November!$C$3:$AH$169,134,MATCH(B333,November!$D$3:$AH$3)+1)+INDEX(November!$C$3:$AH$169,139,MATCH(B333,November!$D$3:$AH$3)+1)+INDEX(November!$C$3:$AH$169,144,MATCH(B333,November!$D$3:$AH$3)+1)+INDEX(November!$C$3:$AH$169,149,MATCH(B333,November!$D$3:$AH$3)+1)-INDEX(November!$B$5:$AH$169,MATCH("Patrick Janssen",November!$B$5:$B$169)+1,MATCH(B333,November!$D$3:$AH$3)+2)-INDEX(November!$B$5:$AH$169,MATCH("Patrick Ziesen",November!$B$5:$B$169)+1,MATCH(B333,November!$D$3:$AH$3)+2)-INDEX(November!$B$5:$AH$169,MATCH("Frido Meijer",November!$B$5:$B$169)+1,MATCH(B333,November!$D$3:$AH$3)+2)</f>
        <v>0</v>
      </c>
      <c r="I333" s="130">
        <v>0</v>
      </c>
      <c r="J333" s="130">
        <v>0</v>
      </c>
      <c r="L333" s="165"/>
      <c r="M333" s="111"/>
      <c r="N333" s="111">
        <f t="shared" si="104"/>
        <v>0</v>
      </c>
      <c r="P333" s="112">
        <f t="shared" si="105"/>
        <v>0</v>
      </c>
      <c r="Q333" s="112">
        <f t="shared" si="106"/>
        <v>0</v>
      </c>
    </row>
    <row r="334" spans="2:17" x14ac:dyDescent="0.25">
      <c r="B334" s="110">
        <f>DATE(Title!$F$12,$S$15,S9)</f>
        <v>41583</v>
      </c>
      <c r="C334" s="111">
        <f>IF(WEEKDAY(B334)=1,0,IF(WEEKDAY(B334)=4,'Hours Scheduled'!$N$44-1,IF(WEEKDAY(B334)=7,0,'Hours Scheduled'!$N$44)))</f>
        <v>21</v>
      </c>
      <c r="D334" s="17">
        <f t="shared" si="107"/>
        <v>157.5</v>
      </c>
      <c r="E334" s="127">
        <f t="shared" si="108"/>
        <v>168</v>
      </c>
      <c r="F334" s="111"/>
      <c r="G334" s="130">
        <f>INDEX(November!$C$3:$AH$169,3,MATCH(B334,November!$D$3:$AH$3)+1)+INDEX(November!$C$3:$AH$169,8,MATCH(B334,November!$D$3:$AH$3)+1)+INDEX(November!$C$3:$AH$169,13,MATCH(B334,November!$D$3:$AH$3)+1)+INDEX(November!$C$3:$AH$169,18,MATCH(B334,November!$D$3:$AH$3)+1)+INDEX(November!$C$3:$AH$169,23,MATCH(B334,November!$D$3:$AH$3)+1)+INDEX(November!$C$3:$AH$169,28,MATCH(B334,November!$D$3:$AH$3)+1)+INDEX(November!$C$3:$AH$169,33,MATCH(B334,November!$D$3:$AH$3)+1)+INDEX(November!$C$3:$AH$169,38,MATCH(B334,November!$D$3:$AH$3)+1)+INDEX(November!$C$3:$AH$169,43,MATCH(B334,November!$D$3:$AH$3)+1)+INDEX(November!$C$3:$AH$169,48,MATCH(B334,November!$D$3:$AH$3)+1)+INDEX(November!$C$3:$AH$169,53,MATCH(B334,November!$D$3:$AH$3)+1)+INDEX(November!$C$3:$AH$169,58,MATCH(B334,November!$D$3:$AH$3)+1)+INDEX(November!$C$3:$AH$169,63,MATCH(B334,November!$D$3:$AH$3)+1)+INDEX(November!$C$3:$AH$169,68,MATCH(B334,November!$D$3:$AH$3)+1)+INDEX(November!$C$3:$AH$169,73,MATCH(B334,November!$D$3:$AH$3)+1)+INDEX(November!$C$3:$AH$169,78,MATCH(B334,November!$D$3:$AH$3)+1)+INDEX(November!$C$3:$AH$169,83,MATCH(B334,November!$D$3:$AH$3)+1)+INDEX(November!$C$3:$AH$169,88,MATCH(B334,November!$D$3:$AH$3)+1)+INDEX(November!$C$3:$AH$169,93,MATCH(B334,November!$D$3:$AH$3)+1)+INDEX(November!$C$3:$AH$169,98,MATCH(B334,November!$D$3:$AH$3)+1)+INDEX(November!$C$3:$AH$169,103,MATCH(B334,November!$D$3:$AH$3)+1)+INDEX(November!$C$3:$AH$169,108,MATCH(B334,November!$D$3:$AH$3)+1)+INDEX(November!$C$3:$AH$169,113,MATCH(B334,November!$D$3:$AH$3)+1)+INDEX(November!$C$3:$AH$169,118,MATCH(B334,November!$D$3:$AH$3)+1)+INDEX(November!$C$3:$AH$169,123,MATCH(B334,November!$D$3:$AH$3)+1)+INDEX(November!$C$3:$AH$169,128,MATCH(B334,November!$D$3:$AH$3)+1)+INDEX(November!$C$3:$AH$169,133,MATCH(B334,November!$D$3:$AH$3)+1)+INDEX(November!$C$3:$AH$169,138,MATCH(B334,November!$D$3:$AH$3)+1)+INDEX(November!$C$3:$AH$169,143,MATCH(B334,November!$D$3:$AH$3)+1)+INDEX(November!$C$3:$AH$169,148,MATCH(B334,November!$D$3:$AH$3)+1)-INDEX(November!$B$5:$AH$169,MATCH("Patrick Janssen",November!$B$5:$B$169),MATCH(B334,November!$D$3:$AH$3)+2)-INDEX(November!$B$5:$AH$169,MATCH("Patrick Ziesen",November!$B$5:$B$169),MATCH(B334,November!$D$3:$AH$3)+2)-INDEX(November!$B$5:$AH$169,MATCH("Frido Meijer",November!$B$5:$B$169),MATCH(B334,November!$D$3:$AH$3)+2)</f>
        <v>0</v>
      </c>
      <c r="H334" s="130">
        <f>INDEX(November!$C$3:$AH$169,4,MATCH(B334,November!$D$3:$AH$3)+1)+INDEX(November!$C$3:$AH$169,9,MATCH(B334,November!$D$3:$AH$3)+1)+INDEX(November!$C$3:$AH$169,14,MATCH(B334,November!$D$3:$AH$3)+1)+INDEX(November!$C$3:$AH$169,19,MATCH(B334,November!$D$3:$AH$3)+1)+INDEX(November!$C$3:$AH$169,24,MATCH(B334,November!$D$3:$AH$3)+1)+INDEX(November!$C$3:$AH$169,29,MATCH(B334,November!$D$3:$AH$3)+1)+INDEX(November!$C$3:$AH$169,34,MATCH(B334,November!$D$3:$AH$3)+1)+INDEX(November!$C$3:$AH$169,39,MATCH(B334,November!$D$3:$AH$3)+1)+INDEX(November!$C$3:$AH$169,44,MATCH(B334,November!$D$3:$AH$3)+1)+INDEX(November!$C$3:$AH$169,49,MATCH(B334,November!$D$3:$AH$3)+1)+INDEX(November!$C$3:$AH$169,54,MATCH(B334,November!$D$3:$AH$3)+1)+INDEX(November!$C$3:$AH$169,59,MATCH(B334,November!$D$3:$AH$3)+1)+INDEX(November!$C$3:$AH$169,64,MATCH(B334,November!$D$3:$AH$3)+1)+INDEX(November!$C$3:$AH$169,69,MATCH(B334,November!$D$3:$AH$3)+1)+INDEX(November!$C$3:$AH$169,74,MATCH(B334,November!$D$3:$AH$3)+1)+INDEX(November!$C$3:$AH$169,79,MATCH(B334,November!$D$3:$AH$3)+1)+INDEX(November!$C$3:$AH$169,84,MATCH(B334,November!$D$3:$AH$3)+1)+INDEX(November!$C$3:$AH$169,89,MATCH(B334,November!$D$3:$AH$3)+1)+INDEX(November!$C$3:$AH$169,94,MATCH(B334,November!$D$3:$AH$3)+1)+INDEX(November!$C$3:$AH$169,99,MATCH(B334,November!$D$3:$AH$3)+1)+INDEX(November!$C$3:$AH$169,104,MATCH(B334,November!$D$3:$AH$3)+1)+INDEX(November!$C$3:$AH$169,109,MATCH(B334,November!$D$3:$AH$3)+1)+INDEX(November!$C$3:$AH$169,114,MATCH(B334,November!$D$3:$AH$3)+1)+INDEX(November!$C$3:$AH$169,119,MATCH(B334,November!$D$3:$AH$3)+1)+INDEX(November!$C$3:$AH$169,124,MATCH(B334,November!$D$3:$AH$3)+1)+INDEX(November!$C$3:$AH$169,129,MATCH(B334,November!$D$3:$AH$3)+1)+INDEX(November!$C$3:$AH$169,134,MATCH(B334,November!$D$3:$AH$3)+1)+INDEX(November!$C$3:$AH$169,139,MATCH(B334,November!$D$3:$AH$3)+1)+INDEX(November!$C$3:$AH$169,144,MATCH(B334,November!$D$3:$AH$3)+1)+INDEX(November!$C$3:$AH$169,149,MATCH(B334,November!$D$3:$AH$3)+1)-INDEX(November!$B$5:$AH$169,MATCH("Patrick Janssen",November!$B$5:$B$169)+1,MATCH(B334,November!$D$3:$AH$3)+2)-INDEX(November!$B$5:$AH$169,MATCH("Patrick Ziesen",November!$B$5:$B$169)+1,MATCH(B334,November!$D$3:$AH$3)+2)-INDEX(November!$B$5:$AH$169,MATCH("Frido Meijer",November!$B$5:$B$169)+1,MATCH(B334,November!$D$3:$AH$3)+2)</f>
        <v>0</v>
      </c>
      <c r="I334" s="130">
        <v>0</v>
      </c>
      <c r="J334" s="130">
        <v>0</v>
      </c>
      <c r="L334" s="165"/>
      <c r="M334" s="111"/>
      <c r="N334" s="111">
        <f t="shared" si="104"/>
        <v>0</v>
      </c>
      <c r="P334" s="112">
        <f t="shared" si="105"/>
        <v>0</v>
      </c>
      <c r="Q334" s="112">
        <f t="shared" si="106"/>
        <v>0</v>
      </c>
    </row>
    <row r="335" spans="2:17" x14ac:dyDescent="0.25">
      <c r="B335" s="110">
        <f>DATE(Title!$F$12,$S$15,S10)</f>
        <v>41584</v>
      </c>
      <c r="C335" s="111">
        <f>IF(WEEKDAY(B335)=1,0,IF(WEEKDAY(B335)=4,'Hours Scheduled'!$N$44-1,IF(WEEKDAY(B335)=7,0,'Hours Scheduled'!$N$44)))</f>
        <v>20</v>
      </c>
      <c r="D335" s="17">
        <f t="shared" si="107"/>
        <v>150</v>
      </c>
      <c r="E335" s="127">
        <f t="shared" si="108"/>
        <v>160</v>
      </c>
      <c r="F335" s="111"/>
      <c r="G335" s="130">
        <f>INDEX(November!$C$3:$AH$169,3,MATCH(B335,November!$D$3:$AH$3)+1)+INDEX(November!$C$3:$AH$169,8,MATCH(B335,November!$D$3:$AH$3)+1)+INDEX(November!$C$3:$AH$169,13,MATCH(B335,November!$D$3:$AH$3)+1)+INDEX(November!$C$3:$AH$169,18,MATCH(B335,November!$D$3:$AH$3)+1)+INDEX(November!$C$3:$AH$169,23,MATCH(B335,November!$D$3:$AH$3)+1)+INDEX(November!$C$3:$AH$169,28,MATCH(B335,November!$D$3:$AH$3)+1)+INDEX(November!$C$3:$AH$169,33,MATCH(B335,November!$D$3:$AH$3)+1)+INDEX(November!$C$3:$AH$169,38,MATCH(B335,November!$D$3:$AH$3)+1)+INDEX(November!$C$3:$AH$169,43,MATCH(B335,November!$D$3:$AH$3)+1)+INDEX(November!$C$3:$AH$169,48,MATCH(B335,November!$D$3:$AH$3)+1)+INDEX(November!$C$3:$AH$169,53,MATCH(B335,November!$D$3:$AH$3)+1)+INDEX(November!$C$3:$AH$169,58,MATCH(B335,November!$D$3:$AH$3)+1)+INDEX(November!$C$3:$AH$169,63,MATCH(B335,November!$D$3:$AH$3)+1)+INDEX(November!$C$3:$AH$169,68,MATCH(B335,November!$D$3:$AH$3)+1)+INDEX(November!$C$3:$AH$169,73,MATCH(B335,November!$D$3:$AH$3)+1)+INDEX(November!$C$3:$AH$169,78,MATCH(B335,November!$D$3:$AH$3)+1)+INDEX(November!$C$3:$AH$169,83,MATCH(B335,November!$D$3:$AH$3)+1)+INDEX(November!$C$3:$AH$169,88,MATCH(B335,November!$D$3:$AH$3)+1)+INDEX(November!$C$3:$AH$169,93,MATCH(B335,November!$D$3:$AH$3)+1)+INDEX(November!$C$3:$AH$169,98,MATCH(B335,November!$D$3:$AH$3)+1)+INDEX(November!$C$3:$AH$169,103,MATCH(B335,November!$D$3:$AH$3)+1)+INDEX(November!$C$3:$AH$169,108,MATCH(B335,November!$D$3:$AH$3)+1)+INDEX(November!$C$3:$AH$169,113,MATCH(B335,November!$D$3:$AH$3)+1)+INDEX(November!$C$3:$AH$169,118,MATCH(B335,November!$D$3:$AH$3)+1)+INDEX(November!$C$3:$AH$169,123,MATCH(B335,November!$D$3:$AH$3)+1)+INDEX(November!$C$3:$AH$169,128,MATCH(B335,November!$D$3:$AH$3)+1)+INDEX(November!$C$3:$AH$169,133,MATCH(B335,November!$D$3:$AH$3)+1)+INDEX(November!$C$3:$AH$169,138,MATCH(B335,November!$D$3:$AH$3)+1)+INDEX(November!$C$3:$AH$169,143,MATCH(B335,November!$D$3:$AH$3)+1)+INDEX(November!$C$3:$AH$169,148,MATCH(B335,November!$D$3:$AH$3)+1)-INDEX(November!$B$5:$AH$169,MATCH("Patrick Janssen",November!$B$5:$B$169),MATCH(B335,November!$D$3:$AH$3)+2)-INDEX(November!$B$5:$AH$169,MATCH("Patrick Ziesen",November!$B$5:$B$169),MATCH(B335,November!$D$3:$AH$3)+2)-INDEX(November!$B$5:$AH$169,MATCH("Frido Meijer",November!$B$5:$B$169),MATCH(B335,November!$D$3:$AH$3)+2)</f>
        <v>0</v>
      </c>
      <c r="H335" s="130">
        <f>INDEX(November!$C$3:$AH$169,4,MATCH(B335,November!$D$3:$AH$3)+1)+INDEX(November!$C$3:$AH$169,9,MATCH(B335,November!$D$3:$AH$3)+1)+INDEX(November!$C$3:$AH$169,14,MATCH(B335,November!$D$3:$AH$3)+1)+INDEX(November!$C$3:$AH$169,19,MATCH(B335,November!$D$3:$AH$3)+1)+INDEX(November!$C$3:$AH$169,24,MATCH(B335,November!$D$3:$AH$3)+1)+INDEX(November!$C$3:$AH$169,29,MATCH(B335,November!$D$3:$AH$3)+1)+INDEX(November!$C$3:$AH$169,34,MATCH(B335,November!$D$3:$AH$3)+1)+INDEX(November!$C$3:$AH$169,39,MATCH(B335,November!$D$3:$AH$3)+1)+INDEX(November!$C$3:$AH$169,44,MATCH(B335,November!$D$3:$AH$3)+1)+INDEX(November!$C$3:$AH$169,49,MATCH(B335,November!$D$3:$AH$3)+1)+INDEX(November!$C$3:$AH$169,54,MATCH(B335,November!$D$3:$AH$3)+1)+INDEX(November!$C$3:$AH$169,59,MATCH(B335,November!$D$3:$AH$3)+1)+INDEX(November!$C$3:$AH$169,64,MATCH(B335,November!$D$3:$AH$3)+1)+INDEX(November!$C$3:$AH$169,69,MATCH(B335,November!$D$3:$AH$3)+1)+INDEX(November!$C$3:$AH$169,74,MATCH(B335,November!$D$3:$AH$3)+1)+INDEX(November!$C$3:$AH$169,79,MATCH(B335,November!$D$3:$AH$3)+1)+INDEX(November!$C$3:$AH$169,84,MATCH(B335,November!$D$3:$AH$3)+1)+INDEX(November!$C$3:$AH$169,89,MATCH(B335,November!$D$3:$AH$3)+1)+INDEX(November!$C$3:$AH$169,94,MATCH(B335,November!$D$3:$AH$3)+1)+INDEX(November!$C$3:$AH$169,99,MATCH(B335,November!$D$3:$AH$3)+1)+INDEX(November!$C$3:$AH$169,104,MATCH(B335,November!$D$3:$AH$3)+1)+INDEX(November!$C$3:$AH$169,109,MATCH(B335,November!$D$3:$AH$3)+1)+INDEX(November!$C$3:$AH$169,114,MATCH(B335,November!$D$3:$AH$3)+1)+INDEX(November!$C$3:$AH$169,119,MATCH(B335,November!$D$3:$AH$3)+1)+INDEX(November!$C$3:$AH$169,124,MATCH(B335,November!$D$3:$AH$3)+1)+INDEX(November!$C$3:$AH$169,129,MATCH(B335,November!$D$3:$AH$3)+1)+INDEX(November!$C$3:$AH$169,134,MATCH(B335,November!$D$3:$AH$3)+1)+INDEX(November!$C$3:$AH$169,139,MATCH(B335,November!$D$3:$AH$3)+1)+INDEX(November!$C$3:$AH$169,144,MATCH(B335,November!$D$3:$AH$3)+1)+INDEX(November!$C$3:$AH$169,149,MATCH(B335,November!$D$3:$AH$3)+1)-INDEX(November!$B$5:$AH$169,MATCH("Patrick Janssen",November!$B$5:$B$169)+1,MATCH(B335,November!$D$3:$AH$3)+2)-INDEX(November!$B$5:$AH$169,MATCH("Patrick Ziesen",November!$B$5:$B$169)+1,MATCH(B335,November!$D$3:$AH$3)+2)-INDEX(November!$B$5:$AH$169,MATCH("Frido Meijer",November!$B$5:$B$169)+1,MATCH(B335,November!$D$3:$AH$3)+2)</f>
        <v>0</v>
      </c>
      <c r="I335" s="130">
        <v>0</v>
      </c>
      <c r="J335" s="130">
        <v>0</v>
      </c>
      <c r="L335" s="165"/>
      <c r="M335" s="111"/>
      <c r="N335" s="111">
        <f t="shared" si="104"/>
        <v>0</v>
      </c>
      <c r="P335" s="112">
        <f t="shared" si="105"/>
        <v>0</v>
      </c>
      <c r="Q335" s="112">
        <f t="shared" si="106"/>
        <v>0</v>
      </c>
    </row>
    <row r="336" spans="2:17" x14ac:dyDescent="0.25">
      <c r="B336" s="110">
        <f>DATE(Title!$F$12,$S$15,S11)</f>
        <v>41585</v>
      </c>
      <c r="C336" s="111">
        <f>IF(WEEKDAY(B336)=1,0,IF(WEEKDAY(B336)=4,'Hours Scheduled'!$N$44-1,IF(WEEKDAY(B336)=7,0,'Hours Scheduled'!$N$44)))</f>
        <v>21</v>
      </c>
      <c r="D336" s="17">
        <f t="shared" si="107"/>
        <v>157.5</v>
      </c>
      <c r="E336" s="127">
        <f t="shared" si="108"/>
        <v>168</v>
      </c>
      <c r="F336" s="111"/>
      <c r="G336" s="130">
        <f>INDEX(November!$C$3:$AH$169,3,MATCH(B336,November!$D$3:$AH$3)+1)+INDEX(November!$C$3:$AH$169,8,MATCH(B336,November!$D$3:$AH$3)+1)+INDEX(November!$C$3:$AH$169,13,MATCH(B336,November!$D$3:$AH$3)+1)+INDEX(November!$C$3:$AH$169,18,MATCH(B336,November!$D$3:$AH$3)+1)+INDEX(November!$C$3:$AH$169,23,MATCH(B336,November!$D$3:$AH$3)+1)+INDEX(November!$C$3:$AH$169,28,MATCH(B336,November!$D$3:$AH$3)+1)+INDEX(November!$C$3:$AH$169,33,MATCH(B336,November!$D$3:$AH$3)+1)+INDEX(November!$C$3:$AH$169,38,MATCH(B336,November!$D$3:$AH$3)+1)+INDEX(November!$C$3:$AH$169,43,MATCH(B336,November!$D$3:$AH$3)+1)+INDEX(November!$C$3:$AH$169,48,MATCH(B336,November!$D$3:$AH$3)+1)+INDEX(November!$C$3:$AH$169,53,MATCH(B336,November!$D$3:$AH$3)+1)+INDEX(November!$C$3:$AH$169,58,MATCH(B336,November!$D$3:$AH$3)+1)+INDEX(November!$C$3:$AH$169,63,MATCH(B336,November!$D$3:$AH$3)+1)+INDEX(November!$C$3:$AH$169,68,MATCH(B336,November!$D$3:$AH$3)+1)+INDEX(November!$C$3:$AH$169,73,MATCH(B336,November!$D$3:$AH$3)+1)+INDEX(November!$C$3:$AH$169,78,MATCH(B336,November!$D$3:$AH$3)+1)+INDEX(November!$C$3:$AH$169,83,MATCH(B336,November!$D$3:$AH$3)+1)+INDEX(November!$C$3:$AH$169,88,MATCH(B336,November!$D$3:$AH$3)+1)+INDEX(November!$C$3:$AH$169,93,MATCH(B336,November!$D$3:$AH$3)+1)+INDEX(November!$C$3:$AH$169,98,MATCH(B336,November!$D$3:$AH$3)+1)+INDEX(November!$C$3:$AH$169,103,MATCH(B336,November!$D$3:$AH$3)+1)+INDEX(November!$C$3:$AH$169,108,MATCH(B336,November!$D$3:$AH$3)+1)+INDEX(November!$C$3:$AH$169,113,MATCH(B336,November!$D$3:$AH$3)+1)+INDEX(November!$C$3:$AH$169,118,MATCH(B336,November!$D$3:$AH$3)+1)+INDEX(November!$C$3:$AH$169,123,MATCH(B336,November!$D$3:$AH$3)+1)+INDEX(November!$C$3:$AH$169,128,MATCH(B336,November!$D$3:$AH$3)+1)+INDEX(November!$C$3:$AH$169,133,MATCH(B336,November!$D$3:$AH$3)+1)+INDEX(November!$C$3:$AH$169,138,MATCH(B336,November!$D$3:$AH$3)+1)+INDEX(November!$C$3:$AH$169,143,MATCH(B336,November!$D$3:$AH$3)+1)+INDEX(November!$C$3:$AH$169,148,MATCH(B336,November!$D$3:$AH$3)+1)-INDEX(November!$B$5:$AH$169,MATCH("Patrick Janssen",November!$B$5:$B$169),MATCH(B336,November!$D$3:$AH$3)+2)-INDEX(November!$B$5:$AH$169,MATCH("Patrick Ziesen",November!$B$5:$B$169),MATCH(B336,November!$D$3:$AH$3)+2)-INDEX(November!$B$5:$AH$169,MATCH("Frido Meijer",November!$B$5:$B$169),MATCH(B336,November!$D$3:$AH$3)+2)</f>
        <v>0</v>
      </c>
      <c r="H336" s="130">
        <f>INDEX(November!$C$3:$AH$169,4,MATCH(B336,November!$D$3:$AH$3)+1)+INDEX(November!$C$3:$AH$169,9,MATCH(B336,November!$D$3:$AH$3)+1)+INDEX(November!$C$3:$AH$169,14,MATCH(B336,November!$D$3:$AH$3)+1)+INDEX(November!$C$3:$AH$169,19,MATCH(B336,November!$D$3:$AH$3)+1)+INDEX(November!$C$3:$AH$169,24,MATCH(B336,November!$D$3:$AH$3)+1)+INDEX(November!$C$3:$AH$169,29,MATCH(B336,November!$D$3:$AH$3)+1)+INDEX(November!$C$3:$AH$169,34,MATCH(B336,November!$D$3:$AH$3)+1)+INDEX(November!$C$3:$AH$169,39,MATCH(B336,November!$D$3:$AH$3)+1)+INDEX(November!$C$3:$AH$169,44,MATCH(B336,November!$D$3:$AH$3)+1)+INDEX(November!$C$3:$AH$169,49,MATCH(B336,November!$D$3:$AH$3)+1)+INDEX(November!$C$3:$AH$169,54,MATCH(B336,November!$D$3:$AH$3)+1)+INDEX(November!$C$3:$AH$169,59,MATCH(B336,November!$D$3:$AH$3)+1)+INDEX(November!$C$3:$AH$169,64,MATCH(B336,November!$D$3:$AH$3)+1)+INDEX(November!$C$3:$AH$169,69,MATCH(B336,November!$D$3:$AH$3)+1)+INDEX(November!$C$3:$AH$169,74,MATCH(B336,November!$D$3:$AH$3)+1)+INDEX(November!$C$3:$AH$169,79,MATCH(B336,November!$D$3:$AH$3)+1)+INDEX(November!$C$3:$AH$169,84,MATCH(B336,November!$D$3:$AH$3)+1)+INDEX(November!$C$3:$AH$169,89,MATCH(B336,November!$D$3:$AH$3)+1)+INDEX(November!$C$3:$AH$169,94,MATCH(B336,November!$D$3:$AH$3)+1)+INDEX(November!$C$3:$AH$169,99,MATCH(B336,November!$D$3:$AH$3)+1)+INDEX(November!$C$3:$AH$169,104,MATCH(B336,November!$D$3:$AH$3)+1)+INDEX(November!$C$3:$AH$169,109,MATCH(B336,November!$D$3:$AH$3)+1)+INDEX(November!$C$3:$AH$169,114,MATCH(B336,November!$D$3:$AH$3)+1)+INDEX(November!$C$3:$AH$169,119,MATCH(B336,November!$D$3:$AH$3)+1)+INDEX(November!$C$3:$AH$169,124,MATCH(B336,November!$D$3:$AH$3)+1)+INDEX(November!$C$3:$AH$169,129,MATCH(B336,November!$D$3:$AH$3)+1)+INDEX(November!$C$3:$AH$169,134,MATCH(B336,November!$D$3:$AH$3)+1)+INDEX(November!$C$3:$AH$169,139,MATCH(B336,November!$D$3:$AH$3)+1)+INDEX(November!$C$3:$AH$169,144,MATCH(B336,November!$D$3:$AH$3)+1)+INDEX(November!$C$3:$AH$169,149,MATCH(B336,November!$D$3:$AH$3)+1)-INDEX(November!$B$5:$AH$169,MATCH("Patrick Janssen",November!$B$5:$B$169)+1,MATCH(B336,November!$D$3:$AH$3)+2)-INDEX(November!$B$5:$AH$169,MATCH("Patrick Ziesen",November!$B$5:$B$169)+1,MATCH(B336,November!$D$3:$AH$3)+2)-INDEX(November!$B$5:$AH$169,MATCH("Frido Meijer",November!$B$5:$B$169)+1,MATCH(B336,November!$D$3:$AH$3)+2)</f>
        <v>0</v>
      </c>
      <c r="I336" s="130">
        <v>0</v>
      </c>
      <c r="J336" s="130">
        <v>0</v>
      </c>
      <c r="L336" s="165"/>
      <c r="M336" s="111"/>
      <c r="N336" s="111">
        <f t="shared" si="104"/>
        <v>0</v>
      </c>
      <c r="P336" s="112">
        <f t="shared" si="105"/>
        <v>0</v>
      </c>
      <c r="Q336" s="112">
        <f t="shared" si="106"/>
        <v>0</v>
      </c>
    </row>
    <row r="337" spans="2:17" x14ac:dyDescent="0.25">
      <c r="B337" s="110">
        <f>DATE(Title!$F$12,$S$15,S12)</f>
        <v>41586</v>
      </c>
      <c r="C337" s="111">
        <f>IF(WEEKDAY(B337)=1,0,IF(WEEKDAY(B337)=4,'Hours Scheduled'!$N$44-1,IF(WEEKDAY(B337)=7,0,'Hours Scheduled'!$N$44)))</f>
        <v>21</v>
      </c>
      <c r="D337" s="17">
        <f t="shared" si="107"/>
        <v>157.5</v>
      </c>
      <c r="E337" s="127">
        <f t="shared" si="108"/>
        <v>168</v>
      </c>
      <c r="F337" s="111"/>
      <c r="G337" s="130">
        <f>INDEX(November!$C$3:$AH$169,3,MATCH(B337,November!$D$3:$AH$3)+1)+INDEX(November!$C$3:$AH$169,8,MATCH(B337,November!$D$3:$AH$3)+1)+INDEX(November!$C$3:$AH$169,13,MATCH(B337,November!$D$3:$AH$3)+1)+INDEX(November!$C$3:$AH$169,18,MATCH(B337,November!$D$3:$AH$3)+1)+INDEX(November!$C$3:$AH$169,23,MATCH(B337,November!$D$3:$AH$3)+1)+INDEX(November!$C$3:$AH$169,28,MATCH(B337,November!$D$3:$AH$3)+1)+INDEX(November!$C$3:$AH$169,33,MATCH(B337,November!$D$3:$AH$3)+1)+INDEX(November!$C$3:$AH$169,38,MATCH(B337,November!$D$3:$AH$3)+1)+INDEX(November!$C$3:$AH$169,43,MATCH(B337,November!$D$3:$AH$3)+1)+INDEX(November!$C$3:$AH$169,48,MATCH(B337,November!$D$3:$AH$3)+1)+INDEX(November!$C$3:$AH$169,53,MATCH(B337,November!$D$3:$AH$3)+1)+INDEX(November!$C$3:$AH$169,58,MATCH(B337,November!$D$3:$AH$3)+1)+INDEX(November!$C$3:$AH$169,63,MATCH(B337,November!$D$3:$AH$3)+1)+INDEX(November!$C$3:$AH$169,68,MATCH(B337,November!$D$3:$AH$3)+1)+INDEX(November!$C$3:$AH$169,73,MATCH(B337,November!$D$3:$AH$3)+1)+INDEX(November!$C$3:$AH$169,78,MATCH(B337,November!$D$3:$AH$3)+1)+INDEX(November!$C$3:$AH$169,83,MATCH(B337,November!$D$3:$AH$3)+1)+INDEX(November!$C$3:$AH$169,88,MATCH(B337,November!$D$3:$AH$3)+1)+INDEX(November!$C$3:$AH$169,93,MATCH(B337,November!$D$3:$AH$3)+1)+INDEX(November!$C$3:$AH$169,98,MATCH(B337,November!$D$3:$AH$3)+1)+INDEX(November!$C$3:$AH$169,103,MATCH(B337,November!$D$3:$AH$3)+1)+INDEX(November!$C$3:$AH$169,108,MATCH(B337,November!$D$3:$AH$3)+1)+INDEX(November!$C$3:$AH$169,113,MATCH(B337,November!$D$3:$AH$3)+1)+INDEX(November!$C$3:$AH$169,118,MATCH(B337,November!$D$3:$AH$3)+1)+INDEX(November!$C$3:$AH$169,123,MATCH(B337,November!$D$3:$AH$3)+1)+INDEX(November!$C$3:$AH$169,128,MATCH(B337,November!$D$3:$AH$3)+1)+INDEX(November!$C$3:$AH$169,133,MATCH(B337,November!$D$3:$AH$3)+1)+INDEX(November!$C$3:$AH$169,138,MATCH(B337,November!$D$3:$AH$3)+1)+INDEX(November!$C$3:$AH$169,143,MATCH(B337,November!$D$3:$AH$3)+1)+INDEX(November!$C$3:$AH$169,148,MATCH(B337,November!$D$3:$AH$3)+1)-INDEX(November!$B$5:$AH$169,MATCH("Patrick Janssen",November!$B$5:$B$169),MATCH(B337,November!$D$3:$AH$3)+2)-INDEX(November!$B$5:$AH$169,MATCH("Patrick Ziesen",November!$B$5:$B$169),MATCH(B337,November!$D$3:$AH$3)+2)-INDEX(November!$B$5:$AH$169,MATCH("Frido Meijer",November!$B$5:$B$169),MATCH(B337,November!$D$3:$AH$3)+2)</f>
        <v>0</v>
      </c>
      <c r="H337" s="130">
        <f>INDEX(November!$C$3:$AH$169,4,MATCH(B337,November!$D$3:$AH$3)+1)+INDEX(November!$C$3:$AH$169,9,MATCH(B337,November!$D$3:$AH$3)+1)+INDEX(November!$C$3:$AH$169,14,MATCH(B337,November!$D$3:$AH$3)+1)+INDEX(November!$C$3:$AH$169,19,MATCH(B337,November!$D$3:$AH$3)+1)+INDEX(November!$C$3:$AH$169,24,MATCH(B337,November!$D$3:$AH$3)+1)+INDEX(November!$C$3:$AH$169,29,MATCH(B337,November!$D$3:$AH$3)+1)+INDEX(November!$C$3:$AH$169,34,MATCH(B337,November!$D$3:$AH$3)+1)+INDEX(November!$C$3:$AH$169,39,MATCH(B337,November!$D$3:$AH$3)+1)+INDEX(November!$C$3:$AH$169,44,MATCH(B337,November!$D$3:$AH$3)+1)+INDEX(November!$C$3:$AH$169,49,MATCH(B337,November!$D$3:$AH$3)+1)+INDEX(November!$C$3:$AH$169,54,MATCH(B337,November!$D$3:$AH$3)+1)+INDEX(November!$C$3:$AH$169,59,MATCH(B337,November!$D$3:$AH$3)+1)+INDEX(November!$C$3:$AH$169,64,MATCH(B337,November!$D$3:$AH$3)+1)+INDEX(November!$C$3:$AH$169,69,MATCH(B337,November!$D$3:$AH$3)+1)+INDEX(November!$C$3:$AH$169,74,MATCH(B337,November!$D$3:$AH$3)+1)+INDEX(November!$C$3:$AH$169,79,MATCH(B337,November!$D$3:$AH$3)+1)+INDEX(November!$C$3:$AH$169,84,MATCH(B337,November!$D$3:$AH$3)+1)+INDEX(November!$C$3:$AH$169,89,MATCH(B337,November!$D$3:$AH$3)+1)+INDEX(November!$C$3:$AH$169,94,MATCH(B337,November!$D$3:$AH$3)+1)+INDEX(November!$C$3:$AH$169,99,MATCH(B337,November!$D$3:$AH$3)+1)+INDEX(November!$C$3:$AH$169,104,MATCH(B337,November!$D$3:$AH$3)+1)+INDEX(November!$C$3:$AH$169,109,MATCH(B337,November!$D$3:$AH$3)+1)+INDEX(November!$C$3:$AH$169,114,MATCH(B337,November!$D$3:$AH$3)+1)+INDEX(November!$C$3:$AH$169,119,MATCH(B337,November!$D$3:$AH$3)+1)+INDEX(November!$C$3:$AH$169,124,MATCH(B337,November!$D$3:$AH$3)+1)+INDEX(November!$C$3:$AH$169,129,MATCH(B337,November!$D$3:$AH$3)+1)+INDEX(November!$C$3:$AH$169,134,MATCH(B337,November!$D$3:$AH$3)+1)+INDEX(November!$C$3:$AH$169,139,MATCH(B337,November!$D$3:$AH$3)+1)+INDEX(November!$C$3:$AH$169,144,MATCH(B337,November!$D$3:$AH$3)+1)+INDEX(November!$C$3:$AH$169,149,MATCH(B337,November!$D$3:$AH$3)+1)-INDEX(November!$B$5:$AH$169,MATCH("Patrick Janssen",November!$B$5:$B$169)+1,MATCH(B337,November!$D$3:$AH$3)+2)-INDEX(November!$B$5:$AH$169,MATCH("Patrick Ziesen",November!$B$5:$B$169)+1,MATCH(B337,November!$D$3:$AH$3)+2)-INDEX(November!$B$5:$AH$169,MATCH("Frido Meijer",November!$B$5:$B$169)+1,MATCH(B337,November!$D$3:$AH$3)+2)</f>
        <v>0</v>
      </c>
      <c r="I337" s="130">
        <v>0</v>
      </c>
      <c r="J337" s="130">
        <v>0</v>
      </c>
      <c r="L337" s="165"/>
      <c r="M337" s="111"/>
      <c r="N337" s="111">
        <f t="shared" si="104"/>
        <v>0</v>
      </c>
      <c r="P337" s="112">
        <f t="shared" si="105"/>
        <v>0</v>
      </c>
      <c r="Q337" s="112">
        <f t="shared" si="106"/>
        <v>0</v>
      </c>
    </row>
    <row r="338" spans="2:17" x14ac:dyDescent="0.25">
      <c r="B338" s="110">
        <f>DATE(Title!$F$12,$S$15,S13)</f>
        <v>41587</v>
      </c>
      <c r="C338" s="111">
        <f>IF(WEEKDAY(B338)=1,0,IF(WEEKDAY(B338)=4,'Hours Scheduled'!$N$44-1,IF(WEEKDAY(B338)=7,0,'Hours Scheduled'!$N$44)))</f>
        <v>0</v>
      </c>
      <c r="D338" s="17">
        <f t="shared" si="107"/>
        <v>0</v>
      </c>
      <c r="E338" s="127">
        <f t="shared" si="108"/>
        <v>0</v>
      </c>
      <c r="F338" s="111"/>
      <c r="G338" s="130">
        <f>INDEX(November!$C$3:$AH$169,3,MATCH(B338,November!$D$3:$AH$3)+1)+INDEX(November!$C$3:$AH$169,8,MATCH(B338,November!$D$3:$AH$3)+1)+INDEX(November!$C$3:$AH$169,13,MATCH(B338,November!$D$3:$AH$3)+1)+INDEX(November!$C$3:$AH$169,18,MATCH(B338,November!$D$3:$AH$3)+1)+INDEX(November!$C$3:$AH$169,23,MATCH(B338,November!$D$3:$AH$3)+1)+INDEX(November!$C$3:$AH$169,28,MATCH(B338,November!$D$3:$AH$3)+1)+INDEX(November!$C$3:$AH$169,33,MATCH(B338,November!$D$3:$AH$3)+1)+INDEX(November!$C$3:$AH$169,38,MATCH(B338,November!$D$3:$AH$3)+1)+INDEX(November!$C$3:$AH$169,43,MATCH(B338,November!$D$3:$AH$3)+1)+INDEX(November!$C$3:$AH$169,48,MATCH(B338,November!$D$3:$AH$3)+1)+INDEX(November!$C$3:$AH$169,53,MATCH(B338,November!$D$3:$AH$3)+1)+INDEX(November!$C$3:$AH$169,58,MATCH(B338,November!$D$3:$AH$3)+1)+INDEX(November!$C$3:$AH$169,63,MATCH(B338,November!$D$3:$AH$3)+1)+INDEX(November!$C$3:$AH$169,68,MATCH(B338,November!$D$3:$AH$3)+1)+INDEX(November!$C$3:$AH$169,73,MATCH(B338,November!$D$3:$AH$3)+1)+INDEX(November!$C$3:$AH$169,78,MATCH(B338,November!$D$3:$AH$3)+1)+INDEX(November!$C$3:$AH$169,83,MATCH(B338,November!$D$3:$AH$3)+1)+INDEX(November!$C$3:$AH$169,88,MATCH(B338,November!$D$3:$AH$3)+1)+INDEX(November!$C$3:$AH$169,93,MATCH(B338,November!$D$3:$AH$3)+1)+INDEX(November!$C$3:$AH$169,98,MATCH(B338,November!$D$3:$AH$3)+1)+INDEX(November!$C$3:$AH$169,103,MATCH(B338,November!$D$3:$AH$3)+1)+INDEX(November!$C$3:$AH$169,108,MATCH(B338,November!$D$3:$AH$3)+1)+INDEX(November!$C$3:$AH$169,113,MATCH(B338,November!$D$3:$AH$3)+1)+INDEX(November!$C$3:$AH$169,118,MATCH(B338,November!$D$3:$AH$3)+1)+INDEX(November!$C$3:$AH$169,123,MATCH(B338,November!$D$3:$AH$3)+1)+INDEX(November!$C$3:$AH$169,128,MATCH(B338,November!$D$3:$AH$3)+1)+INDEX(November!$C$3:$AH$169,133,MATCH(B338,November!$D$3:$AH$3)+1)+INDEX(November!$C$3:$AH$169,138,MATCH(B338,November!$D$3:$AH$3)+1)+INDEX(November!$C$3:$AH$169,143,MATCH(B338,November!$D$3:$AH$3)+1)+INDEX(November!$C$3:$AH$169,148,MATCH(B338,November!$D$3:$AH$3)+1)-INDEX(November!$B$5:$AH$169,MATCH("Patrick Janssen",November!$B$5:$B$169),MATCH(B338,November!$D$3:$AH$3)+2)-INDEX(November!$B$5:$AH$169,MATCH("Patrick Ziesen",November!$B$5:$B$169),MATCH(B338,November!$D$3:$AH$3)+2)-INDEX(November!$B$5:$AH$169,MATCH("Frido Meijer",November!$B$5:$B$169),MATCH(B338,November!$D$3:$AH$3)+2)</f>
        <v>0</v>
      </c>
      <c r="H338" s="130">
        <f>INDEX(November!$C$3:$AH$169,4,MATCH(B338,November!$D$3:$AH$3)+1)+INDEX(November!$C$3:$AH$169,9,MATCH(B338,November!$D$3:$AH$3)+1)+INDEX(November!$C$3:$AH$169,14,MATCH(B338,November!$D$3:$AH$3)+1)+INDEX(November!$C$3:$AH$169,19,MATCH(B338,November!$D$3:$AH$3)+1)+INDEX(November!$C$3:$AH$169,24,MATCH(B338,November!$D$3:$AH$3)+1)+INDEX(November!$C$3:$AH$169,29,MATCH(B338,November!$D$3:$AH$3)+1)+INDEX(November!$C$3:$AH$169,34,MATCH(B338,November!$D$3:$AH$3)+1)+INDEX(November!$C$3:$AH$169,39,MATCH(B338,November!$D$3:$AH$3)+1)+INDEX(November!$C$3:$AH$169,44,MATCH(B338,November!$D$3:$AH$3)+1)+INDEX(November!$C$3:$AH$169,49,MATCH(B338,November!$D$3:$AH$3)+1)+INDEX(November!$C$3:$AH$169,54,MATCH(B338,November!$D$3:$AH$3)+1)+INDEX(November!$C$3:$AH$169,59,MATCH(B338,November!$D$3:$AH$3)+1)+INDEX(November!$C$3:$AH$169,64,MATCH(B338,November!$D$3:$AH$3)+1)+INDEX(November!$C$3:$AH$169,69,MATCH(B338,November!$D$3:$AH$3)+1)+INDEX(November!$C$3:$AH$169,74,MATCH(B338,November!$D$3:$AH$3)+1)+INDEX(November!$C$3:$AH$169,79,MATCH(B338,November!$D$3:$AH$3)+1)+INDEX(November!$C$3:$AH$169,84,MATCH(B338,November!$D$3:$AH$3)+1)+INDEX(November!$C$3:$AH$169,89,MATCH(B338,November!$D$3:$AH$3)+1)+INDEX(November!$C$3:$AH$169,94,MATCH(B338,November!$D$3:$AH$3)+1)+INDEX(November!$C$3:$AH$169,99,MATCH(B338,November!$D$3:$AH$3)+1)+INDEX(November!$C$3:$AH$169,104,MATCH(B338,November!$D$3:$AH$3)+1)+INDEX(November!$C$3:$AH$169,109,MATCH(B338,November!$D$3:$AH$3)+1)+INDEX(November!$C$3:$AH$169,114,MATCH(B338,November!$D$3:$AH$3)+1)+INDEX(November!$C$3:$AH$169,119,MATCH(B338,November!$D$3:$AH$3)+1)+INDEX(November!$C$3:$AH$169,124,MATCH(B338,November!$D$3:$AH$3)+1)+INDEX(November!$C$3:$AH$169,129,MATCH(B338,November!$D$3:$AH$3)+1)+INDEX(November!$C$3:$AH$169,134,MATCH(B338,November!$D$3:$AH$3)+1)+INDEX(November!$C$3:$AH$169,139,MATCH(B338,November!$D$3:$AH$3)+1)+INDEX(November!$C$3:$AH$169,144,MATCH(B338,November!$D$3:$AH$3)+1)+INDEX(November!$C$3:$AH$169,149,MATCH(B338,November!$D$3:$AH$3)+1)-INDEX(November!$B$5:$AH$169,MATCH("Patrick Janssen",November!$B$5:$B$169)+1,MATCH(B338,November!$D$3:$AH$3)+2)-INDEX(November!$B$5:$AH$169,MATCH("Patrick Ziesen",November!$B$5:$B$169)+1,MATCH(B338,November!$D$3:$AH$3)+2)-INDEX(November!$B$5:$AH$169,MATCH("Frido Meijer",November!$B$5:$B$169)+1,MATCH(B338,November!$D$3:$AH$3)+2)</f>
        <v>0</v>
      </c>
      <c r="I338" s="130">
        <v>0</v>
      </c>
      <c r="J338" s="130">
        <v>0</v>
      </c>
      <c r="L338" s="165"/>
      <c r="M338" s="111"/>
      <c r="N338" s="111">
        <f t="shared" si="104"/>
        <v>0</v>
      </c>
      <c r="P338" s="112" t="str">
        <f t="shared" si="105"/>
        <v/>
      </c>
      <c r="Q338" s="112" t="str">
        <f t="shared" si="106"/>
        <v/>
      </c>
    </row>
    <row r="339" spans="2:17" x14ac:dyDescent="0.25">
      <c r="B339" s="110">
        <f>DATE(Title!$F$12,$S$15,S14)</f>
        <v>41588</v>
      </c>
      <c r="C339" s="111">
        <f>IF(WEEKDAY(B339)=1,0,IF(WEEKDAY(B339)=4,'Hours Scheduled'!$N$44-1,IF(WEEKDAY(B339)=7,0,'Hours Scheduled'!$N$44)))</f>
        <v>0</v>
      </c>
      <c r="D339" s="17">
        <f t="shared" si="107"/>
        <v>0</v>
      </c>
      <c r="E339" s="127">
        <f t="shared" si="108"/>
        <v>0</v>
      </c>
      <c r="F339" s="111"/>
      <c r="G339" s="130">
        <f>INDEX(November!$C$3:$AH$169,3,MATCH(B339,November!$D$3:$AH$3)+1)+INDEX(November!$C$3:$AH$169,8,MATCH(B339,November!$D$3:$AH$3)+1)+INDEX(November!$C$3:$AH$169,13,MATCH(B339,November!$D$3:$AH$3)+1)+INDEX(November!$C$3:$AH$169,18,MATCH(B339,November!$D$3:$AH$3)+1)+INDEX(November!$C$3:$AH$169,23,MATCH(B339,November!$D$3:$AH$3)+1)+INDEX(November!$C$3:$AH$169,28,MATCH(B339,November!$D$3:$AH$3)+1)+INDEX(November!$C$3:$AH$169,33,MATCH(B339,November!$D$3:$AH$3)+1)+INDEX(November!$C$3:$AH$169,38,MATCH(B339,November!$D$3:$AH$3)+1)+INDEX(November!$C$3:$AH$169,43,MATCH(B339,November!$D$3:$AH$3)+1)+INDEX(November!$C$3:$AH$169,48,MATCH(B339,November!$D$3:$AH$3)+1)+INDEX(November!$C$3:$AH$169,53,MATCH(B339,November!$D$3:$AH$3)+1)+INDEX(November!$C$3:$AH$169,58,MATCH(B339,November!$D$3:$AH$3)+1)+INDEX(November!$C$3:$AH$169,63,MATCH(B339,November!$D$3:$AH$3)+1)+INDEX(November!$C$3:$AH$169,68,MATCH(B339,November!$D$3:$AH$3)+1)+INDEX(November!$C$3:$AH$169,73,MATCH(B339,November!$D$3:$AH$3)+1)+INDEX(November!$C$3:$AH$169,78,MATCH(B339,November!$D$3:$AH$3)+1)+INDEX(November!$C$3:$AH$169,83,MATCH(B339,November!$D$3:$AH$3)+1)+INDEX(November!$C$3:$AH$169,88,MATCH(B339,November!$D$3:$AH$3)+1)+INDEX(November!$C$3:$AH$169,93,MATCH(B339,November!$D$3:$AH$3)+1)+INDEX(November!$C$3:$AH$169,98,MATCH(B339,November!$D$3:$AH$3)+1)+INDEX(November!$C$3:$AH$169,103,MATCH(B339,November!$D$3:$AH$3)+1)+INDEX(November!$C$3:$AH$169,108,MATCH(B339,November!$D$3:$AH$3)+1)+INDEX(November!$C$3:$AH$169,113,MATCH(B339,November!$D$3:$AH$3)+1)+INDEX(November!$C$3:$AH$169,118,MATCH(B339,November!$D$3:$AH$3)+1)+INDEX(November!$C$3:$AH$169,123,MATCH(B339,November!$D$3:$AH$3)+1)+INDEX(November!$C$3:$AH$169,128,MATCH(B339,November!$D$3:$AH$3)+1)+INDEX(November!$C$3:$AH$169,133,MATCH(B339,November!$D$3:$AH$3)+1)+INDEX(November!$C$3:$AH$169,138,MATCH(B339,November!$D$3:$AH$3)+1)+INDEX(November!$C$3:$AH$169,143,MATCH(B339,November!$D$3:$AH$3)+1)+INDEX(November!$C$3:$AH$169,148,MATCH(B339,November!$D$3:$AH$3)+1)-INDEX(November!$B$5:$AH$169,MATCH("Patrick Janssen",November!$B$5:$B$169),MATCH(B339,November!$D$3:$AH$3)+2)-INDEX(November!$B$5:$AH$169,MATCH("Patrick Ziesen",November!$B$5:$B$169),MATCH(B339,November!$D$3:$AH$3)+2)-INDEX(November!$B$5:$AH$169,MATCH("Frido Meijer",November!$B$5:$B$169),MATCH(B339,November!$D$3:$AH$3)+2)</f>
        <v>0</v>
      </c>
      <c r="H339" s="130">
        <f>INDEX(November!$C$3:$AH$169,4,MATCH(B339,November!$D$3:$AH$3)+1)+INDEX(November!$C$3:$AH$169,9,MATCH(B339,November!$D$3:$AH$3)+1)+INDEX(November!$C$3:$AH$169,14,MATCH(B339,November!$D$3:$AH$3)+1)+INDEX(November!$C$3:$AH$169,19,MATCH(B339,November!$D$3:$AH$3)+1)+INDEX(November!$C$3:$AH$169,24,MATCH(B339,November!$D$3:$AH$3)+1)+INDEX(November!$C$3:$AH$169,29,MATCH(B339,November!$D$3:$AH$3)+1)+INDEX(November!$C$3:$AH$169,34,MATCH(B339,November!$D$3:$AH$3)+1)+INDEX(November!$C$3:$AH$169,39,MATCH(B339,November!$D$3:$AH$3)+1)+INDEX(November!$C$3:$AH$169,44,MATCH(B339,November!$D$3:$AH$3)+1)+INDEX(November!$C$3:$AH$169,49,MATCH(B339,November!$D$3:$AH$3)+1)+INDEX(November!$C$3:$AH$169,54,MATCH(B339,November!$D$3:$AH$3)+1)+INDEX(November!$C$3:$AH$169,59,MATCH(B339,November!$D$3:$AH$3)+1)+INDEX(November!$C$3:$AH$169,64,MATCH(B339,November!$D$3:$AH$3)+1)+INDEX(November!$C$3:$AH$169,69,MATCH(B339,November!$D$3:$AH$3)+1)+INDEX(November!$C$3:$AH$169,74,MATCH(B339,November!$D$3:$AH$3)+1)+INDEX(November!$C$3:$AH$169,79,MATCH(B339,November!$D$3:$AH$3)+1)+INDEX(November!$C$3:$AH$169,84,MATCH(B339,November!$D$3:$AH$3)+1)+INDEX(November!$C$3:$AH$169,89,MATCH(B339,November!$D$3:$AH$3)+1)+INDEX(November!$C$3:$AH$169,94,MATCH(B339,November!$D$3:$AH$3)+1)+INDEX(November!$C$3:$AH$169,99,MATCH(B339,November!$D$3:$AH$3)+1)+INDEX(November!$C$3:$AH$169,104,MATCH(B339,November!$D$3:$AH$3)+1)+INDEX(November!$C$3:$AH$169,109,MATCH(B339,November!$D$3:$AH$3)+1)+INDEX(November!$C$3:$AH$169,114,MATCH(B339,November!$D$3:$AH$3)+1)+INDEX(November!$C$3:$AH$169,119,MATCH(B339,November!$D$3:$AH$3)+1)+INDEX(November!$C$3:$AH$169,124,MATCH(B339,November!$D$3:$AH$3)+1)+INDEX(November!$C$3:$AH$169,129,MATCH(B339,November!$D$3:$AH$3)+1)+INDEX(November!$C$3:$AH$169,134,MATCH(B339,November!$D$3:$AH$3)+1)+INDEX(November!$C$3:$AH$169,139,MATCH(B339,November!$D$3:$AH$3)+1)+INDEX(November!$C$3:$AH$169,144,MATCH(B339,November!$D$3:$AH$3)+1)+INDEX(November!$C$3:$AH$169,149,MATCH(B339,November!$D$3:$AH$3)+1)-INDEX(November!$B$5:$AH$169,MATCH("Patrick Janssen",November!$B$5:$B$169)+1,MATCH(B339,November!$D$3:$AH$3)+2)-INDEX(November!$B$5:$AH$169,MATCH("Patrick Ziesen",November!$B$5:$B$169)+1,MATCH(B339,November!$D$3:$AH$3)+2)-INDEX(November!$B$5:$AH$169,MATCH("Frido Meijer",November!$B$5:$B$169)+1,MATCH(B339,November!$D$3:$AH$3)+2)</f>
        <v>0</v>
      </c>
      <c r="I339" s="130">
        <v>0</v>
      </c>
      <c r="J339" s="130">
        <v>0</v>
      </c>
      <c r="L339" s="165"/>
      <c r="M339" s="111"/>
      <c r="N339" s="111">
        <f t="shared" si="104"/>
        <v>0</v>
      </c>
      <c r="P339" s="112" t="str">
        <f t="shared" si="105"/>
        <v/>
      </c>
      <c r="Q339" s="112" t="str">
        <f t="shared" si="106"/>
        <v/>
      </c>
    </row>
    <row r="340" spans="2:17" x14ac:dyDescent="0.25">
      <c r="B340" s="110">
        <f>DATE(Title!$F$12,$S$15,S15)</f>
        <v>41589</v>
      </c>
      <c r="C340" s="111">
        <f>IF(WEEKDAY(B340)=1,0,IF(WEEKDAY(B340)=4,'Hours Scheduled'!$N$44-1,IF(WEEKDAY(B340)=7,0,'Hours Scheduled'!$N$44)))</f>
        <v>21</v>
      </c>
      <c r="D340" s="17">
        <f t="shared" si="107"/>
        <v>157.5</v>
      </c>
      <c r="E340" s="127">
        <f t="shared" si="108"/>
        <v>168</v>
      </c>
      <c r="F340" s="111"/>
      <c r="G340" s="130">
        <f>INDEX(November!$C$3:$AH$169,3,MATCH(B340,November!$D$3:$AH$3)+1)+INDEX(November!$C$3:$AH$169,8,MATCH(B340,November!$D$3:$AH$3)+1)+INDEX(November!$C$3:$AH$169,13,MATCH(B340,November!$D$3:$AH$3)+1)+INDEX(November!$C$3:$AH$169,18,MATCH(B340,November!$D$3:$AH$3)+1)+INDEX(November!$C$3:$AH$169,23,MATCH(B340,November!$D$3:$AH$3)+1)+INDEX(November!$C$3:$AH$169,28,MATCH(B340,November!$D$3:$AH$3)+1)+INDEX(November!$C$3:$AH$169,33,MATCH(B340,November!$D$3:$AH$3)+1)+INDEX(November!$C$3:$AH$169,38,MATCH(B340,November!$D$3:$AH$3)+1)+INDEX(November!$C$3:$AH$169,43,MATCH(B340,November!$D$3:$AH$3)+1)+INDEX(November!$C$3:$AH$169,48,MATCH(B340,November!$D$3:$AH$3)+1)+INDEX(November!$C$3:$AH$169,53,MATCH(B340,November!$D$3:$AH$3)+1)+INDEX(November!$C$3:$AH$169,58,MATCH(B340,November!$D$3:$AH$3)+1)+INDEX(November!$C$3:$AH$169,63,MATCH(B340,November!$D$3:$AH$3)+1)+INDEX(November!$C$3:$AH$169,68,MATCH(B340,November!$D$3:$AH$3)+1)+INDEX(November!$C$3:$AH$169,73,MATCH(B340,November!$D$3:$AH$3)+1)+INDEX(November!$C$3:$AH$169,78,MATCH(B340,November!$D$3:$AH$3)+1)+INDEX(November!$C$3:$AH$169,83,MATCH(B340,November!$D$3:$AH$3)+1)+INDEX(November!$C$3:$AH$169,88,MATCH(B340,November!$D$3:$AH$3)+1)+INDEX(November!$C$3:$AH$169,93,MATCH(B340,November!$D$3:$AH$3)+1)+INDEX(November!$C$3:$AH$169,98,MATCH(B340,November!$D$3:$AH$3)+1)+INDEX(November!$C$3:$AH$169,103,MATCH(B340,November!$D$3:$AH$3)+1)+INDEX(November!$C$3:$AH$169,108,MATCH(B340,November!$D$3:$AH$3)+1)+INDEX(November!$C$3:$AH$169,113,MATCH(B340,November!$D$3:$AH$3)+1)+INDEX(November!$C$3:$AH$169,118,MATCH(B340,November!$D$3:$AH$3)+1)+INDEX(November!$C$3:$AH$169,123,MATCH(B340,November!$D$3:$AH$3)+1)+INDEX(November!$C$3:$AH$169,128,MATCH(B340,November!$D$3:$AH$3)+1)+INDEX(November!$C$3:$AH$169,133,MATCH(B340,November!$D$3:$AH$3)+1)+INDEX(November!$C$3:$AH$169,138,MATCH(B340,November!$D$3:$AH$3)+1)+INDEX(November!$C$3:$AH$169,143,MATCH(B340,November!$D$3:$AH$3)+1)+INDEX(November!$C$3:$AH$169,148,MATCH(B340,November!$D$3:$AH$3)+1)-INDEX(November!$B$5:$AH$169,MATCH("Patrick Janssen",November!$B$5:$B$169),MATCH(B340,November!$D$3:$AH$3)+2)-INDEX(November!$B$5:$AH$169,MATCH("Patrick Ziesen",November!$B$5:$B$169),MATCH(B340,November!$D$3:$AH$3)+2)-INDEX(November!$B$5:$AH$169,MATCH("Frido Meijer",November!$B$5:$B$169),MATCH(B340,November!$D$3:$AH$3)+2)</f>
        <v>0</v>
      </c>
      <c r="H340" s="130">
        <f>INDEX(November!$C$3:$AH$169,4,MATCH(B340,November!$D$3:$AH$3)+1)+INDEX(November!$C$3:$AH$169,9,MATCH(B340,November!$D$3:$AH$3)+1)+INDEX(November!$C$3:$AH$169,14,MATCH(B340,November!$D$3:$AH$3)+1)+INDEX(November!$C$3:$AH$169,19,MATCH(B340,November!$D$3:$AH$3)+1)+INDEX(November!$C$3:$AH$169,24,MATCH(B340,November!$D$3:$AH$3)+1)+INDEX(November!$C$3:$AH$169,29,MATCH(B340,November!$D$3:$AH$3)+1)+INDEX(November!$C$3:$AH$169,34,MATCH(B340,November!$D$3:$AH$3)+1)+INDEX(November!$C$3:$AH$169,39,MATCH(B340,November!$D$3:$AH$3)+1)+INDEX(November!$C$3:$AH$169,44,MATCH(B340,November!$D$3:$AH$3)+1)+INDEX(November!$C$3:$AH$169,49,MATCH(B340,November!$D$3:$AH$3)+1)+INDEX(November!$C$3:$AH$169,54,MATCH(B340,November!$D$3:$AH$3)+1)+INDEX(November!$C$3:$AH$169,59,MATCH(B340,November!$D$3:$AH$3)+1)+INDEX(November!$C$3:$AH$169,64,MATCH(B340,November!$D$3:$AH$3)+1)+INDEX(November!$C$3:$AH$169,69,MATCH(B340,November!$D$3:$AH$3)+1)+INDEX(November!$C$3:$AH$169,74,MATCH(B340,November!$D$3:$AH$3)+1)+INDEX(November!$C$3:$AH$169,79,MATCH(B340,November!$D$3:$AH$3)+1)+INDEX(November!$C$3:$AH$169,84,MATCH(B340,November!$D$3:$AH$3)+1)+INDEX(November!$C$3:$AH$169,89,MATCH(B340,November!$D$3:$AH$3)+1)+INDEX(November!$C$3:$AH$169,94,MATCH(B340,November!$D$3:$AH$3)+1)+INDEX(November!$C$3:$AH$169,99,MATCH(B340,November!$D$3:$AH$3)+1)+INDEX(November!$C$3:$AH$169,104,MATCH(B340,November!$D$3:$AH$3)+1)+INDEX(November!$C$3:$AH$169,109,MATCH(B340,November!$D$3:$AH$3)+1)+INDEX(November!$C$3:$AH$169,114,MATCH(B340,November!$D$3:$AH$3)+1)+INDEX(November!$C$3:$AH$169,119,MATCH(B340,November!$D$3:$AH$3)+1)+INDEX(November!$C$3:$AH$169,124,MATCH(B340,November!$D$3:$AH$3)+1)+INDEX(November!$C$3:$AH$169,129,MATCH(B340,November!$D$3:$AH$3)+1)+INDEX(November!$C$3:$AH$169,134,MATCH(B340,November!$D$3:$AH$3)+1)+INDEX(November!$C$3:$AH$169,139,MATCH(B340,November!$D$3:$AH$3)+1)+INDEX(November!$C$3:$AH$169,144,MATCH(B340,November!$D$3:$AH$3)+1)+INDEX(November!$C$3:$AH$169,149,MATCH(B340,November!$D$3:$AH$3)+1)-INDEX(November!$B$5:$AH$169,MATCH("Patrick Janssen",November!$B$5:$B$169)+1,MATCH(B340,November!$D$3:$AH$3)+2)-INDEX(November!$B$5:$AH$169,MATCH("Patrick Ziesen",November!$B$5:$B$169)+1,MATCH(B340,November!$D$3:$AH$3)+2)-INDEX(November!$B$5:$AH$169,MATCH("Frido Meijer",November!$B$5:$B$169)+1,MATCH(B340,November!$D$3:$AH$3)+2)</f>
        <v>0</v>
      </c>
      <c r="I340" s="130">
        <v>0</v>
      </c>
      <c r="J340" s="130">
        <v>0</v>
      </c>
      <c r="L340" s="165"/>
      <c r="M340" s="111"/>
      <c r="N340" s="111">
        <f t="shared" si="104"/>
        <v>0</v>
      </c>
      <c r="P340" s="112">
        <f t="shared" si="105"/>
        <v>0</v>
      </c>
      <c r="Q340" s="112">
        <f t="shared" si="106"/>
        <v>0</v>
      </c>
    </row>
    <row r="341" spans="2:17" x14ac:dyDescent="0.25">
      <c r="B341" s="110">
        <f>DATE(Title!$F$12,$S$15,S16)</f>
        <v>41590</v>
      </c>
      <c r="C341" s="111">
        <f>IF(WEEKDAY(B341)=1,0,IF(WEEKDAY(B341)=4,'Hours Scheduled'!$N$44-1,IF(WEEKDAY(B341)=7,0,'Hours Scheduled'!$N$44)))</f>
        <v>21</v>
      </c>
      <c r="D341" s="17">
        <f t="shared" si="107"/>
        <v>157.5</v>
      </c>
      <c r="E341" s="127">
        <f t="shared" si="108"/>
        <v>168</v>
      </c>
      <c r="F341" s="111"/>
      <c r="G341" s="130">
        <f>INDEX(November!$C$3:$AH$169,3,MATCH(B341,November!$D$3:$AH$3)+1)+INDEX(November!$C$3:$AH$169,8,MATCH(B341,November!$D$3:$AH$3)+1)+INDEX(November!$C$3:$AH$169,13,MATCH(B341,November!$D$3:$AH$3)+1)+INDEX(November!$C$3:$AH$169,18,MATCH(B341,November!$D$3:$AH$3)+1)+INDEX(November!$C$3:$AH$169,23,MATCH(B341,November!$D$3:$AH$3)+1)+INDEX(November!$C$3:$AH$169,28,MATCH(B341,November!$D$3:$AH$3)+1)+INDEX(November!$C$3:$AH$169,33,MATCH(B341,November!$D$3:$AH$3)+1)+INDEX(November!$C$3:$AH$169,38,MATCH(B341,November!$D$3:$AH$3)+1)+INDEX(November!$C$3:$AH$169,43,MATCH(B341,November!$D$3:$AH$3)+1)+INDEX(November!$C$3:$AH$169,48,MATCH(B341,November!$D$3:$AH$3)+1)+INDEX(November!$C$3:$AH$169,53,MATCH(B341,November!$D$3:$AH$3)+1)+INDEX(November!$C$3:$AH$169,58,MATCH(B341,November!$D$3:$AH$3)+1)+INDEX(November!$C$3:$AH$169,63,MATCH(B341,November!$D$3:$AH$3)+1)+INDEX(November!$C$3:$AH$169,68,MATCH(B341,November!$D$3:$AH$3)+1)+INDEX(November!$C$3:$AH$169,73,MATCH(B341,November!$D$3:$AH$3)+1)+INDEX(November!$C$3:$AH$169,78,MATCH(B341,November!$D$3:$AH$3)+1)+INDEX(November!$C$3:$AH$169,83,MATCH(B341,November!$D$3:$AH$3)+1)+INDEX(November!$C$3:$AH$169,88,MATCH(B341,November!$D$3:$AH$3)+1)+INDEX(November!$C$3:$AH$169,93,MATCH(B341,November!$D$3:$AH$3)+1)+INDEX(November!$C$3:$AH$169,98,MATCH(B341,November!$D$3:$AH$3)+1)+INDEX(November!$C$3:$AH$169,103,MATCH(B341,November!$D$3:$AH$3)+1)+INDEX(November!$C$3:$AH$169,108,MATCH(B341,November!$D$3:$AH$3)+1)+INDEX(November!$C$3:$AH$169,113,MATCH(B341,November!$D$3:$AH$3)+1)+INDEX(November!$C$3:$AH$169,118,MATCH(B341,November!$D$3:$AH$3)+1)+INDEX(November!$C$3:$AH$169,123,MATCH(B341,November!$D$3:$AH$3)+1)+INDEX(November!$C$3:$AH$169,128,MATCH(B341,November!$D$3:$AH$3)+1)+INDEX(November!$C$3:$AH$169,133,MATCH(B341,November!$D$3:$AH$3)+1)+INDEX(November!$C$3:$AH$169,138,MATCH(B341,November!$D$3:$AH$3)+1)+INDEX(November!$C$3:$AH$169,143,MATCH(B341,November!$D$3:$AH$3)+1)+INDEX(November!$C$3:$AH$169,148,MATCH(B341,November!$D$3:$AH$3)+1)-INDEX(November!$B$5:$AH$169,MATCH("Patrick Janssen",November!$B$5:$B$169),MATCH(B341,November!$D$3:$AH$3)+2)-INDEX(November!$B$5:$AH$169,MATCH("Patrick Ziesen",November!$B$5:$B$169),MATCH(B341,November!$D$3:$AH$3)+2)-INDEX(November!$B$5:$AH$169,MATCH("Frido Meijer",November!$B$5:$B$169),MATCH(B341,November!$D$3:$AH$3)+2)</f>
        <v>0</v>
      </c>
      <c r="H341" s="130">
        <f>INDEX(November!$C$3:$AH$169,4,MATCH(B341,November!$D$3:$AH$3)+1)+INDEX(November!$C$3:$AH$169,9,MATCH(B341,November!$D$3:$AH$3)+1)+INDEX(November!$C$3:$AH$169,14,MATCH(B341,November!$D$3:$AH$3)+1)+INDEX(November!$C$3:$AH$169,19,MATCH(B341,November!$D$3:$AH$3)+1)+INDEX(November!$C$3:$AH$169,24,MATCH(B341,November!$D$3:$AH$3)+1)+INDEX(November!$C$3:$AH$169,29,MATCH(B341,November!$D$3:$AH$3)+1)+INDEX(November!$C$3:$AH$169,34,MATCH(B341,November!$D$3:$AH$3)+1)+INDEX(November!$C$3:$AH$169,39,MATCH(B341,November!$D$3:$AH$3)+1)+INDEX(November!$C$3:$AH$169,44,MATCH(B341,November!$D$3:$AH$3)+1)+INDEX(November!$C$3:$AH$169,49,MATCH(B341,November!$D$3:$AH$3)+1)+INDEX(November!$C$3:$AH$169,54,MATCH(B341,November!$D$3:$AH$3)+1)+INDEX(November!$C$3:$AH$169,59,MATCH(B341,November!$D$3:$AH$3)+1)+INDEX(November!$C$3:$AH$169,64,MATCH(B341,November!$D$3:$AH$3)+1)+INDEX(November!$C$3:$AH$169,69,MATCH(B341,November!$D$3:$AH$3)+1)+INDEX(November!$C$3:$AH$169,74,MATCH(B341,November!$D$3:$AH$3)+1)+INDEX(November!$C$3:$AH$169,79,MATCH(B341,November!$D$3:$AH$3)+1)+INDEX(November!$C$3:$AH$169,84,MATCH(B341,November!$D$3:$AH$3)+1)+INDEX(November!$C$3:$AH$169,89,MATCH(B341,November!$D$3:$AH$3)+1)+INDEX(November!$C$3:$AH$169,94,MATCH(B341,November!$D$3:$AH$3)+1)+INDEX(November!$C$3:$AH$169,99,MATCH(B341,November!$D$3:$AH$3)+1)+INDEX(November!$C$3:$AH$169,104,MATCH(B341,November!$D$3:$AH$3)+1)+INDEX(November!$C$3:$AH$169,109,MATCH(B341,November!$D$3:$AH$3)+1)+INDEX(November!$C$3:$AH$169,114,MATCH(B341,November!$D$3:$AH$3)+1)+INDEX(November!$C$3:$AH$169,119,MATCH(B341,November!$D$3:$AH$3)+1)+INDEX(November!$C$3:$AH$169,124,MATCH(B341,November!$D$3:$AH$3)+1)+INDEX(November!$C$3:$AH$169,129,MATCH(B341,November!$D$3:$AH$3)+1)+INDEX(November!$C$3:$AH$169,134,MATCH(B341,November!$D$3:$AH$3)+1)+INDEX(November!$C$3:$AH$169,139,MATCH(B341,November!$D$3:$AH$3)+1)+INDEX(November!$C$3:$AH$169,144,MATCH(B341,November!$D$3:$AH$3)+1)+INDEX(November!$C$3:$AH$169,149,MATCH(B341,November!$D$3:$AH$3)+1)-INDEX(November!$B$5:$AH$169,MATCH("Patrick Janssen",November!$B$5:$B$169)+1,MATCH(B341,November!$D$3:$AH$3)+2)-INDEX(November!$B$5:$AH$169,MATCH("Patrick Ziesen",November!$B$5:$B$169)+1,MATCH(B341,November!$D$3:$AH$3)+2)-INDEX(November!$B$5:$AH$169,MATCH("Frido Meijer",November!$B$5:$B$169)+1,MATCH(B341,November!$D$3:$AH$3)+2)</f>
        <v>0</v>
      </c>
      <c r="I341" s="130">
        <v>0</v>
      </c>
      <c r="J341" s="130">
        <v>0</v>
      </c>
      <c r="L341" s="165"/>
      <c r="M341" s="111"/>
      <c r="N341" s="111">
        <f t="shared" si="104"/>
        <v>0</v>
      </c>
      <c r="P341" s="112">
        <f t="shared" si="105"/>
        <v>0</v>
      </c>
      <c r="Q341" s="112">
        <f t="shared" si="106"/>
        <v>0</v>
      </c>
    </row>
    <row r="342" spans="2:17" x14ac:dyDescent="0.25">
      <c r="B342" s="110">
        <f>DATE(Title!$F$12,$S$15,S17)</f>
        <v>41591</v>
      </c>
      <c r="C342" s="111">
        <f>IF(WEEKDAY(B342)=1,0,IF(WEEKDAY(B342)=4,'Hours Scheduled'!$N$44-1,IF(WEEKDAY(B342)=7,0,'Hours Scheduled'!$N$44)))</f>
        <v>20</v>
      </c>
      <c r="D342" s="17">
        <f t="shared" si="107"/>
        <v>150</v>
      </c>
      <c r="E342" s="127">
        <f t="shared" si="108"/>
        <v>160</v>
      </c>
      <c r="F342" s="111"/>
      <c r="G342" s="130">
        <f>INDEX(November!$C$3:$AH$169,3,MATCH(B342,November!$D$3:$AH$3)+1)+INDEX(November!$C$3:$AH$169,8,MATCH(B342,November!$D$3:$AH$3)+1)+INDEX(November!$C$3:$AH$169,13,MATCH(B342,November!$D$3:$AH$3)+1)+INDEX(November!$C$3:$AH$169,18,MATCH(B342,November!$D$3:$AH$3)+1)+INDEX(November!$C$3:$AH$169,23,MATCH(B342,November!$D$3:$AH$3)+1)+INDEX(November!$C$3:$AH$169,28,MATCH(B342,November!$D$3:$AH$3)+1)+INDEX(November!$C$3:$AH$169,33,MATCH(B342,November!$D$3:$AH$3)+1)+INDEX(November!$C$3:$AH$169,38,MATCH(B342,November!$D$3:$AH$3)+1)+INDEX(November!$C$3:$AH$169,43,MATCH(B342,November!$D$3:$AH$3)+1)+INDEX(November!$C$3:$AH$169,48,MATCH(B342,November!$D$3:$AH$3)+1)+INDEX(November!$C$3:$AH$169,53,MATCH(B342,November!$D$3:$AH$3)+1)+INDEX(November!$C$3:$AH$169,58,MATCH(B342,November!$D$3:$AH$3)+1)+INDEX(November!$C$3:$AH$169,63,MATCH(B342,November!$D$3:$AH$3)+1)+INDEX(November!$C$3:$AH$169,68,MATCH(B342,November!$D$3:$AH$3)+1)+INDEX(November!$C$3:$AH$169,73,MATCH(B342,November!$D$3:$AH$3)+1)+INDEX(November!$C$3:$AH$169,78,MATCH(B342,November!$D$3:$AH$3)+1)+INDEX(November!$C$3:$AH$169,83,MATCH(B342,November!$D$3:$AH$3)+1)+INDEX(November!$C$3:$AH$169,88,MATCH(B342,November!$D$3:$AH$3)+1)+INDEX(November!$C$3:$AH$169,93,MATCH(B342,November!$D$3:$AH$3)+1)+INDEX(November!$C$3:$AH$169,98,MATCH(B342,November!$D$3:$AH$3)+1)+INDEX(November!$C$3:$AH$169,103,MATCH(B342,November!$D$3:$AH$3)+1)+INDEX(November!$C$3:$AH$169,108,MATCH(B342,November!$D$3:$AH$3)+1)+INDEX(November!$C$3:$AH$169,113,MATCH(B342,November!$D$3:$AH$3)+1)+INDEX(November!$C$3:$AH$169,118,MATCH(B342,November!$D$3:$AH$3)+1)+INDEX(November!$C$3:$AH$169,123,MATCH(B342,November!$D$3:$AH$3)+1)+INDEX(November!$C$3:$AH$169,128,MATCH(B342,November!$D$3:$AH$3)+1)+INDEX(November!$C$3:$AH$169,133,MATCH(B342,November!$D$3:$AH$3)+1)+INDEX(November!$C$3:$AH$169,138,MATCH(B342,November!$D$3:$AH$3)+1)+INDEX(November!$C$3:$AH$169,143,MATCH(B342,November!$D$3:$AH$3)+1)+INDEX(November!$C$3:$AH$169,148,MATCH(B342,November!$D$3:$AH$3)+1)-INDEX(November!$B$5:$AH$169,MATCH("Patrick Janssen",November!$B$5:$B$169),MATCH(B342,November!$D$3:$AH$3)+2)-INDEX(November!$B$5:$AH$169,MATCH("Patrick Ziesen",November!$B$5:$B$169),MATCH(B342,November!$D$3:$AH$3)+2)-INDEX(November!$B$5:$AH$169,MATCH("Frido Meijer",November!$B$5:$B$169),MATCH(B342,November!$D$3:$AH$3)+2)</f>
        <v>0</v>
      </c>
      <c r="H342" s="130">
        <f>INDEX(November!$C$3:$AH$169,4,MATCH(B342,November!$D$3:$AH$3)+1)+INDEX(November!$C$3:$AH$169,9,MATCH(B342,November!$D$3:$AH$3)+1)+INDEX(November!$C$3:$AH$169,14,MATCH(B342,November!$D$3:$AH$3)+1)+INDEX(November!$C$3:$AH$169,19,MATCH(B342,November!$D$3:$AH$3)+1)+INDEX(November!$C$3:$AH$169,24,MATCH(B342,November!$D$3:$AH$3)+1)+INDEX(November!$C$3:$AH$169,29,MATCH(B342,November!$D$3:$AH$3)+1)+INDEX(November!$C$3:$AH$169,34,MATCH(B342,November!$D$3:$AH$3)+1)+INDEX(November!$C$3:$AH$169,39,MATCH(B342,November!$D$3:$AH$3)+1)+INDEX(November!$C$3:$AH$169,44,MATCH(B342,November!$D$3:$AH$3)+1)+INDEX(November!$C$3:$AH$169,49,MATCH(B342,November!$D$3:$AH$3)+1)+INDEX(November!$C$3:$AH$169,54,MATCH(B342,November!$D$3:$AH$3)+1)+INDEX(November!$C$3:$AH$169,59,MATCH(B342,November!$D$3:$AH$3)+1)+INDEX(November!$C$3:$AH$169,64,MATCH(B342,November!$D$3:$AH$3)+1)+INDEX(November!$C$3:$AH$169,69,MATCH(B342,November!$D$3:$AH$3)+1)+INDEX(November!$C$3:$AH$169,74,MATCH(B342,November!$D$3:$AH$3)+1)+INDEX(November!$C$3:$AH$169,79,MATCH(B342,November!$D$3:$AH$3)+1)+INDEX(November!$C$3:$AH$169,84,MATCH(B342,November!$D$3:$AH$3)+1)+INDEX(November!$C$3:$AH$169,89,MATCH(B342,November!$D$3:$AH$3)+1)+INDEX(November!$C$3:$AH$169,94,MATCH(B342,November!$D$3:$AH$3)+1)+INDEX(November!$C$3:$AH$169,99,MATCH(B342,November!$D$3:$AH$3)+1)+INDEX(November!$C$3:$AH$169,104,MATCH(B342,November!$D$3:$AH$3)+1)+INDEX(November!$C$3:$AH$169,109,MATCH(B342,November!$D$3:$AH$3)+1)+INDEX(November!$C$3:$AH$169,114,MATCH(B342,November!$D$3:$AH$3)+1)+INDEX(November!$C$3:$AH$169,119,MATCH(B342,November!$D$3:$AH$3)+1)+INDEX(November!$C$3:$AH$169,124,MATCH(B342,November!$D$3:$AH$3)+1)+INDEX(November!$C$3:$AH$169,129,MATCH(B342,November!$D$3:$AH$3)+1)+INDEX(November!$C$3:$AH$169,134,MATCH(B342,November!$D$3:$AH$3)+1)+INDEX(November!$C$3:$AH$169,139,MATCH(B342,November!$D$3:$AH$3)+1)+INDEX(November!$C$3:$AH$169,144,MATCH(B342,November!$D$3:$AH$3)+1)+INDEX(November!$C$3:$AH$169,149,MATCH(B342,November!$D$3:$AH$3)+1)-INDEX(November!$B$5:$AH$169,MATCH("Patrick Janssen",November!$B$5:$B$169)+1,MATCH(B342,November!$D$3:$AH$3)+2)-INDEX(November!$B$5:$AH$169,MATCH("Patrick Ziesen",November!$B$5:$B$169)+1,MATCH(B342,November!$D$3:$AH$3)+2)-INDEX(November!$B$5:$AH$169,MATCH("Frido Meijer",November!$B$5:$B$169)+1,MATCH(B342,November!$D$3:$AH$3)+2)</f>
        <v>0</v>
      </c>
      <c r="I342" s="130">
        <v>0</v>
      </c>
      <c r="J342" s="130">
        <v>0</v>
      </c>
      <c r="L342" s="165"/>
      <c r="M342" s="111"/>
      <c r="N342" s="111">
        <f t="shared" si="104"/>
        <v>0</v>
      </c>
      <c r="P342" s="112">
        <f t="shared" si="105"/>
        <v>0</v>
      </c>
      <c r="Q342" s="112">
        <f t="shared" si="106"/>
        <v>0</v>
      </c>
    </row>
    <row r="343" spans="2:17" x14ac:dyDescent="0.25">
      <c r="B343" s="110">
        <f>DATE(Title!$F$12,$S$15,S18)</f>
        <v>41592</v>
      </c>
      <c r="C343" s="111">
        <f>IF(WEEKDAY(B343)=1,0,IF(WEEKDAY(B343)=4,'Hours Scheduled'!$N$44-1,IF(WEEKDAY(B343)=7,0,'Hours Scheduled'!$N$44)))</f>
        <v>21</v>
      </c>
      <c r="D343" s="17">
        <f t="shared" si="107"/>
        <v>157.5</v>
      </c>
      <c r="E343" s="127">
        <f t="shared" si="108"/>
        <v>168</v>
      </c>
      <c r="F343" s="111"/>
      <c r="G343" s="130">
        <f>INDEX(November!$C$3:$AH$169,3,MATCH(B343,November!$D$3:$AH$3)+1)+INDEX(November!$C$3:$AH$169,8,MATCH(B343,November!$D$3:$AH$3)+1)+INDEX(November!$C$3:$AH$169,13,MATCH(B343,November!$D$3:$AH$3)+1)+INDEX(November!$C$3:$AH$169,18,MATCH(B343,November!$D$3:$AH$3)+1)+INDEX(November!$C$3:$AH$169,23,MATCH(B343,November!$D$3:$AH$3)+1)+INDEX(November!$C$3:$AH$169,28,MATCH(B343,November!$D$3:$AH$3)+1)+INDEX(November!$C$3:$AH$169,33,MATCH(B343,November!$D$3:$AH$3)+1)+INDEX(November!$C$3:$AH$169,38,MATCH(B343,November!$D$3:$AH$3)+1)+INDEX(November!$C$3:$AH$169,43,MATCH(B343,November!$D$3:$AH$3)+1)+INDEX(November!$C$3:$AH$169,48,MATCH(B343,November!$D$3:$AH$3)+1)+INDEX(November!$C$3:$AH$169,53,MATCH(B343,November!$D$3:$AH$3)+1)+INDEX(November!$C$3:$AH$169,58,MATCH(B343,November!$D$3:$AH$3)+1)+INDEX(November!$C$3:$AH$169,63,MATCH(B343,November!$D$3:$AH$3)+1)+INDEX(November!$C$3:$AH$169,68,MATCH(B343,November!$D$3:$AH$3)+1)+INDEX(November!$C$3:$AH$169,73,MATCH(B343,November!$D$3:$AH$3)+1)+INDEX(November!$C$3:$AH$169,78,MATCH(B343,November!$D$3:$AH$3)+1)+INDEX(November!$C$3:$AH$169,83,MATCH(B343,November!$D$3:$AH$3)+1)+INDEX(November!$C$3:$AH$169,88,MATCH(B343,November!$D$3:$AH$3)+1)+INDEX(November!$C$3:$AH$169,93,MATCH(B343,November!$D$3:$AH$3)+1)+INDEX(November!$C$3:$AH$169,98,MATCH(B343,November!$D$3:$AH$3)+1)+INDEX(November!$C$3:$AH$169,103,MATCH(B343,November!$D$3:$AH$3)+1)+INDEX(November!$C$3:$AH$169,108,MATCH(B343,November!$D$3:$AH$3)+1)+INDEX(November!$C$3:$AH$169,113,MATCH(B343,November!$D$3:$AH$3)+1)+INDEX(November!$C$3:$AH$169,118,MATCH(B343,November!$D$3:$AH$3)+1)+INDEX(November!$C$3:$AH$169,123,MATCH(B343,November!$D$3:$AH$3)+1)+INDEX(November!$C$3:$AH$169,128,MATCH(B343,November!$D$3:$AH$3)+1)+INDEX(November!$C$3:$AH$169,133,MATCH(B343,November!$D$3:$AH$3)+1)+INDEX(November!$C$3:$AH$169,138,MATCH(B343,November!$D$3:$AH$3)+1)+INDEX(November!$C$3:$AH$169,143,MATCH(B343,November!$D$3:$AH$3)+1)+INDEX(November!$C$3:$AH$169,148,MATCH(B343,November!$D$3:$AH$3)+1)-INDEX(November!$B$5:$AH$169,MATCH("Patrick Janssen",November!$B$5:$B$169),MATCH(B343,November!$D$3:$AH$3)+2)-INDEX(November!$B$5:$AH$169,MATCH("Patrick Ziesen",November!$B$5:$B$169),MATCH(B343,November!$D$3:$AH$3)+2)-INDEX(November!$B$5:$AH$169,MATCH("Frido Meijer",November!$B$5:$B$169),MATCH(B343,November!$D$3:$AH$3)+2)</f>
        <v>0</v>
      </c>
      <c r="H343" s="130">
        <f>INDEX(November!$C$3:$AH$169,4,MATCH(B343,November!$D$3:$AH$3)+1)+INDEX(November!$C$3:$AH$169,9,MATCH(B343,November!$D$3:$AH$3)+1)+INDEX(November!$C$3:$AH$169,14,MATCH(B343,November!$D$3:$AH$3)+1)+INDEX(November!$C$3:$AH$169,19,MATCH(B343,November!$D$3:$AH$3)+1)+INDEX(November!$C$3:$AH$169,24,MATCH(B343,November!$D$3:$AH$3)+1)+INDEX(November!$C$3:$AH$169,29,MATCH(B343,November!$D$3:$AH$3)+1)+INDEX(November!$C$3:$AH$169,34,MATCH(B343,November!$D$3:$AH$3)+1)+INDEX(November!$C$3:$AH$169,39,MATCH(B343,November!$D$3:$AH$3)+1)+INDEX(November!$C$3:$AH$169,44,MATCH(B343,November!$D$3:$AH$3)+1)+INDEX(November!$C$3:$AH$169,49,MATCH(B343,November!$D$3:$AH$3)+1)+INDEX(November!$C$3:$AH$169,54,MATCH(B343,November!$D$3:$AH$3)+1)+INDEX(November!$C$3:$AH$169,59,MATCH(B343,November!$D$3:$AH$3)+1)+INDEX(November!$C$3:$AH$169,64,MATCH(B343,November!$D$3:$AH$3)+1)+INDEX(November!$C$3:$AH$169,69,MATCH(B343,November!$D$3:$AH$3)+1)+INDEX(November!$C$3:$AH$169,74,MATCH(B343,November!$D$3:$AH$3)+1)+INDEX(November!$C$3:$AH$169,79,MATCH(B343,November!$D$3:$AH$3)+1)+INDEX(November!$C$3:$AH$169,84,MATCH(B343,November!$D$3:$AH$3)+1)+INDEX(November!$C$3:$AH$169,89,MATCH(B343,November!$D$3:$AH$3)+1)+INDEX(November!$C$3:$AH$169,94,MATCH(B343,November!$D$3:$AH$3)+1)+INDEX(November!$C$3:$AH$169,99,MATCH(B343,November!$D$3:$AH$3)+1)+INDEX(November!$C$3:$AH$169,104,MATCH(B343,November!$D$3:$AH$3)+1)+INDEX(November!$C$3:$AH$169,109,MATCH(B343,November!$D$3:$AH$3)+1)+INDEX(November!$C$3:$AH$169,114,MATCH(B343,November!$D$3:$AH$3)+1)+INDEX(November!$C$3:$AH$169,119,MATCH(B343,November!$D$3:$AH$3)+1)+INDEX(November!$C$3:$AH$169,124,MATCH(B343,November!$D$3:$AH$3)+1)+INDEX(November!$C$3:$AH$169,129,MATCH(B343,November!$D$3:$AH$3)+1)+INDEX(November!$C$3:$AH$169,134,MATCH(B343,November!$D$3:$AH$3)+1)+INDEX(November!$C$3:$AH$169,139,MATCH(B343,November!$D$3:$AH$3)+1)+INDEX(November!$C$3:$AH$169,144,MATCH(B343,November!$D$3:$AH$3)+1)+INDEX(November!$C$3:$AH$169,149,MATCH(B343,November!$D$3:$AH$3)+1)-INDEX(November!$B$5:$AH$169,MATCH("Patrick Janssen",November!$B$5:$B$169)+1,MATCH(B343,November!$D$3:$AH$3)+2)-INDEX(November!$B$5:$AH$169,MATCH("Patrick Ziesen",November!$B$5:$B$169)+1,MATCH(B343,November!$D$3:$AH$3)+2)-INDEX(November!$B$5:$AH$169,MATCH("Frido Meijer",November!$B$5:$B$169)+1,MATCH(B343,November!$D$3:$AH$3)+2)</f>
        <v>0</v>
      </c>
      <c r="I343" s="130">
        <v>0</v>
      </c>
      <c r="J343" s="130">
        <v>0</v>
      </c>
      <c r="L343" s="165"/>
      <c r="M343" s="111"/>
      <c r="N343" s="111">
        <f t="shared" si="104"/>
        <v>0</v>
      </c>
      <c r="P343" s="112">
        <f t="shared" si="105"/>
        <v>0</v>
      </c>
      <c r="Q343" s="112">
        <f t="shared" si="106"/>
        <v>0</v>
      </c>
    </row>
    <row r="344" spans="2:17" x14ac:dyDescent="0.25">
      <c r="B344" s="110">
        <f>DATE(Title!$F$12,$S$15,S19)</f>
        <v>41593</v>
      </c>
      <c r="C344" s="111">
        <f>IF(WEEKDAY(B344)=1,0,IF(WEEKDAY(B344)=4,'Hours Scheduled'!$N$44-1,IF(WEEKDAY(B344)=7,0,'Hours Scheduled'!$N$44)))</f>
        <v>21</v>
      </c>
      <c r="D344" s="17">
        <f t="shared" si="107"/>
        <v>157.5</v>
      </c>
      <c r="E344" s="127">
        <f t="shared" si="108"/>
        <v>168</v>
      </c>
      <c r="F344" s="111"/>
      <c r="G344" s="130">
        <f>INDEX(November!$C$3:$AH$169,3,MATCH(B344,November!$D$3:$AH$3)+1)+INDEX(November!$C$3:$AH$169,8,MATCH(B344,November!$D$3:$AH$3)+1)+INDEX(November!$C$3:$AH$169,13,MATCH(B344,November!$D$3:$AH$3)+1)+INDEX(November!$C$3:$AH$169,18,MATCH(B344,November!$D$3:$AH$3)+1)+INDEX(November!$C$3:$AH$169,23,MATCH(B344,November!$D$3:$AH$3)+1)+INDEX(November!$C$3:$AH$169,28,MATCH(B344,November!$D$3:$AH$3)+1)+INDEX(November!$C$3:$AH$169,33,MATCH(B344,November!$D$3:$AH$3)+1)+INDEX(November!$C$3:$AH$169,38,MATCH(B344,November!$D$3:$AH$3)+1)+INDEX(November!$C$3:$AH$169,43,MATCH(B344,November!$D$3:$AH$3)+1)+INDEX(November!$C$3:$AH$169,48,MATCH(B344,November!$D$3:$AH$3)+1)+INDEX(November!$C$3:$AH$169,53,MATCH(B344,November!$D$3:$AH$3)+1)+INDEX(November!$C$3:$AH$169,58,MATCH(B344,November!$D$3:$AH$3)+1)+INDEX(November!$C$3:$AH$169,63,MATCH(B344,November!$D$3:$AH$3)+1)+INDEX(November!$C$3:$AH$169,68,MATCH(B344,November!$D$3:$AH$3)+1)+INDEX(November!$C$3:$AH$169,73,MATCH(B344,November!$D$3:$AH$3)+1)+INDEX(November!$C$3:$AH$169,78,MATCH(B344,November!$D$3:$AH$3)+1)+INDEX(November!$C$3:$AH$169,83,MATCH(B344,November!$D$3:$AH$3)+1)+INDEX(November!$C$3:$AH$169,88,MATCH(B344,November!$D$3:$AH$3)+1)+INDEX(November!$C$3:$AH$169,93,MATCH(B344,November!$D$3:$AH$3)+1)+INDEX(November!$C$3:$AH$169,98,MATCH(B344,November!$D$3:$AH$3)+1)+INDEX(November!$C$3:$AH$169,103,MATCH(B344,November!$D$3:$AH$3)+1)+INDEX(November!$C$3:$AH$169,108,MATCH(B344,November!$D$3:$AH$3)+1)+INDEX(November!$C$3:$AH$169,113,MATCH(B344,November!$D$3:$AH$3)+1)+INDEX(November!$C$3:$AH$169,118,MATCH(B344,November!$D$3:$AH$3)+1)+INDEX(November!$C$3:$AH$169,123,MATCH(B344,November!$D$3:$AH$3)+1)+INDEX(November!$C$3:$AH$169,128,MATCH(B344,November!$D$3:$AH$3)+1)+INDEX(November!$C$3:$AH$169,133,MATCH(B344,November!$D$3:$AH$3)+1)+INDEX(November!$C$3:$AH$169,138,MATCH(B344,November!$D$3:$AH$3)+1)+INDEX(November!$C$3:$AH$169,143,MATCH(B344,November!$D$3:$AH$3)+1)+INDEX(November!$C$3:$AH$169,148,MATCH(B344,November!$D$3:$AH$3)+1)-INDEX(November!$B$5:$AH$169,MATCH("Patrick Janssen",November!$B$5:$B$169),MATCH(B344,November!$D$3:$AH$3)+2)-INDEX(November!$B$5:$AH$169,MATCH("Patrick Ziesen",November!$B$5:$B$169),MATCH(B344,November!$D$3:$AH$3)+2)-INDEX(November!$B$5:$AH$169,MATCH("Frido Meijer",November!$B$5:$B$169),MATCH(B344,November!$D$3:$AH$3)+2)</f>
        <v>0</v>
      </c>
      <c r="H344" s="130">
        <f>INDEX(November!$C$3:$AH$169,4,MATCH(B344,November!$D$3:$AH$3)+1)+INDEX(November!$C$3:$AH$169,9,MATCH(B344,November!$D$3:$AH$3)+1)+INDEX(November!$C$3:$AH$169,14,MATCH(B344,November!$D$3:$AH$3)+1)+INDEX(November!$C$3:$AH$169,19,MATCH(B344,November!$D$3:$AH$3)+1)+INDEX(November!$C$3:$AH$169,24,MATCH(B344,November!$D$3:$AH$3)+1)+INDEX(November!$C$3:$AH$169,29,MATCH(B344,November!$D$3:$AH$3)+1)+INDEX(November!$C$3:$AH$169,34,MATCH(B344,November!$D$3:$AH$3)+1)+INDEX(November!$C$3:$AH$169,39,MATCH(B344,November!$D$3:$AH$3)+1)+INDEX(November!$C$3:$AH$169,44,MATCH(B344,November!$D$3:$AH$3)+1)+INDEX(November!$C$3:$AH$169,49,MATCH(B344,November!$D$3:$AH$3)+1)+INDEX(November!$C$3:$AH$169,54,MATCH(B344,November!$D$3:$AH$3)+1)+INDEX(November!$C$3:$AH$169,59,MATCH(B344,November!$D$3:$AH$3)+1)+INDEX(November!$C$3:$AH$169,64,MATCH(B344,November!$D$3:$AH$3)+1)+INDEX(November!$C$3:$AH$169,69,MATCH(B344,November!$D$3:$AH$3)+1)+INDEX(November!$C$3:$AH$169,74,MATCH(B344,November!$D$3:$AH$3)+1)+INDEX(November!$C$3:$AH$169,79,MATCH(B344,November!$D$3:$AH$3)+1)+INDEX(November!$C$3:$AH$169,84,MATCH(B344,November!$D$3:$AH$3)+1)+INDEX(November!$C$3:$AH$169,89,MATCH(B344,November!$D$3:$AH$3)+1)+INDEX(November!$C$3:$AH$169,94,MATCH(B344,November!$D$3:$AH$3)+1)+INDEX(November!$C$3:$AH$169,99,MATCH(B344,November!$D$3:$AH$3)+1)+INDEX(November!$C$3:$AH$169,104,MATCH(B344,November!$D$3:$AH$3)+1)+INDEX(November!$C$3:$AH$169,109,MATCH(B344,November!$D$3:$AH$3)+1)+INDEX(November!$C$3:$AH$169,114,MATCH(B344,November!$D$3:$AH$3)+1)+INDEX(November!$C$3:$AH$169,119,MATCH(B344,November!$D$3:$AH$3)+1)+INDEX(November!$C$3:$AH$169,124,MATCH(B344,November!$D$3:$AH$3)+1)+INDEX(November!$C$3:$AH$169,129,MATCH(B344,November!$D$3:$AH$3)+1)+INDEX(November!$C$3:$AH$169,134,MATCH(B344,November!$D$3:$AH$3)+1)+INDEX(November!$C$3:$AH$169,139,MATCH(B344,November!$D$3:$AH$3)+1)+INDEX(November!$C$3:$AH$169,144,MATCH(B344,November!$D$3:$AH$3)+1)+INDEX(November!$C$3:$AH$169,149,MATCH(B344,November!$D$3:$AH$3)+1)-INDEX(November!$B$5:$AH$169,MATCH("Patrick Janssen",November!$B$5:$B$169)+1,MATCH(B344,November!$D$3:$AH$3)+2)-INDEX(November!$B$5:$AH$169,MATCH("Patrick Ziesen",November!$B$5:$B$169)+1,MATCH(B344,November!$D$3:$AH$3)+2)-INDEX(November!$B$5:$AH$169,MATCH("Frido Meijer",November!$B$5:$B$169)+1,MATCH(B344,November!$D$3:$AH$3)+2)</f>
        <v>0</v>
      </c>
      <c r="I344" s="130">
        <v>0</v>
      </c>
      <c r="J344" s="130">
        <v>0</v>
      </c>
      <c r="L344" s="165"/>
      <c r="M344" s="111"/>
      <c r="N344" s="111">
        <f t="shared" si="104"/>
        <v>0</v>
      </c>
      <c r="P344" s="112">
        <f t="shared" si="105"/>
        <v>0</v>
      </c>
      <c r="Q344" s="112">
        <f t="shared" si="106"/>
        <v>0</v>
      </c>
    </row>
    <row r="345" spans="2:17" x14ac:dyDescent="0.25">
      <c r="B345" s="110">
        <f>DATE(Title!$F$12,$S$15,S20)</f>
        <v>41594</v>
      </c>
      <c r="C345" s="111">
        <f>IF(WEEKDAY(B345)=1,0,IF(WEEKDAY(B345)=4,'Hours Scheduled'!$N$44-1,IF(WEEKDAY(B345)=7,0,'Hours Scheduled'!$N$44)))</f>
        <v>0</v>
      </c>
      <c r="D345" s="17">
        <f t="shared" si="107"/>
        <v>0</v>
      </c>
      <c r="E345" s="127">
        <f t="shared" si="108"/>
        <v>0</v>
      </c>
      <c r="F345" s="111"/>
      <c r="G345" s="130">
        <f>INDEX(November!$C$3:$AH$169,3,MATCH(B345,November!$D$3:$AH$3)+1)+INDEX(November!$C$3:$AH$169,8,MATCH(B345,November!$D$3:$AH$3)+1)+INDEX(November!$C$3:$AH$169,13,MATCH(B345,November!$D$3:$AH$3)+1)+INDEX(November!$C$3:$AH$169,18,MATCH(B345,November!$D$3:$AH$3)+1)+INDEX(November!$C$3:$AH$169,23,MATCH(B345,November!$D$3:$AH$3)+1)+INDEX(November!$C$3:$AH$169,28,MATCH(B345,November!$D$3:$AH$3)+1)+INDEX(November!$C$3:$AH$169,33,MATCH(B345,November!$D$3:$AH$3)+1)+INDEX(November!$C$3:$AH$169,38,MATCH(B345,November!$D$3:$AH$3)+1)+INDEX(November!$C$3:$AH$169,43,MATCH(B345,November!$D$3:$AH$3)+1)+INDEX(November!$C$3:$AH$169,48,MATCH(B345,November!$D$3:$AH$3)+1)+INDEX(November!$C$3:$AH$169,53,MATCH(B345,November!$D$3:$AH$3)+1)+INDEX(November!$C$3:$AH$169,58,MATCH(B345,November!$D$3:$AH$3)+1)+INDEX(November!$C$3:$AH$169,63,MATCH(B345,November!$D$3:$AH$3)+1)+INDEX(November!$C$3:$AH$169,68,MATCH(B345,November!$D$3:$AH$3)+1)+INDEX(November!$C$3:$AH$169,73,MATCH(B345,November!$D$3:$AH$3)+1)+INDEX(November!$C$3:$AH$169,78,MATCH(B345,November!$D$3:$AH$3)+1)+INDEX(November!$C$3:$AH$169,83,MATCH(B345,November!$D$3:$AH$3)+1)+INDEX(November!$C$3:$AH$169,88,MATCH(B345,November!$D$3:$AH$3)+1)+INDEX(November!$C$3:$AH$169,93,MATCH(B345,November!$D$3:$AH$3)+1)+INDEX(November!$C$3:$AH$169,98,MATCH(B345,November!$D$3:$AH$3)+1)+INDEX(November!$C$3:$AH$169,103,MATCH(B345,November!$D$3:$AH$3)+1)+INDEX(November!$C$3:$AH$169,108,MATCH(B345,November!$D$3:$AH$3)+1)+INDEX(November!$C$3:$AH$169,113,MATCH(B345,November!$D$3:$AH$3)+1)+INDEX(November!$C$3:$AH$169,118,MATCH(B345,November!$D$3:$AH$3)+1)+INDEX(November!$C$3:$AH$169,123,MATCH(B345,November!$D$3:$AH$3)+1)+INDEX(November!$C$3:$AH$169,128,MATCH(B345,November!$D$3:$AH$3)+1)+INDEX(November!$C$3:$AH$169,133,MATCH(B345,November!$D$3:$AH$3)+1)+INDEX(November!$C$3:$AH$169,138,MATCH(B345,November!$D$3:$AH$3)+1)+INDEX(November!$C$3:$AH$169,143,MATCH(B345,November!$D$3:$AH$3)+1)+INDEX(November!$C$3:$AH$169,148,MATCH(B345,November!$D$3:$AH$3)+1)-INDEX(November!$B$5:$AH$169,MATCH("Patrick Janssen",November!$B$5:$B$169),MATCH(B345,November!$D$3:$AH$3)+2)-INDEX(November!$B$5:$AH$169,MATCH("Patrick Ziesen",November!$B$5:$B$169),MATCH(B345,November!$D$3:$AH$3)+2)-INDEX(November!$B$5:$AH$169,MATCH("Frido Meijer",November!$B$5:$B$169),MATCH(B345,November!$D$3:$AH$3)+2)</f>
        <v>0</v>
      </c>
      <c r="H345" s="130">
        <f>INDEX(November!$C$3:$AH$169,4,MATCH(B345,November!$D$3:$AH$3)+1)+INDEX(November!$C$3:$AH$169,9,MATCH(B345,November!$D$3:$AH$3)+1)+INDEX(November!$C$3:$AH$169,14,MATCH(B345,November!$D$3:$AH$3)+1)+INDEX(November!$C$3:$AH$169,19,MATCH(B345,November!$D$3:$AH$3)+1)+INDEX(November!$C$3:$AH$169,24,MATCH(B345,November!$D$3:$AH$3)+1)+INDEX(November!$C$3:$AH$169,29,MATCH(B345,November!$D$3:$AH$3)+1)+INDEX(November!$C$3:$AH$169,34,MATCH(B345,November!$D$3:$AH$3)+1)+INDEX(November!$C$3:$AH$169,39,MATCH(B345,November!$D$3:$AH$3)+1)+INDEX(November!$C$3:$AH$169,44,MATCH(B345,November!$D$3:$AH$3)+1)+INDEX(November!$C$3:$AH$169,49,MATCH(B345,November!$D$3:$AH$3)+1)+INDEX(November!$C$3:$AH$169,54,MATCH(B345,November!$D$3:$AH$3)+1)+INDEX(November!$C$3:$AH$169,59,MATCH(B345,November!$D$3:$AH$3)+1)+INDEX(November!$C$3:$AH$169,64,MATCH(B345,November!$D$3:$AH$3)+1)+INDEX(November!$C$3:$AH$169,69,MATCH(B345,November!$D$3:$AH$3)+1)+INDEX(November!$C$3:$AH$169,74,MATCH(B345,November!$D$3:$AH$3)+1)+INDEX(November!$C$3:$AH$169,79,MATCH(B345,November!$D$3:$AH$3)+1)+INDEX(November!$C$3:$AH$169,84,MATCH(B345,November!$D$3:$AH$3)+1)+INDEX(November!$C$3:$AH$169,89,MATCH(B345,November!$D$3:$AH$3)+1)+INDEX(November!$C$3:$AH$169,94,MATCH(B345,November!$D$3:$AH$3)+1)+INDEX(November!$C$3:$AH$169,99,MATCH(B345,November!$D$3:$AH$3)+1)+INDEX(November!$C$3:$AH$169,104,MATCH(B345,November!$D$3:$AH$3)+1)+INDEX(November!$C$3:$AH$169,109,MATCH(B345,November!$D$3:$AH$3)+1)+INDEX(November!$C$3:$AH$169,114,MATCH(B345,November!$D$3:$AH$3)+1)+INDEX(November!$C$3:$AH$169,119,MATCH(B345,November!$D$3:$AH$3)+1)+INDEX(November!$C$3:$AH$169,124,MATCH(B345,November!$D$3:$AH$3)+1)+INDEX(November!$C$3:$AH$169,129,MATCH(B345,November!$D$3:$AH$3)+1)+INDEX(November!$C$3:$AH$169,134,MATCH(B345,November!$D$3:$AH$3)+1)+INDEX(November!$C$3:$AH$169,139,MATCH(B345,November!$D$3:$AH$3)+1)+INDEX(November!$C$3:$AH$169,144,MATCH(B345,November!$D$3:$AH$3)+1)+INDEX(November!$C$3:$AH$169,149,MATCH(B345,November!$D$3:$AH$3)+1)-INDEX(November!$B$5:$AH$169,MATCH("Patrick Janssen",November!$B$5:$B$169)+1,MATCH(B345,November!$D$3:$AH$3)+2)-INDEX(November!$B$5:$AH$169,MATCH("Patrick Ziesen",November!$B$5:$B$169)+1,MATCH(B345,November!$D$3:$AH$3)+2)-INDEX(November!$B$5:$AH$169,MATCH("Frido Meijer",November!$B$5:$B$169)+1,MATCH(B345,November!$D$3:$AH$3)+2)</f>
        <v>0</v>
      </c>
      <c r="I345" s="130">
        <v>0</v>
      </c>
      <c r="J345" s="130">
        <v>0</v>
      </c>
      <c r="L345" s="165"/>
      <c r="M345" s="111"/>
      <c r="N345" s="111">
        <f t="shared" si="104"/>
        <v>0</v>
      </c>
      <c r="P345" s="112" t="str">
        <f t="shared" si="105"/>
        <v/>
      </c>
      <c r="Q345" s="112" t="str">
        <f t="shared" si="106"/>
        <v/>
      </c>
    </row>
    <row r="346" spans="2:17" x14ac:dyDescent="0.25">
      <c r="B346" s="110">
        <f>DATE(Title!$F$12,$S$15,S21)</f>
        <v>41595</v>
      </c>
      <c r="C346" s="111">
        <f>IF(WEEKDAY(B346)=1,0,IF(WEEKDAY(B346)=4,'Hours Scheduled'!$N$44-1,IF(WEEKDAY(B346)=7,0,'Hours Scheduled'!$N$44)))</f>
        <v>0</v>
      </c>
      <c r="D346" s="17">
        <f t="shared" si="107"/>
        <v>0</v>
      </c>
      <c r="E346" s="127">
        <f t="shared" si="108"/>
        <v>0</v>
      </c>
      <c r="F346" s="111"/>
      <c r="G346" s="130">
        <f>INDEX(November!$C$3:$AH$169,3,MATCH(B346,November!$D$3:$AH$3)+1)+INDEX(November!$C$3:$AH$169,8,MATCH(B346,November!$D$3:$AH$3)+1)+INDEX(November!$C$3:$AH$169,13,MATCH(B346,November!$D$3:$AH$3)+1)+INDEX(November!$C$3:$AH$169,18,MATCH(B346,November!$D$3:$AH$3)+1)+INDEX(November!$C$3:$AH$169,23,MATCH(B346,November!$D$3:$AH$3)+1)+INDEX(November!$C$3:$AH$169,28,MATCH(B346,November!$D$3:$AH$3)+1)+INDEX(November!$C$3:$AH$169,33,MATCH(B346,November!$D$3:$AH$3)+1)+INDEX(November!$C$3:$AH$169,38,MATCH(B346,November!$D$3:$AH$3)+1)+INDEX(November!$C$3:$AH$169,43,MATCH(B346,November!$D$3:$AH$3)+1)+INDEX(November!$C$3:$AH$169,48,MATCH(B346,November!$D$3:$AH$3)+1)+INDEX(November!$C$3:$AH$169,53,MATCH(B346,November!$D$3:$AH$3)+1)+INDEX(November!$C$3:$AH$169,58,MATCH(B346,November!$D$3:$AH$3)+1)+INDEX(November!$C$3:$AH$169,63,MATCH(B346,November!$D$3:$AH$3)+1)+INDEX(November!$C$3:$AH$169,68,MATCH(B346,November!$D$3:$AH$3)+1)+INDEX(November!$C$3:$AH$169,73,MATCH(B346,November!$D$3:$AH$3)+1)+INDEX(November!$C$3:$AH$169,78,MATCH(B346,November!$D$3:$AH$3)+1)+INDEX(November!$C$3:$AH$169,83,MATCH(B346,November!$D$3:$AH$3)+1)+INDEX(November!$C$3:$AH$169,88,MATCH(B346,November!$D$3:$AH$3)+1)+INDEX(November!$C$3:$AH$169,93,MATCH(B346,November!$D$3:$AH$3)+1)+INDEX(November!$C$3:$AH$169,98,MATCH(B346,November!$D$3:$AH$3)+1)+INDEX(November!$C$3:$AH$169,103,MATCH(B346,November!$D$3:$AH$3)+1)+INDEX(November!$C$3:$AH$169,108,MATCH(B346,November!$D$3:$AH$3)+1)+INDEX(November!$C$3:$AH$169,113,MATCH(B346,November!$D$3:$AH$3)+1)+INDEX(November!$C$3:$AH$169,118,MATCH(B346,November!$D$3:$AH$3)+1)+INDEX(November!$C$3:$AH$169,123,MATCH(B346,November!$D$3:$AH$3)+1)+INDEX(November!$C$3:$AH$169,128,MATCH(B346,November!$D$3:$AH$3)+1)+INDEX(November!$C$3:$AH$169,133,MATCH(B346,November!$D$3:$AH$3)+1)+INDEX(November!$C$3:$AH$169,138,MATCH(B346,November!$D$3:$AH$3)+1)+INDEX(November!$C$3:$AH$169,143,MATCH(B346,November!$D$3:$AH$3)+1)+INDEX(November!$C$3:$AH$169,148,MATCH(B346,November!$D$3:$AH$3)+1)-INDEX(November!$B$5:$AH$169,MATCH("Patrick Janssen",November!$B$5:$B$169),MATCH(B346,November!$D$3:$AH$3)+2)-INDEX(November!$B$5:$AH$169,MATCH("Patrick Ziesen",November!$B$5:$B$169),MATCH(B346,November!$D$3:$AH$3)+2)-INDEX(November!$B$5:$AH$169,MATCH("Frido Meijer",November!$B$5:$B$169),MATCH(B346,November!$D$3:$AH$3)+2)</f>
        <v>0</v>
      </c>
      <c r="H346" s="130">
        <f>INDEX(November!$C$3:$AH$169,4,MATCH(B346,November!$D$3:$AH$3)+1)+INDEX(November!$C$3:$AH$169,9,MATCH(B346,November!$D$3:$AH$3)+1)+INDEX(November!$C$3:$AH$169,14,MATCH(B346,November!$D$3:$AH$3)+1)+INDEX(November!$C$3:$AH$169,19,MATCH(B346,November!$D$3:$AH$3)+1)+INDEX(November!$C$3:$AH$169,24,MATCH(B346,November!$D$3:$AH$3)+1)+INDEX(November!$C$3:$AH$169,29,MATCH(B346,November!$D$3:$AH$3)+1)+INDEX(November!$C$3:$AH$169,34,MATCH(B346,November!$D$3:$AH$3)+1)+INDEX(November!$C$3:$AH$169,39,MATCH(B346,November!$D$3:$AH$3)+1)+INDEX(November!$C$3:$AH$169,44,MATCH(B346,November!$D$3:$AH$3)+1)+INDEX(November!$C$3:$AH$169,49,MATCH(B346,November!$D$3:$AH$3)+1)+INDEX(November!$C$3:$AH$169,54,MATCH(B346,November!$D$3:$AH$3)+1)+INDEX(November!$C$3:$AH$169,59,MATCH(B346,November!$D$3:$AH$3)+1)+INDEX(November!$C$3:$AH$169,64,MATCH(B346,November!$D$3:$AH$3)+1)+INDEX(November!$C$3:$AH$169,69,MATCH(B346,November!$D$3:$AH$3)+1)+INDEX(November!$C$3:$AH$169,74,MATCH(B346,November!$D$3:$AH$3)+1)+INDEX(November!$C$3:$AH$169,79,MATCH(B346,November!$D$3:$AH$3)+1)+INDEX(November!$C$3:$AH$169,84,MATCH(B346,November!$D$3:$AH$3)+1)+INDEX(November!$C$3:$AH$169,89,MATCH(B346,November!$D$3:$AH$3)+1)+INDEX(November!$C$3:$AH$169,94,MATCH(B346,November!$D$3:$AH$3)+1)+INDEX(November!$C$3:$AH$169,99,MATCH(B346,November!$D$3:$AH$3)+1)+INDEX(November!$C$3:$AH$169,104,MATCH(B346,November!$D$3:$AH$3)+1)+INDEX(November!$C$3:$AH$169,109,MATCH(B346,November!$D$3:$AH$3)+1)+INDEX(November!$C$3:$AH$169,114,MATCH(B346,November!$D$3:$AH$3)+1)+INDEX(November!$C$3:$AH$169,119,MATCH(B346,November!$D$3:$AH$3)+1)+INDEX(November!$C$3:$AH$169,124,MATCH(B346,November!$D$3:$AH$3)+1)+INDEX(November!$C$3:$AH$169,129,MATCH(B346,November!$D$3:$AH$3)+1)+INDEX(November!$C$3:$AH$169,134,MATCH(B346,November!$D$3:$AH$3)+1)+INDEX(November!$C$3:$AH$169,139,MATCH(B346,November!$D$3:$AH$3)+1)+INDEX(November!$C$3:$AH$169,144,MATCH(B346,November!$D$3:$AH$3)+1)+INDEX(November!$C$3:$AH$169,149,MATCH(B346,November!$D$3:$AH$3)+1)-INDEX(November!$B$5:$AH$169,MATCH("Patrick Janssen",November!$B$5:$B$169)+1,MATCH(B346,November!$D$3:$AH$3)+2)-INDEX(November!$B$5:$AH$169,MATCH("Patrick Ziesen",November!$B$5:$B$169)+1,MATCH(B346,November!$D$3:$AH$3)+2)-INDEX(November!$B$5:$AH$169,MATCH("Frido Meijer",November!$B$5:$B$169)+1,MATCH(B346,November!$D$3:$AH$3)+2)</f>
        <v>0</v>
      </c>
      <c r="I346" s="130">
        <v>0</v>
      </c>
      <c r="J346" s="130">
        <v>0</v>
      </c>
      <c r="L346" s="165"/>
      <c r="M346" s="111"/>
      <c r="N346" s="111">
        <f t="shared" si="104"/>
        <v>0</v>
      </c>
      <c r="P346" s="112" t="str">
        <f t="shared" si="105"/>
        <v/>
      </c>
      <c r="Q346" s="112" t="str">
        <f t="shared" si="106"/>
        <v/>
      </c>
    </row>
    <row r="347" spans="2:17" x14ac:dyDescent="0.25">
      <c r="B347" s="110">
        <f>DATE(Title!$F$12,$S$15,S22)</f>
        <v>41596</v>
      </c>
      <c r="C347" s="111">
        <f>IF(WEEKDAY(B347)=1,0,IF(WEEKDAY(B347)=4,'Hours Scheduled'!$N$44-1,IF(WEEKDAY(B347)=7,0,'Hours Scheduled'!$N$44)))</f>
        <v>21</v>
      </c>
      <c r="D347" s="17">
        <f t="shared" si="107"/>
        <v>157.5</v>
      </c>
      <c r="E347" s="127">
        <f t="shared" si="108"/>
        <v>168</v>
      </c>
      <c r="F347" s="111"/>
      <c r="G347" s="130">
        <f>INDEX(November!$C$3:$AH$169,3,MATCH(B347,November!$D$3:$AH$3)+1)+INDEX(November!$C$3:$AH$169,8,MATCH(B347,November!$D$3:$AH$3)+1)+INDEX(November!$C$3:$AH$169,13,MATCH(B347,November!$D$3:$AH$3)+1)+INDEX(November!$C$3:$AH$169,18,MATCH(B347,November!$D$3:$AH$3)+1)+INDEX(November!$C$3:$AH$169,23,MATCH(B347,November!$D$3:$AH$3)+1)+INDEX(November!$C$3:$AH$169,28,MATCH(B347,November!$D$3:$AH$3)+1)+INDEX(November!$C$3:$AH$169,33,MATCH(B347,November!$D$3:$AH$3)+1)+INDEX(November!$C$3:$AH$169,38,MATCH(B347,November!$D$3:$AH$3)+1)+INDEX(November!$C$3:$AH$169,43,MATCH(B347,November!$D$3:$AH$3)+1)+INDEX(November!$C$3:$AH$169,48,MATCH(B347,November!$D$3:$AH$3)+1)+INDEX(November!$C$3:$AH$169,53,MATCH(B347,November!$D$3:$AH$3)+1)+INDEX(November!$C$3:$AH$169,58,MATCH(B347,November!$D$3:$AH$3)+1)+INDEX(November!$C$3:$AH$169,63,MATCH(B347,November!$D$3:$AH$3)+1)+INDEX(November!$C$3:$AH$169,68,MATCH(B347,November!$D$3:$AH$3)+1)+INDEX(November!$C$3:$AH$169,73,MATCH(B347,November!$D$3:$AH$3)+1)+INDEX(November!$C$3:$AH$169,78,MATCH(B347,November!$D$3:$AH$3)+1)+INDEX(November!$C$3:$AH$169,83,MATCH(B347,November!$D$3:$AH$3)+1)+INDEX(November!$C$3:$AH$169,88,MATCH(B347,November!$D$3:$AH$3)+1)+INDEX(November!$C$3:$AH$169,93,MATCH(B347,November!$D$3:$AH$3)+1)+INDEX(November!$C$3:$AH$169,98,MATCH(B347,November!$D$3:$AH$3)+1)+INDEX(November!$C$3:$AH$169,103,MATCH(B347,November!$D$3:$AH$3)+1)+INDEX(November!$C$3:$AH$169,108,MATCH(B347,November!$D$3:$AH$3)+1)+INDEX(November!$C$3:$AH$169,113,MATCH(B347,November!$D$3:$AH$3)+1)+INDEX(November!$C$3:$AH$169,118,MATCH(B347,November!$D$3:$AH$3)+1)+INDEX(November!$C$3:$AH$169,123,MATCH(B347,November!$D$3:$AH$3)+1)+INDEX(November!$C$3:$AH$169,128,MATCH(B347,November!$D$3:$AH$3)+1)+INDEX(November!$C$3:$AH$169,133,MATCH(B347,November!$D$3:$AH$3)+1)+INDEX(November!$C$3:$AH$169,138,MATCH(B347,November!$D$3:$AH$3)+1)+INDEX(November!$C$3:$AH$169,143,MATCH(B347,November!$D$3:$AH$3)+1)+INDEX(November!$C$3:$AH$169,148,MATCH(B347,November!$D$3:$AH$3)+1)-INDEX(November!$B$5:$AH$169,MATCH("Patrick Janssen",November!$B$5:$B$169),MATCH(B347,November!$D$3:$AH$3)+2)-INDEX(November!$B$5:$AH$169,MATCH("Patrick Ziesen",November!$B$5:$B$169),MATCH(B347,November!$D$3:$AH$3)+2)-INDEX(November!$B$5:$AH$169,MATCH("Frido Meijer",November!$B$5:$B$169),MATCH(B347,November!$D$3:$AH$3)+2)</f>
        <v>0</v>
      </c>
      <c r="H347" s="130">
        <f>INDEX(November!$C$3:$AH$169,4,MATCH(B347,November!$D$3:$AH$3)+1)+INDEX(November!$C$3:$AH$169,9,MATCH(B347,November!$D$3:$AH$3)+1)+INDEX(November!$C$3:$AH$169,14,MATCH(B347,November!$D$3:$AH$3)+1)+INDEX(November!$C$3:$AH$169,19,MATCH(B347,November!$D$3:$AH$3)+1)+INDEX(November!$C$3:$AH$169,24,MATCH(B347,November!$D$3:$AH$3)+1)+INDEX(November!$C$3:$AH$169,29,MATCH(B347,November!$D$3:$AH$3)+1)+INDEX(November!$C$3:$AH$169,34,MATCH(B347,November!$D$3:$AH$3)+1)+INDEX(November!$C$3:$AH$169,39,MATCH(B347,November!$D$3:$AH$3)+1)+INDEX(November!$C$3:$AH$169,44,MATCH(B347,November!$D$3:$AH$3)+1)+INDEX(November!$C$3:$AH$169,49,MATCH(B347,November!$D$3:$AH$3)+1)+INDEX(November!$C$3:$AH$169,54,MATCH(B347,November!$D$3:$AH$3)+1)+INDEX(November!$C$3:$AH$169,59,MATCH(B347,November!$D$3:$AH$3)+1)+INDEX(November!$C$3:$AH$169,64,MATCH(B347,November!$D$3:$AH$3)+1)+INDEX(November!$C$3:$AH$169,69,MATCH(B347,November!$D$3:$AH$3)+1)+INDEX(November!$C$3:$AH$169,74,MATCH(B347,November!$D$3:$AH$3)+1)+INDEX(November!$C$3:$AH$169,79,MATCH(B347,November!$D$3:$AH$3)+1)+INDEX(November!$C$3:$AH$169,84,MATCH(B347,November!$D$3:$AH$3)+1)+INDEX(November!$C$3:$AH$169,89,MATCH(B347,November!$D$3:$AH$3)+1)+INDEX(November!$C$3:$AH$169,94,MATCH(B347,November!$D$3:$AH$3)+1)+INDEX(November!$C$3:$AH$169,99,MATCH(B347,November!$D$3:$AH$3)+1)+INDEX(November!$C$3:$AH$169,104,MATCH(B347,November!$D$3:$AH$3)+1)+INDEX(November!$C$3:$AH$169,109,MATCH(B347,November!$D$3:$AH$3)+1)+INDEX(November!$C$3:$AH$169,114,MATCH(B347,November!$D$3:$AH$3)+1)+INDEX(November!$C$3:$AH$169,119,MATCH(B347,November!$D$3:$AH$3)+1)+INDEX(November!$C$3:$AH$169,124,MATCH(B347,November!$D$3:$AH$3)+1)+INDEX(November!$C$3:$AH$169,129,MATCH(B347,November!$D$3:$AH$3)+1)+INDEX(November!$C$3:$AH$169,134,MATCH(B347,November!$D$3:$AH$3)+1)+INDEX(November!$C$3:$AH$169,139,MATCH(B347,November!$D$3:$AH$3)+1)+INDEX(November!$C$3:$AH$169,144,MATCH(B347,November!$D$3:$AH$3)+1)+INDEX(November!$C$3:$AH$169,149,MATCH(B347,November!$D$3:$AH$3)+1)-INDEX(November!$B$5:$AH$169,MATCH("Patrick Janssen",November!$B$5:$B$169)+1,MATCH(B347,November!$D$3:$AH$3)+2)-INDEX(November!$B$5:$AH$169,MATCH("Patrick Ziesen",November!$B$5:$B$169)+1,MATCH(B347,November!$D$3:$AH$3)+2)-INDEX(November!$B$5:$AH$169,MATCH("Frido Meijer",November!$B$5:$B$169)+1,MATCH(B347,November!$D$3:$AH$3)+2)</f>
        <v>0</v>
      </c>
      <c r="I347" s="130">
        <v>0</v>
      </c>
      <c r="J347" s="130">
        <v>0</v>
      </c>
      <c r="L347" s="165"/>
      <c r="M347" s="111"/>
      <c r="N347" s="111">
        <f t="shared" si="104"/>
        <v>0</v>
      </c>
      <c r="P347" s="112">
        <f t="shared" si="105"/>
        <v>0</v>
      </c>
      <c r="Q347" s="112">
        <f t="shared" si="106"/>
        <v>0</v>
      </c>
    </row>
    <row r="348" spans="2:17" x14ac:dyDescent="0.25">
      <c r="B348" s="110">
        <f>DATE(Title!$F$12,$S$15,S23)</f>
        <v>41597</v>
      </c>
      <c r="C348" s="111">
        <f>IF(WEEKDAY(B348)=1,0,IF(WEEKDAY(B348)=4,'Hours Scheduled'!$N$44-1,IF(WEEKDAY(B348)=7,0,'Hours Scheduled'!$N$44)))</f>
        <v>21</v>
      </c>
      <c r="D348" s="17">
        <f t="shared" si="107"/>
        <v>157.5</v>
      </c>
      <c r="E348" s="127">
        <f t="shared" si="108"/>
        <v>168</v>
      </c>
      <c r="F348" s="111"/>
      <c r="G348" s="130">
        <f>INDEX(November!$C$3:$AH$169,3,MATCH(B348,November!$D$3:$AH$3)+1)+INDEX(November!$C$3:$AH$169,8,MATCH(B348,November!$D$3:$AH$3)+1)+INDEX(November!$C$3:$AH$169,13,MATCH(B348,November!$D$3:$AH$3)+1)+INDEX(November!$C$3:$AH$169,18,MATCH(B348,November!$D$3:$AH$3)+1)+INDEX(November!$C$3:$AH$169,23,MATCH(B348,November!$D$3:$AH$3)+1)+INDEX(November!$C$3:$AH$169,28,MATCH(B348,November!$D$3:$AH$3)+1)+INDEX(November!$C$3:$AH$169,33,MATCH(B348,November!$D$3:$AH$3)+1)+INDEX(November!$C$3:$AH$169,38,MATCH(B348,November!$D$3:$AH$3)+1)+INDEX(November!$C$3:$AH$169,43,MATCH(B348,November!$D$3:$AH$3)+1)+INDEX(November!$C$3:$AH$169,48,MATCH(B348,November!$D$3:$AH$3)+1)+INDEX(November!$C$3:$AH$169,53,MATCH(B348,November!$D$3:$AH$3)+1)+INDEX(November!$C$3:$AH$169,58,MATCH(B348,November!$D$3:$AH$3)+1)+INDEX(November!$C$3:$AH$169,63,MATCH(B348,November!$D$3:$AH$3)+1)+INDEX(November!$C$3:$AH$169,68,MATCH(B348,November!$D$3:$AH$3)+1)+INDEX(November!$C$3:$AH$169,73,MATCH(B348,November!$D$3:$AH$3)+1)+INDEX(November!$C$3:$AH$169,78,MATCH(B348,November!$D$3:$AH$3)+1)+INDEX(November!$C$3:$AH$169,83,MATCH(B348,November!$D$3:$AH$3)+1)+INDEX(November!$C$3:$AH$169,88,MATCH(B348,November!$D$3:$AH$3)+1)+INDEX(November!$C$3:$AH$169,93,MATCH(B348,November!$D$3:$AH$3)+1)+INDEX(November!$C$3:$AH$169,98,MATCH(B348,November!$D$3:$AH$3)+1)+INDEX(November!$C$3:$AH$169,103,MATCH(B348,November!$D$3:$AH$3)+1)+INDEX(November!$C$3:$AH$169,108,MATCH(B348,November!$D$3:$AH$3)+1)+INDEX(November!$C$3:$AH$169,113,MATCH(B348,November!$D$3:$AH$3)+1)+INDEX(November!$C$3:$AH$169,118,MATCH(B348,November!$D$3:$AH$3)+1)+INDEX(November!$C$3:$AH$169,123,MATCH(B348,November!$D$3:$AH$3)+1)+INDEX(November!$C$3:$AH$169,128,MATCH(B348,November!$D$3:$AH$3)+1)+INDEX(November!$C$3:$AH$169,133,MATCH(B348,November!$D$3:$AH$3)+1)+INDEX(November!$C$3:$AH$169,138,MATCH(B348,November!$D$3:$AH$3)+1)+INDEX(November!$C$3:$AH$169,143,MATCH(B348,November!$D$3:$AH$3)+1)+INDEX(November!$C$3:$AH$169,148,MATCH(B348,November!$D$3:$AH$3)+1)-INDEX(November!$B$5:$AH$169,MATCH("Patrick Janssen",November!$B$5:$B$169),MATCH(B348,November!$D$3:$AH$3)+2)-INDEX(November!$B$5:$AH$169,MATCH("Patrick Ziesen",November!$B$5:$B$169),MATCH(B348,November!$D$3:$AH$3)+2)-INDEX(November!$B$5:$AH$169,MATCH("Frido Meijer",November!$B$5:$B$169),MATCH(B348,November!$D$3:$AH$3)+2)</f>
        <v>0</v>
      </c>
      <c r="H348" s="130">
        <f>INDEX(November!$C$3:$AH$169,4,MATCH(B348,November!$D$3:$AH$3)+1)+INDEX(November!$C$3:$AH$169,9,MATCH(B348,November!$D$3:$AH$3)+1)+INDEX(November!$C$3:$AH$169,14,MATCH(B348,November!$D$3:$AH$3)+1)+INDEX(November!$C$3:$AH$169,19,MATCH(B348,November!$D$3:$AH$3)+1)+INDEX(November!$C$3:$AH$169,24,MATCH(B348,November!$D$3:$AH$3)+1)+INDEX(November!$C$3:$AH$169,29,MATCH(B348,November!$D$3:$AH$3)+1)+INDEX(November!$C$3:$AH$169,34,MATCH(B348,November!$D$3:$AH$3)+1)+INDEX(November!$C$3:$AH$169,39,MATCH(B348,November!$D$3:$AH$3)+1)+INDEX(November!$C$3:$AH$169,44,MATCH(B348,November!$D$3:$AH$3)+1)+INDEX(November!$C$3:$AH$169,49,MATCH(B348,November!$D$3:$AH$3)+1)+INDEX(November!$C$3:$AH$169,54,MATCH(B348,November!$D$3:$AH$3)+1)+INDEX(November!$C$3:$AH$169,59,MATCH(B348,November!$D$3:$AH$3)+1)+INDEX(November!$C$3:$AH$169,64,MATCH(B348,November!$D$3:$AH$3)+1)+INDEX(November!$C$3:$AH$169,69,MATCH(B348,November!$D$3:$AH$3)+1)+INDEX(November!$C$3:$AH$169,74,MATCH(B348,November!$D$3:$AH$3)+1)+INDEX(November!$C$3:$AH$169,79,MATCH(B348,November!$D$3:$AH$3)+1)+INDEX(November!$C$3:$AH$169,84,MATCH(B348,November!$D$3:$AH$3)+1)+INDEX(November!$C$3:$AH$169,89,MATCH(B348,November!$D$3:$AH$3)+1)+INDEX(November!$C$3:$AH$169,94,MATCH(B348,November!$D$3:$AH$3)+1)+INDEX(November!$C$3:$AH$169,99,MATCH(B348,November!$D$3:$AH$3)+1)+INDEX(November!$C$3:$AH$169,104,MATCH(B348,November!$D$3:$AH$3)+1)+INDEX(November!$C$3:$AH$169,109,MATCH(B348,November!$D$3:$AH$3)+1)+INDEX(November!$C$3:$AH$169,114,MATCH(B348,November!$D$3:$AH$3)+1)+INDEX(November!$C$3:$AH$169,119,MATCH(B348,November!$D$3:$AH$3)+1)+INDEX(November!$C$3:$AH$169,124,MATCH(B348,November!$D$3:$AH$3)+1)+INDEX(November!$C$3:$AH$169,129,MATCH(B348,November!$D$3:$AH$3)+1)+INDEX(November!$C$3:$AH$169,134,MATCH(B348,November!$D$3:$AH$3)+1)+INDEX(November!$C$3:$AH$169,139,MATCH(B348,November!$D$3:$AH$3)+1)+INDEX(November!$C$3:$AH$169,144,MATCH(B348,November!$D$3:$AH$3)+1)+INDEX(November!$C$3:$AH$169,149,MATCH(B348,November!$D$3:$AH$3)+1)-INDEX(November!$B$5:$AH$169,MATCH("Patrick Janssen",November!$B$5:$B$169)+1,MATCH(B348,November!$D$3:$AH$3)+2)-INDEX(November!$B$5:$AH$169,MATCH("Patrick Ziesen",November!$B$5:$B$169)+1,MATCH(B348,November!$D$3:$AH$3)+2)-INDEX(November!$B$5:$AH$169,MATCH("Frido Meijer",November!$B$5:$B$169)+1,MATCH(B348,November!$D$3:$AH$3)+2)</f>
        <v>0</v>
      </c>
      <c r="I348" s="130">
        <v>0</v>
      </c>
      <c r="J348" s="130">
        <v>0</v>
      </c>
      <c r="L348" s="165"/>
      <c r="M348" s="111"/>
      <c r="N348" s="111">
        <f t="shared" si="104"/>
        <v>0</v>
      </c>
      <c r="P348" s="112">
        <f t="shared" si="105"/>
        <v>0</v>
      </c>
      <c r="Q348" s="112">
        <f t="shared" si="106"/>
        <v>0</v>
      </c>
    </row>
    <row r="349" spans="2:17" x14ac:dyDescent="0.25">
      <c r="B349" s="110">
        <f>DATE(Title!$F$12,$S$15,S24)</f>
        <v>41598</v>
      </c>
      <c r="C349" s="111">
        <f>IF(WEEKDAY(B349)=1,0,IF(WEEKDAY(B349)=4,'Hours Scheduled'!$N$44-1,IF(WEEKDAY(B349)=7,0,'Hours Scheduled'!$N$44)))</f>
        <v>20</v>
      </c>
      <c r="D349" s="17">
        <f t="shared" si="107"/>
        <v>150</v>
      </c>
      <c r="E349" s="127">
        <f t="shared" si="108"/>
        <v>160</v>
      </c>
      <c r="F349" s="111"/>
      <c r="G349" s="130">
        <f>INDEX(November!$C$3:$AH$169,3,MATCH(B349,November!$D$3:$AH$3)+1)+INDEX(November!$C$3:$AH$169,8,MATCH(B349,November!$D$3:$AH$3)+1)+INDEX(November!$C$3:$AH$169,13,MATCH(B349,November!$D$3:$AH$3)+1)+INDEX(November!$C$3:$AH$169,18,MATCH(B349,November!$D$3:$AH$3)+1)+INDEX(November!$C$3:$AH$169,23,MATCH(B349,November!$D$3:$AH$3)+1)+INDEX(November!$C$3:$AH$169,28,MATCH(B349,November!$D$3:$AH$3)+1)+INDEX(November!$C$3:$AH$169,33,MATCH(B349,November!$D$3:$AH$3)+1)+INDEX(November!$C$3:$AH$169,38,MATCH(B349,November!$D$3:$AH$3)+1)+INDEX(November!$C$3:$AH$169,43,MATCH(B349,November!$D$3:$AH$3)+1)+INDEX(November!$C$3:$AH$169,48,MATCH(B349,November!$D$3:$AH$3)+1)+INDEX(November!$C$3:$AH$169,53,MATCH(B349,November!$D$3:$AH$3)+1)+INDEX(November!$C$3:$AH$169,58,MATCH(B349,November!$D$3:$AH$3)+1)+INDEX(November!$C$3:$AH$169,63,MATCH(B349,November!$D$3:$AH$3)+1)+INDEX(November!$C$3:$AH$169,68,MATCH(B349,November!$D$3:$AH$3)+1)+INDEX(November!$C$3:$AH$169,73,MATCH(B349,November!$D$3:$AH$3)+1)+INDEX(November!$C$3:$AH$169,78,MATCH(B349,November!$D$3:$AH$3)+1)+INDEX(November!$C$3:$AH$169,83,MATCH(B349,November!$D$3:$AH$3)+1)+INDEX(November!$C$3:$AH$169,88,MATCH(B349,November!$D$3:$AH$3)+1)+INDEX(November!$C$3:$AH$169,93,MATCH(B349,November!$D$3:$AH$3)+1)+INDEX(November!$C$3:$AH$169,98,MATCH(B349,November!$D$3:$AH$3)+1)+INDEX(November!$C$3:$AH$169,103,MATCH(B349,November!$D$3:$AH$3)+1)+INDEX(November!$C$3:$AH$169,108,MATCH(B349,November!$D$3:$AH$3)+1)+INDEX(November!$C$3:$AH$169,113,MATCH(B349,November!$D$3:$AH$3)+1)+INDEX(November!$C$3:$AH$169,118,MATCH(B349,November!$D$3:$AH$3)+1)+INDEX(November!$C$3:$AH$169,123,MATCH(B349,November!$D$3:$AH$3)+1)+INDEX(November!$C$3:$AH$169,128,MATCH(B349,November!$D$3:$AH$3)+1)+INDEX(November!$C$3:$AH$169,133,MATCH(B349,November!$D$3:$AH$3)+1)+INDEX(November!$C$3:$AH$169,138,MATCH(B349,November!$D$3:$AH$3)+1)+INDEX(November!$C$3:$AH$169,143,MATCH(B349,November!$D$3:$AH$3)+1)+INDEX(November!$C$3:$AH$169,148,MATCH(B349,November!$D$3:$AH$3)+1)-INDEX(November!$B$5:$AH$169,MATCH("Patrick Janssen",November!$B$5:$B$169),MATCH(B349,November!$D$3:$AH$3)+2)-INDEX(November!$B$5:$AH$169,MATCH("Patrick Ziesen",November!$B$5:$B$169),MATCH(B349,November!$D$3:$AH$3)+2)-INDEX(November!$B$5:$AH$169,MATCH("Frido Meijer",November!$B$5:$B$169),MATCH(B349,November!$D$3:$AH$3)+2)</f>
        <v>0</v>
      </c>
      <c r="H349" s="130">
        <f>INDEX(November!$C$3:$AH$169,4,MATCH(B349,November!$D$3:$AH$3)+1)+INDEX(November!$C$3:$AH$169,9,MATCH(B349,November!$D$3:$AH$3)+1)+INDEX(November!$C$3:$AH$169,14,MATCH(B349,November!$D$3:$AH$3)+1)+INDEX(November!$C$3:$AH$169,19,MATCH(B349,November!$D$3:$AH$3)+1)+INDEX(November!$C$3:$AH$169,24,MATCH(B349,November!$D$3:$AH$3)+1)+INDEX(November!$C$3:$AH$169,29,MATCH(B349,November!$D$3:$AH$3)+1)+INDEX(November!$C$3:$AH$169,34,MATCH(B349,November!$D$3:$AH$3)+1)+INDEX(November!$C$3:$AH$169,39,MATCH(B349,November!$D$3:$AH$3)+1)+INDEX(November!$C$3:$AH$169,44,MATCH(B349,November!$D$3:$AH$3)+1)+INDEX(November!$C$3:$AH$169,49,MATCH(B349,November!$D$3:$AH$3)+1)+INDEX(November!$C$3:$AH$169,54,MATCH(B349,November!$D$3:$AH$3)+1)+INDEX(November!$C$3:$AH$169,59,MATCH(B349,November!$D$3:$AH$3)+1)+INDEX(November!$C$3:$AH$169,64,MATCH(B349,November!$D$3:$AH$3)+1)+INDEX(November!$C$3:$AH$169,69,MATCH(B349,November!$D$3:$AH$3)+1)+INDEX(November!$C$3:$AH$169,74,MATCH(B349,November!$D$3:$AH$3)+1)+INDEX(November!$C$3:$AH$169,79,MATCH(B349,November!$D$3:$AH$3)+1)+INDEX(November!$C$3:$AH$169,84,MATCH(B349,November!$D$3:$AH$3)+1)+INDEX(November!$C$3:$AH$169,89,MATCH(B349,November!$D$3:$AH$3)+1)+INDEX(November!$C$3:$AH$169,94,MATCH(B349,November!$D$3:$AH$3)+1)+INDEX(November!$C$3:$AH$169,99,MATCH(B349,November!$D$3:$AH$3)+1)+INDEX(November!$C$3:$AH$169,104,MATCH(B349,November!$D$3:$AH$3)+1)+INDEX(November!$C$3:$AH$169,109,MATCH(B349,November!$D$3:$AH$3)+1)+INDEX(November!$C$3:$AH$169,114,MATCH(B349,November!$D$3:$AH$3)+1)+INDEX(November!$C$3:$AH$169,119,MATCH(B349,November!$D$3:$AH$3)+1)+INDEX(November!$C$3:$AH$169,124,MATCH(B349,November!$D$3:$AH$3)+1)+INDEX(November!$C$3:$AH$169,129,MATCH(B349,November!$D$3:$AH$3)+1)+INDEX(November!$C$3:$AH$169,134,MATCH(B349,November!$D$3:$AH$3)+1)+INDEX(November!$C$3:$AH$169,139,MATCH(B349,November!$D$3:$AH$3)+1)+INDEX(November!$C$3:$AH$169,144,MATCH(B349,November!$D$3:$AH$3)+1)+INDEX(November!$C$3:$AH$169,149,MATCH(B349,November!$D$3:$AH$3)+1)-INDEX(November!$B$5:$AH$169,MATCH("Patrick Janssen",November!$B$5:$B$169)+1,MATCH(B349,November!$D$3:$AH$3)+2)-INDEX(November!$B$5:$AH$169,MATCH("Patrick Ziesen",November!$B$5:$B$169)+1,MATCH(B349,November!$D$3:$AH$3)+2)-INDEX(November!$B$5:$AH$169,MATCH("Frido Meijer",November!$B$5:$B$169)+1,MATCH(B349,November!$D$3:$AH$3)+2)</f>
        <v>0</v>
      </c>
      <c r="I349" s="130">
        <v>0</v>
      </c>
      <c r="J349" s="130">
        <v>0</v>
      </c>
      <c r="L349" s="165"/>
      <c r="M349" s="111"/>
      <c r="N349" s="111">
        <f t="shared" si="104"/>
        <v>0</v>
      </c>
      <c r="P349" s="112">
        <f t="shared" si="105"/>
        <v>0</v>
      </c>
      <c r="Q349" s="112">
        <f t="shared" si="106"/>
        <v>0</v>
      </c>
    </row>
    <row r="350" spans="2:17" x14ac:dyDescent="0.25">
      <c r="B350" s="110">
        <f>DATE(Title!$F$12,$S$15,S25)</f>
        <v>41599</v>
      </c>
      <c r="C350" s="111">
        <f>IF(WEEKDAY(B350)=1,0,IF(WEEKDAY(B350)=4,'Hours Scheduled'!$N$44-1,IF(WEEKDAY(B350)=7,0,'Hours Scheduled'!$N$44)))</f>
        <v>21</v>
      </c>
      <c r="D350" s="17">
        <f t="shared" si="107"/>
        <v>157.5</v>
      </c>
      <c r="E350" s="127">
        <f t="shared" si="108"/>
        <v>168</v>
      </c>
      <c r="F350" s="111"/>
      <c r="G350" s="130">
        <f>INDEX(November!$C$3:$AH$169,3,MATCH(B350,November!$D$3:$AH$3)+1)+INDEX(November!$C$3:$AH$169,8,MATCH(B350,November!$D$3:$AH$3)+1)+INDEX(November!$C$3:$AH$169,13,MATCH(B350,November!$D$3:$AH$3)+1)+INDEX(November!$C$3:$AH$169,18,MATCH(B350,November!$D$3:$AH$3)+1)+INDEX(November!$C$3:$AH$169,23,MATCH(B350,November!$D$3:$AH$3)+1)+INDEX(November!$C$3:$AH$169,28,MATCH(B350,November!$D$3:$AH$3)+1)+INDEX(November!$C$3:$AH$169,33,MATCH(B350,November!$D$3:$AH$3)+1)+INDEX(November!$C$3:$AH$169,38,MATCH(B350,November!$D$3:$AH$3)+1)+INDEX(November!$C$3:$AH$169,43,MATCH(B350,November!$D$3:$AH$3)+1)+INDEX(November!$C$3:$AH$169,48,MATCH(B350,November!$D$3:$AH$3)+1)+INDEX(November!$C$3:$AH$169,53,MATCH(B350,November!$D$3:$AH$3)+1)+INDEX(November!$C$3:$AH$169,58,MATCH(B350,November!$D$3:$AH$3)+1)+INDEX(November!$C$3:$AH$169,63,MATCH(B350,November!$D$3:$AH$3)+1)+INDEX(November!$C$3:$AH$169,68,MATCH(B350,November!$D$3:$AH$3)+1)+INDEX(November!$C$3:$AH$169,73,MATCH(B350,November!$D$3:$AH$3)+1)+INDEX(November!$C$3:$AH$169,78,MATCH(B350,November!$D$3:$AH$3)+1)+INDEX(November!$C$3:$AH$169,83,MATCH(B350,November!$D$3:$AH$3)+1)+INDEX(November!$C$3:$AH$169,88,MATCH(B350,November!$D$3:$AH$3)+1)+INDEX(November!$C$3:$AH$169,93,MATCH(B350,November!$D$3:$AH$3)+1)+INDEX(November!$C$3:$AH$169,98,MATCH(B350,November!$D$3:$AH$3)+1)+INDEX(November!$C$3:$AH$169,103,MATCH(B350,November!$D$3:$AH$3)+1)+INDEX(November!$C$3:$AH$169,108,MATCH(B350,November!$D$3:$AH$3)+1)+INDEX(November!$C$3:$AH$169,113,MATCH(B350,November!$D$3:$AH$3)+1)+INDEX(November!$C$3:$AH$169,118,MATCH(B350,November!$D$3:$AH$3)+1)+INDEX(November!$C$3:$AH$169,123,MATCH(B350,November!$D$3:$AH$3)+1)+INDEX(November!$C$3:$AH$169,128,MATCH(B350,November!$D$3:$AH$3)+1)+INDEX(November!$C$3:$AH$169,133,MATCH(B350,November!$D$3:$AH$3)+1)+INDEX(November!$C$3:$AH$169,138,MATCH(B350,November!$D$3:$AH$3)+1)+INDEX(November!$C$3:$AH$169,143,MATCH(B350,November!$D$3:$AH$3)+1)+INDEX(November!$C$3:$AH$169,148,MATCH(B350,November!$D$3:$AH$3)+1)-INDEX(November!$B$5:$AH$169,MATCH("Patrick Janssen",November!$B$5:$B$169),MATCH(B350,November!$D$3:$AH$3)+2)-INDEX(November!$B$5:$AH$169,MATCH("Patrick Ziesen",November!$B$5:$B$169),MATCH(B350,November!$D$3:$AH$3)+2)-INDEX(November!$B$5:$AH$169,MATCH("Frido Meijer",November!$B$5:$B$169),MATCH(B350,November!$D$3:$AH$3)+2)</f>
        <v>0</v>
      </c>
      <c r="H350" s="130">
        <f>INDEX(November!$C$3:$AH$169,4,MATCH(B350,November!$D$3:$AH$3)+1)+INDEX(November!$C$3:$AH$169,9,MATCH(B350,November!$D$3:$AH$3)+1)+INDEX(November!$C$3:$AH$169,14,MATCH(B350,November!$D$3:$AH$3)+1)+INDEX(November!$C$3:$AH$169,19,MATCH(B350,November!$D$3:$AH$3)+1)+INDEX(November!$C$3:$AH$169,24,MATCH(B350,November!$D$3:$AH$3)+1)+INDEX(November!$C$3:$AH$169,29,MATCH(B350,November!$D$3:$AH$3)+1)+INDEX(November!$C$3:$AH$169,34,MATCH(B350,November!$D$3:$AH$3)+1)+INDEX(November!$C$3:$AH$169,39,MATCH(B350,November!$D$3:$AH$3)+1)+INDEX(November!$C$3:$AH$169,44,MATCH(B350,November!$D$3:$AH$3)+1)+INDEX(November!$C$3:$AH$169,49,MATCH(B350,November!$D$3:$AH$3)+1)+INDEX(November!$C$3:$AH$169,54,MATCH(B350,November!$D$3:$AH$3)+1)+INDEX(November!$C$3:$AH$169,59,MATCH(B350,November!$D$3:$AH$3)+1)+INDEX(November!$C$3:$AH$169,64,MATCH(B350,November!$D$3:$AH$3)+1)+INDEX(November!$C$3:$AH$169,69,MATCH(B350,November!$D$3:$AH$3)+1)+INDEX(November!$C$3:$AH$169,74,MATCH(B350,November!$D$3:$AH$3)+1)+INDEX(November!$C$3:$AH$169,79,MATCH(B350,November!$D$3:$AH$3)+1)+INDEX(November!$C$3:$AH$169,84,MATCH(B350,November!$D$3:$AH$3)+1)+INDEX(November!$C$3:$AH$169,89,MATCH(B350,November!$D$3:$AH$3)+1)+INDEX(November!$C$3:$AH$169,94,MATCH(B350,November!$D$3:$AH$3)+1)+INDEX(November!$C$3:$AH$169,99,MATCH(B350,November!$D$3:$AH$3)+1)+INDEX(November!$C$3:$AH$169,104,MATCH(B350,November!$D$3:$AH$3)+1)+INDEX(November!$C$3:$AH$169,109,MATCH(B350,November!$D$3:$AH$3)+1)+INDEX(November!$C$3:$AH$169,114,MATCH(B350,November!$D$3:$AH$3)+1)+INDEX(November!$C$3:$AH$169,119,MATCH(B350,November!$D$3:$AH$3)+1)+INDEX(November!$C$3:$AH$169,124,MATCH(B350,November!$D$3:$AH$3)+1)+INDEX(November!$C$3:$AH$169,129,MATCH(B350,November!$D$3:$AH$3)+1)+INDEX(November!$C$3:$AH$169,134,MATCH(B350,November!$D$3:$AH$3)+1)+INDEX(November!$C$3:$AH$169,139,MATCH(B350,November!$D$3:$AH$3)+1)+INDEX(November!$C$3:$AH$169,144,MATCH(B350,November!$D$3:$AH$3)+1)+INDEX(November!$C$3:$AH$169,149,MATCH(B350,November!$D$3:$AH$3)+1)-INDEX(November!$B$5:$AH$169,MATCH("Patrick Janssen",November!$B$5:$B$169)+1,MATCH(B350,November!$D$3:$AH$3)+2)-INDEX(November!$B$5:$AH$169,MATCH("Patrick Ziesen",November!$B$5:$B$169)+1,MATCH(B350,November!$D$3:$AH$3)+2)-INDEX(November!$B$5:$AH$169,MATCH("Frido Meijer",November!$B$5:$B$169)+1,MATCH(B350,November!$D$3:$AH$3)+2)</f>
        <v>0</v>
      </c>
      <c r="I350" s="130">
        <v>0</v>
      </c>
      <c r="J350" s="130">
        <v>0</v>
      </c>
      <c r="L350" s="165"/>
      <c r="M350" s="111"/>
      <c r="N350" s="111">
        <f t="shared" si="104"/>
        <v>0</v>
      </c>
      <c r="P350" s="112">
        <f t="shared" si="105"/>
        <v>0</v>
      </c>
      <c r="Q350" s="112">
        <f t="shared" si="106"/>
        <v>0</v>
      </c>
    </row>
    <row r="351" spans="2:17" x14ac:dyDescent="0.25">
      <c r="B351" s="110">
        <f>DATE(Title!$F$12,$S$15,S26)</f>
        <v>41600</v>
      </c>
      <c r="C351" s="111">
        <f>IF(WEEKDAY(B351)=1,0,IF(WEEKDAY(B351)=4,'Hours Scheduled'!$N$44-1,IF(WEEKDAY(B351)=7,0,'Hours Scheduled'!$N$44)))</f>
        <v>21</v>
      </c>
      <c r="D351" s="17">
        <f t="shared" si="107"/>
        <v>157.5</v>
      </c>
      <c r="E351" s="127">
        <f t="shared" si="108"/>
        <v>168</v>
      </c>
      <c r="F351" s="111"/>
      <c r="G351" s="130">
        <f>INDEX(November!$C$3:$AH$169,3,MATCH(B351,November!$D$3:$AH$3)+1)+INDEX(November!$C$3:$AH$169,8,MATCH(B351,November!$D$3:$AH$3)+1)+INDEX(November!$C$3:$AH$169,13,MATCH(B351,November!$D$3:$AH$3)+1)+INDEX(November!$C$3:$AH$169,18,MATCH(B351,November!$D$3:$AH$3)+1)+INDEX(November!$C$3:$AH$169,23,MATCH(B351,November!$D$3:$AH$3)+1)+INDEX(November!$C$3:$AH$169,28,MATCH(B351,November!$D$3:$AH$3)+1)+INDEX(November!$C$3:$AH$169,33,MATCH(B351,November!$D$3:$AH$3)+1)+INDEX(November!$C$3:$AH$169,38,MATCH(B351,November!$D$3:$AH$3)+1)+INDEX(November!$C$3:$AH$169,43,MATCH(B351,November!$D$3:$AH$3)+1)+INDEX(November!$C$3:$AH$169,48,MATCH(B351,November!$D$3:$AH$3)+1)+INDEX(November!$C$3:$AH$169,53,MATCH(B351,November!$D$3:$AH$3)+1)+INDEX(November!$C$3:$AH$169,58,MATCH(B351,November!$D$3:$AH$3)+1)+INDEX(November!$C$3:$AH$169,63,MATCH(B351,November!$D$3:$AH$3)+1)+INDEX(November!$C$3:$AH$169,68,MATCH(B351,November!$D$3:$AH$3)+1)+INDEX(November!$C$3:$AH$169,73,MATCH(B351,November!$D$3:$AH$3)+1)+INDEX(November!$C$3:$AH$169,78,MATCH(B351,November!$D$3:$AH$3)+1)+INDEX(November!$C$3:$AH$169,83,MATCH(B351,November!$D$3:$AH$3)+1)+INDEX(November!$C$3:$AH$169,88,MATCH(B351,November!$D$3:$AH$3)+1)+INDEX(November!$C$3:$AH$169,93,MATCH(B351,November!$D$3:$AH$3)+1)+INDEX(November!$C$3:$AH$169,98,MATCH(B351,November!$D$3:$AH$3)+1)+INDEX(November!$C$3:$AH$169,103,MATCH(B351,November!$D$3:$AH$3)+1)+INDEX(November!$C$3:$AH$169,108,MATCH(B351,November!$D$3:$AH$3)+1)+INDEX(November!$C$3:$AH$169,113,MATCH(B351,November!$D$3:$AH$3)+1)+INDEX(November!$C$3:$AH$169,118,MATCH(B351,November!$D$3:$AH$3)+1)+INDEX(November!$C$3:$AH$169,123,MATCH(B351,November!$D$3:$AH$3)+1)+INDEX(November!$C$3:$AH$169,128,MATCH(B351,November!$D$3:$AH$3)+1)+INDEX(November!$C$3:$AH$169,133,MATCH(B351,November!$D$3:$AH$3)+1)+INDEX(November!$C$3:$AH$169,138,MATCH(B351,November!$D$3:$AH$3)+1)+INDEX(November!$C$3:$AH$169,143,MATCH(B351,November!$D$3:$AH$3)+1)+INDEX(November!$C$3:$AH$169,148,MATCH(B351,November!$D$3:$AH$3)+1)-INDEX(November!$B$5:$AH$169,MATCH("Patrick Janssen",November!$B$5:$B$169),MATCH(B351,November!$D$3:$AH$3)+2)-INDEX(November!$B$5:$AH$169,MATCH("Patrick Ziesen",November!$B$5:$B$169),MATCH(B351,November!$D$3:$AH$3)+2)-INDEX(November!$B$5:$AH$169,MATCH("Frido Meijer",November!$B$5:$B$169),MATCH(B351,November!$D$3:$AH$3)+2)</f>
        <v>0</v>
      </c>
      <c r="H351" s="130">
        <f>INDEX(November!$C$3:$AH$169,4,MATCH(B351,November!$D$3:$AH$3)+1)+INDEX(November!$C$3:$AH$169,9,MATCH(B351,November!$D$3:$AH$3)+1)+INDEX(November!$C$3:$AH$169,14,MATCH(B351,November!$D$3:$AH$3)+1)+INDEX(November!$C$3:$AH$169,19,MATCH(B351,November!$D$3:$AH$3)+1)+INDEX(November!$C$3:$AH$169,24,MATCH(B351,November!$D$3:$AH$3)+1)+INDEX(November!$C$3:$AH$169,29,MATCH(B351,November!$D$3:$AH$3)+1)+INDEX(November!$C$3:$AH$169,34,MATCH(B351,November!$D$3:$AH$3)+1)+INDEX(November!$C$3:$AH$169,39,MATCH(B351,November!$D$3:$AH$3)+1)+INDEX(November!$C$3:$AH$169,44,MATCH(B351,November!$D$3:$AH$3)+1)+INDEX(November!$C$3:$AH$169,49,MATCH(B351,November!$D$3:$AH$3)+1)+INDEX(November!$C$3:$AH$169,54,MATCH(B351,November!$D$3:$AH$3)+1)+INDEX(November!$C$3:$AH$169,59,MATCH(B351,November!$D$3:$AH$3)+1)+INDEX(November!$C$3:$AH$169,64,MATCH(B351,November!$D$3:$AH$3)+1)+INDEX(November!$C$3:$AH$169,69,MATCH(B351,November!$D$3:$AH$3)+1)+INDEX(November!$C$3:$AH$169,74,MATCH(B351,November!$D$3:$AH$3)+1)+INDEX(November!$C$3:$AH$169,79,MATCH(B351,November!$D$3:$AH$3)+1)+INDEX(November!$C$3:$AH$169,84,MATCH(B351,November!$D$3:$AH$3)+1)+INDEX(November!$C$3:$AH$169,89,MATCH(B351,November!$D$3:$AH$3)+1)+INDEX(November!$C$3:$AH$169,94,MATCH(B351,November!$D$3:$AH$3)+1)+INDEX(November!$C$3:$AH$169,99,MATCH(B351,November!$D$3:$AH$3)+1)+INDEX(November!$C$3:$AH$169,104,MATCH(B351,November!$D$3:$AH$3)+1)+INDEX(November!$C$3:$AH$169,109,MATCH(B351,November!$D$3:$AH$3)+1)+INDEX(November!$C$3:$AH$169,114,MATCH(B351,November!$D$3:$AH$3)+1)+INDEX(November!$C$3:$AH$169,119,MATCH(B351,November!$D$3:$AH$3)+1)+INDEX(November!$C$3:$AH$169,124,MATCH(B351,November!$D$3:$AH$3)+1)+INDEX(November!$C$3:$AH$169,129,MATCH(B351,November!$D$3:$AH$3)+1)+INDEX(November!$C$3:$AH$169,134,MATCH(B351,November!$D$3:$AH$3)+1)+INDEX(November!$C$3:$AH$169,139,MATCH(B351,November!$D$3:$AH$3)+1)+INDEX(November!$C$3:$AH$169,144,MATCH(B351,November!$D$3:$AH$3)+1)+INDEX(November!$C$3:$AH$169,149,MATCH(B351,November!$D$3:$AH$3)+1)-INDEX(November!$B$5:$AH$169,MATCH("Patrick Janssen",November!$B$5:$B$169)+1,MATCH(B351,November!$D$3:$AH$3)+2)-INDEX(November!$B$5:$AH$169,MATCH("Patrick Ziesen",November!$B$5:$B$169)+1,MATCH(B351,November!$D$3:$AH$3)+2)-INDEX(November!$B$5:$AH$169,MATCH("Frido Meijer",November!$B$5:$B$169)+1,MATCH(B351,November!$D$3:$AH$3)+2)</f>
        <v>0</v>
      </c>
      <c r="I351" s="130">
        <v>0</v>
      </c>
      <c r="J351" s="130">
        <v>0</v>
      </c>
      <c r="L351" s="165"/>
      <c r="M351" s="111"/>
      <c r="N351" s="111">
        <f t="shared" si="104"/>
        <v>0</v>
      </c>
      <c r="P351" s="112">
        <f t="shared" si="105"/>
        <v>0</v>
      </c>
      <c r="Q351" s="112">
        <f t="shared" si="106"/>
        <v>0</v>
      </c>
    </row>
    <row r="352" spans="2:17" x14ac:dyDescent="0.25">
      <c r="B352" s="110">
        <f>DATE(Title!$F$12,$S$15,S27)</f>
        <v>41601</v>
      </c>
      <c r="C352" s="111">
        <f>IF(WEEKDAY(B352)=1,0,IF(WEEKDAY(B352)=4,'Hours Scheduled'!$N$44-1,IF(WEEKDAY(B352)=7,0,'Hours Scheduled'!$N$44)))</f>
        <v>0</v>
      </c>
      <c r="D352" s="17">
        <f t="shared" si="107"/>
        <v>0</v>
      </c>
      <c r="E352" s="127">
        <f t="shared" si="108"/>
        <v>0</v>
      </c>
      <c r="F352" s="111"/>
      <c r="G352" s="130">
        <f>INDEX(November!$C$3:$AH$169,3,MATCH(B352,November!$D$3:$AH$3)+1)+INDEX(November!$C$3:$AH$169,8,MATCH(B352,November!$D$3:$AH$3)+1)+INDEX(November!$C$3:$AH$169,13,MATCH(B352,November!$D$3:$AH$3)+1)+INDEX(November!$C$3:$AH$169,18,MATCH(B352,November!$D$3:$AH$3)+1)+INDEX(November!$C$3:$AH$169,23,MATCH(B352,November!$D$3:$AH$3)+1)+INDEX(November!$C$3:$AH$169,28,MATCH(B352,November!$D$3:$AH$3)+1)+INDEX(November!$C$3:$AH$169,33,MATCH(B352,November!$D$3:$AH$3)+1)+INDEX(November!$C$3:$AH$169,38,MATCH(B352,November!$D$3:$AH$3)+1)+INDEX(November!$C$3:$AH$169,43,MATCH(B352,November!$D$3:$AH$3)+1)+INDEX(November!$C$3:$AH$169,48,MATCH(B352,November!$D$3:$AH$3)+1)+INDEX(November!$C$3:$AH$169,53,MATCH(B352,November!$D$3:$AH$3)+1)+INDEX(November!$C$3:$AH$169,58,MATCH(B352,November!$D$3:$AH$3)+1)+INDEX(November!$C$3:$AH$169,63,MATCH(B352,November!$D$3:$AH$3)+1)+INDEX(November!$C$3:$AH$169,68,MATCH(B352,November!$D$3:$AH$3)+1)+INDEX(November!$C$3:$AH$169,73,MATCH(B352,November!$D$3:$AH$3)+1)+INDEX(November!$C$3:$AH$169,78,MATCH(B352,November!$D$3:$AH$3)+1)+INDEX(November!$C$3:$AH$169,83,MATCH(B352,November!$D$3:$AH$3)+1)+INDEX(November!$C$3:$AH$169,88,MATCH(B352,November!$D$3:$AH$3)+1)+INDEX(November!$C$3:$AH$169,93,MATCH(B352,November!$D$3:$AH$3)+1)+INDEX(November!$C$3:$AH$169,98,MATCH(B352,November!$D$3:$AH$3)+1)+INDEX(November!$C$3:$AH$169,103,MATCH(B352,November!$D$3:$AH$3)+1)+INDEX(November!$C$3:$AH$169,108,MATCH(B352,November!$D$3:$AH$3)+1)+INDEX(November!$C$3:$AH$169,113,MATCH(B352,November!$D$3:$AH$3)+1)+INDEX(November!$C$3:$AH$169,118,MATCH(B352,November!$D$3:$AH$3)+1)+INDEX(November!$C$3:$AH$169,123,MATCH(B352,November!$D$3:$AH$3)+1)+INDEX(November!$C$3:$AH$169,128,MATCH(B352,November!$D$3:$AH$3)+1)+INDEX(November!$C$3:$AH$169,133,MATCH(B352,November!$D$3:$AH$3)+1)+INDEX(November!$C$3:$AH$169,138,MATCH(B352,November!$D$3:$AH$3)+1)+INDEX(November!$C$3:$AH$169,143,MATCH(B352,November!$D$3:$AH$3)+1)+INDEX(November!$C$3:$AH$169,148,MATCH(B352,November!$D$3:$AH$3)+1)-INDEX(November!$B$5:$AH$169,MATCH("Patrick Janssen",November!$B$5:$B$169),MATCH(B352,November!$D$3:$AH$3)+2)-INDEX(November!$B$5:$AH$169,MATCH("Patrick Ziesen",November!$B$5:$B$169),MATCH(B352,November!$D$3:$AH$3)+2)-INDEX(November!$B$5:$AH$169,MATCH("Frido Meijer",November!$B$5:$B$169),MATCH(B352,November!$D$3:$AH$3)+2)</f>
        <v>0</v>
      </c>
      <c r="H352" s="130">
        <f>INDEX(November!$C$3:$AH$169,4,MATCH(B352,November!$D$3:$AH$3)+1)+INDEX(November!$C$3:$AH$169,9,MATCH(B352,November!$D$3:$AH$3)+1)+INDEX(November!$C$3:$AH$169,14,MATCH(B352,November!$D$3:$AH$3)+1)+INDEX(November!$C$3:$AH$169,19,MATCH(B352,November!$D$3:$AH$3)+1)+INDEX(November!$C$3:$AH$169,24,MATCH(B352,November!$D$3:$AH$3)+1)+INDEX(November!$C$3:$AH$169,29,MATCH(B352,November!$D$3:$AH$3)+1)+INDEX(November!$C$3:$AH$169,34,MATCH(B352,November!$D$3:$AH$3)+1)+INDEX(November!$C$3:$AH$169,39,MATCH(B352,November!$D$3:$AH$3)+1)+INDEX(November!$C$3:$AH$169,44,MATCH(B352,November!$D$3:$AH$3)+1)+INDEX(November!$C$3:$AH$169,49,MATCH(B352,November!$D$3:$AH$3)+1)+INDEX(November!$C$3:$AH$169,54,MATCH(B352,November!$D$3:$AH$3)+1)+INDEX(November!$C$3:$AH$169,59,MATCH(B352,November!$D$3:$AH$3)+1)+INDEX(November!$C$3:$AH$169,64,MATCH(B352,November!$D$3:$AH$3)+1)+INDEX(November!$C$3:$AH$169,69,MATCH(B352,November!$D$3:$AH$3)+1)+INDEX(November!$C$3:$AH$169,74,MATCH(B352,November!$D$3:$AH$3)+1)+INDEX(November!$C$3:$AH$169,79,MATCH(B352,November!$D$3:$AH$3)+1)+INDEX(November!$C$3:$AH$169,84,MATCH(B352,November!$D$3:$AH$3)+1)+INDEX(November!$C$3:$AH$169,89,MATCH(B352,November!$D$3:$AH$3)+1)+INDEX(November!$C$3:$AH$169,94,MATCH(B352,November!$D$3:$AH$3)+1)+INDEX(November!$C$3:$AH$169,99,MATCH(B352,November!$D$3:$AH$3)+1)+INDEX(November!$C$3:$AH$169,104,MATCH(B352,November!$D$3:$AH$3)+1)+INDEX(November!$C$3:$AH$169,109,MATCH(B352,November!$D$3:$AH$3)+1)+INDEX(November!$C$3:$AH$169,114,MATCH(B352,November!$D$3:$AH$3)+1)+INDEX(November!$C$3:$AH$169,119,MATCH(B352,November!$D$3:$AH$3)+1)+INDEX(November!$C$3:$AH$169,124,MATCH(B352,November!$D$3:$AH$3)+1)+INDEX(November!$C$3:$AH$169,129,MATCH(B352,November!$D$3:$AH$3)+1)+INDEX(November!$C$3:$AH$169,134,MATCH(B352,November!$D$3:$AH$3)+1)+INDEX(November!$C$3:$AH$169,139,MATCH(B352,November!$D$3:$AH$3)+1)+INDEX(November!$C$3:$AH$169,144,MATCH(B352,November!$D$3:$AH$3)+1)+INDEX(November!$C$3:$AH$169,149,MATCH(B352,November!$D$3:$AH$3)+1)-INDEX(November!$B$5:$AH$169,MATCH("Patrick Janssen",November!$B$5:$B$169)+1,MATCH(B352,November!$D$3:$AH$3)+2)-INDEX(November!$B$5:$AH$169,MATCH("Patrick Ziesen",November!$B$5:$B$169)+1,MATCH(B352,November!$D$3:$AH$3)+2)-INDEX(November!$B$5:$AH$169,MATCH("Frido Meijer",November!$B$5:$B$169)+1,MATCH(B352,November!$D$3:$AH$3)+2)</f>
        <v>0</v>
      </c>
      <c r="I352" s="130">
        <v>0</v>
      </c>
      <c r="J352" s="130">
        <v>0</v>
      </c>
      <c r="L352" s="165"/>
      <c r="M352" s="111"/>
      <c r="N352" s="111">
        <f t="shared" si="104"/>
        <v>0</v>
      </c>
      <c r="P352" s="112" t="str">
        <f t="shared" si="105"/>
        <v/>
      </c>
      <c r="Q352" s="112" t="str">
        <f t="shared" si="106"/>
        <v/>
      </c>
    </row>
    <row r="353" spans="2:17" x14ac:dyDescent="0.25">
      <c r="B353" s="110">
        <f>DATE(Title!$F$12,$S$15,S28)</f>
        <v>41602</v>
      </c>
      <c r="C353" s="111">
        <f>IF(WEEKDAY(B353)=1,0,IF(WEEKDAY(B353)=4,'Hours Scheduled'!$N$44-1,IF(WEEKDAY(B353)=7,0,'Hours Scheduled'!$N$44)))</f>
        <v>0</v>
      </c>
      <c r="D353" s="17">
        <f t="shared" si="107"/>
        <v>0</v>
      </c>
      <c r="E353" s="127">
        <f t="shared" si="108"/>
        <v>0</v>
      </c>
      <c r="F353" s="111"/>
      <c r="G353" s="130">
        <f>INDEX(November!$C$3:$AH$169,3,MATCH(B353,November!$D$3:$AH$3)+1)+INDEX(November!$C$3:$AH$169,8,MATCH(B353,November!$D$3:$AH$3)+1)+INDEX(November!$C$3:$AH$169,13,MATCH(B353,November!$D$3:$AH$3)+1)+INDEX(November!$C$3:$AH$169,18,MATCH(B353,November!$D$3:$AH$3)+1)+INDEX(November!$C$3:$AH$169,23,MATCH(B353,November!$D$3:$AH$3)+1)+INDEX(November!$C$3:$AH$169,28,MATCH(B353,November!$D$3:$AH$3)+1)+INDEX(November!$C$3:$AH$169,33,MATCH(B353,November!$D$3:$AH$3)+1)+INDEX(November!$C$3:$AH$169,38,MATCH(B353,November!$D$3:$AH$3)+1)+INDEX(November!$C$3:$AH$169,43,MATCH(B353,November!$D$3:$AH$3)+1)+INDEX(November!$C$3:$AH$169,48,MATCH(B353,November!$D$3:$AH$3)+1)+INDEX(November!$C$3:$AH$169,53,MATCH(B353,November!$D$3:$AH$3)+1)+INDEX(November!$C$3:$AH$169,58,MATCH(B353,November!$D$3:$AH$3)+1)+INDEX(November!$C$3:$AH$169,63,MATCH(B353,November!$D$3:$AH$3)+1)+INDEX(November!$C$3:$AH$169,68,MATCH(B353,November!$D$3:$AH$3)+1)+INDEX(November!$C$3:$AH$169,73,MATCH(B353,November!$D$3:$AH$3)+1)+INDEX(November!$C$3:$AH$169,78,MATCH(B353,November!$D$3:$AH$3)+1)+INDEX(November!$C$3:$AH$169,83,MATCH(B353,November!$D$3:$AH$3)+1)+INDEX(November!$C$3:$AH$169,88,MATCH(B353,November!$D$3:$AH$3)+1)+INDEX(November!$C$3:$AH$169,93,MATCH(B353,November!$D$3:$AH$3)+1)+INDEX(November!$C$3:$AH$169,98,MATCH(B353,November!$D$3:$AH$3)+1)+INDEX(November!$C$3:$AH$169,103,MATCH(B353,November!$D$3:$AH$3)+1)+INDEX(November!$C$3:$AH$169,108,MATCH(B353,November!$D$3:$AH$3)+1)+INDEX(November!$C$3:$AH$169,113,MATCH(B353,November!$D$3:$AH$3)+1)+INDEX(November!$C$3:$AH$169,118,MATCH(B353,November!$D$3:$AH$3)+1)+INDEX(November!$C$3:$AH$169,123,MATCH(B353,November!$D$3:$AH$3)+1)+INDEX(November!$C$3:$AH$169,128,MATCH(B353,November!$D$3:$AH$3)+1)+INDEX(November!$C$3:$AH$169,133,MATCH(B353,November!$D$3:$AH$3)+1)+INDEX(November!$C$3:$AH$169,138,MATCH(B353,November!$D$3:$AH$3)+1)+INDEX(November!$C$3:$AH$169,143,MATCH(B353,November!$D$3:$AH$3)+1)+INDEX(November!$C$3:$AH$169,148,MATCH(B353,November!$D$3:$AH$3)+1)-INDEX(November!$B$5:$AH$169,MATCH("Patrick Janssen",November!$B$5:$B$169),MATCH(B353,November!$D$3:$AH$3)+2)-INDEX(November!$B$5:$AH$169,MATCH("Patrick Ziesen",November!$B$5:$B$169),MATCH(B353,November!$D$3:$AH$3)+2)-INDEX(November!$B$5:$AH$169,MATCH("Frido Meijer",November!$B$5:$B$169),MATCH(B353,November!$D$3:$AH$3)+2)</f>
        <v>0</v>
      </c>
      <c r="H353" s="130">
        <f>INDEX(November!$C$3:$AH$169,4,MATCH(B353,November!$D$3:$AH$3)+1)+INDEX(November!$C$3:$AH$169,9,MATCH(B353,November!$D$3:$AH$3)+1)+INDEX(November!$C$3:$AH$169,14,MATCH(B353,November!$D$3:$AH$3)+1)+INDEX(November!$C$3:$AH$169,19,MATCH(B353,November!$D$3:$AH$3)+1)+INDEX(November!$C$3:$AH$169,24,MATCH(B353,November!$D$3:$AH$3)+1)+INDEX(November!$C$3:$AH$169,29,MATCH(B353,November!$D$3:$AH$3)+1)+INDEX(November!$C$3:$AH$169,34,MATCH(B353,November!$D$3:$AH$3)+1)+INDEX(November!$C$3:$AH$169,39,MATCH(B353,November!$D$3:$AH$3)+1)+INDEX(November!$C$3:$AH$169,44,MATCH(B353,November!$D$3:$AH$3)+1)+INDEX(November!$C$3:$AH$169,49,MATCH(B353,November!$D$3:$AH$3)+1)+INDEX(November!$C$3:$AH$169,54,MATCH(B353,November!$D$3:$AH$3)+1)+INDEX(November!$C$3:$AH$169,59,MATCH(B353,November!$D$3:$AH$3)+1)+INDEX(November!$C$3:$AH$169,64,MATCH(B353,November!$D$3:$AH$3)+1)+INDEX(November!$C$3:$AH$169,69,MATCH(B353,November!$D$3:$AH$3)+1)+INDEX(November!$C$3:$AH$169,74,MATCH(B353,November!$D$3:$AH$3)+1)+INDEX(November!$C$3:$AH$169,79,MATCH(B353,November!$D$3:$AH$3)+1)+INDEX(November!$C$3:$AH$169,84,MATCH(B353,November!$D$3:$AH$3)+1)+INDEX(November!$C$3:$AH$169,89,MATCH(B353,November!$D$3:$AH$3)+1)+INDEX(November!$C$3:$AH$169,94,MATCH(B353,November!$D$3:$AH$3)+1)+INDEX(November!$C$3:$AH$169,99,MATCH(B353,November!$D$3:$AH$3)+1)+INDEX(November!$C$3:$AH$169,104,MATCH(B353,November!$D$3:$AH$3)+1)+INDEX(November!$C$3:$AH$169,109,MATCH(B353,November!$D$3:$AH$3)+1)+INDEX(November!$C$3:$AH$169,114,MATCH(B353,November!$D$3:$AH$3)+1)+INDEX(November!$C$3:$AH$169,119,MATCH(B353,November!$D$3:$AH$3)+1)+INDEX(November!$C$3:$AH$169,124,MATCH(B353,November!$D$3:$AH$3)+1)+INDEX(November!$C$3:$AH$169,129,MATCH(B353,November!$D$3:$AH$3)+1)+INDEX(November!$C$3:$AH$169,134,MATCH(B353,November!$D$3:$AH$3)+1)+INDEX(November!$C$3:$AH$169,139,MATCH(B353,November!$D$3:$AH$3)+1)+INDEX(November!$C$3:$AH$169,144,MATCH(B353,November!$D$3:$AH$3)+1)+INDEX(November!$C$3:$AH$169,149,MATCH(B353,November!$D$3:$AH$3)+1)-INDEX(November!$B$5:$AH$169,MATCH("Patrick Janssen",November!$B$5:$B$169)+1,MATCH(B353,November!$D$3:$AH$3)+2)-INDEX(November!$B$5:$AH$169,MATCH("Patrick Ziesen",November!$B$5:$B$169)+1,MATCH(B353,November!$D$3:$AH$3)+2)-INDEX(November!$B$5:$AH$169,MATCH("Frido Meijer",November!$B$5:$B$169)+1,MATCH(B353,November!$D$3:$AH$3)+2)</f>
        <v>0</v>
      </c>
      <c r="I353" s="130">
        <v>0</v>
      </c>
      <c r="J353" s="130">
        <v>0</v>
      </c>
      <c r="L353" s="165"/>
      <c r="M353" s="111"/>
      <c r="N353" s="111">
        <f t="shared" si="104"/>
        <v>0</v>
      </c>
      <c r="P353" s="112" t="str">
        <f t="shared" si="105"/>
        <v/>
      </c>
      <c r="Q353" s="112" t="str">
        <f t="shared" si="106"/>
        <v/>
      </c>
    </row>
    <row r="354" spans="2:17" x14ac:dyDescent="0.25">
      <c r="B354" s="110">
        <f>DATE(Title!$F$12,$S$15,S29)</f>
        <v>41603</v>
      </c>
      <c r="C354" s="111">
        <f>IF(WEEKDAY(B354)=1,0,IF(WEEKDAY(B354)=4,'Hours Scheduled'!$N$44-1,IF(WEEKDAY(B354)=7,0,'Hours Scheduled'!$N$44)))</f>
        <v>21</v>
      </c>
      <c r="D354" s="17">
        <f t="shared" si="107"/>
        <v>157.5</v>
      </c>
      <c r="E354" s="127">
        <f t="shared" si="108"/>
        <v>168</v>
      </c>
      <c r="F354" s="111"/>
      <c r="G354" s="130">
        <f>INDEX(November!$C$3:$AH$169,3,MATCH(B354,November!$D$3:$AH$3)+1)+INDEX(November!$C$3:$AH$169,8,MATCH(B354,November!$D$3:$AH$3)+1)+INDEX(November!$C$3:$AH$169,13,MATCH(B354,November!$D$3:$AH$3)+1)+INDEX(November!$C$3:$AH$169,18,MATCH(B354,November!$D$3:$AH$3)+1)+INDEX(November!$C$3:$AH$169,23,MATCH(B354,November!$D$3:$AH$3)+1)+INDEX(November!$C$3:$AH$169,28,MATCH(B354,November!$D$3:$AH$3)+1)+INDEX(November!$C$3:$AH$169,33,MATCH(B354,November!$D$3:$AH$3)+1)+INDEX(November!$C$3:$AH$169,38,MATCH(B354,November!$D$3:$AH$3)+1)+INDEX(November!$C$3:$AH$169,43,MATCH(B354,November!$D$3:$AH$3)+1)+INDEX(November!$C$3:$AH$169,48,MATCH(B354,November!$D$3:$AH$3)+1)+INDEX(November!$C$3:$AH$169,53,MATCH(B354,November!$D$3:$AH$3)+1)+INDEX(November!$C$3:$AH$169,58,MATCH(B354,November!$D$3:$AH$3)+1)+INDEX(November!$C$3:$AH$169,63,MATCH(B354,November!$D$3:$AH$3)+1)+INDEX(November!$C$3:$AH$169,68,MATCH(B354,November!$D$3:$AH$3)+1)+INDEX(November!$C$3:$AH$169,73,MATCH(B354,November!$D$3:$AH$3)+1)+INDEX(November!$C$3:$AH$169,78,MATCH(B354,November!$D$3:$AH$3)+1)+INDEX(November!$C$3:$AH$169,83,MATCH(B354,November!$D$3:$AH$3)+1)+INDEX(November!$C$3:$AH$169,88,MATCH(B354,November!$D$3:$AH$3)+1)+INDEX(November!$C$3:$AH$169,93,MATCH(B354,November!$D$3:$AH$3)+1)+INDEX(November!$C$3:$AH$169,98,MATCH(B354,November!$D$3:$AH$3)+1)+INDEX(November!$C$3:$AH$169,103,MATCH(B354,November!$D$3:$AH$3)+1)+INDEX(November!$C$3:$AH$169,108,MATCH(B354,November!$D$3:$AH$3)+1)+INDEX(November!$C$3:$AH$169,113,MATCH(B354,November!$D$3:$AH$3)+1)+INDEX(November!$C$3:$AH$169,118,MATCH(B354,November!$D$3:$AH$3)+1)+INDEX(November!$C$3:$AH$169,123,MATCH(B354,November!$D$3:$AH$3)+1)+INDEX(November!$C$3:$AH$169,128,MATCH(B354,November!$D$3:$AH$3)+1)+INDEX(November!$C$3:$AH$169,133,MATCH(B354,November!$D$3:$AH$3)+1)+INDEX(November!$C$3:$AH$169,138,MATCH(B354,November!$D$3:$AH$3)+1)+INDEX(November!$C$3:$AH$169,143,MATCH(B354,November!$D$3:$AH$3)+1)+INDEX(November!$C$3:$AH$169,148,MATCH(B354,November!$D$3:$AH$3)+1)-INDEX(November!$B$5:$AH$169,MATCH("Patrick Janssen",November!$B$5:$B$169),MATCH(B354,November!$D$3:$AH$3)+2)-INDEX(November!$B$5:$AH$169,MATCH("Patrick Ziesen",November!$B$5:$B$169),MATCH(B354,November!$D$3:$AH$3)+2)-INDEX(November!$B$5:$AH$169,MATCH("Frido Meijer",November!$B$5:$B$169),MATCH(B354,November!$D$3:$AH$3)+2)</f>
        <v>0</v>
      </c>
      <c r="H354" s="130">
        <f>INDEX(November!$C$3:$AH$169,4,MATCH(B354,November!$D$3:$AH$3)+1)+INDEX(November!$C$3:$AH$169,9,MATCH(B354,November!$D$3:$AH$3)+1)+INDEX(November!$C$3:$AH$169,14,MATCH(B354,November!$D$3:$AH$3)+1)+INDEX(November!$C$3:$AH$169,19,MATCH(B354,November!$D$3:$AH$3)+1)+INDEX(November!$C$3:$AH$169,24,MATCH(B354,November!$D$3:$AH$3)+1)+INDEX(November!$C$3:$AH$169,29,MATCH(B354,November!$D$3:$AH$3)+1)+INDEX(November!$C$3:$AH$169,34,MATCH(B354,November!$D$3:$AH$3)+1)+INDEX(November!$C$3:$AH$169,39,MATCH(B354,November!$D$3:$AH$3)+1)+INDEX(November!$C$3:$AH$169,44,MATCH(B354,November!$D$3:$AH$3)+1)+INDEX(November!$C$3:$AH$169,49,MATCH(B354,November!$D$3:$AH$3)+1)+INDEX(November!$C$3:$AH$169,54,MATCH(B354,November!$D$3:$AH$3)+1)+INDEX(November!$C$3:$AH$169,59,MATCH(B354,November!$D$3:$AH$3)+1)+INDEX(November!$C$3:$AH$169,64,MATCH(B354,November!$D$3:$AH$3)+1)+INDEX(November!$C$3:$AH$169,69,MATCH(B354,November!$D$3:$AH$3)+1)+INDEX(November!$C$3:$AH$169,74,MATCH(B354,November!$D$3:$AH$3)+1)+INDEX(November!$C$3:$AH$169,79,MATCH(B354,November!$D$3:$AH$3)+1)+INDEX(November!$C$3:$AH$169,84,MATCH(B354,November!$D$3:$AH$3)+1)+INDEX(November!$C$3:$AH$169,89,MATCH(B354,November!$D$3:$AH$3)+1)+INDEX(November!$C$3:$AH$169,94,MATCH(B354,November!$D$3:$AH$3)+1)+INDEX(November!$C$3:$AH$169,99,MATCH(B354,November!$D$3:$AH$3)+1)+INDEX(November!$C$3:$AH$169,104,MATCH(B354,November!$D$3:$AH$3)+1)+INDEX(November!$C$3:$AH$169,109,MATCH(B354,November!$D$3:$AH$3)+1)+INDEX(November!$C$3:$AH$169,114,MATCH(B354,November!$D$3:$AH$3)+1)+INDEX(November!$C$3:$AH$169,119,MATCH(B354,November!$D$3:$AH$3)+1)+INDEX(November!$C$3:$AH$169,124,MATCH(B354,November!$D$3:$AH$3)+1)+INDEX(November!$C$3:$AH$169,129,MATCH(B354,November!$D$3:$AH$3)+1)+INDEX(November!$C$3:$AH$169,134,MATCH(B354,November!$D$3:$AH$3)+1)+INDEX(November!$C$3:$AH$169,139,MATCH(B354,November!$D$3:$AH$3)+1)+INDEX(November!$C$3:$AH$169,144,MATCH(B354,November!$D$3:$AH$3)+1)+INDEX(November!$C$3:$AH$169,149,MATCH(B354,November!$D$3:$AH$3)+1)-INDEX(November!$B$5:$AH$169,MATCH("Patrick Janssen",November!$B$5:$B$169)+1,MATCH(B354,November!$D$3:$AH$3)+2)-INDEX(November!$B$5:$AH$169,MATCH("Patrick Ziesen",November!$B$5:$B$169)+1,MATCH(B354,November!$D$3:$AH$3)+2)-INDEX(November!$B$5:$AH$169,MATCH("Frido Meijer",November!$B$5:$B$169)+1,MATCH(B354,November!$D$3:$AH$3)+2)</f>
        <v>0</v>
      </c>
      <c r="I354" s="130">
        <v>0</v>
      </c>
      <c r="J354" s="130">
        <v>0</v>
      </c>
      <c r="L354" s="165"/>
      <c r="M354" s="111"/>
      <c r="N354" s="111">
        <f t="shared" si="104"/>
        <v>0</v>
      </c>
      <c r="P354" s="112">
        <f t="shared" si="105"/>
        <v>0</v>
      </c>
      <c r="Q354" s="112">
        <f t="shared" si="106"/>
        <v>0</v>
      </c>
    </row>
    <row r="355" spans="2:17" x14ac:dyDescent="0.25">
      <c r="B355" s="110">
        <f>DATE(Title!$F$12,$S$15,S30)</f>
        <v>41604</v>
      </c>
      <c r="C355" s="111">
        <f>IF(WEEKDAY(B355)=1,0,IF(WEEKDAY(B355)=4,'Hours Scheduled'!$N$44-1,IF(WEEKDAY(B355)=7,0,'Hours Scheduled'!$N$44)))</f>
        <v>21</v>
      </c>
      <c r="D355" s="17">
        <f t="shared" si="107"/>
        <v>157.5</v>
      </c>
      <c r="E355" s="127">
        <f t="shared" si="108"/>
        <v>168</v>
      </c>
      <c r="F355" s="111"/>
      <c r="G355" s="130">
        <f>INDEX(November!$C$3:$AH$169,3,MATCH(B355,November!$D$3:$AH$3)+1)+INDEX(November!$C$3:$AH$169,8,MATCH(B355,November!$D$3:$AH$3)+1)+INDEX(November!$C$3:$AH$169,13,MATCH(B355,November!$D$3:$AH$3)+1)+INDEX(November!$C$3:$AH$169,18,MATCH(B355,November!$D$3:$AH$3)+1)+INDEX(November!$C$3:$AH$169,23,MATCH(B355,November!$D$3:$AH$3)+1)+INDEX(November!$C$3:$AH$169,28,MATCH(B355,November!$D$3:$AH$3)+1)+INDEX(November!$C$3:$AH$169,33,MATCH(B355,November!$D$3:$AH$3)+1)+INDEX(November!$C$3:$AH$169,38,MATCH(B355,November!$D$3:$AH$3)+1)+INDEX(November!$C$3:$AH$169,43,MATCH(B355,November!$D$3:$AH$3)+1)+INDEX(November!$C$3:$AH$169,48,MATCH(B355,November!$D$3:$AH$3)+1)+INDEX(November!$C$3:$AH$169,53,MATCH(B355,November!$D$3:$AH$3)+1)+INDEX(November!$C$3:$AH$169,58,MATCH(B355,November!$D$3:$AH$3)+1)+INDEX(November!$C$3:$AH$169,63,MATCH(B355,November!$D$3:$AH$3)+1)+INDEX(November!$C$3:$AH$169,68,MATCH(B355,November!$D$3:$AH$3)+1)+INDEX(November!$C$3:$AH$169,73,MATCH(B355,November!$D$3:$AH$3)+1)+INDEX(November!$C$3:$AH$169,78,MATCH(B355,November!$D$3:$AH$3)+1)+INDEX(November!$C$3:$AH$169,83,MATCH(B355,November!$D$3:$AH$3)+1)+INDEX(November!$C$3:$AH$169,88,MATCH(B355,November!$D$3:$AH$3)+1)+INDEX(November!$C$3:$AH$169,93,MATCH(B355,November!$D$3:$AH$3)+1)+INDEX(November!$C$3:$AH$169,98,MATCH(B355,November!$D$3:$AH$3)+1)+INDEX(November!$C$3:$AH$169,103,MATCH(B355,November!$D$3:$AH$3)+1)+INDEX(November!$C$3:$AH$169,108,MATCH(B355,November!$D$3:$AH$3)+1)+INDEX(November!$C$3:$AH$169,113,MATCH(B355,November!$D$3:$AH$3)+1)+INDEX(November!$C$3:$AH$169,118,MATCH(B355,November!$D$3:$AH$3)+1)+INDEX(November!$C$3:$AH$169,123,MATCH(B355,November!$D$3:$AH$3)+1)+INDEX(November!$C$3:$AH$169,128,MATCH(B355,November!$D$3:$AH$3)+1)+INDEX(November!$C$3:$AH$169,133,MATCH(B355,November!$D$3:$AH$3)+1)+INDEX(November!$C$3:$AH$169,138,MATCH(B355,November!$D$3:$AH$3)+1)+INDEX(November!$C$3:$AH$169,143,MATCH(B355,November!$D$3:$AH$3)+1)+INDEX(November!$C$3:$AH$169,148,MATCH(B355,November!$D$3:$AH$3)+1)-INDEX(November!$B$5:$AH$169,MATCH("Patrick Janssen",November!$B$5:$B$169),MATCH(B355,November!$D$3:$AH$3)+2)-INDEX(November!$B$5:$AH$169,MATCH("Patrick Ziesen",November!$B$5:$B$169),MATCH(B355,November!$D$3:$AH$3)+2)-INDEX(November!$B$5:$AH$169,MATCH("Frido Meijer",November!$B$5:$B$169),MATCH(B355,November!$D$3:$AH$3)+2)</f>
        <v>0</v>
      </c>
      <c r="H355" s="130">
        <f>INDEX(November!$C$3:$AH$169,4,MATCH(B355,November!$D$3:$AH$3)+1)+INDEX(November!$C$3:$AH$169,9,MATCH(B355,November!$D$3:$AH$3)+1)+INDEX(November!$C$3:$AH$169,14,MATCH(B355,November!$D$3:$AH$3)+1)+INDEX(November!$C$3:$AH$169,19,MATCH(B355,November!$D$3:$AH$3)+1)+INDEX(November!$C$3:$AH$169,24,MATCH(B355,November!$D$3:$AH$3)+1)+INDEX(November!$C$3:$AH$169,29,MATCH(B355,November!$D$3:$AH$3)+1)+INDEX(November!$C$3:$AH$169,34,MATCH(B355,November!$D$3:$AH$3)+1)+INDEX(November!$C$3:$AH$169,39,MATCH(B355,November!$D$3:$AH$3)+1)+INDEX(November!$C$3:$AH$169,44,MATCH(B355,November!$D$3:$AH$3)+1)+INDEX(November!$C$3:$AH$169,49,MATCH(B355,November!$D$3:$AH$3)+1)+INDEX(November!$C$3:$AH$169,54,MATCH(B355,November!$D$3:$AH$3)+1)+INDEX(November!$C$3:$AH$169,59,MATCH(B355,November!$D$3:$AH$3)+1)+INDEX(November!$C$3:$AH$169,64,MATCH(B355,November!$D$3:$AH$3)+1)+INDEX(November!$C$3:$AH$169,69,MATCH(B355,November!$D$3:$AH$3)+1)+INDEX(November!$C$3:$AH$169,74,MATCH(B355,November!$D$3:$AH$3)+1)+INDEX(November!$C$3:$AH$169,79,MATCH(B355,November!$D$3:$AH$3)+1)+INDEX(November!$C$3:$AH$169,84,MATCH(B355,November!$D$3:$AH$3)+1)+INDEX(November!$C$3:$AH$169,89,MATCH(B355,November!$D$3:$AH$3)+1)+INDEX(November!$C$3:$AH$169,94,MATCH(B355,November!$D$3:$AH$3)+1)+INDEX(November!$C$3:$AH$169,99,MATCH(B355,November!$D$3:$AH$3)+1)+INDEX(November!$C$3:$AH$169,104,MATCH(B355,November!$D$3:$AH$3)+1)+INDEX(November!$C$3:$AH$169,109,MATCH(B355,November!$D$3:$AH$3)+1)+INDEX(November!$C$3:$AH$169,114,MATCH(B355,November!$D$3:$AH$3)+1)+INDEX(November!$C$3:$AH$169,119,MATCH(B355,November!$D$3:$AH$3)+1)+INDEX(November!$C$3:$AH$169,124,MATCH(B355,November!$D$3:$AH$3)+1)+INDEX(November!$C$3:$AH$169,129,MATCH(B355,November!$D$3:$AH$3)+1)+INDEX(November!$C$3:$AH$169,134,MATCH(B355,November!$D$3:$AH$3)+1)+INDEX(November!$C$3:$AH$169,139,MATCH(B355,November!$D$3:$AH$3)+1)+INDEX(November!$C$3:$AH$169,144,MATCH(B355,November!$D$3:$AH$3)+1)+INDEX(November!$C$3:$AH$169,149,MATCH(B355,November!$D$3:$AH$3)+1)-INDEX(November!$B$5:$AH$169,MATCH("Patrick Janssen",November!$B$5:$B$169)+1,MATCH(B355,November!$D$3:$AH$3)+2)-INDEX(November!$B$5:$AH$169,MATCH("Patrick Ziesen",November!$B$5:$B$169)+1,MATCH(B355,November!$D$3:$AH$3)+2)-INDEX(November!$B$5:$AH$169,MATCH("Frido Meijer",November!$B$5:$B$169)+1,MATCH(B355,November!$D$3:$AH$3)+2)</f>
        <v>0</v>
      </c>
      <c r="I355" s="130">
        <v>0</v>
      </c>
      <c r="J355" s="130">
        <v>0</v>
      </c>
      <c r="L355" s="165"/>
      <c r="M355" s="111"/>
      <c r="N355" s="111">
        <f t="shared" si="104"/>
        <v>0</v>
      </c>
      <c r="P355" s="112">
        <f t="shared" si="105"/>
        <v>0</v>
      </c>
      <c r="Q355" s="112">
        <f t="shared" si="106"/>
        <v>0</v>
      </c>
    </row>
    <row r="356" spans="2:17" x14ac:dyDescent="0.25">
      <c r="B356" s="110">
        <f>DATE(Title!$F$12,$S$15,S31)</f>
        <v>41605</v>
      </c>
      <c r="C356" s="111">
        <f>IF(WEEKDAY(B356)=1,0,IF(WEEKDAY(B356)=4,'Hours Scheduled'!$N$44-1,IF(WEEKDAY(B356)=7,0,'Hours Scheduled'!$N$44)))</f>
        <v>20</v>
      </c>
      <c r="D356" s="17">
        <f t="shared" si="107"/>
        <v>150</v>
      </c>
      <c r="E356" s="127">
        <f t="shared" si="108"/>
        <v>160</v>
      </c>
      <c r="F356" s="111"/>
      <c r="G356" s="130">
        <f>INDEX(November!$C$3:$AH$169,3,MATCH(B356,November!$D$3:$AH$3)+1)+INDEX(November!$C$3:$AH$169,8,MATCH(B356,November!$D$3:$AH$3)+1)+INDEX(November!$C$3:$AH$169,13,MATCH(B356,November!$D$3:$AH$3)+1)+INDEX(November!$C$3:$AH$169,18,MATCH(B356,November!$D$3:$AH$3)+1)+INDEX(November!$C$3:$AH$169,23,MATCH(B356,November!$D$3:$AH$3)+1)+INDEX(November!$C$3:$AH$169,28,MATCH(B356,November!$D$3:$AH$3)+1)+INDEX(November!$C$3:$AH$169,33,MATCH(B356,November!$D$3:$AH$3)+1)+INDEX(November!$C$3:$AH$169,38,MATCH(B356,November!$D$3:$AH$3)+1)+INDEX(November!$C$3:$AH$169,43,MATCH(B356,November!$D$3:$AH$3)+1)+INDEX(November!$C$3:$AH$169,48,MATCH(B356,November!$D$3:$AH$3)+1)+INDEX(November!$C$3:$AH$169,53,MATCH(B356,November!$D$3:$AH$3)+1)+INDEX(November!$C$3:$AH$169,58,MATCH(B356,November!$D$3:$AH$3)+1)+INDEX(November!$C$3:$AH$169,63,MATCH(B356,November!$D$3:$AH$3)+1)+INDEX(November!$C$3:$AH$169,68,MATCH(B356,November!$D$3:$AH$3)+1)+INDEX(November!$C$3:$AH$169,73,MATCH(B356,November!$D$3:$AH$3)+1)+INDEX(November!$C$3:$AH$169,78,MATCH(B356,November!$D$3:$AH$3)+1)+INDEX(November!$C$3:$AH$169,83,MATCH(B356,November!$D$3:$AH$3)+1)+INDEX(November!$C$3:$AH$169,88,MATCH(B356,November!$D$3:$AH$3)+1)+INDEX(November!$C$3:$AH$169,93,MATCH(B356,November!$D$3:$AH$3)+1)+INDEX(November!$C$3:$AH$169,98,MATCH(B356,November!$D$3:$AH$3)+1)+INDEX(November!$C$3:$AH$169,103,MATCH(B356,November!$D$3:$AH$3)+1)+INDEX(November!$C$3:$AH$169,108,MATCH(B356,November!$D$3:$AH$3)+1)+INDEX(November!$C$3:$AH$169,113,MATCH(B356,November!$D$3:$AH$3)+1)+INDEX(November!$C$3:$AH$169,118,MATCH(B356,November!$D$3:$AH$3)+1)+INDEX(November!$C$3:$AH$169,123,MATCH(B356,November!$D$3:$AH$3)+1)+INDEX(November!$C$3:$AH$169,128,MATCH(B356,November!$D$3:$AH$3)+1)+INDEX(November!$C$3:$AH$169,133,MATCH(B356,November!$D$3:$AH$3)+1)+INDEX(November!$C$3:$AH$169,138,MATCH(B356,November!$D$3:$AH$3)+1)+INDEX(November!$C$3:$AH$169,143,MATCH(B356,November!$D$3:$AH$3)+1)+INDEX(November!$C$3:$AH$169,148,MATCH(B356,November!$D$3:$AH$3)+1)-INDEX(November!$B$5:$AH$169,MATCH("Patrick Janssen",November!$B$5:$B$169),MATCH(B356,November!$D$3:$AH$3)+2)-INDEX(November!$B$5:$AH$169,MATCH("Patrick Ziesen",November!$B$5:$B$169),MATCH(B356,November!$D$3:$AH$3)+2)-INDEX(November!$B$5:$AH$169,MATCH("Frido Meijer",November!$B$5:$B$169),MATCH(B356,November!$D$3:$AH$3)+2)</f>
        <v>0</v>
      </c>
      <c r="H356" s="130">
        <f>INDEX(November!$C$3:$AH$169,4,MATCH(B356,November!$D$3:$AH$3)+1)+INDEX(November!$C$3:$AH$169,9,MATCH(B356,November!$D$3:$AH$3)+1)+INDEX(November!$C$3:$AH$169,14,MATCH(B356,November!$D$3:$AH$3)+1)+INDEX(November!$C$3:$AH$169,19,MATCH(B356,November!$D$3:$AH$3)+1)+INDEX(November!$C$3:$AH$169,24,MATCH(B356,November!$D$3:$AH$3)+1)+INDEX(November!$C$3:$AH$169,29,MATCH(B356,November!$D$3:$AH$3)+1)+INDEX(November!$C$3:$AH$169,34,MATCH(B356,November!$D$3:$AH$3)+1)+INDEX(November!$C$3:$AH$169,39,MATCH(B356,November!$D$3:$AH$3)+1)+INDEX(November!$C$3:$AH$169,44,MATCH(B356,November!$D$3:$AH$3)+1)+INDEX(November!$C$3:$AH$169,49,MATCH(B356,November!$D$3:$AH$3)+1)+INDEX(November!$C$3:$AH$169,54,MATCH(B356,November!$D$3:$AH$3)+1)+INDEX(November!$C$3:$AH$169,59,MATCH(B356,November!$D$3:$AH$3)+1)+INDEX(November!$C$3:$AH$169,64,MATCH(B356,November!$D$3:$AH$3)+1)+INDEX(November!$C$3:$AH$169,69,MATCH(B356,November!$D$3:$AH$3)+1)+INDEX(November!$C$3:$AH$169,74,MATCH(B356,November!$D$3:$AH$3)+1)+INDEX(November!$C$3:$AH$169,79,MATCH(B356,November!$D$3:$AH$3)+1)+INDEX(November!$C$3:$AH$169,84,MATCH(B356,November!$D$3:$AH$3)+1)+INDEX(November!$C$3:$AH$169,89,MATCH(B356,November!$D$3:$AH$3)+1)+INDEX(November!$C$3:$AH$169,94,MATCH(B356,November!$D$3:$AH$3)+1)+INDEX(November!$C$3:$AH$169,99,MATCH(B356,November!$D$3:$AH$3)+1)+INDEX(November!$C$3:$AH$169,104,MATCH(B356,November!$D$3:$AH$3)+1)+INDEX(November!$C$3:$AH$169,109,MATCH(B356,November!$D$3:$AH$3)+1)+INDEX(November!$C$3:$AH$169,114,MATCH(B356,November!$D$3:$AH$3)+1)+INDEX(November!$C$3:$AH$169,119,MATCH(B356,November!$D$3:$AH$3)+1)+INDEX(November!$C$3:$AH$169,124,MATCH(B356,November!$D$3:$AH$3)+1)+INDEX(November!$C$3:$AH$169,129,MATCH(B356,November!$D$3:$AH$3)+1)+INDEX(November!$C$3:$AH$169,134,MATCH(B356,November!$D$3:$AH$3)+1)+INDEX(November!$C$3:$AH$169,139,MATCH(B356,November!$D$3:$AH$3)+1)+INDEX(November!$C$3:$AH$169,144,MATCH(B356,November!$D$3:$AH$3)+1)+INDEX(November!$C$3:$AH$169,149,MATCH(B356,November!$D$3:$AH$3)+1)-INDEX(November!$B$5:$AH$169,MATCH("Patrick Janssen",November!$B$5:$B$169)+1,MATCH(B356,November!$D$3:$AH$3)+2)-INDEX(November!$B$5:$AH$169,MATCH("Patrick Ziesen",November!$B$5:$B$169)+1,MATCH(B356,November!$D$3:$AH$3)+2)-INDEX(November!$B$5:$AH$169,MATCH("Frido Meijer",November!$B$5:$B$169)+1,MATCH(B356,November!$D$3:$AH$3)+2)</f>
        <v>0</v>
      </c>
      <c r="I356" s="130">
        <v>0</v>
      </c>
      <c r="J356" s="130">
        <v>0</v>
      </c>
      <c r="L356" s="165"/>
      <c r="M356" s="111"/>
      <c r="N356" s="111">
        <f t="shared" si="104"/>
        <v>0</v>
      </c>
      <c r="P356" s="112">
        <f t="shared" si="105"/>
        <v>0</v>
      </c>
      <c r="Q356" s="112">
        <f t="shared" si="106"/>
        <v>0</v>
      </c>
    </row>
    <row r="357" spans="2:17" x14ac:dyDescent="0.25">
      <c r="B357" s="110">
        <f>DATE(Title!$F$12,$S$15,S32)</f>
        <v>41606</v>
      </c>
      <c r="C357" s="111">
        <f>IF(WEEKDAY(B357)=1,0,IF(WEEKDAY(B357)=4,'Hours Scheduled'!$N$44-1,IF(WEEKDAY(B357)=7,0,'Hours Scheduled'!$N$44)))</f>
        <v>21</v>
      </c>
      <c r="D357" s="17">
        <f t="shared" si="107"/>
        <v>157.5</v>
      </c>
      <c r="E357" s="127">
        <f t="shared" si="108"/>
        <v>168</v>
      </c>
      <c r="F357" s="111"/>
      <c r="G357" s="130">
        <f>INDEX(November!$C$3:$AH$169,3,MATCH(B357,November!$D$3:$AH$3)+1)+INDEX(November!$C$3:$AH$169,8,MATCH(B357,November!$D$3:$AH$3)+1)+INDEX(November!$C$3:$AH$169,13,MATCH(B357,November!$D$3:$AH$3)+1)+INDEX(November!$C$3:$AH$169,18,MATCH(B357,November!$D$3:$AH$3)+1)+INDEX(November!$C$3:$AH$169,23,MATCH(B357,November!$D$3:$AH$3)+1)+INDEX(November!$C$3:$AH$169,28,MATCH(B357,November!$D$3:$AH$3)+1)+INDEX(November!$C$3:$AH$169,33,MATCH(B357,November!$D$3:$AH$3)+1)+INDEX(November!$C$3:$AH$169,38,MATCH(B357,November!$D$3:$AH$3)+1)+INDEX(November!$C$3:$AH$169,43,MATCH(B357,November!$D$3:$AH$3)+1)+INDEX(November!$C$3:$AH$169,48,MATCH(B357,November!$D$3:$AH$3)+1)+INDEX(November!$C$3:$AH$169,53,MATCH(B357,November!$D$3:$AH$3)+1)+INDEX(November!$C$3:$AH$169,58,MATCH(B357,November!$D$3:$AH$3)+1)+INDEX(November!$C$3:$AH$169,63,MATCH(B357,November!$D$3:$AH$3)+1)+INDEX(November!$C$3:$AH$169,68,MATCH(B357,November!$D$3:$AH$3)+1)+INDEX(November!$C$3:$AH$169,73,MATCH(B357,November!$D$3:$AH$3)+1)+INDEX(November!$C$3:$AH$169,78,MATCH(B357,November!$D$3:$AH$3)+1)+INDEX(November!$C$3:$AH$169,83,MATCH(B357,November!$D$3:$AH$3)+1)+INDEX(November!$C$3:$AH$169,88,MATCH(B357,November!$D$3:$AH$3)+1)+INDEX(November!$C$3:$AH$169,93,MATCH(B357,November!$D$3:$AH$3)+1)+INDEX(November!$C$3:$AH$169,98,MATCH(B357,November!$D$3:$AH$3)+1)+INDEX(November!$C$3:$AH$169,103,MATCH(B357,November!$D$3:$AH$3)+1)+INDEX(November!$C$3:$AH$169,108,MATCH(B357,November!$D$3:$AH$3)+1)+INDEX(November!$C$3:$AH$169,113,MATCH(B357,November!$D$3:$AH$3)+1)+INDEX(November!$C$3:$AH$169,118,MATCH(B357,November!$D$3:$AH$3)+1)+INDEX(November!$C$3:$AH$169,123,MATCH(B357,November!$D$3:$AH$3)+1)+INDEX(November!$C$3:$AH$169,128,MATCH(B357,November!$D$3:$AH$3)+1)+INDEX(November!$C$3:$AH$169,133,MATCH(B357,November!$D$3:$AH$3)+1)+INDEX(November!$C$3:$AH$169,138,MATCH(B357,November!$D$3:$AH$3)+1)+INDEX(November!$C$3:$AH$169,143,MATCH(B357,November!$D$3:$AH$3)+1)+INDEX(November!$C$3:$AH$169,148,MATCH(B357,November!$D$3:$AH$3)+1)-INDEX(November!$B$5:$AH$169,MATCH("Patrick Janssen",November!$B$5:$B$169),MATCH(B357,November!$D$3:$AH$3)+2)-INDEX(November!$B$5:$AH$169,MATCH("Patrick Ziesen",November!$B$5:$B$169),MATCH(B357,November!$D$3:$AH$3)+2)-INDEX(November!$B$5:$AH$169,MATCH("Frido Meijer",November!$B$5:$B$169),MATCH(B357,November!$D$3:$AH$3)+2)</f>
        <v>0</v>
      </c>
      <c r="H357" s="130">
        <f>INDEX(November!$C$3:$AH$169,4,MATCH(B357,November!$D$3:$AH$3)+1)+INDEX(November!$C$3:$AH$169,9,MATCH(B357,November!$D$3:$AH$3)+1)+INDEX(November!$C$3:$AH$169,14,MATCH(B357,November!$D$3:$AH$3)+1)+INDEX(November!$C$3:$AH$169,19,MATCH(B357,November!$D$3:$AH$3)+1)+INDEX(November!$C$3:$AH$169,24,MATCH(B357,November!$D$3:$AH$3)+1)+INDEX(November!$C$3:$AH$169,29,MATCH(B357,November!$D$3:$AH$3)+1)+INDEX(November!$C$3:$AH$169,34,MATCH(B357,November!$D$3:$AH$3)+1)+INDEX(November!$C$3:$AH$169,39,MATCH(B357,November!$D$3:$AH$3)+1)+INDEX(November!$C$3:$AH$169,44,MATCH(B357,November!$D$3:$AH$3)+1)+INDEX(November!$C$3:$AH$169,49,MATCH(B357,November!$D$3:$AH$3)+1)+INDEX(November!$C$3:$AH$169,54,MATCH(B357,November!$D$3:$AH$3)+1)+INDEX(November!$C$3:$AH$169,59,MATCH(B357,November!$D$3:$AH$3)+1)+INDEX(November!$C$3:$AH$169,64,MATCH(B357,November!$D$3:$AH$3)+1)+INDEX(November!$C$3:$AH$169,69,MATCH(B357,November!$D$3:$AH$3)+1)+INDEX(November!$C$3:$AH$169,74,MATCH(B357,November!$D$3:$AH$3)+1)+INDEX(November!$C$3:$AH$169,79,MATCH(B357,November!$D$3:$AH$3)+1)+INDEX(November!$C$3:$AH$169,84,MATCH(B357,November!$D$3:$AH$3)+1)+INDEX(November!$C$3:$AH$169,89,MATCH(B357,November!$D$3:$AH$3)+1)+INDEX(November!$C$3:$AH$169,94,MATCH(B357,November!$D$3:$AH$3)+1)+INDEX(November!$C$3:$AH$169,99,MATCH(B357,November!$D$3:$AH$3)+1)+INDEX(November!$C$3:$AH$169,104,MATCH(B357,November!$D$3:$AH$3)+1)+INDEX(November!$C$3:$AH$169,109,MATCH(B357,November!$D$3:$AH$3)+1)+INDEX(November!$C$3:$AH$169,114,MATCH(B357,November!$D$3:$AH$3)+1)+INDEX(November!$C$3:$AH$169,119,MATCH(B357,November!$D$3:$AH$3)+1)+INDEX(November!$C$3:$AH$169,124,MATCH(B357,November!$D$3:$AH$3)+1)+INDEX(November!$C$3:$AH$169,129,MATCH(B357,November!$D$3:$AH$3)+1)+INDEX(November!$C$3:$AH$169,134,MATCH(B357,November!$D$3:$AH$3)+1)+INDEX(November!$C$3:$AH$169,139,MATCH(B357,November!$D$3:$AH$3)+1)+INDEX(November!$C$3:$AH$169,144,MATCH(B357,November!$D$3:$AH$3)+1)+INDEX(November!$C$3:$AH$169,149,MATCH(B357,November!$D$3:$AH$3)+1)-INDEX(November!$B$5:$AH$169,MATCH("Patrick Janssen",November!$B$5:$B$169)+1,MATCH(B357,November!$D$3:$AH$3)+2)-INDEX(November!$B$5:$AH$169,MATCH("Patrick Ziesen",November!$B$5:$B$169)+1,MATCH(B357,November!$D$3:$AH$3)+2)-INDEX(November!$B$5:$AH$169,MATCH("Frido Meijer",November!$B$5:$B$169)+1,MATCH(B357,November!$D$3:$AH$3)+2)</f>
        <v>0</v>
      </c>
      <c r="I357" s="130">
        <v>0</v>
      </c>
      <c r="J357" s="130">
        <v>0</v>
      </c>
      <c r="L357" s="165"/>
      <c r="M357" s="111"/>
      <c r="N357" s="111">
        <f t="shared" si="104"/>
        <v>0</v>
      </c>
      <c r="P357" s="112">
        <f t="shared" si="105"/>
        <v>0</v>
      </c>
      <c r="Q357" s="112">
        <f t="shared" si="106"/>
        <v>0</v>
      </c>
    </row>
    <row r="358" spans="2:17" x14ac:dyDescent="0.25">
      <c r="B358" s="110">
        <f>DATE(Title!$F$12,$S$15,S33)</f>
        <v>41607</v>
      </c>
      <c r="C358" s="111">
        <f>IF(WEEKDAY(B358)=1,0,IF(WEEKDAY(B358)=4,'Hours Scheduled'!$N$44-1,IF(WEEKDAY(B358)=7,0,'Hours Scheduled'!$N$44)))</f>
        <v>21</v>
      </c>
      <c r="D358" s="17">
        <f t="shared" si="107"/>
        <v>157.5</v>
      </c>
      <c r="E358" s="127">
        <f t="shared" si="108"/>
        <v>168</v>
      </c>
      <c r="F358" s="111"/>
      <c r="G358" s="130">
        <f>INDEX(November!$C$3:$AH$169,3,MATCH(B358,November!$D$3:$AH$3)+1)+INDEX(November!$C$3:$AH$169,8,MATCH(B358,November!$D$3:$AH$3)+1)+INDEX(November!$C$3:$AH$169,13,MATCH(B358,November!$D$3:$AH$3)+1)+INDEX(November!$C$3:$AH$169,18,MATCH(B358,November!$D$3:$AH$3)+1)+INDEX(November!$C$3:$AH$169,23,MATCH(B358,November!$D$3:$AH$3)+1)+INDEX(November!$C$3:$AH$169,28,MATCH(B358,November!$D$3:$AH$3)+1)+INDEX(November!$C$3:$AH$169,33,MATCH(B358,November!$D$3:$AH$3)+1)+INDEX(November!$C$3:$AH$169,38,MATCH(B358,November!$D$3:$AH$3)+1)+INDEX(November!$C$3:$AH$169,43,MATCH(B358,November!$D$3:$AH$3)+1)+INDEX(November!$C$3:$AH$169,48,MATCH(B358,November!$D$3:$AH$3)+1)+INDEX(November!$C$3:$AH$169,53,MATCH(B358,November!$D$3:$AH$3)+1)+INDEX(November!$C$3:$AH$169,58,MATCH(B358,November!$D$3:$AH$3)+1)+INDEX(November!$C$3:$AH$169,63,MATCH(B358,November!$D$3:$AH$3)+1)+INDEX(November!$C$3:$AH$169,68,MATCH(B358,November!$D$3:$AH$3)+1)+INDEX(November!$C$3:$AH$169,73,MATCH(B358,November!$D$3:$AH$3)+1)+INDEX(November!$C$3:$AH$169,78,MATCH(B358,November!$D$3:$AH$3)+1)+INDEX(November!$C$3:$AH$169,83,MATCH(B358,November!$D$3:$AH$3)+1)+INDEX(November!$C$3:$AH$169,88,MATCH(B358,November!$D$3:$AH$3)+1)+INDEX(November!$C$3:$AH$169,93,MATCH(B358,November!$D$3:$AH$3)+1)+INDEX(November!$C$3:$AH$169,98,MATCH(B358,November!$D$3:$AH$3)+1)+INDEX(November!$C$3:$AH$169,103,MATCH(B358,November!$D$3:$AH$3)+1)+INDEX(November!$C$3:$AH$169,108,MATCH(B358,November!$D$3:$AH$3)+1)+INDEX(November!$C$3:$AH$169,113,MATCH(B358,November!$D$3:$AH$3)+1)+INDEX(November!$C$3:$AH$169,118,MATCH(B358,November!$D$3:$AH$3)+1)+INDEX(November!$C$3:$AH$169,123,MATCH(B358,November!$D$3:$AH$3)+1)+INDEX(November!$C$3:$AH$169,128,MATCH(B358,November!$D$3:$AH$3)+1)+INDEX(November!$C$3:$AH$169,133,MATCH(B358,November!$D$3:$AH$3)+1)+INDEX(November!$C$3:$AH$169,138,MATCH(B358,November!$D$3:$AH$3)+1)+INDEX(November!$C$3:$AH$169,143,MATCH(B358,November!$D$3:$AH$3)+1)+INDEX(November!$C$3:$AH$169,148,MATCH(B358,November!$D$3:$AH$3)+1)-INDEX(November!$B$5:$AH$169,MATCH("Patrick Janssen",November!$B$5:$B$169),MATCH(B358,November!$D$3:$AH$3)+2)-INDEX(November!$B$5:$AH$169,MATCH("Patrick Ziesen",November!$B$5:$B$169),MATCH(B358,November!$D$3:$AH$3)+2)-INDEX(November!$B$5:$AH$169,MATCH("Frido Meijer",November!$B$5:$B$169),MATCH(B358,November!$D$3:$AH$3)+2)</f>
        <v>0</v>
      </c>
      <c r="H358" s="130">
        <f>INDEX(November!$C$3:$AH$169,4,MATCH(B358,November!$D$3:$AH$3)+1)+INDEX(November!$C$3:$AH$169,9,MATCH(B358,November!$D$3:$AH$3)+1)+INDEX(November!$C$3:$AH$169,14,MATCH(B358,November!$D$3:$AH$3)+1)+INDEX(November!$C$3:$AH$169,19,MATCH(B358,November!$D$3:$AH$3)+1)+INDEX(November!$C$3:$AH$169,24,MATCH(B358,November!$D$3:$AH$3)+1)+INDEX(November!$C$3:$AH$169,29,MATCH(B358,November!$D$3:$AH$3)+1)+INDEX(November!$C$3:$AH$169,34,MATCH(B358,November!$D$3:$AH$3)+1)+INDEX(November!$C$3:$AH$169,39,MATCH(B358,November!$D$3:$AH$3)+1)+INDEX(November!$C$3:$AH$169,44,MATCH(B358,November!$D$3:$AH$3)+1)+INDEX(November!$C$3:$AH$169,49,MATCH(B358,November!$D$3:$AH$3)+1)+INDEX(November!$C$3:$AH$169,54,MATCH(B358,November!$D$3:$AH$3)+1)+INDEX(November!$C$3:$AH$169,59,MATCH(B358,November!$D$3:$AH$3)+1)+INDEX(November!$C$3:$AH$169,64,MATCH(B358,November!$D$3:$AH$3)+1)+INDEX(November!$C$3:$AH$169,69,MATCH(B358,November!$D$3:$AH$3)+1)+INDEX(November!$C$3:$AH$169,74,MATCH(B358,November!$D$3:$AH$3)+1)+INDEX(November!$C$3:$AH$169,79,MATCH(B358,November!$D$3:$AH$3)+1)+INDEX(November!$C$3:$AH$169,84,MATCH(B358,November!$D$3:$AH$3)+1)+INDEX(November!$C$3:$AH$169,89,MATCH(B358,November!$D$3:$AH$3)+1)+INDEX(November!$C$3:$AH$169,94,MATCH(B358,November!$D$3:$AH$3)+1)+INDEX(November!$C$3:$AH$169,99,MATCH(B358,November!$D$3:$AH$3)+1)+INDEX(November!$C$3:$AH$169,104,MATCH(B358,November!$D$3:$AH$3)+1)+INDEX(November!$C$3:$AH$169,109,MATCH(B358,November!$D$3:$AH$3)+1)+INDEX(November!$C$3:$AH$169,114,MATCH(B358,November!$D$3:$AH$3)+1)+INDEX(November!$C$3:$AH$169,119,MATCH(B358,November!$D$3:$AH$3)+1)+INDEX(November!$C$3:$AH$169,124,MATCH(B358,November!$D$3:$AH$3)+1)+INDEX(November!$C$3:$AH$169,129,MATCH(B358,November!$D$3:$AH$3)+1)+INDEX(November!$C$3:$AH$169,134,MATCH(B358,November!$D$3:$AH$3)+1)+INDEX(November!$C$3:$AH$169,139,MATCH(B358,November!$D$3:$AH$3)+1)+INDEX(November!$C$3:$AH$169,144,MATCH(B358,November!$D$3:$AH$3)+1)+INDEX(November!$C$3:$AH$169,149,MATCH(B358,November!$D$3:$AH$3)+1)-INDEX(November!$B$5:$AH$169,MATCH("Patrick Janssen",November!$B$5:$B$169)+1,MATCH(B358,November!$D$3:$AH$3)+2)-INDEX(November!$B$5:$AH$169,MATCH("Patrick Ziesen",November!$B$5:$B$169)+1,MATCH(B358,November!$D$3:$AH$3)+2)-INDEX(November!$B$5:$AH$169,MATCH("Frido Meijer",November!$B$5:$B$169)+1,MATCH(B358,November!$D$3:$AH$3)+2)</f>
        <v>0</v>
      </c>
      <c r="I358" s="130">
        <v>0</v>
      </c>
      <c r="J358" s="130">
        <v>0</v>
      </c>
      <c r="L358" s="165"/>
      <c r="M358" s="111"/>
      <c r="N358" s="111">
        <f t="shared" si="104"/>
        <v>0</v>
      </c>
      <c r="P358" s="112">
        <f t="shared" si="105"/>
        <v>0</v>
      </c>
      <c r="Q358" s="112">
        <f t="shared" si="106"/>
        <v>0</v>
      </c>
    </row>
    <row r="359" spans="2:17" ht="15.75" thickBot="1" x14ac:dyDescent="0.3">
      <c r="B359" s="110">
        <f>DATE(Title!$F$12,$S$15,S34)</f>
        <v>41608</v>
      </c>
      <c r="C359" s="111">
        <f>IF(WEEKDAY(B359)=1,0,IF(WEEKDAY(B359)=4,'Hours Scheduled'!$N$44-1,IF(WEEKDAY(B359)=7,0,'Hours Scheduled'!$N$44)))</f>
        <v>0</v>
      </c>
      <c r="D359" s="17">
        <f t="shared" si="107"/>
        <v>0</v>
      </c>
      <c r="E359" s="127">
        <f t="shared" si="108"/>
        <v>0</v>
      </c>
      <c r="F359" s="113"/>
      <c r="G359" s="132">
        <f>INDEX(November!$C$3:$AH$169,3,MATCH(B359,November!$D$3:$AH$3)+1)+INDEX(November!$C$3:$AH$169,8,MATCH(B359,November!$D$3:$AH$3)+1)+INDEX(November!$C$3:$AH$169,13,MATCH(B359,November!$D$3:$AH$3)+1)+INDEX(November!$C$3:$AH$169,18,MATCH(B359,November!$D$3:$AH$3)+1)+INDEX(November!$C$3:$AH$169,23,MATCH(B359,November!$D$3:$AH$3)+1)+INDEX(November!$C$3:$AH$169,28,MATCH(B359,November!$D$3:$AH$3)+1)+INDEX(November!$C$3:$AH$169,33,MATCH(B359,November!$D$3:$AH$3)+1)+INDEX(November!$C$3:$AH$169,38,MATCH(B359,November!$D$3:$AH$3)+1)+INDEX(November!$C$3:$AH$169,43,MATCH(B359,November!$D$3:$AH$3)+1)+INDEX(November!$C$3:$AH$169,48,MATCH(B359,November!$D$3:$AH$3)+1)+INDEX(November!$C$3:$AH$169,53,MATCH(B359,November!$D$3:$AH$3)+1)+INDEX(November!$C$3:$AH$169,58,MATCH(B359,November!$D$3:$AH$3)+1)+INDEX(November!$C$3:$AH$169,63,MATCH(B359,November!$D$3:$AH$3)+1)+INDEX(November!$C$3:$AH$169,68,MATCH(B359,November!$D$3:$AH$3)+1)+INDEX(November!$C$3:$AH$169,73,MATCH(B359,November!$D$3:$AH$3)+1)+INDEX(November!$C$3:$AH$169,78,MATCH(B359,November!$D$3:$AH$3)+1)+INDEX(November!$C$3:$AH$169,83,MATCH(B359,November!$D$3:$AH$3)+1)+INDEX(November!$C$3:$AH$169,88,MATCH(B359,November!$D$3:$AH$3)+1)+INDEX(November!$C$3:$AH$169,93,MATCH(B359,November!$D$3:$AH$3)+1)+INDEX(November!$C$3:$AH$169,98,MATCH(B359,November!$D$3:$AH$3)+1)+INDEX(November!$C$3:$AH$169,103,MATCH(B359,November!$D$3:$AH$3)+1)+INDEX(November!$C$3:$AH$169,108,MATCH(B359,November!$D$3:$AH$3)+1)+INDEX(November!$C$3:$AH$169,113,MATCH(B359,November!$D$3:$AH$3)+1)+INDEX(November!$C$3:$AH$169,118,MATCH(B359,November!$D$3:$AH$3)+1)+INDEX(November!$C$3:$AH$169,123,MATCH(B359,November!$D$3:$AH$3)+1)+INDEX(November!$C$3:$AH$169,128,MATCH(B359,November!$D$3:$AH$3)+1)+INDEX(November!$C$3:$AH$169,133,MATCH(B359,November!$D$3:$AH$3)+1)+INDEX(November!$C$3:$AH$169,138,MATCH(B359,November!$D$3:$AH$3)+1)+INDEX(November!$C$3:$AH$169,143,MATCH(B359,November!$D$3:$AH$3)+1)+INDEX(November!$C$3:$AH$169,148,MATCH(B359,November!$D$3:$AH$3)+1)-INDEX(November!$B$5:$AH$169,MATCH("Patrick Janssen",November!$B$5:$B$169),MATCH(B359,November!$D$3:$AH$3)+2)-INDEX(November!$B$5:$AH$169,MATCH("Patrick Ziesen",November!$B$5:$B$169),MATCH(B359,November!$D$3:$AH$3)+2)-INDEX(November!$B$5:$AH$169,MATCH("Frido Meijer",November!$B$5:$B$169),MATCH(B359,November!$D$3:$AH$3)+2)</f>
        <v>0</v>
      </c>
      <c r="H359" s="132">
        <f>INDEX(November!$C$3:$AH$169,4,MATCH(B359,November!$D$3:$AH$3)+1)+INDEX(November!$C$3:$AH$169,9,MATCH(B359,November!$D$3:$AH$3)+1)+INDEX(November!$C$3:$AH$169,14,MATCH(B359,November!$D$3:$AH$3)+1)+INDEX(November!$C$3:$AH$169,19,MATCH(B359,November!$D$3:$AH$3)+1)+INDEX(November!$C$3:$AH$169,24,MATCH(B359,November!$D$3:$AH$3)+1)+INDEX(November!$C$3:$AH$169,29,MATCH(B359,November!$D$3:$AH$3)+1)+INDEX(November!$C$3:$AH$169,34,MATCH(B359,November!$D$3:$AH$3)+1)+INDEX(November!$C$3:$AH$169,39,MATCH(B359,November!$D$3:$AH$3)+1)+INDEX(November!$C$3:$AH$169,44,MATCH(B359,November!$D$3:$AH$3)+1)+INDEX(November!$C$3:$AH$169,49,MATCH(B359,November!$D$3:$AH$3)+1)+INDEX(November!$C$3:$AH$169,54,MATCH(B359,November!$D$3:$AH$3)+1)+INDEX(November!$C$3:$AH$169,59,MATCH(B359,November!$D$3:$AH$3)+1)+INDEX(November!$C$3:$AH$169,64,MATCH(B359,November!$D$3:$AH$3)+1)+INDEX(November!$C$3:$AH$169,69,MATCH(B359,November!$D$3:$AH$3)+1)+INDEX(November!$C$3:$AH$169,74,MATCH(B359,November!$D$3:$AH$3)+1)+INDEX(November!$C$3:$AH$169,79,MATCH(B359,November!$D$3:$AH$3)+1)+INDEX(November!$C$3:$AH$169,84,MATCH(B359,November!$D$3:$AH$3)+1)+INDEX(November!$C$3:$AH$169,89,MATCH(B359,November!$D$3:$AH$3)+1)+INDEX(November!$C$3:$AH$169,94,MATCH(B359,November!$D$3:$AH$3)+1)+INDEX(November!$C$3:$AH$169,99,MATCH(B359,November!$D$3:$AH$3)+1)+INDEX(November!$C$3:$AH$169,104,MATCH(B359,November!$D$3:$AH$3)+1)+INDEX(November!$C$3:$AH$169,109,MATCH(B359,November!$D$3:$AH$3)+1)+INDEX(November!$C$3:$AH$169,114,MATCH(B359,November!$D$3:$AH$3)+1)+INDEX(November!$C$3:$AH$169,119,MATCH(B359,November!$D$3:$AH$3)+1)+INDEX(November!$C$3:$AH$169,124,MATCH(B359,November!$D$3:$AH$3)+1)+INDEX(November!$C$3:$AH$169,129,MATCH(B359,November!$D$3:$AH$3)+1)+INDEX(November!$C$3:$AH$169,134,MATCH(B359,November!$D$3:$AH$3)+1)+INDEX(November!$C$3:$AH$169,139,MATCH(B359,November!$D$3:$AH$3)+1)+INDEX(November!$C$3:$AH$169,144,MATCH(B359,November!$D$3:$AH$3)+1)+INDEX(November!$C$3:$AH$169,149,MATCH(B359,November!$D$3:$AH$3)+1)-INDEX(November!$B$5:$AH$169,MATCH("Patrick Janssen",November!$B$5:$B$169)+1,MATCH(B359,November!$D$3:$AH$3)+2)-INDEX(November!$B$5:$AH$169,MATCH("Patrick Ziesen",November!$B$5:$B$169)+1,MATCH(B359,November!$D$3:$AH$3)+2)-INDEX(November!$B$5:$AH$169,MATCH("Frido Meijer",November!$B$5:$B$169)+1,MATCH(B359,November!$D$3:$AH$3)+2)</f>
        <v>0</v>
      </c>
      <c r="I359" s="130">
        <v>0</v>
      </c>
      <c r="J359" s="130">
        <v>0</v>
      </c>
      <c r="L359" s="165"/>
      <c r="M359" s="111"/>
      <c r="N359" s="111">
        <f t="shared" si="104"/>
        <v>0</v>
      </c>
      <c r="P359" s="112" t="str">
        <f t="shared" si="105"/>
        <v/>
      </c>
      <c r="Q359" s="112" t="str">
        <f t="shared" si="106"/>
        <v/>
      </c>
    </row>
    <row r="360" spans="2:17" ht="15.75" x14ac:dyDescent="0.25">
      <c r="B360" s="146" t="s">
        <v>7</v>
      </c>
      <c r="C360" s="114">
        <f>SUM(C330:C359)</f>
        <v>437</v>
      </c>
      <c r="D360" s="107">
        <f t="shared" si="107"/>
        <v>3277.5</v>
      </c>
      <c r="E360" s="140">
        <f t="shared" si="108"/>
        <v>3496</v>
      </c>
      <c r="F360" s="114">
        <f>SUM(F330:F359)</f>
        <v>0</v>
      </c>
      <c r="G360" s="133">
        <f t="shared" ref="G360:J360" si="109">SUM(G330:G359)</f>
        <v>0</v>
      </c>
      <c r="H360" s="133">
        <f t="shared" si="109"/>
        <v>0</v>
      </c>
      <c r="I360" s="133">
        <f t="shared" si="109"/>
        <v>0</v>
      </c>
      <c r="J360" s="133">
        <f t="shared" si="109"/>
        <v>0</v>
      </c>
      <c r="K360" s="115"/>
      <c r="L360" s="114">
        <f>SUM(L330:L359)</f>
        <v>0</v>
      </c>
      <c r="M360" s="114">
        <f t="shared" ref="M360:N360" si="110">SUM(M330:M359)</f>
        <v>0</v>
      </c>
      <c r="N360" s="114">
        <f t="shared" si="110"/>
        <v>0</v>
      </c>
      <c r="O360" s="115"/>
      <c r="P360" s="116">
        <f t="shared" si="105"/>
        <v>0</v>
      </c>
      <c r="Q360" s="116">
        <f t="shared" si="106"/>
        <v>0</v>
      </c>
    </row>
    <row r="361" spans="2:17" x14ac:dyDescent="0.25">
      <c r="B361"/>
      <c r="E361" s="127"/>
    </row>
    <row r="362" spans="2:17" x14ac:dyDescent="0.25">
      <c r="B362" s="110">
        <f>DATE(Title!$F$12,$S$16,S5)</f>
        <v>41609</v>
      </c>
      <c r="C362" s="111">
        <f>IF(WEEKDAY(B362)=1,0,IF(WEEKDAY(B362)=4,'Hours Scheduled'!$O$44-1,IF(WEEKDAY(B362)=7,0,'Hours Scheduled'!$O$44)))</f>
        <v>0</v>
      </c>
      <c r="D362" s="17">
        <f>C362*7.5</f>
        <v>0</v>
      </c>
      <c r="E362" s="127">
        <f>C362*8-G362-H362</f>
        <v>0</v>
      </c>
      <c r="F362" s="111"/>
      <c r="G362" s="130">
        <f>INDEX(December!$C$3:$AH$169,3,MATCH(B362,December!$D$3:$AH$3)+1)+INDEX(December!$C$3:$AH$169,8,MATCH(B362,December!$D$3:$AH$3)+1)+INDEX(December!$C$3:$AH$169,13,MATCH(B362,December!$D$3:$AH$3)+1)+INDEX(December!$C$3:$AH$169,18,MATCH(B362,December!$D$3:$AH$3)+1)+INDEX(December!$C$3:$AH$169,23,MATCH(B362,December!$D$3:$AH$3)+1)+INDEX(December!$C$3:$AH$169,28,MATCH(B362,December!$D$3:$AH$3)+1)+INDEX(December!$C$3:$AH$169,33,MATCH(B362,December!$D$3:$AH$3)+1)+INDEX(December!$C$3:$AH$169,38,MATCH(B362,December!$D$3:$AH$3)+1)+INDEX(December!$C$3:$AH$169,43,MATCH(B362,December!$D$3:$AH$3)+1)+INDEX(December!$C$3:$AH$169,48,MATCH(B362,December!$D$3:$AH$3)+1)+INDEX(December!$C$3:$AH$169,53,MATCH(B362,December!$D$3:$AH$3)+1)+INDEX(December!$C$3:$AH$169,58,MATCH(B362,December!$D$3:$AH$3)+1)+INDEX(December!$C$3:$AH$169,63,MATCH(B362,December!$D$3:$AH$3)+1)+INDEX(December!$C$3:$AH$169,68,MATCH(B362,December!$D$3:$AH$3)+1)+INDEX(December!$C$3:$AH$169,73,MATCH(B362,December!$D$3:$AH$3)+1)+INDEX(December!$C$3:$AH$169,78,MATCH(B362,December!$D$3:$AH$3)+1)+INDEX(December!$C$3:$AH$169,83,MATCH(B362,December!$D$3:$AH$3)+1)+INDEX(December!$C$3:$AH$169,88,MATCH(B362,December!$D$3:$AH$3)+1)+INDEX(December!$C$3:$AH$169,93,MATCH(B362,December!$D$3:$AH$3)+1)+INDEX(December!$C$3:$AH$169,98,MATCH(B362,December!$D$3:$AH$3)+1)+INDEX(December!$C$3:$AH$169,103,MATCH(B362,December!$D$3:$AH$3)+1)+INDEX(December!$C$3:$AH$169,108,MATCH(B362,December!$D$3:$AH$3)+1)+INDEX(December!$C$3:$AH$169,113,MATCH(B362,December!$D$3:$AH$3)+1)+INDEX(December!$C$3:$AH$169,118,MATCH(B362,December!$D$3:$AH$3)+1)+INDEX(December!$C$3:$AH$169,123,MATCH(B362,December!$D$3:$AH$3)+1)+INDEX(December!$C$3:$AH$169,128,MATCH(B362,December!$D$3:$AH$3)+1)+INDEX(December!$C$3:$AH$169,133,MATCH(B362,December!$D$3:$AH$3)+1)+INDEX(December!$C$3:$AH$169,138,MATCH(B362,December!$D$3:$AH$3)+1)+INDEX(December!$C$3:$AH$169,143,MATCH(B362,December!$D$3:$AH$3)+1)+INDEX(December!$C$3:$AH$169,148,MATCH(B362,December!$D$3:$AH$3)+1)-INDEX(December!$B$5:$AH$169,MATCH("Patrick Janssen",December!$B$5:$B$169),MATCH(B362,December!$D$3:$AH$3)+2)-INDEX(December!$B$5:$AH$169,MATCH("Patrick Ziesen",December!$B$5:$B$169),MATCH(B362,December!$D$3:$AH$3)+2)-INDEX(December!$B$5:$AH$169,MATCH("Frido Meijer",December!$B$5:$B$169),MATCH(B362,December!$D$3:$AH$3)+2)</f>
        <v>0</v>
      </c>
      <c r="H362" s="130">
        <f>INDEX(December!$C$3:$AH$169,4,MATCH(B362,December!$D$3:$AH$3)+1)+INDEX(December!$C$3:$AH$169,9,MATCH(B362,December!$D$3:$AH$3)+1)+INDEX(December!$C$3:$AH$169,14,MATCH(B362,December!$D$3:$AH$3)+1)+INDEX(December!$C$3:$AH$169,19,MATCH(B362,December!$D$3:$AH$3)+1)+INDEX(December!$C$3:$AH$169,24,MATCH(B362,December!$D$3:$AH$3)+1)+INDEX(December!$C$3:$AH$169,29,MATCH(B362,December!$D$3:$AH$3)+1)+INDEX(December!$C$3:$AH$169,34,MATCH(B362,December!$D$3:$AH$3)+1)+INDEX(December!$C$3:$AH$169,39,MATCH(B362,December!$D$3:$AH$3)+1)+INDEX(December!$C$3:$AH$169,44,MATCH(B362,December!$D$3:$AH$3)+1)+INDEX(December!$C$3:$AH$169,49,MATCH(B362,December!$D$3:$AH$3)+1)+INDEX(December!$C$3:$AH$169,54,MATCH(B362,December!$D$3:$AH$3)+1)+INDEX(December!$C$3:$AH$169,59,MATCH(B362,December!$D$3:$AH$3)+1)+INDEX(December!$C$3:$AH$169,64,MATCH(B362,December!$D$3:$AH$3)+1)+INDEX(December!$C$3:$AH$169,69,MATCH(B362,December!$D$3:$AH$3)+1)+INDEX(December!$C$3:$AH$169,74,MATCH(B362,December!$D$3:$AH$3)+1)+INDEX(December!$C$3:$AH$169,79,MATCH(B362,December!$D$3:$AH$3)+1)+INDEX(December!$C$3:$AH$169,84,MATCH(B362,December!$D$3:$AH$3)+1)+INDEX(December!$C$3:$AH$169,89,MATCH(B362,December!$D$3:$AH$3)+1)+INDEX(December!$C$3:$AH$169,94,MATCH(B362,December!$D$3:$AH$3)+1)+INDEX(December!$C$3:$AH$169,99,MATCH(B362,December!$D$3:$AH$3)+1)+INDEX(December!$C$3:$AH$169,104,MATCH(B362,December!$D$3:$AH$3)+1)+INDEX(December!$C$3:$AH$169,109,MATCH(B362,December!$D$3:$AH$3)+1)+INDEX(December!$C$3:$AH$169,114,MATCH(B362,December!$D$3:$AH$3)+1)+INDEX(December!$C$3:$AH$169,119,MATCH(B362,December!$D$3:$AH$3)+1)+INDEX(December!$C$3:$AH$169,124,MATCH(B362,December!$D$3:$AH$3)+1)+INDEX(December!$C$3:$AH$169,129,MATCH(B362,December!$D$3:$AH$3)+1)+INDEX(December!$C$3:$AH$169,134,MATCH(B362,December!$D$3:$AH$3)+1)+INDEX(December!$C$3:$AH$169,139,MATCH(B362,December!$D$3:$AH$3)+1)+INDEX(December!$C$3:$AH$169,144,MATCH(B362,December!$D$3:$AH$3)+1)+INDEX(December!$C$3:$AH$169,149,MATCH(B362,December!$D$3:$AH$3)+1)-INDEX(December!$B$5:$AH$169,MATCH("Patrick Janssen",December!$B$5:$B$169)+1,MATCH(B362,December!$D$3:$AH$3)+2)-INDEX(December!$B$5:$AH$169,MATCH("Patrick Ziesen",December!$B$5:$B$169)+1,MATCH(B362,December!$D$3:$AH$3)+2)-INDEX(December!$B$5:$AH$169,MATCH("Frido Meijer",December!$B$5:$B$169)+1,MATCH(B362,December!$D$3:$AH$3)+2)</f>
        <v>0</v>
      </c>
      <c r="I362" s="130">
        <v>0</v>
      </c>
      <c r="J362" s="130">
        <v>0</v>
      </c>
      <c r="L362" s="111"/>
      <c r="M362" s="111"/>
      <c r="N362" s="111">
        <f t="shared" ref="N362:N392" si="111">IF(L362="",0,6*7.5)</f>
        <v>0</v>
      </c>
      <c r="P362" s="112" t="str">
        <f t="shared" ref="P362:P392" si="112">IFERROR((L362+(M362/60)+N362)/(D362-F362-G362-H362-I362-J362),"")</f>
        <v/>
      </c>
      <c r="Q362" s="112" t="str">
        <f t="shared" ref="Q362:Q392" si="113">IFERROR((L362+(M362/60)+N362)/(D362-(G362+H362)),"")</f>
        <v/>
      </c>
    </row>
    <row r="363" spans="2:17" x14ac:dyDescent="0.25">
      <c r="B363" s="110">
        <f>DATE(Title!$F$12,$S$16,S6)</f>
        <v>41610</v>
      </c>
      <c r="C363" s="111">
        <f>IF(WEEKDAY(B363)=1,0,IF(WEEKDAY(B363)=4,'Hours Scheduled'!$O$44-1,IF(WEEKDAY(B363)=7,0,'Hours Scheduled'!$O$44)))</f>
        <v>21</v>
      </c>
      <c r="D363" s="17">
        <f t="shared" ref="D363:D393" si="114">C363*7.5</f>
        <v>157.5</v>
      </c>
      <c r="E363" s="127">
        <f t="shared" ref="E363:E393" si="115">C363*8-G363-H363</f>
        <v>168</v>
      </c>
      <c r="F363" s="111"/>
      <c r="G363" s="130">
        <f>INDEX(December!$C$3:$AH$169,3,MATCH(B363,December!$D$3:$AH$3)+1)+INDEX(December!$C$3:$AH$169,8,MATCH(B363,December!$D$3:$AH$3)+1)+INDEX(December!$C$3:$AH$169,13,MATCH(B363,December!$D$3:$AH$3)+1)+INDEX(December!$C$3:$AH$169,18,MATCH(B363,December!$D$3:$AH$3)+1)+INDEX(December!$C$3:$AH$169,23,MATCH(B363,December!$D$3:$AH$3)+1)+INDEX(December!$C$3:$AH$169,28,MATCH(B363,December!$D$3:$AH$3)+1)+INDEX(December!$C$3:$AH$169,33,MATCH(B363,December!$D$3:$AH$3)+1)+INDEX(December!$C$3:$AH$169,38,MATCH(B363,December!$D$3:$AH$3)+1)+INDEX(December!$C$3:$AH$169,43,MATCH(B363,December!$D$3:$AH$3)+1)+INDEX(December!$C$3:$AH$169,48,MATCH(B363,December!$D$3:$AH$3)+1)+INDEX(December!$C$3:$AH$169,53,MATCH(B363,December!$D$3:$AH$3)+1)+INDEX(December!$C$3:$AH$169,58,MATCH(B363,December!$D$3:$AH$3)+1)+INDEX(December!$C$3:$AH$169,63,MATCH(B363,December!$D$3:$AH$3)+1)+INDEX(December!$C$3:$AH$169,68,MATCH(B363,December!$D$3:$AH$3)+1)+INDEX(December!$C$3:$AH$169,73,MATCH(B363,December!$D$3:$AH$3)+1)+INDEX(December!$C$3:$AH$169,78,MATCH(B363,December!$D$3:$AH$3)+1)+INDEX(December!$C$3:$AH$169,83,MATCH(B363,December!$D$3:$AH$3)+1)+INDEX(December!$C$3:$AH$169,88,MATCH(B363,December!$D$3:$AH$3)+1)+INDEX(December!$C$3:$AH$169,93,MATCH(B363,December!$D$3:$AH$3)+1)+INDEX(December!$C$3:$AH$169,98,MATCH(B363,December!$D$3:$AH$3)+1)+INDEX(December!$C$3:$AH$169,103,MATCH(B363,December!$D$3:$AH$3)+1)+INDEX(December!$C$3:$AH$169,108,MATCH(B363,December!$D$3:$AH$3)+1)+INDEX(December!$C$3:$AH$169,113,MATCH(B363,December!$D$3:$AH$3)+1)+INDEX(December!$C$3:$AH$169,118,MATCH(B363,December!$D$3:$AH$3)+1)+INDEX(December!$C$3:$AH$169,123,MATCH(B363,December!$D$3:$AH$3)+1)+INDEX(December!$C$3:$AH$169,128,MATCH(B363,December!$D$3:$AH$3)+1)+INDEX(December!$C$3:$AH$169,133,MATCH(B363,December!$D$3:$AH$3)+1)+INDEX(December!$C$3:$AH$169,138,MATCH(B363,December!$D$3:$AH$3)+1)+INDEX(December!$C$3:$AH$169,143,MATCH(B363,December!$D$3:$AH$3)+1)+INDEX(December!$C$3:$AH$169,148,MATCH(B363,December!$D$3:$AH$3)+1)-INDEX(December!$B$5:$AH$169,MATCH("Patrick Janssen",December!$B$5:$B$169),MATCH(B363,December!$D$3:$AH$3)+2)-INDEX(December!$B$5:$AH$169,MATCH("Patrick Ziesen",December!$B$5:$B$169),MATCH(B363,December!$D$3:$AH$3)+2)-INDEX(December!$B$5:$AH$169,MATCH("Frido Meijer",December!$B$5:$B$169),MATCH(B363,December!$D$3:$AH$3)+2)</f>
        <v>0</v>
      </c>
      <c r="H363" s="130">
        <f>INDEX(December!$C$3:$AH$169,4,MATCH(B363,December!$D$3:$AH$3)+1)+INDEX(December!$C$3:$AH$169,9,MATCH(B363,December!$D$3:$AH$3)+1)+INDEX(December!$C$3:$AH$169,14,MATCH(B363,December!$D$3:$AH$3)+1)+INDEX(December!$C$3:$AH$169,19,MATCH(B363,December!$D$3:$AH$3)+1)+INDEX(December!$C$3:$AH$169,24,MATCH(B363,December!$D$3:$AH$3)+1)+INDEX(December!$C$3:$AH$169,29,MATCH(B363,December!$D$3:$AH$3)+1)+INDEX(December!$C$3:$AH$169,34,MATCH(B363,December!$D$3:$AH$3)+1)+INDEX(December!$C$3:$AH$169,39,MATCH(B363,December!$D$3:$AH$3)+1)+INDEX(December!$C$3:$AH$169,44,MATCH(B363,December!$D$3:$AH$3)+1)+INDEX(December!$C$3:$AH$169,49,MATCH(B363,December!$D$3:$AH$3)+1)+INDEX(December!$C$3:$AH$169,54,MATCH(B363,December!$D$3:$AH$3)+1)+INDEX(December!$C$3:$AH$169,59,MATCH(B363,December!$D$3:$AH$3)+1)+INDEX(December!$C$3:$AH$169,64,MATCH(B363,December!$D$3:$AH$3)+1)+INDEX(December!$C$3:$AH$169,69,MATCH(B363,December!$D$3:$AH$3)+1)+INDEX(December!$C$3:$AH$169,74,MATCH(B363,December!$D$3:$AH$3)+1)+INDEX(December!$C$3:$AH$169,79,MATCH(B363,December!$D$3:$AH$3)+1)+INDEX(December!$C$3:$AH$169,84,MATCH(B363,December!$D$3:$AH$3)+1)+INDEX(December!$C$3:$AH$169,89,MATCH(B363,December!$D$3:$AH$3)+1)+INDEX(December!$C$3:$AH$169,94,MATCH(B363,December!$D$3:$AH$3)+1)+INDEX(December!$C$3:$AH$169,99,MATCH(B363,December!$D$3:$AH$3)+1)+INDEX(December!$C$3:$AH$169,104,MATCH(B363,December!$D$3:$AH$3)+1)+INDEX(December!$C$3:$AH$169,109,MATCH(B363,December!$D$3:$AH$3)+1)+INDEX(December!$C$3:$AH$169,114,MATCH(B363,December!$D$3:$AH$3)+1)+INDEX(December!$C$3:$AH$169,119,MATCH(B363,December!$D$3:$AH$3)+1)+INDEX(December!$C$3:$AH$169,124,MATCH(B363,December!$D$3:$AH$3)+1)+INDEX(December!$C$3:$AH$169,129,MATCH(B363,December!$D$3:$AH$3)+1)+INDEX(December!$C$3:$AH$169,134,MATCH(B363,December!$D$3:$AH$3)+1)+INDEX(December!$C$3:$AH$169,139,MATCH(B363,December!$D$3:$AH$3)+1)+INDEX(December!$C$3:$AH$169,144,MATCH(B363,December!$D$3:$AH$3)+1)+INDEX(December!$C$3:$AH$169,149,MATCH(B363,December!$D$3:$AH$3)+1)-INDEX(December!$B$5:$AH$169,MATCH("Patrick Janssen",December!$B$5:$B$169)+1,MATCH(B363,December!$D$3:$AH$3)+2)-INDEX(December!$B$5:$AH$169,MATCH("Patrick Ziesen",December!$B$5:$B$169)+1,MATCH(B363,December!$D$3:$AH$3)+2)-INDEX(December!$B$5:$AH$169,MATCH("Frido Meijer",December!$B$5:$B$169)+1,MATCH(B363,December!$D$3:$AH$3)+2)</f>
        <v>0</v>
      </c>
      <c r="I363" s="130">
        <v>0</v>
      </c>
      <c r="J363" s="130">
        <v>0</v>
      </c>
      <c r="L363" s="111"/>
      <c r="M363" s="111"/>
      <c r="N363" s="111">
        <f t="shared" si="111"/>
        <v>0</v>
      </c>
      <c r="P363" s="112">
        <f t="shared" si="112"/>
        <v>0</v>
      </c>
      <c r="Q363" s="112">
        <f t="shared" si="113"/>
        <v>0</v>
      </c>
    </row>
    <row r="364" spans="2:17" x14ac:dyDescent="0.25">
      <c r="B364" s="110">
        <f>DATE(Title!$F$12,$S$16,S7)</f>
        <v>41611</v>
      </c>
      <c r="C364" s="111">
        <f>IF(WEEKDAY(B364)=1,0,IF(WEEKDAY(B364)=4,'Hours Scheduled'!$O$44-1,IF(WEEKDAY(B364)=7,0,'Hours Scheduled'!$O$44)))</f>
        <v>21</v>
      </c>
      <c r="D364" s="17">
        <f t="shared" si="114"/>
        <v>157.5</v>
      </c>
      <c r="E364" s="127">
        <f t="shared" si="115"/>
        <v>168</v>
      </c>
      <c r="F364" s="111"/>
      <c r="G364" s="130">
        <f>INDEX(December!$C$3:$AH$169,3,MATCH(B364,December!$D$3:$AH$3)+1)+INDEX(December!$C$3:$AH$169,8,MATCH(B364,December!$D$3:$AH$3)+1)+INDEX(December!$C$3:$AH$169,13,MATCH(B364,December!$D$3:$AH$3)+1)+INDEX(December!$C$3:$AH$169,18,MATCH(B364,December!$D$3:$AH$3)+1)+INDEX(December!$C$3:$AH$169,23,MATCH(B364,December!$D$3:$AH$3)+1)+INDEX(December!$C$3:$AH$169,28,MATCH(B364,December!$D$3:$AH$3)+1)+INDEX(December!$C$3:$AH$169,33,MATCH(B364,December!$D$3:$AH$3)+1)+INDEX(December!$C$3:$AH$169,38,MATCH(B364,December!$D$3:$AH$3)+1)+INDEX(December!$C$3:$AH$169,43,MATCH(B364,December!$D$3:$AH$3)+1)+INDEX(December!$C$3:$AH$169,48,MATCH(B364,December!$D$3:$AH$3)+1)+INDEX(December!$C$3:$AH$169,53,MATCH(B364,December!$D$3:$AH$3)+1)+INDEX(December!$C$3:$AH$169,58,MATCH(B364,December!$D$3:$AH$3)+1)+INDEX(December!$C$3:$AH$169,63,MATCH(B364,December!$D$3:$AH$3)+1)+INDEX(December!$C$3:$AH$169,68,MATCH(B364,December!$D$3:$AH$3)+1)+INDEX(December!$C$3:$AH$169,73,MATCH(B364,December!$D$3:$AH$3)+1)+INDEX(December!$C$3:$AH$169,78,MATCH(B364,December!$D$3:$AH$3)+1)+INDEX(December!$C$3:$AH$169,83,MATCH(B364,December!$D$3:$AH$3)+1)+INDEX(December!$C$3:$AH$169,88,MATCH(B364,December!$D$3:$AH$3)+1)+INDEX(December!$C$3:$AH$169,93,MATCH(B364,December!$D$3:$AH$3)+1)+INDEX(December!$C$3:$AH$169,98,MATCH(B364,December!$D$3:$AH$3)+1)+INDEX(December!$C$3:$AH$169,103,MATCH(B364,December!$D$3:$AH$3)+1)+INDEX(December!$C$3:$AH$169,108,MATCH(B364,December!$D$3:$AH$3)+1)+INDEX(December!$C$3:$AH$169,113,MATCH(B364,December!$D$3:$AH$3)+1)+INDEX(December!$C$3:$AH$169,118,MATCH(B364,December!$D$3:$AH$3)+1)+INDEX(December!$C$3:$AH$169,123,MATCH(B364,December!$D$3:$AH$3)+1)+INDEX(December!$C$3:$AH$169,128,MATCH(B364,December!$D$3:$AH$3)+1)+INDEX(December!$C$3:$AH$169,133,MATCH(B364,December!$D$3:$AH$3)+1)+INDEX(December!$C$3:$AH$169,138,MATCH(B364,December!$D$3:$AH$3)+1)+INDEX(December!$C$3:$AH$169,143,MATCH(B364,December!$D$3:$AH$3)+1)+INDEX(December!$C$3:$AH$169,148,MATCH(B364,December!$D$3:$AH$3)+1)-INDEX(December!$B$5:$AH$169,MATCH("Patrick Janssen",December!$B$5:$B$169),MATCH(B364,December!$D$3:$AH$3)+2)-INDEX(December!$B$5:$AH$169,MATCH("Patrick Ziesen",December!$B$5:$B$169),MATCH(B364,December!$D$3:$AH$3)+2)-INDEX(December!$B$5:$AH$169,MATCH("Frido Meijer",December!$B$5:$B$169),MATCH(B364,December!$D$3:$AH$3)+2)</f>
        <v>0</v>
      </c>
      <c r="H364" s="130">
        <f>INDEX(December!$C$3:$AH$169,4,MATCH(B364,December!$D$3:$AH$3)+1)+INDEX(December!$C$3:$AH$169,9,MATCH(B364,December!$D$3:$AH$3)+1)+INDEX(December!$C$3:$AH$169,14,MATCH(B364,December!$D$3:$AH$3)+1)+INDEX(December!$C$3:$AH$169,19,MATCH(B364,December!$D$3:$AH$3)+1)+INDEX(December!$C$3:$AH$169,24,MATCH(B364,December!$D$3:$AH$3)+1)+INDEX(December!$C$3:$AH$169,29,MATCH(B364,December!$D$3:$AH$3)+1)+INDEX(December!$C$3:$AH$169,34,MATCH(B364,December!$D$3:$AH$3)+1)+INDEX(December!$C$3:$AH$169,39,MATCH(B364,December!$D$3:$AH$3)+1)+INDEX(December!$C$3:$AH$169,44,MATCH(B364,December!$D$3:$AH$3)+1)+INDEX(December!$C$3:$AH$169,49,MATCH(B364,December!$D$3:$AH$3)+1)+INDEX(December!$C$3:$AH$169,54,MATCH(B364,December!$D$3:$AH$3)+1)+INDEX(December!$C$3:$AH$169,59,MATCH(B364,December!$D$3:$AH$3)+1)+INDEX(December!$C$3:$AH$169,64,MATCH(B364,December!$D$3:$AH$3)+1)+INDEX(December!$C$3:$AH$169,69,MATCH(B364,December!$D$3:$AH$3)+1)+INDEX(December!$C$3:$AH$169,74,MATCH(B364,December!$D$3:$AH$3)+1)+INDEX(December!$C$3:$AH$169,79,MATCH(B364,December!$D$3:$AH$3)+1)+INDEX(December!$C$3:$AH$169,84,MATCH(B364,December!$D$3:$AH$3)+1)+INDEX(December!$C$3:$AH$169,89,MATCH(B364,December!$D$3:$AH$3)+1)+INDEX(December!$C$3:$AH$169,94,MATCH(B364,December!$D$3:$AH$3)+1)+INDEX(December!$C$3:$AH$169,99,MATCH(B364,December!$D$3:$AH$3)+1)+INDEX(December!$C$3:$AH$169,104,MATCH(B364,December!$D$3:$AH$3)+1)+INDEX(December!$C$3:$AH$169,109,MATCH(B364,December!$D$3:$AH$3)+1)+INDEX(December!$C$3:$AH$169,114,MATCH(B364,December!$D$3:$AH$3)+1)+INDEX(December!$C$3:$AH$169,119,MATCH(B364,December!$D$3:$AH$3)+1)+INDEX(December!$C$3:$AH$169,124,MATCH(B364,December!$D$3:$AH$3)+1)+INDEX(December!$C$3:$AH$169,129,MATCH(B364,December!$D$3:$AH$3)+1)+INDEX(December!$C$3:$AH$169,134,MATCH(B364,December!$D$3:$AH$3)+1)+INDEX(December!$C$3:$AH$169,139,MATCH(B364,December!$D$3:$AH$3)+1)+INDEX(December!$C$3:$AH$169,144,MATCH(B364,December!$D$3:$AH$3)+1)+INDEX(December!$C$3:$AH$169,149,MATCH(B364,December!$D$3:$AH$3)+1)-INDEX(December!$B$5:$AH$169,MATCH("Patrick Janssen",December!$B$5:$B$169)+1,MATCH(B364,December!$D$3:$AH$3)+2)-INDEX(December!$B$5:$AH$169,MATCH("Patrick Ziesen",December!$B$5:$B$169)+1,MATCH(B364,December!$D$3:$AH$3)+2)-INDEX(December!$B$5:$AH$169,MATCH("Frido Meijer",December!$B$5:$B$169)+1,MATCH(B364,December!$D$3:$AH$3)+2)</f>
        <v>0</v>
      </c>
      <c r="I364" s="130">
        <v>0</v>
      </c>
      <c r="J364" s="130">
        <v>0</v>
      </c>
      <c r="L364" s="111"/>
      <c r="M364" s="111"/>
      <c r="N364" s="111">
        <f t="shared" si="111"/>
        <v>0</v>
      </c>
      <c r="P364" s="112">
        <f t="shared" si="112"/>
        <v>0</v>
      </c>
      <c r="Q364" s="112">
        <f t="shared" si="113"/>
        <v>0</v>
      </c>
    </row>
    <row r="365" spans="2:17" x14ac:dyDescent="0.25">
      <c r="B365" s="110">
        <f>DATE(Title!$F$12,$S$16,S8)</f>
        <v>41612</v>
      </c>
      <c r="C365" s="111">
        <f>IF(WEEKDAY(B365)=1,0,IF(WEEKDAY(B365)=4,'Hours Scheduled'!$O$44-1,IF(WEEKDAY(B365)=7,0,'Hours Scheduled'!$O$44)))</f>
        <v>20</v>
      </c>
      <c r="D365" s="17">
        <f t="shared" si="114"/>
        <v>150</v>
      </c>
      <c r="E365" s="127">
        <f t="shared" si="115"/>
        <v>160</v>
      </c>
      <c r="F365" s="111"/>
      <c r="G365" s="130">
        <f>INDEX(December!$C$3:$AH$169,3,MATCH(B365,December!$D$3:$AH$3)+1)+INDEX(December!$C$3:$AH$169,8,MATCH(B365,December!$D$3:$AH$3)+1)+INDEX(December!$C$3:$AH$169,13,MATCH(B365,December!$D$3:$AH$3)+1)+INDEX(December!$C$3:$AH$169,18,MATCH(B365,December!$D$3:$AH$3)+1)+INDEX(December!$C$3:$AH$169,23,MATCH(B365,December!$D$3:$AH$3)+1)+INDEX(December!$C$3:$AH$169,28,MATCH(B365,December!$D$3:$AH$3)+1)+INDEX(December!$C$3:$AH$169,33,MATCH(B365,December!$D$3:$AH$3)+1)+INDEX(December!$C$3:$AH$169,38,MATCH(B365,December!$D$3:$AH$3)+1)+INDEX(December!$C$3:$AH$169,43,MATCH(B365,December!$D$3:$AH$3)+1)+INDEX(December!$C$3:$AH$169,48,MATCH(B365,December!$D$3:$AH$3)+1)+INDEX(December!$C$3:$AH$169,53,MATCH(B365,December!$D$3:$AH$3)+1)+INDEX(December!$C$3:$AH$169,58,MATCH(B365,December!$D$3:$AH$3)+1)+INDEX(December!$C$3:$AH$169,63,MATCH(B365,December!$D$3:$AH$3)+1)+INDEX(December!$C$3:$AH$169,68,MATCH(B365,December!$D$3:$AH$3)+1)+INDEX(December!$C$3:$AH$169,73,MATCH(B365,December!$D$3:$AH$3)+1)+INDEX(December!$C$3:$AH$169,78,MATCH(B365,December!$D$3:$AH$3)+1)+INDEX(December!$C$3:$AH$169,83,MATCH(B365,December!$D$3:$AH$3)+1)+INDEX(December!$C$3:$AH$169,88,MATCH(B365,December!$D$3:$AH$3)+1)+INDEX(December!$C$3:$AH$169,93,MATCH(B365,December!$D$3:$AH$3)+1)+INDEX(December!$C$3:$AH$169,98,MATCH(B365,December!$D$3:$AH$3)+1)+INDEX(December!$C$3:$AH$169,103,MATCH(B365,December!$D$3:$AH$3)+1)+INDEX(December!$C$3:$AH$169,108,MATCH(B365,December!$D$3:$AH$3)+1)+INDEX(December!$C$3:$AH$169,113,MATCH(B365,December!$D$3:$AH$3)+1)+INDEX(December!$C$3:$AH$169,118,MATCH(B365,December!$D$3:$AH$3)+1)+INDEX(December!$C$3:$AH$169,123,MATCH(B365,December!$D$3:$AH$3)+1)+INDEX(December!$C$3:$AH$169,128,MATCH(B365,December!$D$3:$AH$3)+1)+INDEX(December!$C$3:$AH$169,133,MATCH(B365,December!$D$3:$AH$3)+1)+INDEX(December!$C$3:$AH$169,138,MATCH(B365,December!$D$3:$AH$3)+1)+INDEX(December!$C$3:$AH$169,143,MATCH(B365,December!$D$3:$AH$3)+1)+INDEX(December!$C$3:$AH$169,148,MATCH(B365,December!$D$3:$AH$3)+1)-INDEX(December!$B$5:$AH$169,MATCH("Patrick Janssen",December!$B$5:$B$169),MATCH(B365,December!$D$3:$AH$3)+2)-INDEX(December!$B$5:$AH$169,MATCH("Patrick Ziesen",December!$B$5:$B$169),MATCH(B365,December!$D$3:$AH$3)+2)-INDEX(December!$B$5:$AH$169,MATCH("Frido Meijer",December!$B$5:$B$169),MATCH(B365,December!$D$3:$AH$3)+2)</f>
        <v>0</v>
      </c>
      <c r="H365" s="130">
        <f>INDEX(December!$C$3:$AH$169,4,MATCH(B365,December!$D$3:$AH$3)+1)+INDEX(December!$C$3:$AH$169,9,MATCH(B365,December!$D$3:$AH$3)+1)+INDEX(December!$C$3:$AH$169,14,MATCH(B365,December!$D$3:$AH$3)+1)+INDEX(December!$C$3:$AH$169,19,MATCH(B365,December!$D$3:$AH$3)+1)+INDEX(December!$C$3:$AH$169,24,MATCH(B365,December!$D$3:$AH$3)+1)+INDEX(December!$C$3:$AH$169,29,MATCH(B365,December!$D$3:$AH$3)+1)+INDEX(December!$C$3:$AH$169,34,MATCH(B365,December!$D$3:$AH$3)+1)+INDEX(December!$C$3:$AH$169,39,MATCH(B365,December!$D$3:$AH$3)+1)+INDEX(December!$C$3:$AH$169,44,MATCH(B365,December!$D$3:$AH$3)+1)+INDEX(December!$C$3:$AH$169,49,MATCH(B365,December!$D$3:$AH$3)+1)+INDEX(December!$C$3:$AH$169,54,MATCH(B365,December!$D$3:$AH$3)+1)+INDEX(December!$C$3:$AH$169,59,MATCH(B365,December!$D$3:$AH$3)+1)+INDEX(December!$C$3:$AH$169,64,MATCH(B365,December!$D$3:$AH$3)+1)+INDEX(December!$C$3:$AH$169,69,MATCH(B365,December!$D$3:$AH$3)+1)+INDEX(December!$C$3:$AH$169,74,MATCH(B365,December!$D$3:$AH$3)+1)+INDEX(December!$C$3:$AH$169,79,MATCH(B365,December!$D$3:$AH$3)+1)+INDEX(December!$C$3:$AH$169,84,MATCH(B365,December!$D$3:$AH$3)+1)+INDEX(December!$C$3:$AH$169,89,MATCH(B365,December!$D$3:$AH$3)+1)+INDEX(December!$C$3:$AH$169,94,MATCH(B365,December!$D$3:$AH$3)+1)+INDEX(December!$C$3:$AH$169,99,MATCH(B365,December!$D$3:$AH$3)+1)+INDEX(December!$C$3:$AH$169,104,MATCH(B365,December!$D$3:$AH$3)+1)+INDEX(December!$C$3:$AH$169,109,MATCH(B365,December!$D$3:$AH$3)+1)+INDEX(December!$C$3:$AH$169,114,MATCH(B365,December!$D$3:$AH$3)+1)+INDEX(December!$C$3:$AH$169,119,MATCH(B365,December!$D$3:$AH$3)+1)+INDEX(December!$C$3:$AH$169,124,MATCH(B365,December!$D$3:$AH$3)+1)+INDEX(December!$C$3:$AH$169,129,MATCH(B365,December!$D$3:$AH$3)+1)+INDEX(December!$C$3:$AH$169,134,MATCH(B365,December!$D$3:$AH$3)+1)+INDEX(December!$C$3:$AH$169,139,MATCH(B365,December!$D$3:$AH$3)+1)+INDEX(December!$C$3:$AH$169,144,MATCH(B365,December!$D$3:$AH$3)+1)+INDEX(December!$C$3:$AH$169,149,MATCH(B365,December!$D$3:$AH$3)+1)-INDEX(December!$B$5:$AH$169,MATCH("Patrick Janssen",December!$B$5:$B$169)+1,MATCH(B365,December!$D$3:$AH$3)+2)-INDEX(December!$B$5:$AH$169,MATCH("Patrick Ziesen",December!$B$5:$B$169)+1,MATCH(B365,December!$D$3:$AH$3)+2)-INDEX(December!$B$5:$AH$169,MATCH("Frido Meijer",December!$B$5:$B$169)+1,MATCH(B365,December!$D$3:$AH$3)+2)</f>
        <v>0</v>
      </c>
      <c r="I365" s="130">
        <v>0</v>
      </c>
      <c r="J365" s="130">
        <v>0</v>
      </c>
      <c r="L365" s="111"/>
      <c r="M365" s="111"/>
      <c r="N365" s="111">
        <f t="shared" si="111"/>
        <v>0</v>
      </c>
      <c r="P365" s="112">
        <f t="shared" si="112"/>
        <v>0</v>
      </c>
      <c r="Q365" s="112">
        <f t="shared" si="113"/>
        <v>0</v>
      </c>
    </row>
    <row r="366" spans="2:17" x14ac:dyDescent="0.25">
      <c r="B366" s="110">
        <f>DATE(Title!$F$12,$S$16,S9)</f>
        <v>41613</v>
      </c>
      <c r="C366" s="111">
        <f>IF(WEEKDAY(B366)=1,0,IF(WEEKDAY(B366)=4,'Hours Scheduled'!$O$44-1,IF(WEEKDAY(B366)=7,0,'Hours Scheduled'!$O$44)))</f>
        <v>21</v>
      </c>
      <c r="D366" s="17">
        <f t="shared" si="114"/>
        <v>157.5</v>
      </c>
      <c r="E366" s="127">
        <f t="shared" si="115"/>
        <v>168</v>
      </c>
      <c r="F366" s="111"/>
      <c r="G366" s="130">
        <f>INDEX(December!$C$3:$AH$169,3,MATCH(B366,December!$D$3:$AH$3)+1)+INDEX(December!$C$3:$AH$169,8,MATCH(B366,December!$D$3:$AH$3)+1)+INDEX(December!$C$3:$AH$169,13,MATCH(B366,December!$D$3:$AH$3)+1)+INDEX(December!$C$3:$AH$169,18,MATCH(B366,December!$D$3:$AH$3)+1)+INDEX(December!$C$3:$AH$169,23,MATCH(B366,December!$D$3:$AH$3)+1)+INDEX(December!$C$3:$AH$169,28,MATCH(B366,December!$D$3:$AH$3)+1)+INDEX(December!$C$3:$AH$169,33,MATCH(B366,December!$D$3:$AH$3)+1)+INDEX(December!$C$3:$AH$169,38,MATCH(B366,December!$D$3:$AH$3)+1)+INDEX(December!$C$3:$AH$169,43,MATCH(B366,December!$D$3:$AH$3)+1)+INDEX(December!$C$3:$AH$169,48,MATCH(B366,December!$D$3:$AH$3)+1)+INDEX(December!$C$3:$AH$169,53,MATCH(B366,December!$D$3:$AH$3)+1)+INDEX(December!$C$3:$AH$169,58,MATCH(B366,December!$D$3:$AH$3)+1)+INDEX(December!$C$3:$AH$169,63,MATCH(B366,December!$D$3:$AH$3)+1)+INDEX(December!$C$3:$AH$169,68,MATCH(B366,December!$D$3:$AH$3)+1)+INDEX(December!$C$3:$AH$169,73,MATCH(B366,December!$D$3:$AH$3)+1)+INDEX(December!$C$3:$AH$169,78,MATCH(B366,December!$D$3:$AH$3)+1)+INDEX(December!$C$3:$AH$169,83,MATCH(B366,December!$D$3:$AH$3)+1)+INDEX(December!$C$3:$AH$169,88,MATCH(B366,December!$D$3:$AH$3)+1)+INDEX(December!$C$3:$AH$169,93,MATCH(B366,December!$D$3:$AH$3)+1)+INDEX(December!$C$3:$AH$169,98,MATCH(B366,December!$D$3:$AH$3)+1)+INDEX(December!$C$3:$AH$169,103,MATCH(B366,December!$D$3:$AH$3)+1)+INDEX(December!$C$3:$AH$169,108,MATCH(B366,December!$D$3:$AH$3)+1)+INDEX(December!$C$3:$AH$169,113,MATCH(B366,December!$D$3:$AH$3)+1)+INDEX(December!$C$3:$AH$169,118,MATCH(B366,December!$D$3:$AH$3)+1)+INDEX(December!$C$3:$AH$169,123,MATCH(B366,December!$D$3:$AH$3)+1)+INDEX(December!$C$3:$AH$169,128,MATCH(B366,December!$D$3:$AH$3)+1)+INDEX(December!$C$3:$AH$169,133,MATCH(B366,December!$D$3:$AH$3)+1)+INDEX(December!$C$3:$AH$169,138,MATCH(B366,December!$D$3:$AH$3)+1)+INDEX(December!$C$3:$AH$169,143,MATCH(B366,December!$D$3:$AH$3)+1)+INDEX(December!$C$3:$AH$169,148,MATCH(B366,December!$D$3:$AH$3)+1)-INDEX(December!$B$5:$AH$169,MATCH("Patrick Janssen",December!$B$5:$B$169),MATCH(B366,December!$D$3:$AH$3)+2)-INDEX(December!$B$5:$AH$169,MATCH("Patrick Ziesen",December!$B$5:$B$169),MATCH(B366,December!$D$3:$AH$3)+2)-INDEX(December!$B$5:$AH$169,MATCH("Frido Meijer",December!$B$5:$B$169),MATCH(B366,December!$D$3:$AH$3)+2)</f>
        <v>0</v>
      </c>
      <c r="H366" s="130">
        <f>INDEX(December!$C$3:$AH$169,4,MATCH(B366,December!$D$3:$AH$3)+1)+INDEX(December!$C$3:$AH$169,9,MATCH(B366,December!$D$3:$AH$3)+1)+INDEX(December!$C$3:$AH$169,14,MATCH(B366,December!$D$3:$AH$3)+1)+INDEX(December!$C$3:$AH$169,19,MATCH(B366,December!$D$3:$AH$3)+1)+INDEX(December!$C$3:$AH$169,24,MATCH(B366,December!$D$3:$AH$3)+1)+INDEX(December!$C$3:$AH$169,29,MATCH(B366,December!$D$3:$AH$3)+1)+INDEX(December!$C$3:$AH$169,34,MATCH(B366,December!$D$3:$AH$3)+1)+INDEX(December!$C$3:$AH$169,39,MATCH(B366,December!$D$3:$AH$3)+1)+INDEX(December!$C$3:$AH$169,44,MATCH(B366,December!$D$3:$AH$3)+1)+INDEX(December!$C$3:$AH$169,49,MATCH(B366,December!$D$3:$AH$3)+1)+INDEX(December!$C$3:$AH$169,54,MATCH(B366,December!$D$3:$AH$3)+1)+INDEX(December!$C$3:$AH$169,59,MATCH(B366,December!$D$3:$AH$3)+1)+INDEX(December!$C$3:$AH$169,64,MATCH(B366,December!$D$3:$AH$3)+1)+INDEX(December!$C$3:$AH$169,69,MATCH(B366,December!$D$3:$AH$3)+1)+INDEX(December!$C$3:$AH$169,74,MATCH(B366,December!$D$3:$AH$3)+1)+INDEX(December!$C$3:$AH$169,79,MATCH(B366,December!$D$3:$AH$3)+1)+INDEX(December!$C$3:$AH$169,84,MATCH(B366,December!$D$3:$AH$3)+1)+INDEX(December!$C$3:$AH$169,89,MATCH(B366,December!$D$3:$AH$3)+1)+INDEX(December!$C$3:$AH$169,94,MATCH(B366,December!$D$3:$AH$3)+1)+INDEX(December!$C$3:$AH$169,99,MATCH(B366,December!$D$3:$AH$3)+1)+INDEX(December!$C$3:$AH$169,104,MATCH(B366,December!$D$3:$AH$3)+1)+INDEX(December!$C$3:$AH$169,109,MATCH(B366,December!$D$3:$AH$3)+1)+INDEX(December!$C$3:$AH$169,114,MATCH(B366,December!$D$3:$AH$3)+1)+INDEX(December!$C$3:$AH$169,119,MATCH(B366,December!$D$3:$AH$3)+1)+INDEX(December!$C$3:$AH$169,124,MATCH(B366,December!$D$3:$AH$3)+1)+INDEX(December!$C$3:$AH$169,129,MATCH(B366,December!$D$3:$AH$3)+1)+INDEX(December!$C$3:$AH$169,134,MATCH(B366,December!$D$3:$AH$3)+1)+INDEX(December!$C$3:$AH$169,139,MATCH(B366,December!$D$3:$AH$3)+1)+INDEX(December!$C$3:$AH$169,144,MATCH(B366,December!$D$3:$AH$3)+1)+INDEX(December!$C$3:$AH$169,149,MATCH(B366,December!$D$3:$AH$3)+1)-INDEX(December!$B$5:$AH$169,MATCH("Patrick Janssen",December!$B$5:$B$169)+1,MATCH(B366,December!$D$3:$AH$3)+2)-INDEX(December!$B$5:$AH$169,MATCH("Patrick Ziesen",December!$B$5:$B$169)+1,MATCH(B366,December!$D$3:$AH$3)+2)-INDEX(December!$B$5:$AH$169,MATCH("Frido Meijer",December!$B$5:$B$169)+1,MATCH(B366,December!$D$3:$AH$3)+2)</f>
        <v>0</v>
      </c>
      <c r="I366" s="130">
        <v>0</v>
      </c>
      <c r="J366" s="130">
        <v>0</v>
      </c>
      <c r="L366" s="111"/>
      <c r="M366" s="111"/>
      <c r="N366" s="111">
        <f t="shared" si="111"/>
        <v>0</v>
      </c>
      <c r="P366" s="112">
        <f t="shared" si="112"/>
        <v>0</v>
      </c>
      <c r="Q366" s="112">
        <f t="shared" si="113"/>
        <v>0</v>
      </c>
    </row>
    <row r="367" spans="2:17" x14ac:dyDescent="0.25">
      <c r="B367" s="110">
        <f>DATE(Title!$F$12,$S$16,S10)</f>
        <v>41614</v>
      </c>
      <c r="C367" s="111">
        <f>IF(WEEKDAY(B367)=1,0,IF(WEEKDAY(B367)=4,'Hours Scheduled'!$O$44-1,IF(WEEKDAY(B367)=7,0,'Hours Scheduled'!$O$44)))</f>
        <v>21</v>
      </c>
      <c r="D367" s="17">
        <f t="shared" si="114"/>
        <v>157.5</v>
      </c>
      <c r="E367" s="127">
        <f t="shared" si="115"/>
        <v>168</v>
      </c>
      <c r="F367" s="111"/>
      <c r="G367" s="130">
        <f>INDEX(December!$C$3:$AH$169,3,MATCH(B367,December!$D$3:$AH$3)+1)+INDEX(December!$C$3:$AH$169,8,MATCH(B367,December!$D$3:$AH$3)+1)+INDEX(December!$C$3:$AH$169,13,MATCH(B367,December!$D$3:$AH$3)+1)+INDEX(December!$C$3:$AH$169,18,MATCH(B367,December!$D$3:$AH$3)+1)+INDEX(December!$C$3:$AH$169,23,MATCH(B367,December!$D$3:$AH$3)+1)+INDEX(December!$C$3:$AH$169,28,MATCH(B367,December!$D$3:$AH$3)+1)+INDEX(December!$C$3:$AH$169,33,MATCH(B367,December!$D$3:$AH$3)+1)+INDEX(December!$C$3:$AH$169,38,MATCH(B367,December!$D$3:$AH$3)+1)+INDEX(December!$C$3:$AH$169,43,MATCH(B367,December!$D$3:$AH$3)+1)+INDEX(December!$C$3:$AH$169,48,MATCH(B367,December!$D$3:$AH$3)+1)+INDEX(December!$C$3:$AH$169,53,MATCH(B367,December!$D$3:$AH$3)+1)+INDEX(December!$C$3:$AH$169,58,MATCH(B367,December!$D$3:$AH$3)+1)+INDEX(December!$C$3:$AH$169,63,MATCH(B367,December!$D$3:$AH$3)+1)+INDEX(December!$C$3:$AH$169,68,MATCH(B367,December!$D$3:$AH$3)+1)+INDEX(December!$C$3:$AH$169,73,MATCH(B367,December!$D$3:$AH$3)+1)+INDEX(December!$C$3:$AH$169,78,MATCH(B367,December!$D$3:$AH$3)+1)+INDEX(December!$C$3:$AH$169,83,MATCH(B367,December!$D$3:$AH$3)+1)+INDEX(December!$C$3:$AH$169,88,MATCH(B367,December!$D$3:$AH$3)+1)+INDEX(December!$C$3:$AH$169,93,MATCH(B367,December!$D$3:$AH$3)+1)+INDEX(December!$C$3:$AH$169,98,MATCH(B367,December!$D$3:$AH$3)+1)+INDEX(December!$C$3:$AH$169,103,MATCH(B367,December!$D$3:$AH$3)+1)+INDEX(December!$C$3:$AH$169,108,MATCH(B367,December!$D$3:$AH$3)+1)+INDEX(December!$C$3:$AH$169,113,MATCH(B367,December!$D$3:$AH$3)+1)+INDEX(December!$C$3:$AH$169,118,MATCH(B367,December!$D$3:$AH$3)+1)+INDEX(December!$C$3:$AH$169,123,MATCH(B367,December!$D$3:$AH$3)+1)+INDEX(December!$C$3:$AH$169,128,MATCH(B367,December!$D$3:$AH$3)+1)+INDEX(December!$C$3:$AH$169,133,MATCH(B367,December!$D$3:$AH$3)+1)+INDEX(December!$C$3:$AH$169,138,MATCH(B367,December!$D$3:$AH$3)+1)+INDEX(December!$C$3:$AH$169,143,MATCH(B367,December!$D$3:$AH$3)+1)+INDEX(December!$C$3:$AH$169,148,MATCH(B367,December!$D$3:$AH$3)+1)-INDEX(December!$B$5:$AH$169,MATCH("Patrick Janssen",December!$B$5:$B$169),MATCH(B367,December!$D$3:$AH$3)+2)-INDEX(December!$B$5:$AH$169,MATCH("Patrick Ziesen",December!$B$5:$B$169),MATCH(B367,December!$D$3:$AH$3)+2)-INDEX(December!$B$5:$AH$169,MATCH("Frido Meijer",December!$B$5:$B$169),MATCH(B367,December!$D$3:$AH$3)+2)</f>
        <v>0</v>
      </c>
      <c r="H367" s="130">
        <f>INDEX(December!$C$3:$AH$169,4,MATCH(B367,December!$D$3:$AH$3)+1)+INDEX(December!$C$3:$AH$169,9,MATCH(B367,December!$D$3:$AH$3)+1)+INDEX(December!$C$3:$AH$169,14,MATCH(B367,December!$D$3:$AH$3)+1)+INDEX(December!$C$3:$AH$169,19,MATCH(B367,December!$D$3:$AH$3)+1)+INDEX(December!$C$3:$AH$169,24,MATCH(B367,December!$D$3:$AH$3)+1)+INDEX(December!$C$3:$AH$169,29,MATCH(B367,December!$D$3:$AH$3)+1)+INDEX(December!$C$3:$AH$169,34,MATCH(B367,December!$D$3:$AH$3)+1)+INDEX(December!$C$3:$AH$169,39,MATCH(B367,December!$D$3:$AH$3)+1)+INDEX(December!$C$3:$AH$169,44,MATCH(B367,December!$D$3:$AH$3)+1)+INDEX(December!$C$3:$AH$169,49,MATCH(B367,December!$D$3:$AH$3)+1)+INDEX(December!$C$3:$AH$169,54,MATCH(B367,December!$D$3:$AH$3)+1)+INDEX(December!$C$3:$AH$169,59,MATCH(B367,December!$D$3:$AH$3)+1)+INDEX(December!$C$3:$AH$169,64,MATCH(B367,December!$D$3:$AH$3)+1)+INDEX(December!$C$3:$AH$169,69,MATCH(B367,December!$D$3:$AH$3)+1)+INDEX(December!$C$3:$AH$169,74,MATCH(B367,December!$D$3:$AH$3)+1)+INDEX(December!$C$3:$AH$169,79,MATCH(B367,December!$D$3:$AH$3)+1)+INDEX(December!$C$3:$AH$169,84,MATCH(B367,December!$D$3:$AH$3)+1)+INDEX(December!$C$3:$AH$169,89,MATCH(B367,December!$D$3:$AH$3)+1)+INDEX(December!$C$3:$AH$169,94,MATCH(B367,December!$D$3:$AH$3)+1)+INDEX(December!$C$3:$AH$169,99,MATCH(B367,December!$D$3:$AH$3)+1)+INDEX(December!$C$3:$AH$169,104,MATCH(B367,December!$D$3:$AH$3)+1)+INDEX(December!$C$3:$AH$169,109,MATCH(B367,December!$D$3:$AH$3)+1)+INDEX(December!$C$3:$AH$169,114,MATCH(B367,December!$D$3:$AH$3)+1)+INDEX(December!$C$3:$AH$169,119,MATCH(B367,December!$D$3:$AH$3)+1)+INDEX(December!$C$3:$AH$169,124,MATCH(B367,December!$D$3:$AH$3)+1)+INDEX(December!$C$3:$AH$169,129,MATCH(B367,December!$D$3:$AH$3)+1)+INDEX(December!$C$3:$AH$169,134,MATCH(B367,December!$D$3:$AH$3)+1)+INDEX(December!$C$3:$AH$169,139,MATCH(B367,December!$D$3:$AH$3)+1)+INDEX(December!$C$3:$AH$169,144,MATCH(B367,December!$D$3:$AH$3)+1)+INDEX(December!$C$3:$AH$169,149,MATCH(B367,December!$D$3:$AH$3)+1)-INDEX(December!$B$5:$AH$169,MATCH("Patrick Janssen",December!$B$5:$B$169)+1,MATCH(B367,December!$D$3:$AH$3)+2)-INDEX(December!$B$5:$AH$169,MATCH("Patrick Ziesen",December!$B$5:$B$169)+1,MATCH(B367,December!$D$3:$AH$3)+2)-INDEX(December!$B$5:$AH$169,MATCH("Frido Meijer",December!$B$5:$B$169)+1,MATCH(B367,December!$D$3:$AH$3)+2)</f>
        <v>0</v>
      </c>
      <c r="I367" s="130">
        <v>0</v>
      </c>
      <c r="J367" s="130">
        <v>0</v>
      </c>
      <c r="L367" s="111"/>
      <c r="M367" s="111"/>
      <c r="N367" s="111">
        <f t="shared" si="111"/>
        <v>0</v>
      </c>
      <c r="P367" s="112">
        <f t="shared" si="112"/>
        <v>0</v>
      </c>
      <c r="Q367" s="112">
        <f t="shared" si="113"/>
        <v>0</v>
      </c>
    </row>
    <row r="368" spans="2:17" x14ac:dyDescent="0.25">
      <c r="B368" s="110">
        <f>DATE(Title!$F$12,$S$16,S11)</f>
        <v>41615</v>
      </c>
      <c r="C368" s="111">
        <f>IF(WEEKDAY(B368)=1,0,IF(WEEKDAY(B368)=4,'Hours Scheduled'!$O$44-1,IF(WEEKDAY(B368)=7,0,'Hours Scheduled'!$O$44)))</f>
        <v>0</v>
      </c>
      <c r="D368" s="17">
        <f t="shared" si="114"/>
        <v>0</v>
      </c>
      <c r="E368" s="127">
        <f t="shared" si="115"/>
        <v>0</v>
      </c>
      <c r="F368" s="111"/>
      <c r="G368" s="130">
        <f>INDEX(December!$C$3:$AH$169,3,MATCH(B368,December!$D$3:$AH$3)+1)+INDEX(December!$C$3:$AH$169,8,MATCH(B368,December!$D$3:$AH$3)+1)+INDEX(December!$C$3:$AH$169,13,MATCH(B368,December!$D$3:$AH$3)+1)+INDEX(December!$C$3:$AH$169,18,MATCH(B368,December!$D$3:$AH$3)+1)+INDEX(December!$C$3:$AH$169,23,MATCH(B368,December!$D$3:$AH$3)+1)+INDEX(December!$C$3:$AH$169,28,MATCH(B368,December!$D$3:$AH$3)+1)+INDEX(December!$C$3:$AH$169,33,MATCH(B368,December!$D$3:$AH$3)+1)+INDEX(December!$C$3:$AH$169,38,MATCH(B368,December!$D$3:$AH$3)+1)+INDEX(December!$C$3:$AH$169,43,MATCH(B368,December!$D$3:$AH$3)+1)+INDEX(December!$C$3:$AH$169,48,MATCH(B368,December!$D$3:$AH$3)+1)+INDEX(December!$C$3:$AH$169,53,MATCH(B368,December!$D$3:$AH$3)+1)+INDEX(December!$C$3:$AH$169,58,MATCH(B368,December!$D$3:$AH$3)+1)+INDEX(December!$C$3:$AH$169,63,MATCH(B368,December!$D$3:$AH$3)+1)+INDEX(December!$C$3:$AH$169,68,MATCH(B368,December!$D$3:$AH$3)+1)+INDEX(December!$C$3:$AH$169,73,MATCH(B368,December!$D$3:$AH$3)+1)+INDEX(December!$C$3:$AH$169,78,MATCH(B368,December!$D$3:$AH$3)+1)+INDEX(December!$C$3:$AH$169,83,MATCH(B368,December!$D$3:$AH$3)+1)+INDEX(December!$C$3:$AH$169,88,MATCH(B368,December!$D$3:$AH$3)+1)+INDEX(December!$C$3:$AH$169,93,MATCH(B368,December!$D$3:$AH$3)+1)+INDEX(December!$C$3:$AH$169,98,MATCH(B368,December!$D$3:$AH$3)+1)+INDEX(December!$C$3:$AH$169,103,MATCH(B368,December!$D$3:$AH$3)+1)+INDEX(December!$C$3:$AH$169,108,MATCH(B368,December!$D$3:$AH$3)+1)+INDEX(December!$C$3:$AH$169,113,MATCH(B368,December!$D$3:$AH$3)+1)+INDEX(December!$C$3:$AH$169,118,MATCH(B368,December!$D$3:$AH$3)+1)+INDEX(December!$C$3:$AH$169,123,MATCH(B368,December!$D$3:$AH$3)+1)+INDEX(December!$C$3:$AH$169,128,MATCH(B368,December!$D$3:$AH$3)+1)+INDEX(December!$C$3:$AH$169,133,MATCH(B368,December!$D$3:$AH$3)+1)+INDEX(December!$C$3:$AH$169,138,MATCH(B368,December!$D$3:$AH$3)+1)+INDEX(December!$C$3:$AH$169,143,MATCH(B368,December!$D$3:$AH$3)+1)+INDEX(December!$C$3:$AH$169,148,MATCH(B368,December!$D$3:$AH$3)+1)-INDEX(December!$B$5:$AH$169,MATCH("Patrick Janssen",December!$B$5:$B$169),MATCH(B368,December!$D$3:$AH$3)+2)-INDEX(December!$B$5:$AH$169,MATCH("Patrick Ziesen",December!$B$5:$B$169),MATCH(B368,December!$D$3:$AH$3)+2)-INDEX(December!$B$5:$AH$169,MATCH("Frido Meijer",December!$B$5:$B$169),MATCH(B368,December!$D$3:$AH$3)+2)</f>
        <v>0</v>
      </c>
      <c r="H368" s="130">
        <f>INDEX(December!$C$3:$AH$169,4,MATCH(B368,December!$D$3:$AH$3)+1)+INDEX(December!$C$3:$AH$169,9,MATCH(B368,December!$D$3:$AH$3)+1)+INDEX(December!$C$3:$AH$169,14,MATCH(B368,December!$D$3:$AH$3)+1)+INDEX(December!$C$3:$AH$169,19,MATCH(B368,December!$D$3:$AH$3)+1)+INDEX(December!$C$3:$AH$169,24,MATCH(B368,December!$D$3:$AH$3)+1)+INDEX(December!$C$3:$AH$169,29,MATCH(B368,December!$D$3:$AH$3)+1)+INDEX(December!$C$3:$AH$169,34,MATCH(B368,December!$D$3:$AH$3)+1)+INDEX(December!$C$3:$AH$169,39,MATCH(B368,December!$D$3:$AH$3)+1)+INDEX(December!$C$3:$AH$169,44,MATCH(B368,December!$D$3:$AH$3)+1)+INDEX(December!$C$3:$AH$169,49,MATCH(B368,December!$D$3:$AH$3)+1)+INDEX(December!$C$3:$AH$169,54,MATCH(B368,December!$D$3:$AH$3)+1)+INDEX(December!$C$3:$AH$169,59,MATCH(B368,December!$D$3:$AH$3)+1)+INDEX(December!$C$3:$AH$169,64,MATCH(B368,December!$D$3:$AH$3)+1)+INDEX(December!$C$3:$AH$169,69,MATCH(B368,December!$D$3:$AH$3)+1)+INDEX(December!$C$3:$AH$169,74,MATCH(B368,December!$D$3:$AH$3)+1)+INDEX(December!$C$3:$AH$169,79,MATCH(B368,December!$D$3:$AH$3)+1)+INDEX(December!$C$3:$AH$169,84,MATCH(B368,December!$D$3:$AH$3)+1)+INDEX(December!$C$3:$AH$169,89,MATCH(B368,December!$D$3:$AH$3)+1)+INDEX(December!$C$3:$AH$169,94,MATCH(B368,December!$D$3:$AH$3)+1)+INDEX(December!$C$3:$AH$169,99,MATCH(B368,December!$D$3:$AH$3)+1)+INDEX(December!$C$3:$AH$169,104,MATCH(B368,December!$D$3:$AH$3)+1)+INDEX(December!$C$3:$AH$169,109,MATCH(B368,December!$D$3:$AH$3)+1)+INDEX(December!$C$3:$AH$169,114,MATCH(B368,December!$D$3:$AH$3)+1)+INDEX(December!$C$3:$AH$169,119,MATCH(B368,December!$D$3:$AH$3)+1)+INDEX(December!$C$3:$AH$169,124,MATCH(B368,December!$D$3:$AH$3)+1)+INDEX(December!$C$3:$AH$169,129,MATCH(B368,December!$D$3:$AH$3)+1)+INDEX(December!$C$3:$AH$169,134,MATCH(B368,December!$D$3:$AH$3)+1)+INDEX(December!$C$3:$AH$169,139,MATCH(B368,December!$D$3:$AH$3)+1)+INDEX(December!$C$3:$AH$169,144,MATCH(B368,December!$D$3:$AH$3)+1)+INDEX(December!$C$3:$AH$169,149,MATCH(B368,December!$D$3:$AH$3)+1)-INDEX(December!$B$5:$AH$169,MATCH("Patrick Janssen",December!$B$5:$B$169)+1,MATCH(B368,December!$D$3:$AH$3)+2)-INDEX(December!$B$5:$AH$169,MATCH("Patrick Ziesen",December!$B$5:$B$169)+1,MATCH(B368,December!$D$3:$AH$3)+2)-INDEX(December!$B$5:$AH$169,MATCH("Frido Meijer",December!$B$5:$B$169)+1,MATCH(B368,December!$D$3:$AH$3)+2)</f>
        <v>0</v>
      </c>
      <c r="I368" s="130">
        <v>0</v>
      </c>
      <c r="J368" s="130">
        <v>0</v>
      </c>
      <c r="L368" s="111"/>
      <c r="M368" s="111"/>
      <c r="N368" s="111">
        <f t="shared" si="111"/>
        <v>0</v>
      </c>
      <c r="P368" s="112" t="str">
        <f t="shared" si="112"/>
        <v/>
      </c>
      <c r="Q368" s="112" t="str">
        <f t="shared" si="113"/>
        <v/>
      </c>
    </row>
    <row r="369" spans="2:17" x14ac:dyDescent="0.25">
      <c r="B369" s="110">
        <f>DATE(Title!$F$12,$S$16,S12)</f>
        <v>41616</v>
      </c>
      <c r="C369" s="111">
        <f>IF(WEEKDAY(B369)=1,0,IF(WEEKDAY(B369)=4,'Hours Scheduled'!$O$44-1,IF(WEEKDAY(B369)=7,0,'Hours Scheduled'!$O$44)))</f>
        <v>0</v>
      </c>
      <c r="D369" s="17">
        <f t="shared" si="114"/>
        <v>0</v>
      </c>
      <c r="E369" s="127">
        <f t="shared" si="115"/>
        <v>0</v>
      </c>
      <c r="F369" s="111"/>
      <c r="G369" s="130">
        <f>INDEX(December!$C$3:$AH$169,3,MATCH(B369,December!$D$3:$AH$3)+1)+INDEX(December!$C$3:$AH$169,8,MATCH(B369,December!$D$3:$AH$3)+1)+INDEX(December!$C$3:$AH$169,13,MATCH(B369,December!$D$3:$AH$3)+1)+INDEX(December!$C$3:$AH$169,18,MATCH(B369,December!$D$3:$AH$3)+1)+INDEX(December!$C$3:$AH$169,23,MATCH(B369,December!$D$3:$AH$3)+1)+INDEX(December!$C$3:$AH$169,28,MATCH(B369,December!$D$3:$AH$3)+1)+INDEX(December!$C$3:$AH$169,33,MATCH(B369,December!$D$3:$AH$3)+1)+INDEX(December!$C$3:$AH$169,38,MATCH(B369,December!$D$3:$AH$3)+1)+INDEX(December!$C$3:$AH$169,43,MATCH(B369,December!$D$3:$AH$3)+1)+INDEX(December!$C$3:$AH$169,48,MATCH(B369,December!$D$3:$AH$3)+1)+INDEX(December!$C$3:$AH$169,53,MATCH(B369,December!$D$3:$AH$3)+1)+INDEX(December!$C$3:$AH$169,58,MATCH(B369,December!$D$3:$AH$3)+1)+INDEX(December!$C$3:$AH$169,63,MATCH(B369,December!$D$3:$AH$3)+1)+INDEX(December!$C$3:$AH$169,68,MATCH(B369,December!$D$3:$AH$3)+1)+INDEX(December!$C$3:$AH$169,73,MATCH(B369,December!$D$3:$AH$3)+1)+INDEX(December!$C$3:$AH$169,78,MATCH(B369,December!$D$3:$AH$3)+1)+INDEX(December!$C$3:$AH$169,83,MATCH(B369,December!$D$3:$AH$3)+1)+INDEX(December!$C$3:$AH$169,88,MATCH(B369,December!$D$3:$AH$3)+1)+INDEX(December!$C$3:$AH$169,93,MATCH(B369,December!$D$3:$AH$3)+1)+INDEX(December!$C$3:$AH$169,98,MATCH(B369,December!$D$3:$AH$3)+1)+INDEX(December!$C$3:$AH$169,103,MATCH(B369,December!$D$3:$AH$3)+1)+INDEX(December!$C$3:$AH$169,108,MATCH(B369,December!$D$3:$AH$3)+1)+INDEX(December!$C$3:$AH$169,113,MATCH(B369,December!$D$3:$AH$3)+1)+INDEX(December!$C$3:$AH$169,118,MATCH(B369,December!$D$3:$AH$3)+1)+INDEX(December!$C$3:$AH$169,123,MATCH(B369,December!$D$3:$AH$3)+1)+INDEX(December!$C$3:$AH$169,128,MATCH(B369,December!$D$3:$AH$3)+1)+INDEX(December!$C$3:$AH$169,133,MATCH(B369,December!$D$3:$AH$3)+1)+INDEX(December!$C$3:$AH$169,138,MATCH(B369,December!$D$3:$AH$3)+1)+INDEX(December!$C$3:$AH$169,143,MATCH(B369,December!$D$3:$AH$3)+1)+INDEX(December!$C$3:$AH$169,148,MATCH(B369,December!$D$3:$AH$3)+1)-INDEX(December!$B$5:$AH$169,MATCH("Patrick Janssen",December!$B$5:$B$169),MATCH(B369,December!$D$3:$AH$3)+2)-INDEX(December!$B$5:$AH$169,MATCH("Patrick Ziesen",December!$B$5:$B$169),MATCH(B369,December!$D$3:$AH$3)+2)-INDEX(December!$B$5:$AH$169,MATCH("Frido Meijer",December!$B$5:$B$169),MATCH(B369,December!$D$3:$AH$3)+2)</f>
        <v>0</v>
      </c>
      <c r="H369" s="130">
        <f>INDEX(December!$C$3:$AH$169,4,MATCH(B369,December!$D$3:$AH$3)+1)+INDEX(December!$C$3:$AH$169,9,MATCH(B369,December!$D$3:$AH$3)+1)+INDEX(December!$C$3:$AH$169,14,MATCH(B369,December!$D$3:$AH$3)+1)+INDEX(December!$C$3:$AH$169,19,MATCH(B369,December!$D$3:$AH$3)+1)+INDEX(December!$C$3:$AH$169,24,MATCH(B369,December!$D$3:$AH$3)+1)+INDEX(December!$C$3:$AH$169,29,MATCH(B369,December!$D$3:$AH$3)+1)+INDEX(December!$C$3:$AH$169,34,MATCH(B369,December!$D$3:$AH$3)+1)+INDEX(December!$C$3:$AH$169,39,MATCH(B369,December!$D$3:$AH$3)+1)+INDEX(December!$C$3:$AH$169,44,MATCH(B369,December!$D$3:$AH$3)+1)+INDEX(December!$C$3:$AH$169,49,MATCH(B369,December!$D$3:$AH$3)+1)+INDEX(December!$C$3:$AH$169,54,MATCH(B369,December!$D$3:$AH$3)+1)+INDEX(December!$C$3:$AH$169,59,MATCH(B369,December!$D$3:$AH$3)+1)+INDEX(December!$C$3:$AH$169,64,MATCH(B369,December!$D$3:$AH$3)+1)+INDEX(December!$C$3:$AH$169,69,MATCH(B369,December!$D$3:$AH$3)+1)+INDEX(December!$C$3:$AH$169,74,MATCH(B369,December!$D$3:$AH$3)+1)+INDEX(December!$C$3:$AH$169,79,MATCH(B369,December!$D$3:$AH$3)+1)+INDEX(December!$C$3:$AH$169,84,MATCH(B369,December!$D$3:$AH$3)+1)+INDEX(December!$C$3:$AH$169,89,MATCH(B369,December!$D$3:$AH$3)+1)+INDEX(December!$C$3:$AH$169,94,MATCH(B369,December!$D$3:$AH$3)+1)+INDEX(December!$C$3:$AH$169,99,MATCH(B369,December!$D$3:$AH$3)+1)+INDEX(December!$C$3:$AH$169,104,MATCH(B369,December!$D$3:$AH$3)+1)+INDEX(December!$C$3:$AH$169,109,MATCH(B369,December!$D$3:$AH$3)+1)+INDEX(December!$C$3:$AH$169,114,MATCH(B369,December!$D$3:$AH$3)+1)+INDEX(December!$C$3:$AH$169,119,MATCH(B369,December!$D$3:$AH$3)+1)+INDEX(December!$C$3:$AH$169,124,MATCH(B369,December!$D$3:$AH$3)+1)+INDEX(December!$C$3:$AH$169,129,MATCH(B369,December!$D$3:$AH$3)+1)+INDEX(December!$C$3:$AH$169,134,MATCH(B369,December!$D$3:$AH$3)+1)+INDEX(December!$C$3:$AH$169,139,MATCH(B369,December!$D$3:$AH$3)+1)+INDEX(December!$C$3:$AH$169,144,MATCH(B369,December!$D$3:$AH$3)+1)+INDEX(December!$C$3:$AH$169,149,MATCH(B369,December!$D$3:$AH$3)+1)-INDEX(December!$B$5:$AH$169,MATCH("Patrick Janssen",December!$B$5:$B$169)+1,MATCH(B369,December!$D$3:$AH$3)+2)-INDEX(December!$B$5:$AH$169,MATCH("Patrick Ziesen",December!$B$5:$B$169)+1,MATCH(B369,December!$D$3:$AH$3)+2)-INDEX(December!$B$5:$AH$169,MATCH("Frido Meijer",December!$B$5:$B$169)+1,MATCH(B369,December!$D$3:$AH$3)+2)</f>
        <v>0</v>
      </c>
      <c r="I369" s="130">
        <v>0</v>
      </c>
      <c r="J369" s="130">
        <v>0</v>
      </c>
      <c r="L369" s="111"/>
      <c r="M369" s="111"/>
      <c r="N369" s="111">
        <f t="shared" si="111"/>
        <v>0</v>
      </c>
      <c r="P369" s="112" t="str">
        <f t="shared" si="112"/>
        <v/>
      </c>
      <c r="Q369" s="112" t="str">
        <f t="shared" si="113"/>
        <v/>
      </c>
    </row>
    <row r="370" spans="2:17" x14ac:dyDescent="0.25">
      <c r="B370" s="110">
        <f>DATE(Title!$F$12,$S$16,S13)</f>
        <v>41617</v>
      </c>
      <c r="C370" s="111">
        <f>IF(WEEKDAY(B370)=1,0,IF(WEEKDAY(B370)=4,'Hours Scheduled'!$O$44-1,IF(WEEKDAY(B370)=7,0,'Hours Scheduled'!$O$44)))</f>
        <v>21</v>
      </c>
      <c r="D370" s="17">
        <f t="shared" si="114"/>
        <v>157.5</v>
      </c>
      <c r="E370" s="127">
        <f t="shared" si="115"/>
        <v>168</v>
      </c>
      <c r="F370" s="111"/>
      <c r="G370" s="130">
        <f>INDEX(December!$C$3:$AH$169,3,MATCH(B370,December!$D$3:$AH$3)+1)+INDEX(December!$C$3:$AH$169,8,MATCH(B370,December!$D$3:$AH$3)+1)+INDEX(December!$C$3:$AH$169,13,MATCH(B370,December!$D$3:$AH$3)+1)+INDEX(December!$C$3:$AH$169,18,MATCH(B370,December!$D$3:$AH$3)+1)+INDEX(December!$C$3:$AH$169,23,MATCH(B370,December!$D$3:$AH$3)+1)+INDEX(December!$C$3:$AH$169,28,MATCH(B370,December!$D$3:$AH$3)+1)+INDEX(December!$C$3:$AH$169,33,MATCH(B370,December!$D$3:$AH$3)+1)+INDEX(December!$C$3:$AH$169,38,MATCH(B370,December!$D$3:$AH$3)+1)+INDEX(December!$C$3:$AH$169,43,MATCH(B370,December!$D$3:$AH$3)+1)+INDEX(December!$C$3:$AH$169,48,MATCH(B370,December!$D$3:$AH$3)+1)+INDEX(December!$C$3:$AH$169,53,MATCH(B370,December!$D$3:$AH$3)+1)+INDEX(December!$C$3:$AH$169,58,MATCH(B370,December!$D$3:$AH$3)+1)+INDEX(December!$C$3:$AH$169,63,MATCH(B370,December!$D$3:$AH$3)+1)+INDEX(December!$C$3:$AH$169,68,MATCH(B370,December!$D$3:$AH$3)+1)+INDEX(December!$C$3:$AH$169,73,MATCH(B370,December!$D$3:$AH$3)+1)+INDEX(December!$C$3:$AH$169,78,MATCH(B370,December!$D$3:$AH$3)+1)+INDEX(December!$C$3:$AH$169,83,MATCH(B370,December!$D$3:$AH$3)+1)+INDEX(December!$C$3:$AH$169,88,MATCH(B370,December!$D$3:$AH$3)+1)+INDEX(December!$C$3:$AH$169,93,MATCH(B370,December!$D$3:$AH$3)+1)+INDEX(December!$C$3:$AH$169,98,MATCH(B370,December!$D$3:$AH$3)+1)+INDEX(December!$C$3:$AH$169,103,MATCH(B370,December!$D$3:$AH$3)+1)+INDEX(December!$C$3:$AH$169,108,MATCH(B370,December!$D$3:$AH$3)+1)+INDEX(December!$C$3:$AH$169,113,MATCH(B370,December!$D$3:$AH$3)+1)+INDEX(December!$C$3:$AH$169,118,MATCH(B370,December!$D$3:$AH$3)+1)+INDEX(December!$C$3:$AH$169,123,MATCH(B370,December!$D$3:$AH$3)+1)+INDEX(December!$C$3:$AH$169,128,MATCH(B370,December!$D$3:$AH$3)+1)+INDEX(December!$C$3:$AH$169,133,MATCH(B370,December!$D$3:$AH$3)+1)+INDEX(December!$C$3:$AH$169,138,MATCH(B370,December!$D$3:$AH$3)+1)+INDEX(December!$C$3:$AH$169,143,MATCH(B370,December!$D$3:$AH$3)+1)+INDEX(December!$C$3:$AH$169,148,MATCH(B370,December!$D$3:$AH$3)+1)-INDEX(December!$B$5:$AH$169,MATCH("Patrick Janssen",December!$B$5:$B$169),MATCH(B370,December!$D$3:$AH$3)+2)-INDEX(December!$B$5:$AH$169,MATCH("Patrick Ziesen",December!$B$5:$B$169),MATCH(B370,December!$D$3:$AH$3)+2)-INDEX(December!$B$5:$AH$169,MATCH("Frido Meijer",December!$B$5:$B$169),MATCH(B370,December!$D$3:$AH$3)+2)</f>
        <v>0</v>
      </c>
      <c r="H370" s="130">
        <f>INDEX(December!$C$3:$AH$169,4,MATCH(B370,December!$D$3:$AH$3)+1)+INDEX(December!$C$3:$AH$169,9,MATCH(B370,December!$D$3:$AH$3)+1)+INDEX(December!$C$3:$AH$169,14,MATCH(B370,December!$D$3:$AH$3)+1)+INDEX(December!$C$3:$AH$169,19,MATCH(B370,December!$D$3:$AH$3)+1)+INDEX(December!$C$3:$AH$169,24,MATCH(B370,December!$D$3:$AH$3)+1)+INDEX(December!$C$3:$AH$169,29,MATCH(B370,December!$D$3:$AH$3)+1)+INDEX(December!$C$3:$AH$169,34,MATCH(B370,December!$D$3:$AH$3)+1)+INDEX(December!$C$3:$AH$169,39,MATCH(B370,December!$D$3:$AH$3)+1)+INDEX(December!$C$3:$AH$169,44,MATCH(B370,December!$D$3:$AH$3)+1)+INDEX(December!$C$3:$AH$169,49,MATCH(B370,December!$D$3:$AH$3)+1)+INDEX(December!$C$3:$AH$169,54,MATCH(B370,December!$D$3:$AH$3)+1)+INDEX(December!$C$3:$AH$169,59,MATCH(B370,December!$D$3:$AH$3)+1)+INDEX(December!$C$3:$AH$169,64,MATCH(B370,December!$D$3:$AH$3)+1)+INDEX(December!$C$3:$AH$169,69,MATCH(B370,December!$D$3:$AH$3)+1)+INDEX(December!$C$3:$AH$169,74,MATCH(B370,December!$D$3:$AH$3)+1)+INDEX(December!$C$3:$AH$169,79,MATCH(B370,December!$D$3:$AH$3)+1)+INDEX(December!$C$3:$AH$169,84,MATCH(B370,December!$D$3:$AH$3)+1)+INDEX(December!$C$3:$AH$169,89,MATCH(B370,December!$D$3:$AH$3)+1)+INDEX(December!$C$3:$AH$169,94,MATCH(B370,December!$D$3:$AH$3)+1)+INDEX(December!$C$3:$AH$169,99,MATCH(B370,December!$D$3:$AH$3)+1)+INDEX(December!$C$3:$AH$169,104,MATCH(B370,December!$D$3:$AH$3)+1)+INDEX(December!$C$3:$AH$169,109,MATCH(B370,December!$D$3:$AH$3)+1)+INDEX(December!$C$3:$AH$169,114,MATCH(B370,December!$D$3:$AH$3)+1)+INDEX(December!$C$3:$AH$169,119,MATCH(B370,December!$D$3:$AH$3)+1)+INDEX(December!$C$3:$AH$169,124,MATCH(B370,December!$D$3:$AH$3)+1)+INDEX(December!$C$3:$AH$169,129,MATCH(B370,December!$D$3:$AH$3)+1)+INDEX(December!$C$3:$AH$169,134,MATCH(B370,December!$D$3:$AH$3)+1)+INDEX(December!$C$3:$AH$169,139,MATCH(B370,December!$D$3:$AH$3)+1)+INDEX(December!$C$3:$AH$169,144,MATCH(B370,December!$D$3:$AH$3)+1)+INDEX(December!$C$3:$AH$169,149,MATCH(B370,December!$D$3:$AH$3)+1)-INDEX(December!$B$5:$AH$169,MATCH("Patrick Janssen",December!$B$5:$B$169)+1,MATCH(B370,December!$D$3:$AH$3)+2)-INDEX(December!$B$5:$AH$169,MATCH("Patrick Ziesen",December!$B$5:$B$169)+1,MATCH(B370,December!$D$3:$AH$3)+2)-INDEX(December!$B$5:$AH$169,MATCH("Frido Meijer",December!$B$5:$B$169)+1,MATCH(B370,December!$D$3:$AH$3)+2)</f>
        <v>0</v>
      </c>
      <c r="I370" s="130">
        <v>0</v>
      </c>
      <c r="J370" s="130">
        <v>0</v>
      </c>
      <c r="L370" s="111"/>
      <c r="M370" s="111"/>
      <c r="N370" s="111">
        <f t="shared" si="111"/>
        <v>0</v>
      </c>
      <c r="P370" s="112">
        <f t="shared" si="112"/>
        <v>0</v>
      </c>
      <c r="Q370" s="112">
        <f t="shared" si="113"/>
        <v>0</v>
      </c>
    </row>
    <row r="371" spans="2:17" x14ac:dyDescent="0.25">
      <c r="B371" s="110">
        <f>DATE(Title!$F$12,$S$16,S14)</f>
        <v>41618</v>
      </c>
      <c r="C371" s="111">
        <f>IF(WEEKDAY(B371)=1,0,IF(WEEKDAY(B371)=4,'Hours Scheduled'!$O$44-1,IF(WEEKDAY(B371)=7,0,'Hours Scheduled'!$O$44)))</f>
        <v>21</v>
      </c>
      <c r="D371" s="17">
        <f t="shared" si="114"/>
        <v>157.5</v>
      </c>
      <c r="E371" s="127">
        <f t="shared" si="115"/>
        <v>168</v>
      </c>
      <c r="F371" s="111"/>
      <c r="G371" s="130">
        <f>INDEX(December!$C$3:$AH$169,3,MATCH(B371,December!$D$3:$AH$3)+1)+INDEX(December!$C$3:$AH$169,8,MATCH(B371,December!$D$3:$AH$3)+1)+INDEX(December!$C$3:$AH$169,13,MATCH(B371,December!$D$3:$AH$3)+1)+INDEX(December!$C$3:$AH$169,18,MATCH(B371,December!$D$3:$AH$3)+1)+INDEX(December!$C$3:$AH$169,23,MATCH(B371,December!$D$3:$AH$3)+1)+INDEX(December!$C$3:$AH$169,28,MATCH(B371,December!$D$3:$AH$3)+1)+INDEX(December!$C$3:$AH$169,33,MATCH(B371,December!$D$3:$AH$3)+1)+INDEX(December!$C$3:$AH$169,38,MATCH(B371,December!$D$3:$AH$3)+1)+INDEX(December!$C$3:$AH$169,43,MATCH(B371,December!$D$3:$AH$3)+1)+INDEX(December!$C$3:$AH$169,48,MATCH(B371,December!$D$3:$AH$3)+1)+INDEX(December!$C$3:$AH$169,53,MATCH(B371,December!$D$3:$AH$3)+1)+INDEX(December!$C$3:$AH$169,58,MATCH(B371,December!$D$3:$AH$3)+1)+INDEX(December!$C$3:$AH$169,63,MATCH(B371,December!$D$3:$AH$3)+1)+INDEX(December!$C$3:$AH$169,68,MATCH(B371,December!$D$3:$AH$3)+1)+INDEX(December!$C$3:$AH$169,73,MATCH(B371,December!$D$3:$AH$3)+1)+INDEX(December!$C$3:$AH$169,78,MATCH(B371,December!$D$3:$AH$3)+1)+INDEX(December!$C$3:$AH$169,83,MATCH(B371,December!$D$3:$AH$3)+1)+INDEX(December!$C$3:$AH$169,88,MATCH(B371,December!$D$3:$AH$3)+1)+INDEX(December!$C$3:$AH$169,93,MATCH(B371,December!$D$3:$AH$3)+1)+INDEX(December!$C$3:$AH$169,98,MATCH(B371,December!$D$3:$AH$3)+1)+INDEX(December!$C$3:$AH$169,103,MATCH(B371,December!$D$3:$AH$3)+1)+INDEX(December!$C$3:$AH$169,108,MATCH(B371,December!$D$3:$AH$3)+1)+INDEX(December!$C$3:$AH$169,113,MATCH(B371,December!$D$3:$AH$3)+1)+INDEX(December!$C$3:$AH$169,118,MATCH(B371,December!$D$3:$AH$3)+1)+INDEX(December!$C$3:$AH$169,123,MATCH(B371,December!$D$3:$AH$3)+1)+INDEX(December!$C$3:$AH$169,128,MATCH(B371,December!$D$3:$AH$3)+1)+INDEX(December!$C$3:$AH$169,133,MATCH(B371,December!$D$3:$AH$3)+1)+INDEX(December!$C$3:$AH$169,138,MATCH(B371,December!$D$3:$AH$3)+1)+INDEX(December!$C$3:$AH$169,143,MATCH(B371,December!$D$3:$AH$3)+1)+INDEX(December!$C$3:$AH$169,148,MATCH(B371,December!$D$3:$AH$3)+1)-INDEX(December!$B$5:$AH$169,MATCH("Patrick Janssen",December!$B$5:$B$169),MATCH(B371,December!$D$3:$AH$3)+2)-INDEX(December!$B$5:$AH$169,MATCH("Patrick Ziesen",December!$B$5:$B$169),MATCH(B371,December!$D$3:$AH$3)+2)-INDEX(December!$B$5:$AH$169,MATCH("Frido Meijer",December!$B$5:$B$169),MATCH(B371,December!$D$3:$AH$3)+2)</f>
        <v>0</v>
      </c>
      <c r="H371" s="130">
        <f>INDEX(December!$C$3:$AH$169,4,MATCH(B371,December!$D$3:$AH$3)+1)+INDEX(December!$C$3:$AH$169,9,MATCH(B371,December!$D$3:$AH$3)+1)+INDEX(December!$C$3:$AH$169,14,MATCH(B371,December!$D$3:$AH$3)+1)+INDEX(December!$C$3:$AH$169,19,MATCH(B371,December!$D$3:$AH$3)+1)+INDEX(December!$C$3:$AH$169,24,MATCH(B371,December!$D$3:$AH$3)+1)+INDEX(December!$C$3:$AH$169,29,MATCH(B371,December!$D$3:$AH$3)+1)+INDEX(December!$C$3:$AH$169,34,MATCH(B371,December!$D$3:$AH$3)+1)+INDEX(December!$C$3:$AH$169,39,MATCH(B371,December!$D$3:$AH$3)+1)+INDEX(December!$C$3:$AH$169,44,MATCH(B371,December!$D$3:$AH$3)+1)+INDEX(December!$C$3:$AH$169,49,MATCH(B371,December!$D$3:$AH$3)+1)+INDEX(December!$C$3:$AH$169,54,MATCH(B371,December!$D$3:$AH$3)+1)+INDEX(December!$C$3:$AH$169,59,MATCH(B371,December!$D$3:$AH$3)+1)+INDEX(December!$C$3:$AH$169,64,MATCH(B371,December!$D$3:$AH$3)+1)+INDEX(December!$C$3:$AH$169,69,MATCH(B371,December!$D$3:$AH$3)+1)+INDEX(December!$C$3:$AH$169,74,MATCH(B371,December!$D$3:$AH$3)+1)+INDEX(December!$C$3:$AH$169,79,MATCH(B371,December!$D$3:$AH$3)+1)+INDEX(December!$C$3:$AH$169,84,MATCH(B371,December!$D$3:$AH$3)+1)+INDEX(December!$C$3:$AH$169,89,MATCH(B371,December!$D$3:$AH$3)+1)+INDEX(December!$C$3:$AH$169,94,MATCH(B371,December!$D$3:$AH$3)+1)+INDEX(December!$C$3:$AH$169,99,MATCH(B371,December!$D$3:$AH$3)+1)+INDEX(December!$C$3:$AH$169,104,MATCH(B371,December!$D$3:$AH$3)+1)+INDEX(December!$C$3:$AH$169,109,MATCH(B371,December!$D$3:$AH$3)+1)+INDEX(December!$C$3:$AH$169,114,MATCH(B371,December!$D$3:$AH$3)+1)+INDEX(December!$C$3:$AH$169,119,MATCH(B371,December!$D$3:$AH$3)+1)+INDEX(December!$C$3:$AH$169,124,MATCH(B371,December!$D$3:$AH$3)+1)+INDEX(December!$C$3:$AH$169,129,MATCH(B371,December!$D$3:$AH$3)+1)+INDEX(December!$C$3:$AH$169,134,MATCH(B371,December!$D$3:$AH$3)+1)+INDEX(December!$C$3:$AH$169,139,MATCH(B371,December!$D$3:$AH$3)+1)+INDEX(December!$C$3:$AH$169,144,MATCH(B371,December!$D$3:$AH$3)+1)+INDEX(December!$C$3:$AH$169,149,MATCH(B371,December!$D$3:$AH$3)+1)-INDEX(December!$B$5:$AH$169,MATCH("Patrick Janssen",December!$B$5:$B$169)+1,MATCH(B371,December!$D$3:$AH$3)+2)-INDEX(December!$B$5:$AH$169,MATCH("Patrick Ziesen",December!$B$5:$B$169)+1,MATCH(B371,December!$D$3:$AH$3)+2)-INDEX(December!$B$5:$AH$169,MATCH("Frido Meijer",December!$B$5:$B$169)+1,MATCH(B371,December!$D$3:$AH$3)+2)</f>
        <v>0</v>
      </c>
      <c r="I371" s="130">
        <v>0</v>
      </c>
      <c r="J371" s="130">
        <v>0</v>
      </c>
      <c r="L371" s="111"/>
      <c r="M371" s="111"/>
      <c r="N371" s="111">
        <f t="shared" si="111"/>
        <v>0</v>
      </c>
      <c r="P371" s="112">
        <f t="shared" si="112"/>
        <v>0</v>
      </c>
      <c r="Q371" s="112">
        <f t="shared" si="113"/>
        <v>0</v>
      </c>
    </row>
    <row r="372" spans="2:17" x14ac:dyDescent="0.25">
      <c r="B372" s="110">
        <f>DATE(Title!$F$12,$S$16,S15)</f>
        <v>41619</v>
      </c>
      <c r="C372" s="111">
        <f>IF(WEEKDAY(B372)=1,0,IF(WEEKDAY(B372)=4,'Hours Scheduled'!$O$44-1,IF(WEEKDAY(B372)=7,0,'Hours Scheduled'!$O$44)))</f>
        <v>20</v>
      </c>
      <c r="D372" s="17">
        <f t="shared" si="114"/>
        <v>150</v>
      </c>
      <c r="E372" s="127">
        <f t="shared" si="115"/>
        <v>160</v>
      </c>
      <c r="F372" s="111"/>
      <c r="G372" s="130">
        <f>INDEX(December!$C$3:$AH$169,3,MATCH(B372,December!$D$3:$AH$3)+1)+INDEX(December!$C$3:$AH$169,8,MATCH(B372,December!$D$3:$AH$3)+1)+INDEX(December!$C$3:$AH$169,13,MATCH(B372,December!$D$3:$AH$3)+1)+INDEX(December!$C$3:$AH$169,18,MATCH(B372,December!$D$3:$AH$3)+1)+INDEX(December!$C$3:$AH$169,23,MATCH(B372,December!$D$3:$AH$3)+1)+INDEX(December!$C$3:$AH$169,28,MATCH(B372,December!$D$3:$AH$3)+1)+INDEX(December!$C$3:$AH$169,33,MATCH(B372,December!$D$3:$AH$3)+1)+INDEX(December!$C$3:$AH$169,38,MATCH(B372,December!$D$3:$AH$3)+1)+INDEX(December!$C$3:$AH$169,43,MATCH(B372,December!$D$3:$AH$3)+1)+INDEX(December!$C$3:$AH$169,48,MATCH(B372,December!$D$3:$AH$3)+1)+INDEX(December!$C$3:$AH$169,53,MATCH(B372,December!$D$3:$AH$3)+1)+INDEX(December!$C$3:$AH$169,58,MATCH(B372,December!$D$3:$AH$3)+1)+INDEX(December!$C$3:$AH$169,63,MATCH(B372,December!$D$3:$AH$3)+1)+INDEX(December!$C$3:$AH$169,68,MATCH(B372,December!$D$3:$AH$3)+1)+INDEX(December!$C$3:$AH$169,73,MATCH(B372,December!$D$3:$AH$3)+1)+INDEX(December!$C$3:$AH$169,78,MATCH(B372,December!$D$3:$AH$3)+1)+INDEX(December!$C$3:$AH$169,83,MATCH(B372,December!$D$3:$AH$3)+1)+INDEX(December!$C$3:$AH$169,88,MATCH(B372,December!$D$3:$AH$3)+1)+INDEX(December!$C$3:$AH$169,93,MATCH(B372,December!$D$3:$AH$3)+1)+INDEX(December!$C$3:$AH$169,98,MATCH(B372,December!$D$3:$AH$3)+1)+INDEX(December!$C$3:$AH$169,103,MATCH(B372,December!$D$3:$AH$3)+1)+INDEX(December!$C$3:$AH$169,108,MATCH(B372,December!$D$3:$AH$3)+1)+INDEX(December!$C$3:$AH$169,113,MATCH(B372,December!$D$3:$AH$3)+1)+INDEX(December!$C$3:$AH$169,118,MATCH(B372,December!$D$3:$AH$3)+1)+INDEX(December!$C$3:$AH$169,123,MATCH(B372,December!$D$3:$AH$3)+1)+INDEX(December!$C$3:$AH$169,128,MATCH(B372,December!$D$3:$AH$3)+1)+INDEX(December!$C$3:$AH$169,133,MATCH(B372,December!$D$3:$AH$3)+1)+INDEX(December!$C$3:$AH$169,138,MATCH(B372,December!$D$3:$AH$3)+1)+INDEX(December!$C$3:$AH$169,143,MATCH(B372,December!$D$3:$AH$3)+1)+INDEX(December!$C$3:$AH$169,148,MATCH(B372,December!$D$3:$AH$3)+1)-INDEX(December!$B$5:$AH$169,MATCH("Patrick Janssen",December!$B$5:$B$169),MATCH(B372,December!$D$3:$AH$3)+2)-INDEX(December!$B$5:$AH$169,MATCH("Patrick Ziesen",December!$B$5:$B$169),MATCH(B372,December!$D$3:$AH$3)+2)-INDEX(December!$B$5:$AH$169,MATCH("Frido Meijer",December!$B$5:$B$169),MATCH(B372,December!$D$3:$AH$3)+2)</f>
        <v>0</v>
      </c>
      <c r="H372" s="130">
        <f>INDEX(December!$C$3:$AH$169,4,MATCH(B372,December!$D$3:$AH$3)+1)+INDEX(December!$C$3:$AH$169,9,MATCH(B372,December!$D$3:$AH$3)+1)+INDEX(December!$C$3:$AH$169,14,MATCH(B372,December!$D$3:$AH$3)+1)+INDEX(December!$C$3:$AH$169,19,MATCH(B372,December!$D$3:$AH$3)+1)+INDEX(December!$C$3:$AH$169,24,MATCH(B372,December!$D$3:$AH$3)+1)+INDEX(December!$C$3:$AH$169,29,MATCH(B372,December!$D$3:$AH$3)+1)+INDEX(December!$C$3:$AH$169,34,MATCH(B372,December!$D$3:$AH$3)+1)+INDEX(December!$C$3:$AH$169,39,MATCH(B372,December!$D$3:$AH$3)+1)+INDEX(December!$C$3:$AH$169,44,MATCH(B372,December!$D$3:$AH$3)+1)+INDEX(December!$C$3:$AH$169,49,MATCH(B372,December!$D$3:$AH$3)+1)+INDEX(December!$C$3:$AH$169,54,MATCH(B372,December!$D$3:$AH$3)+1)+INDEX(December!$C$3:$AH$169,59,MATCH(B372,December!$D$3:$AH$3)+1)+INDEX(December!$C$3:$AH$169,64,MATCH(B372,December!$D$3:$AH$3)+1)+INDEX(December!$C$3:$AH$169,69,MATCH(B372,December!$D$3:$AH$3)+1)+INDEX(December!$C$3:$AH$169,74,MATCH(B372,December!$D$3:$AH$3)+1)+INDEX(December!$C$3:$AH$169,79,MATCH(B372,December!$D$3:$AH$3)+1)+INDEX(December!$C$3:$AH$169,84,MATCH(B372,December!$D$3:$AH$3)+1)+INDEX(December!$C$3:$AH$169,89,MATCH(B372,December!$D$3:$AH$3)+1)+INDEX(December!$C$3:$AH$169,94,MATCH(B372,December!$D$3:$AH$3)+1)+INDEX(December!$C$3:$AH$169,99,MATCH(B372,December!$D$3:$AH$3)+1)+INDEX(December!$C$3:$AH$169,104,MATCH(B372,December!$D$3:$AH$3)+1)+INDEX(December!$C$3:$AH$169,109,MATCH(B372,December!$D$3:$AH$3)+1)+INDEX(December!$C$3:$AH$169,114,MATCH(B372,December!$D$3:$AH$3)+1)+INDEX(December!$C$3:$AH$169,119,MATCH(B372,December!$D$3:$AH$3)+1)+INDEX(December!$C$3:$AH$169,124,MATCH(B372,December!$D$3:$AH$3)+1)+INDEX(December!$C$3:$AH$169,129,MATCH(B372,December!$D$3:$AH$3)+1)+INDEX(December!$C$3:$AH$169,134,MATCH(B372,December!$D$3:$AH$3)+1)+INDEX(December!$C$3:$AH$169,139,MATCH(B372,December!$D$3:$AH$3)+1)+INDEX(December!$C$3:$AH$169,144,MATCH(B372,December!$D$3:$AH$3)+1)+INDEX(December!$C$3:$AH$169,149,MATCH(B372,December!$D$3:$AH$3)+1)-INDEX(December!$B$5:$AH$169,MATCH("Patrick Janssen",December!$B$5:$B$169)+1,MATCH(B372,December!$D$3:$AH$3)+2)-INDEX(December!$B$5:$AH$169,MATCH("Patrick Ziesen",December!$B$5:$B$169)+1,MATCH(B372,December!$D$3:$AH$3)+2)-INDEX(December!$B$5:$AH$169,MATCH("Frido Meijer",December!$B$5:$B$169)+1,MATCH(B372,December!$D$3:$AH$3)+2)</f>
        <v>0</v>
      </c>
      <c r="I372" s="130">
        <v>0</v>
      </c>
      <c r="J372" s="130">
        <v>0</v>
      </c>
      <c r="L372" s="111"/>
      <c r="M372" s="111"/>
      <c r="N372" s="111">
        <f t="shared" si="111"/>
        <v>0</v>
      </c>
      <c r="P372" s="112">
        <f t="shared" si="112"/>
        <v>0</v>
      </c>
      <c r="Q372" s="112">
        <f t="shared" si="113"/>
        <v>0</v>
      </c>
    </row>
    <row r="373" spans="2:17" x14ac:dyDescent="0.25">
      <c r="B373" s="110">
        <f>DATE(Title!$F$12,$S$16,S16)</f>
        <v>41620</v>
      </c>
      <c r="C373" s="111">
        <f>IF(WEEKDAY(B373)=1,0,IF(WEEKDAY(B373)=4,'Hours Scheduled'!$O$44-1,IF(WEEKDAY(B373)=7,0,'Hours Scheduled'!$O$44)))</f>
        <v>21</v>
      </c>
      <c r="D373" s="17">
        <f t="shared" si="114"/>
        <v>157.5</v>
      </c>
      <c r="E373" s="127">
        <f t="shared" si="115"/>
        <v>168</v>
      </c>
      <c r="F373" s="111"/>
      <c r="G373" s="130">
        <f>INDEX(December!$C$3:$AH$169,3,MATCH(B373,December!$D$3:$AH$3)+1)+INDEX(December!$C$3:$AH$169,8,MATCH(B373,December!$D$3:$AH$3)+1)+INDEX(December!$C$3:$AH$169,13,MATCH(B373,December!$D$3:$AH$3)+1)+INDEX(December!$C$3:$AH$169,18,MATCH(B373,December!$D$3:$AH$3)+1)+INDEX(December!$C$3:$AH$169,23,MATCH(B373,December!$D$3:$AH$3)+1)+INDEX(December!$C$3:$AH$169,28,MATCH(B373,December!$D$3:$AH$3)+1)+INDEX(December!$C$3:$AH$169,33,MATCH(B373,December!$D$3:$AH$3)+1)+INDEX(December!$C$3:$AH$169,38,MATCH(B373,December!$D$3:$AH$3)+1)+INDEX(December!$C$3:$AH$169,43,MATCH(B373,December!$D$3:$AH$3)+1)+INDEX(December!$C$3:$AH$169,48,MATCH(B373,December!$D$3:$AH$3)+1)+INDEX(December!$C$3:$AH$169,53,MATCH(B373,December!$D$3:$AH$3)+1)+INDEX(December!$C$3:$AH$169,58,MATCH(B373,December!$D$3:$AH$3)+1)+INDEX(December!$C$3:$AH$169,63,MATCH(B373,December!$D$3:$AH$3)+1)+INDEX(December!$C$3:$AH$169,68,MATCH(B373,December!$D$3:$AH$3)+1)+INDEX(December!$C$3:$AH$169,73,MATCH(B373,December!$D$3:$AH$3)+1)+INDEX(December!$C$3:$AH$169,78,MATCH(B373,December!$D$3:$AH$3)+1)+INDEX(December!$C$3:$AH$169,83,MATCH(B373,December!$D$3:$AH$3)+1)+INDEX(December!$C$3:$AH$169,88,MATCH(B373,December!$D$3:$AH$3)+1)+INDEX(December!$C$3:$AH$169,93,MATCH(B373,December!$D$3:$AH$3)+1)+INDEX(December!$C$3:$AH$169,98,MATCH(B373,December!$D$3:$AH$3)+1)+INDEX(December!$C$3:$AH$169,103,MATCH(B373,December!$D$3:$AH$3)+1)+INDEX(December!$C$3:$AH$169,108,MATCH(B373,December!$D$3:$AH$3)+1)+INDEX(December!$C$3:$AH$169,113,MATCH(B373,December!$D$3:$AH$3)+1)+INDEX(December!$C$3:$AH$169,118,MATCH(B373,December!$D$3:$AH$3)+1)+INDEX(December!$C$3:$AH$169,123,MATCH(B373,December!$D$3:$AH$3)+1)+INDEX(December!$C$3:$AH$169,128,MATCH(B373,December!$D$3:$AH$3)+1)+INDEX(December!$C$3:$AH$169,133,MATCH(B373,December!$D$3:$AH$3)+1)+INDEX(December!$C$3:$AH$169,138,MATCH(B373,December!$D$3:$AH$3)+1)+INDEX(December!$C$3:$AH$169,143,MATCH(B373,December!$D$3:$AH$3)+1)+INDEX(December!$C$3:$AH$169,148,MATCH(B373,December!$D$3:$AH$3)+1)-INDEX(December!$B$5:$AH$169,MATCH("Patrick Janssen",December!$B$5:$B$169),MATCH(B373,December!$D$3:$AH$3)+2)-INDEX(December!$B$5:$AH$169,MATCH("Patrick Ziesen",December!$B$5:$B$169),MATCH(B373,December!$D$3:$AH$3)+2)-INDEX(December!$B$5:$AH$169,MATCH("Frido Meijer",December!$B$5:$B$169),MATCH(B373,December!$D$3:$AH$3)+2)</f>
        <v>0</v>
      </c>
      <c r="H373" s="130">
        <f>INDEX(December!$C$3:$AH$169,4,MATCH(B373,December!$D$3:$AH$3)+1)+INDEX(December!$C$3:$AH$169,9,MATCH(B373,December!$D$3:$AH$3)+1)+INDEX(December!$C$3:$AH$169,14,MATCH(B373,December!$D$3:$AH$3)+1)+INDEX(December!$C$3:$AH$169,19,MATCH(B373,December!$D$3:$AH$3)+1)+INDEX(December!$C$3:$AH$169,24,MATCH(B373,December!$D$3:$AH$3)+1)+INDEX(December!$C$3:$AH$169,29,MATCH(B373,December!$D$3:$AH$3)+1)+INDEX(December!$C$3:$AH$169,34,MATCH(B373,December!$D$3:$AH$3)+1)+INDEX(December!$C$3:$AH$169,39,MATCH(B373,December!$D$3:$AH$3)+1)+INDEX(December!$C$3:$AH$169,44,MATCH(B373,December!$D$3:$AH$3)+1)+INDEX(December!$C$3:$AH$169,49,MATCH(B373,December!$D$3:$AH$3)+1)+INDEX(December!$C$3:$AH$169,54,MATCH(B373,December!$D$3:$AH$3)+1)+INDEX(December!$C$3:$AH$169,59,MATCH(B373,December!$D$3:$AH$3)+1)+INDEX(December!$C$3:$AH$169,64,MATCH(B373,December!$D$3:$AH$3)+1)+INDEX(December!$C$3:$AH$169,69,MATCH(B373,December!$D$3:$AH$3)+1)+INDEX(December!$C$3:$AH$169,74,MATCH(B373,December!$D$3:$AH$3)+1)+INDEX(December!$C$3:$AH$169,79,MATCH(B373,December!$D$3:$AH$3)+1)+INDEX(December!$C$3:$AH$169,84,MATCH(B373,December!$D$3:$AH$3)+1)+INDEX(December!$C$3:$AH$169,89,MATCH(B373,December!$D$3:$AH$3)+1)+INDEX(December!$C$3:$AH$169,94,MATCH(B373,December!$D$3:$AH$3)+1)+INDEX(December!$C$3:$AH$169,99,MATCH(B373,December!$D$3:$AH$3)+1)+INDEX(December!$C$3:$AH$169,104,MATCH(B373,December!$D$3:$AH$3)+1)+INDEX(December!$C$3:$AH$169,109,MATCH(B373,December!$D$3:$AH$3)+1)+INDEX(December!$C$3:$AH$169,114,MATCH(B373,December!$D$3:$AH$3)+1)+INDEX(December!$C$3:$AH$169,119,MATCH(B373,December!$D$3:$AH$3)+1)+INDEX(December!$C$3:$AH$169,124,MATCH(B373,December!$D$3:$AH$3)+1)+INDEX(December!$C$3:$AH$169,129,MATCH(B373,December!$D$3:$AH$3)+1)+INDEX(December!$C$3:$AH$169,134,MATCH(B373,December!$D$3:$AH$3)+1)+INDEX(December!$C$3:$AH$169,139,MATCH(B373,December!$D$3:$AH$3)+1)+INDEX(December!$C$3:$AH$169,144,MATCH(B373,December!$D$3:$AH$3)+1)+INDEX(December!$C$3:$AH$169,149,MATCH(B373,December!$D$3:$AH$3)+1)-INDEX(December!$B$5:$AH$169,MATCH("Patrick Janssen",December!$B$5:$B$169)+1,MATCH(B373,December!$D$3:$AH$3)+2)-INDEX(December!$B$5:$AH$169,MATCH("Patrick Ziesen",December!$B$5:$B$169)+1,MATCH(B373,December!$D$3:$AH$3)+2)-INDEX(December!$B$5:$AH$169,MATCH("Frido Meijer",December!$B$5:$B$169)+1,MATCH(B373,December!$D$3:$AH$3)+2)</f>
        <v>0</v>
      </c>
      <c r="I373" s="130">
        <v>0</v>
      </c>
      <c r="J373" s="130">
        <v>0</v>
      </c>
      <c r="L373" s="111"/>
      <c r="M373" s="111"/>
      <c r="N373" s="111">
        <f t="shared" si="111"/>
        <v>0</v>
      </c>
      <c r="P373" s="112">
        <f t="shared" si="112"/>
        <v>0</v>
      </c>
      <c r="Q373" s="112">
        <f t="shared" si="113"/>
        <v>0</v>
      </c>
    </row>
    <row r="374" spans="2:17" x14ac:dyDescent="0.25">
      <c r="B374" s="110">
        <f>DATE(Title!$F$12,$S$16,S17)</f>
        <v>41621</v>
      </c>
      <c r="C374" s="111">
        <f>IF(WEEKDAY(B374)=1,0,IF(WEEKDAY(B374)=4,'Hours Scheduled'!$O$44-1,IF(WEEKDAY(B374)=7,0,'Hours Scheduled'!$O$44)))</f>
        <v>21</v>
      </c>
      <c r="D374" s="17">
        <f t="shared" si="114"/>
        <v>157.5</v>
      </c>
      <c r="E374" s="127">
        <f t="shared" si="115"/>
        <v>168</v>
      </c>
      <c r="F374" s="111"/>
      <c r="G374" s="130">
        <f>INDEX(December!$C$3:$AH$169,3,MATCH(B374,December!$D$3:$AH$3)+1)+INDEX(December!$C$3:$AH$169,8,MATCH(B374,December!$D$3:$AH$3)+1)+INDEX(December!$C$3:$AH$169,13,MATCH(B374,December!$D$3:$AH$3)+1)+INDEX(December!$C$3:$AH$169,18,MATCH(B374,December!$D$3:$AH$3)+1)+INDEX(December!$C$3:$AH$169,23,MATCH(B374,December!$D$3:$AH$3)+1)+INDEX(December!$C$3:$AH$169,28,MATCH(B374,December!$D$3:$AH$3)+1)+INDEX(December!$C$3:$AH$169,33,MATCH(B374,December!$D$3:$AH$3)+1)+INDEX(December!$C$3:$AH$169,38,MATCH(B374,December!$D$3:$AH$3)+1)+INDEX(December!$C$3:$AH$169,43,MATCH(B374,December!$D$3:$AH$3)+1)+INDEX(December!$C$3:$AH$169,48,MATCH(B374,December!$D$3:$AH$3)+1)+INDEX(December!$C$3:$AH$169,53,MATCH(B374,December!$D$3:$AH$3)+1)+INDEX(December!$C$3:$AH$169,58,MATCH(B374,December!$D$3:$AH$3)+1)+INDEX(December!$C$3:$AH$169,63,MATCH(B374,December!$D$3:$AH$3)+1)+INDEX(December!$C$3:$AH$169,68,MATCH(B374,December!$D$3:$AH$3)+1)+INDEX(December!$C$3:$AH$169,73,MATCH(B374,December!$D$3:$AH$3)+1)+INDEX(December!$C$3:$AH$169,78,MATCH(B374,December!$D$3:$AH$3)+1)+INDEX(December!$C$3:$AH$169,83,MATCH(B374,December!$D$3:$AH$3)+1)+INDEX(December!$C$3:$AH$169,88,MATCH(B374,December!$D$3:$AH$3)+1)+INDEX(December!$C$3:$AH$169,93,MATCH(B374,December!$D$3:$AH$3)+1)+INDEX(December!$C$3:$AH$169,98,MATCH(B374,December!$D$3:$AH$3)+1)+INDEX(December!$C$3:$AH$169,103,MATCH(B374,December!$D$3:$AH$3)+1)+INDEX(December!$C$3:$AH$169,108,MATCH(B374,December!$D$3:$AH$3)+1)+INDEX(December!$C$3:$AH$169,113,MATCH(B374,December!$D$3:$AH$3)+1)+INDEX(December!$C$3:$AH$169,118,MATCH(B374,December!$D$3:$AH$3)+1)+INDEX(December!$C$3:$AH$169,123,MATCH(B374,December!$D$3:$AH$3)+1)+INDEX(December!$C$3:$AH$169,128,MATCH(B374,December!$D$3:$AH$3)+1)+INDEX(December!$C$3:$AH$169,133,MATCH(B374,December!$D$3:$AH$3)+1)+INDEX(December!$C$3:$AH$169,138,MATCH(B374,December!$D$3:$AH$3)+1)+INDEX(December!$C$3:$AH$169,143,MATCH(B374,December!$D$3:$AH$3)+1)+INDEX(December!$C$3:$AH$169,148,MATCH(B374,December!$D$3:$AH$3)+1)-INDEX(December!$B$5:$AH$169,MATCH("Patrick Janssen",December!$B$5:$B$169),MATCH(B374,December!$D$3:$AH$3)+2)-INDEX(December!$B$5:$AH$169,MATCH("Patrick Ziesen",December!$B$5:$B$169),MATCH(B374,December!$D$3:$AH$3)+2)-INDEX(December!$B$5:$AH$169,MATCH("Frido Meijer",December!$B$5:$B$169),MATCH(B374,December!$D$3:$AH$3)+2)</f>
        <v>0</v>
      </c>
      <c r="H374" s="130">
        <f>INDEX(December!$C$3:$AH$169,4,MATCH(B374,December!$D$3:$AH$3)+1)+INDEX(December!$C$3:$AH$169,9,MATCH(B374,December!$D$3:$AH$3)+1)+INDEX(December!$C$3:$AH$169,14,MATCH(B374,December!$D$3:$AH$3)+1)+INDEX(December!$C$3:$AH$169,19,MATCH(B374,December!$D$3:$AH$3)+1)+INDEX(December!$C$3:$AH$169,24,MATCH(B374,December!$D$3:$AH$3)+1)+INDEX(December!$C$3:$AH$169,29,MATCH(B374,December!$D$3:$AH$3)+1)+INDEX(December!$C$3:$AH$169,34,MATCH(B374,December!$D$3:$AH$3)+1)+INDEX(December!$C$3:$AH$169,39,MATCH(B374,December!$D$3:$AH$3)+1)+INDEX(December!$C$3:$AH$169,44,MATCH(B374,December!$D$3:$AH$3)+1)+INDEX(December!$C$3:$AH$169,49,MATCH(B374,December!$D$3:$AH$3)+1)+INDEX(December!$C$3:$AH$169,54,MATCH(B374,December!$D$3:$AH$3)+1)+INDEX(December!$C$3:$AH$169,59,MATCH(B374,December!$D$3:$AH$3)+1)+INDEX(December!$C$3:$AH$169,64,MATCH(B374,December!$D$3:$AH$3)+1)+INDEX(December!$C$3:$AH$169,69,MATCH(B374,December!$D$3:$AH$3)+1)+INDEX(December!$C$3:$AH$169,74,MATCH(B374,December!$D$3:$AH$3)+1)+INDEX(December!$C$3:$AH$169,79,MATCH(B374,December!$D$3:$AH$3)+1)+INDEX(December!$C$3:$AH$169,84,MATCH(B374,December!$D$3:$AH$3)+1)+INDEX(December!$C$3:$AH$169,89,MATCH(B374,December!$D$3:$AH$3)+1)+INDEX(December!$C$3:$AH$169,94,MATCH(B374,December!$D$3:$AH$3)+1)+INDEX(December!$C$3:$AH$169,99,MATCH(B374,December!$D$3:$AH$3)+1)+INDEX(December!$C$3:$AH$169,104,MATCH(B374,December!$D$3:$AH$3)+1)+INDEX(December!$C$3:$AH$169,109,MATCH(B374,December!$D$3:$AH$3)+1)+INDEX(December!$C$3:$AH$169,114,MATCH(B374,December!$D$3:$AH$3)+1)+INDEX(December!$C$3:$AH$169,119,MATCH(B374,December!$D$3:$AH$3)+1)+INDEX(December!$C$3:$AH$169,124,MATCH(B374,December!$D$3:$AH$3)+1)+INDEX(December!$C$3:$AH$169,129,MATCH(B374,December!$D$3:$AH$3)+1)+INDEX(December!$C$3:$AH$169,134,MATCH(B374,December!$D$3:$AH$3)+1)+INDEX(December!$C$3:$AH$169,139,MATCH(B374,December!$D$3:$AH$3)+1)+INDEX(December!$C$3:$AH$169,144,MATCH(B374,December!$D$3:$AH$3)+1)+INDEX(December!$C$3:$AH$169,149,MATCH(B374,December!$D$3:$AH$3)+1)-INDEX(December!$B$5:$AH$169,MATCH("Patrick Janssen",December!$B$5:$B$169)+1,MATCH(B374,December!$D$3:$AH$3)+2)-INDEX(December!$B$5:$AH$169,MATCH("Patrick Ziesen",December!$B$5:$B$169)+1,MATCH(B374,December!$D$3:$AH$3)+2)-INDEX(December!$B$5:$AH$169,MATCH("Frido Meijer",December!$B$5:$B$169)+1,MATCH(B374,December!$D$3:$AH$3)+2)</f>
        <v>0</v>
      </c>
      <c r="I374" s="130">
        <v>0</v>
      </c>
      <c r="J374" s="130">
        <v>0</v>
      </c>
      <c r="L374" s="111"/>
      <c r="M374" s="111"/>
      <c r="N374" s="111">
        <f t="shared" si="111"/>
        <v>0</v>
      </c>
      <c r="P374" s="112">
        <f t="shared" si="112"/>
        <v>0</v>
      </c>
      <c r="Q374" s="112">
        <f t="shared" si="113"/>
        <v>0</v>
      </c>
    </row>
    <row r="375" spans="2:17" x14ac:dyDescent="0.25">
      <c r="B375" s="110">
        <f>DATE(Title!$F$12,$S$16,S18)</f>
        <v>41622</v>
      </c>
      <c r="C375" s="111">
        <f>IF(WEEKDAY(B375)=1,0,IF(WEEKDAY(B375)=4,'Hours Scheduled'!$O$44-1,IF(WEEKDAY(B375)=7,0,'Hours Scheduled'!$O$44)))</f>
        <v>0</v>
      </c>
      <c r="D375" s="17">
        <f t="shared" si="114"/>
        <v>0</v>
      </c>
      <c r="E375" s="127">
        <f t="shared" si="115"/>
        <v>0</v>
      </c>
      <c r="F375" s="111"/>
      <c r="G375" s="130">
        <f>INDEX(December!$C$3:$AH$169,3,MATCH(B375,December!$D$3:$AH$3)+1)+INDEX(December!$C$3:$AH$169,8,MATCH(B375,December!$D$3:$AH$3)+1)+INDEX(December!$C$3:$AH$169,13,MATCH(B375,December!$D$3:$AH$3)+1)+INDEX(December!$C$3:$AH$169,18,MATCH(B375,December!$D$3:$AH$3)+1)+INDEX(December!$C$3:$AH$169,23,MATCH(B375,December!$D$3:$AH$3)+1)+INDEX(December!$C$3:$AH$169,28,MATCH(B375,December!$D$3:$AH$3)+1)+INDEX(December!$C$3:$AH$169,33,MATCH(B375,December!$D$3:$AH$3)+1)+INDEX(December!$C$3:$AH$169,38,MATCH(B375,December!$D$3:$AH$3)+1)+INDEX(December!$C$3:$AH$169,43,MATCH(B375,December!$D$3:$AH$3)+1)+INDEX(December!$C$3:$AH$169,48,MATCH(B375,December!$D$3:$AH$3)+1)+INDEX(December!$C$3:$AH$169,53,MATCH(B375,December!$D$3:$AH$3)+1)+INDEX(December!$C$3:$AH$169,58,MATCH(B375,December!$D$3:$AH$3)+1)+INDEX(December!$C$3:$AH$169,63,MATCH(B375,December!$D$3:$AH$3)+1)+INDEX(December!$C$3:$AH$169,68,MATCH(B375,December!$D$3:$AH$3)+1)+INDEX(December!$C$3:$AH$169,73,MATCH(B375,December!$D$3:$AH$3)+1)+INDEX(December!$C$3:$AH$169,78,MATCH(B375,December!$D$3:$AH$3)+1)+INDEX(December!$C$3:$AH$169,83,MATCH(B375,December!$D$3:$AH$3)+1)+INDEX(December!$C$3:$AH$169,88,MATCH(B375,December!$D$3:$AH$3)+1)+INDEX(December!$C$3:$AH$169,93,MATCH(B375,December!$D$3:$AH$3)+1)+INDEX(December!$C$3:$AH$169,98,MATCH(B375,December!$D$3:$AH$3)+1)+INDEX(December!$C$3:$AH$169,103,MATCH(B375,December!$D$3:$AH$3)+1)+INDEX(December!$C$3:$AH$169,108,MATCH(B375,December!$D$3:$AH$3)+1)+INDEX(December!$C$3:$AH$169,113,MATCH(B375,December!$D$3:$AH$3)+1)+INDEX(December!$C$3:$AH$169,118,MATCH(B375,December!$D$3:$AH$3)+1)+INDEX(December!$C$3:$AH$169,123,MATCH(B375,December!$D$3:$AH$3)+1)+INDEX(December!$C$3:$AH$169,128,MATCH(B375,December!$D$3:$AH$3)+1)+INDEX(December!$C$3:$AH$169,133,MATCH(B375,December!$D$3:$AH$3)+1)+INDEX(December!$C$3:$AH$169,138,MATCH(B375,December!$D$3:$AH$3)+1)+INDEX(December!$C$3:$AH$169,143,MATCH(B375,December!$D$3:$AH$3)+1)+INDEX(December!$C$3:$AH$169,148,MATCH(B375,December!$D$3:$AH$3)+1)-INDEX(December!$B$5:$AH$169,MATCH("Patrick Janssen",December!$B$5:$B$169),MATCH(B375,December!$D$3:$AH$3)+2)-INDEX(December!$B$5:$AH$169,MATCH("Patrick Ziesen",December!$B$5:$B$169),MATCH(B375,December!$D$3:$AH$3)+2)-INDEX(December!$B$5:$AH$169,MATCH("Frido Meijer",December!$B$5:$B$169),MATCH(B375,December!$D$3:$AH$3)+2)</f>
        <v>0</v>
      </c>
      <c r="H375" s="130">
        <f>INDEX(December!$C$3:$AH$169,4,MATCH(B375,December!$D$3:$AH$3)+1)+INDEX(December!$C$3:$AH$169,9,MATCH(B375,December!$D$3:$AH$3)+1)+INDEX(December!$C$3:$AH$169,14,MATCH(B375,December!$D$3:$AH$3)+1)+INDEX(December!$C$3:$AH$169,19,MATCH(B375,December!$D$3:$AH$3)+1)+INDEX(December!$C$3:$AH$169,24,MATCH(B375,December!$D$3:$AH$3)+1)+INDEX(December!$C$3:$AH$169,29,MATCH(B375,December!$D$3:$AH$3)+1)+INDEX(December!$C$3:$AH$169,34,MATCH(B375,December!$D$3:$AH$3)+1)+INDEX(December!$C$3:$AH$169,39,MATCH(B375,December!$D$3:$AH$3)+1)+INDEX(December!$C$3:$AH$169,44,MATCH(B375,December!$D$3:$AH$3)+1)+INDEX(December!$C$3:$AH$169,49,MATCH(B375,December!$D$3:$AH$3)+1)+INDEX(December!$C$3:$AH$169,54,MATCH(B375,December!$D$3:$AH$3)+1)+INDEX(December!$C$3:$AH$169,59,MATCH(B375,December!$D$3:$AH$3)+1)+INDEX(December!$C$3:$AH$169,64,MATCH(B375,December!$D$3:$AH$3)+1)+INDEX(December!$C$3:$AH$169,69,MATCH(B375,December!$D$3:$AH$3)+1)+INDEX(December!$C$3:$AH$169,74,MATCH(B375,December!$D$3:$AH$3)+1)+INDEX(December!$C$3:$AH$169,79,MATCH(B375,December!$D$3:$AH$3)+1)+INDEX(December!$C$3:$AH$169,84,MATCH(B375,December!$D$3:$AH$3)+1)+INDEX(December!$C$3:$AH$169,89,MATCH(B375,December!$D$3:$AH$3)+1)+INDEX(December!$C$3:$AH$169,94,MATCH(B375,December!$D$3:$AH$3)+1)+INDEX(December!$C$3:$AH$169,99,MATCH(B375,December!$D$3:$AH$3)+1)+INDEX(December!$C$3:$AH$169,104,MATCH(B375,December!$D$3:$AH$3)+1)+INDEX(December!$C$3:$AH$169,109,MATCH(B375,December!$D$3:$AH$3)+1)+INDEX(December!$C$3:$AH$169,114,MATCH(B375,December!$D$3:$AH$3)+1)+INDEX(December!$C$3:$AH$169,119,MATCH(B375,December!$D$3:$AH$3)+1)+INDEX(December!$C$3:$AH$169,124,MATCH(B375,December!$D$3:$AH$3)+1)+INDEX(December!$C$3:$AH$169,129,MATCH(B375,December!$D$3:$AH$3)+1)+INDEX(December!$C$3:$AH$169,134,MATCH(B375,December!$D$3:$AH$3)+1)+INDEX(December!$C$3:$AH$169,139,MATCH(B375,December!$D$3:$AH$3)+1)+INDEX(December!$C$3:$AH$169,144,MATCH(B375,December!$D$3:$AH$3)+1)+INDEX(December!$C$3:$AH$169,149,MATCH(B375,December!$D$3:$AH$3)+1)-INDEX(December!$B$5:$AH$169,MATCH("Patrick Janssen",December!$B$5:$B$169)+1,MATCH(B375,December!$D$3:$AH$3)+2)-INDEX(December!$B$5:$AH$169,MATCH("Patrick Ziesen",December!$B$5:$B$169)+1,MATCH(B375,December!$D$3:$AH$3)+2)-INDEX(December!$B$5:$AH$169,MATCH("Frido Meijer",December!$B$5:$B$169)+1,MATCH(B375,December!$D$3:$AH$3)+2)</f>
        <v>0</v>
      </c>
      <c r="I375" s="130">
        <v>0</v>
      </c>
      <c r="J375" s="130">
        <v>0</v>
      </c>
      <c r="L375" s="111"/>
      <c r="M375" s="111"/>
      <c r="N375" s="111">
        <f t="shared" si="111"/>
        <v>0</v>
      </c>
      <c r="P375" s="112" t="str">
        <f t="shared" si="112"/>
        <v/>
      </c>
      <c r="Q375" s="112" t="str">
        <f t="shared" si="113"/>
        <v/>
      </c>
    </row>
    <row r="376" spans="2:17" x14ac:dyDescent="0.25">
      <c r="B376" s="110">
        <f>DATE(Title!$F$12,$S$16,S19)</f>
        <v>41623</v>
      </c>
      <c r="C376" s="111">
        <f>IF(WEEKDAY(B376)=1,0,IF(WEEKDAY(B376)=4,'Hours Scheduled'!$O$44-1,IF(WEEKDAY(B376)=7,0,'Hours Scheduled'!$O$44)))</f>
        <v>0</v>
      </c>
      <c r="D376" s="17">
        <f t="shared" si="114"/>
        <v>0</v>
      </c>
      <c r="E376" s="127">
        <f t="shared" si="115"/>
        <v>0</v>
      </c>
      <c r="F376" s="111"/>
      <c r="G376" s="130">
        <f>INDEX(December!$C$3:$AH$169,3,MATCH(B376,December!$D$3:$AH$3)+1)+INDEX(December!$C$3:$AH$169,8,MATCH(B376,December!$D$3:$AH$3)+1)+INDEX(December!$C$3:$AH$169,13,MATCH(B376,December!$D$3:$AH$3)+1)+INDEX(December!$C$3:$AH$169,18,MATCH(B376,December!$D$3:$AH$3)+1)+INDEX(December!$C$3:$AH$169,23,MATCH(B376,December!$D$3:$AH$3)+1)+INDEX(December!$C$3:$AH$169,28,MATCH(B376,December!$D$3:$AH$3)+1)+INDEX(December!$C$3:$AH$169,33,MATCH(B376,December!$D$3:$AH$3)+1)+INDEX(December!$C$3:$AH$169,38,MATCH(B376,December!$D$3:$AH$3)+1)+INDEX(December!$C$3:$AH$169,43,MATCH(B376,December!$D$3:$AH$3)+1)+INDEX(December!$C$3:$AH$169,48,MATCH(B376,December!$D$3:$AH$3)+1)+INDEX(December!$C$3:$AH$169,53,MATCH(B376,December!$D$3:$AH$3)+1)+INDEX(December!$C$3:$AH$169,58,MATCH(B376,December!$D$3:$AH$3)+1)+INDEX(December!$C$3:$AH$169,63,MATCH(B376,December!$D$3:$AH$3)+1)+INDEX(December!$C$3:$AH$169,68,MATCH(B376,December!$D$3:$AH$3)+1)+INDEX(December!$C$3:$AH$169,73,MATCH(B376,December!$D$3:$AH$3)+1)+INDEX(December!$C$3:$AH$169,78,MATCH(B376,December!$D$3:$AH$3)+1)+INDEX(December!$C$3:$AH$169,83,MATCH(B376,December!$D$3:$AH$3)+1)+INDEX(December!$C$3:$AH$169,88,MATCH(B376,December!$D$3:$AH$3)+1)+INDEX(December!$C$3:$AH$169,93,MATCH(B376,December!$D$3:$AH$3)+1)+INDEX(December!$C$3:$AH$169,98,MATCH(B376,December!$D$3:$AH$3)+1)+INDEX(December!$C$3:$AH$169,103,MATCH(B376,December!$D$3:$AH$3)+1)+INDEX(December!$C$3:$AH$169,108,MATCH(B376,December!$D$3:$AH$3)+1)+INDEX(December!$C$3:$AH$169,113,MATCH(B376,December!$D$3:$AH$3)+1)+INDEX(December!$C$3:$AH$169,118,MATCH(B376,December!$D$3:$AH$3)+1)+INDEX(December!$C$3:$AH$169,123,MATCH(B376,December!$D$3:$AH$3)+1)+INDEX(December!$C$3:$AH$169,128,MATCH(B376,December!$D$3:$AH$3)+1)+INDEX(December!$C$3:$AH$169,133,MATCH(B376,December!$D$3:$AH$3)+1)+INDEX(December!$C$3:$AH$169,138,MATCH(B376,December!$D$3:$AH$3)+1)+INDEX(December!$C$3:$AH$169,143,MATCH(B376,December!$D$3:$AH$3)+1)+INDEX(December!$C$3:$AH$169,148,MATCH(B376,December!$D$3:$AH$3)+1)-INDEX(December!$B$5:$AH$169,MATCH("Patrick Janssen",December!$B$5:$B$169),MATCH(B376,December!$D$3:$AH$3)+2)-INDEX(December!$B$5:$AH$169,MATCH("Patrick Ziesen",December!$B$5:$B$169),MATCH(B376,December!$D$3:$AH$3)+2)-INDEX(December!$B$5:$AH$169,MATCH("Frido Meijer",December!$B$5:$B$169),MATCH(B376,December!$D$3:$AH$3)+2)</f>
        <v>0</v>
      </c>
      <c r="H376" s="130">
        <f>INDEX(December!$C$3:$AH$169,4,MATCH(B376,December!$D$3:$AH$3)+1)+INDEX(December!$C$3:$AH$169,9,MATCH(B376,December!$D$3:$AH$3)+1)+INDEX(December!$C$3:$AH$169,14,MATCH(B376,December!$D$3:$AH$3)+1)+INDEX(December!$C$3:$AH$169,19,MATCH(B376,December!$D$3:$AH$3)+1)+INDEX(December!$C$3:$AH$169,24,MATCH(B376,December!$D$3:$AH$3)+1)+INDEX(December!$C$3:$AH$169,29,MATCH(B376,December!$D$3:$AH$3)+1)+INDEX(December!$C$3:$AH$169,34,MATCH(B376,December!$D$3:$AH$3)+1)+INDEX(December!$C$3:$AH$169,39,MATCH(B376,December!$D$3:$AH$3)+1)+INDEX(December!$C$3:$AH$169,44,MATCH(B376,December!$D$3:$AH$3)+1)+INDEX(December!$C$3:$AH$169,49,MATCH(B376,December!$D$3:$AH$3)+1)+INDEX(December!$C$3:$AH$169,54,MATCH(B376,December!$D$3:$AH$3)+1)+INDEX(December!$C$3:$AH$169,59,MATCH(B376,December!$D$3:$AH$3)+1)+INDEX(December!$C$3:$AH$169,64,MATCH(B376,December!$D$3:$AH$3)+1)+INDEX(December!$C$3:$AH$169,69,MATCH(B376,December!$D$3:$AH$3)+1)+INDEX(December!$C$3:$AH$169,74,MATCH(B376,December!$D$3:$AH$3)+1)+INDEX(December!$C$3:$AH$169,79,MATCH(B376,December!$D$3:$AH$3)+1)+INDEX(December!$C$3:$AH$169,84,MATCH(B376,December!$D$3:$AH$3)+1)+INDEX(December!$C$3:$AH$169,89,MATCH(B376,December!$D$3:$AH$3)+1)+INDEX(December!$C$3:$AH$169,94,MATCH(B376,December!$D$3:$AH$3)+1)+INDEX(December!$C$3:$AH$169,99,MATCH(B376,December!$D$3:$AH$3)+1)+INDEX(December!$C$3:$AH$169,104,MATCH(B376,December!$D$3:$AH$3)+1)+INDEX(December!$C$3:$AH$169,109,MATCH(B376,December!$D$3:$AH$3)+1)+INDEX(December!$C$3:$AH$169,114,MATCH(B376,December!$D$3:$AH$3)+1)+INDEX(December!$C$3:$AH$169,119,MATCH(B376,December!$D$3:$AH$3)+1)+INDEX(December!$C$3:$AH$169,124,MATCH(B376,December!$D$3:$AH$3)+1)+INDEX(December!$C$3:$AH$169,129,MATCH(B376,December!$D$3:$AH$3)+1)+INDEX(December!$C$3:$AH$169,134,MATCH(B376,December!$D$3:$AH$3)+1)+INDEX(December!$C$3:$AH$169,139,MATCH(B376,December!$D$3:$AH$3)+1)+INDEX(December!$C$3:$AH$169,144,MATCH(B376,December!$D$3:$AH$3)+1)+INDEX(December!$C$3:$AH$169,149,MATCH(B376,December!$D$3:$AH$3)+1)-INDEX(December!$B$5:$AH$169,MATCH("Patrick Janssen",December!$B$5:$B$169)+1,MATCH(B376,December!$D$3:$AH$3)+2)-INDEX(December!$B$5:$AH$169,MATCH("Patrick Ziesen",December!$B$5:$B$169)+1,MATCH(B376,December!$D$3:$AH$3)+2)-INDEX(December!$B$5:$AH$169,MATCH("Frido Meijer",December!$B$5:$B$169)+1,MATCH(B376,December!$D$3:$AH$3)+2)</f>
        <v>0</v>
      </c>
      <c r="I376" s="130">
        <v>0</v>
      </c>
      <c r="J376" s="130">
        <v>0</v>
      </c>
      <c r="L376" s="111"/>
      <c r="M376" s="111"/>
      <c r="N376" s="111">
        <f t="shared" si="111"/>
        <v>0</v>
      </c>
      <c r="P376" s="112" t="str">
        <f t="shared" si="112"/>
        <v/>
      </c>
      <c r="Q376" s="112" t="str">
        <f t="shared" si="113"/>
        <v/>
      </c>
    </row>
    <row r="377" spans="2:17" x14ac:dyDescent="0.25">
      <c r="B377" s="110">
        <f>DATE(Title!$F$12,$S$16,S20)</f>
        <v>41624</v>
      </c>
      <c r="C377" s="111">
        <f>IF(WEEKDAY(B377)=1,0,IF(WEEKDAY(B377)=4,'Hours Scheduled'!$O$44-1,IF(WEEKDAY(B377)=7,0,'Hours Scheduled'!$O$44)))</f>
        <v>21</v>
      </c>
      <c r="D377" s="17">
        <f t="shared" si="114"/>
        <v>157.5</v>
      </c>
      <c r="E377" s="127">
        <f t="shared" si="115"/>
        <v>168</v>
      </c>
      <c r="F377" s="111"/>
      <c r="G377" s="130">
        <f>INDEX(December!$C$3:$AH$169,3,MATCH(B377,December!$D$3:$AH$3)+1)+INDEX(December!$C$3:$AH$169,8,MATCH(B377,December!$D$3:$AH$3)+1)+INDEX(December!$C$3:$AH$169,13,MATCH(B377,December!$D$3:$AH$3)+1)+INDEX(December!$C$3:$AH$169,18,MATCH(B377,December!$D$3:$AH$3)+1)+INDEX(December!$C$3:$AH$169,23,MATCH(B377,December!$D$3:$AH$3)+1)+INDEX(December!$C$3:$AH$169,28,MATCH(B377,December!$D$3:$AH$3)+1)+INDEX(December!$C$3:$AH$169,33,MATCH(B377,December!$D$3:$AH$3)+1)+INDEX(December!$C$3:$AH$169,38,MATCH(B377,December!$D$3:$AH$3)+1)+INDEX(December!$C$3:$AH$169,43,MATCH(B377,December!$D$3:$AH$3)+1)+INDEX(December!$C$3:$AH$169,48,MATCH(B377,December!$D$3:$AH$3)+1)+INDEX(December!$C$3:$AH$169,53,MATCH(B377,December!$D$3:$AH$3)+1)+INDEX(December!$C$3:$AH$169,58,MATCH(B377,December!$D$3:$AH$3)+1)+INDEX(December!$C$3:$AH$169,63,MATCH(B377,December!$D$3:$AH$3)+1)+INDEX(December!$C$3:$AH$169,68,MATCH(B377,December!$D$3:$AH$3)+1)+INDEX(December!$C$3:$AH$169,73,MATCH(B377,December!$D$3:$AH$3)+1)+INDEX(December!$C$3:$AH$169,78,MATCH(B377,December!$D$3:$AH$3)+1)+INDEX(December!$C$3:$AH$169,83,MATCH(B377,December!$D$3:$AH$3)+1)+INDEX(December!$C$3:$AH$169,88,MATCH(B377,December!$D$3:$AH$3)+1)+INDEX(December!$C$3:$AH$169,93,MATCH(B377,December!$D$3:$AH$3)+1)+INDEX(December!$C$3:$AH$169,98,MATCH(B377,December!$D$3:$AH$3)+1)+INDEX(December!$C$3:$AH$169,103,MATCH(B377,December!$D$3:$AH$3)+1)+INDEX(December!$C$3:$AH$169,108,MATCH(B377,December!$D$3:$AH$3)+1)+INDEX(December!$C$3:$AH$169,113,MATCH(B377,December!$D$3:$AH$3)+1)+INDEX(December!$C$3:$AH$169,118,MATCH(B377,December!$D$3:$AH$3)+1)+INDEX(December!$C$3:$AH$169,123,MATCH(B377,December!$D$3:$AH$3)+1)+INDEX(December!$C$3:$AH$169,128,MATCH(B377,December!$D$3:$AH$3)+1)+INDEX(December!$C$3:$AH$169,133,MATCH(B377,December!$D$3:$AH$3)+1)+INDEX(December!$C$3:$AH$169,138,MATCH(B377,December!$D$3:$AH$3)+1)+INDEX(December!$C$3:$AH$169,143,MATCH(B377,December!$D$3:$AH$3)+1)+INDEX(December!$C$3:$AH$169,148,MATCH(B377,December!$D$3:$AH$3)+1)-INDEX(December!$B$5:$AH$169,MATCH("Patrick Janssen",December!$B$5:$B$169),MATCH(B377,December!$D$3:$AH$3)+2)-INDEX(December!$B$5:$AH$169,MATCH("Patrick Ziesen",December!$B$5:$B$169),MATCH(B377,December!$D$3:$AH$3)+2)-INDEX(December!$B$5:$AH$169,MATCH("Frido Meijer",December!$B$5:$B$169),MATCH(B377,December!$D$3:$AH$3)+2)</f>
        <v>0</v>
      </c>
      <c r="H377" s="130">
        <f>INDEX(December!$C$3:$AH$169,4,MATCH(B377,December!$D$3:$AH$3)+1)+INDEX(December!$C$3:$AH$169,9,MATCH(B377,December!$D$3:$AH$3)+1)+INDEX(December!$C$3:$AH$169,14,MATCH(B377,December!$D$3:$AH$3)+1)+INDEX(December!$C$3:$AH$169,19,MATCH(B377,December!$D$3:$AH$3)+1)+INDEX(December!$C$3:$AH$169,24,MATCH(B377,December!$D$3:$AH$3)+1)+INDEX(December!$C$3:$AH$169,29,MATCH(B377,December!$D$3:$AH$3)+1)+INDEX(December!$C$3:$AH$169,34,MATCH(B377,December!$D$3:$AH$3)+1)+INDEX(December!$C$3:$AH$169,39,MATCH(B377,December!$D$3:$AH$3)+1)+INDEX(December!$C$3:$AH$169,44,MATCH(B377,December!$D$3:$AH$3)+1)+INDEX(December!$C$3:$AH$169,49,MATCH(B377,December!$D$3:$AH$3)+1)+INDEX(December!$C$3:$AH$169,54,MATCH(B377,December!$D$3:$AH$3)+1)+INDEX(December!$C$3:$AH$169,59,MATCH(B377,December!$D$3:$AH$3)+1)+INDEX(December!$C$3:$AH$169,64,MATCH(B377,December!$D$3:$AH$3)+1)+INDEX(December!$C$3:$AH$169,69,MATCH(B377,December!$D$3:$AH$3)+1)+INDEX(December!$C$3:$AH$169,74,MATCH(B377,December!$D$3:$AH$3)+1)+INDEX(December!$C$3:$AH$169,79,MATCH(B377,December!$D$3:$AH$3)+1)+INDEX(December!$C$3:$AH$169,84,MATCH(B377,December!$D$3:$AH$3)+1)+INDEX(December!$C$3:$AH$169,89,MATCH(B377,December!$D$3:$AH$3)+1)+INDEX(December!$C$3:$AH$169,94,MATCH(B377,December!$D$3:$AH$3)+1)+INDEX(December!$C$3:$AH$169,99,MATCH(B377,December!$D$3:$AH$3)+1)+INDEX(December!$C$3:$AH$169,104,MATCH(B377,December!$D$3:$AH$3)+1)+INDEX(December!$C$3:$AH$169,109,MATCH(B377,December!$D$3:$AH$3)+1)+INDEX(December!$C$3:$AH$169,114,MATCH(B377,December!$D$3:$AH$3)+1)+INDEX(December!$C$3:$AH$169,119,MATCH(B377,December!$D$3:$AH$3)+1)+INDEX(December!$C$3:$AH$169,124,MATCH(B377,December!$D$3:$AH$3)+1)+INDEX(December!$C$3:$AH$169,129,MATCH(B377,December!$D$3:$AH$3)+1)+INDEX(December!$C$3:$AH$169,134,MATCH(B377,December!$D$3:$AH$3)+1)+INDEX(December!$C$3:$AH$169,139,MATCH(B377,December!$D$3:$AH$3)+1)+INDEX(December!$C$3:$AH$169,144,MATCH(B377,December!$D$3:$AH$3)+1)+INDEX(December!$C$3:$AH$169,149,MATCH(B377,December!$D$3:$AH$3)+1)-INDEX(December!$B$5:$AH$169,MATCH("Patrick Janssen",December!$B$5:$B$169)+1,MATCH(B377,December!$D$3:$AH$3)+2)-INDEX(December!$B$5:$AH$169,MATCH("Patrick Ziesen",December!$B$5:$B$169)+1,MATCH(B377,December!$D$3:$AH$3)+2)-INDEX(December!$B$5:$AH$169,MATCH("Frido Meijer",December!$B$5:$B$169)+1,MATCH(B377,December!$D$3:$AH$3)+2)</f>
        <v>0</v>
      </c>
      <c r="I377" s="130">
        <v>0</v>
      </c>
      <c r="J377" s="130">
        <v>0</v>
      </c>
      <c r="L377" s="111"/>
      <c r="M377" s="111"/>
      <c r="N377" s="111">
        <f t="shared" si="111"/>
        <v>0</v>
      </c>
      <c r="P377" s="112">
        <f t="shared" si="112"/>
        <v>0</v>
      </c>
      <c r="Q377" s="112">
        <f t="shared" si="113"/>
        <v>0</v>
      </c>
    </row>
    <row r="378" spans="2:17" x14ac:dyDescent="0.25">
      <c r="B378" s="110">
        <f>DATE(Title!$F$12,$S$16,S21)</f>
        <v>41625</v>
      </c>
      <c r="C378" s="111">
        <f>IF(WEEKDAY(B378)=1,0,IF(WEEKDAY(B378)=4,'Hours Scheduled'!$O$44-1,IF(WEEKDAY(B378)=7,0,'Hours Scheduled'!$O$44)))</f>
        <v>21</v>
      </c>
      <c r="D378" s="17">
        <f t="shared" si="114"/>
        <v>157.5</v>
      </c>
      <c r="E378" s="127">
        <f t="shared" si="115"/>
        <v>168</v>
      </c>
      <c r="F378" s="111"/>
      <c r="G378" s="130">
        <f>INDEX(December!$C$3:$AH$169,3,MATCH(B378,December!$D$3:$AH$3)+1)+INDEX(December!$C$3:$AH$169,8,MATCH(B378,December!$D$3:$AH$3)+1)+INDEX(December!$C$3:$AH$169,13,MATCH(B378,December!$D$3:$AH$3)+1)+INDEX(December!$C$3:$AH$169,18,MATCH(B378,December!$D$3:$AH$3)+1)+INDEX(December!$C$3:$AH$169,23,MATCH(B378,December!$D$3:$AH$3)+1)+INDEX(December!$C$3:$AH$169,28,MATCH(B378,December!$D$3:$AH$3)+1)+INDEX(December!$C$3:$AH$169,33,MATCH(B378,December!$D$3:$AH$3)+1)+INDEX(December!$C$3:$AH$169,38,MATCH(B378,December!$D$3:$AH$3)+1)+INDEX(December!$C$3:$AH$169,43,MATCH(B378,December!$D$3:$AH$3)+1)+INDEX(December!$C$3:$AH$169,48,MATCH(B378,December!$D$3:$AH$3)+1)+INDEX(December!$C$3:$AH$169,53,MATCH(B378,December!$D$3:$AH$3)+1)+INDEX(December!$C$3:$AH$169,58,MATCH(B378,December!$D$3:$AH$3)+1)+INDEX(December!$C$3:$AH$169,63,MATCH(B378,December!$D$3:$AH$3)+1)+INDEX(December!$C$3:$AH$169,68,MATCH(B378,December!$D$3:$AH$3)+1)+INDEX(December!$C$3:$AH$169,73,MATCH(B378,December!$D$3:$AH$3)+1)+INDEX(December!$C$3:$AH$169,78,MATCH(B378,December!$D$3:$AH$3)+1)+INDEX(December!$C$3:$AH$169,83,MATCH(B378,December!$D$3:$AH$3)+1)+INDEX(December!$C$3:$AH$169,88,MATCH(B378,December!$D$3:$AH$3)+1)+INDEX(December!$C$3:$AH$169,93,MATCH(B378,December!$D$3:$AH$3)+1)+INDEX(December!$C$3:$AH$169,98,MATCH(B378,December!$D$3:$AH$3)+1)+INDEX(December!$C$3:$AH$169,103,MATCH(B378,December!$D$3:$AH$3)+1)+INDEX(December!$C$3:$AH$169,108,MATCH(B378,December!$D$3:$AH$3)+1)+INDEX(December!$C$3:$AH$169,113,MATCH(B378,December!$D$3:$AH$3)+1)+INDEX(December!$C$3:$AH$169,118,MATCH(B378,December!$D$3:$AH$3)+1)+INDEX(December!$C$3:$AH$169,123,MATCH(B378,December!$D$3:$AH$3)+1)+INDEX(December!$C$3:$AH$169,128,MATCH(B378,December!$D$3:$AH$3)+1)+INDEX(December!$C$3:$AH$169,133,MATCH(B378,December!$D$3:$AH$3)+1)+INDEX(December!$C$3:$AH$169,138,MATCH(B378,December!$D$3:$AH$3)+1)+INDEX(December!$C$3:$AH$169,143,MATCH(B378,December!$D$3:$AH$3)+1)+INDEX(December!$C$3:$AH$169,148,MATCH(B378,December!$D$3:$AH$3)+1)-INDEX(December!$B$5:$AH$169,MATCH("Patrick Janssen",December!$B$5:$B$169),MATCH(B378,December!$D$3:$AH$3)+2)-INDEX(December!$B$5:$AH$169,MATCH("Patrick Ziesen",December!$B$5:$B$169),MATCH(B378,December!$D$3:$AH$3)+2)-INDEX(December!$B$5:$AH$169,MATCH("Frido Meijer",December!$B$5:$B$169),MATCH(B378,December!$D$3:$AH$3)+2)</f>
        <v>0</v>
      </c>
      <c r="H378" s="130">
        <f>INDEX(December!$C$3:$AH$169,4,MATCH(B378,December!$D$3:$AH$3)+1)+INDEX(December!$C$3:$AH$169,9,MATCH(B378,December!$D$3:$AH$3)+1)+INDEX(December!$C$3:$AH$169,14,MATCH(B378,December!$D$3:$AH$3)+1)+INDEX(December!$C$3:$AH$169,19,MATCH(B378,December!$D$3:$AH$3)+1)+INDEX(December!$C$3:$AH$169,24,MATCH(B378,December!$D$3:$AH$3)+1)+INDEX(December!$C$3:$AH$169,29,MATCH(B378,December!$D$3:$AH$3)+1)+INDEX(December!$C$3:$AH$169,34,MATCH(B378,December!$D$3:$AH$3)+1)+INDEX(December!$C$3:$AH$169,39,MATCH(B378,December!$D$3:$AH$3)+1)+INDEX(December!$C$3:$AH$169,44,MATCH(B378,December!$D$3:$AH$3)+1)+INDEX(December!$C$3:$AH$169,49,MATCH(B378,December!$D$3:$AH$3)+1)+INDEX(December!$C$3:$AH$169,54,MATCH(B378,December!$D$3:$AH$3)+1)+INDEX(December!$C$3:$AH$169,59,MATCH(B378,December!$D$3:$AH$3)+1)+INDEX(December!$C$3:$AH$169,64,MATCH(B378,December!$D$3:$AH$3)+1)+INDEX(December!$C$3:$AH$169,69,MATCH(B378,December!$D$3:$AH$3)+1)+INDEX(December!$C$3:$AH$169,74,MATCH(B378,December!$D$3:$AH$3)+1)+INDEX(December!$C$3:$AH$169,79,MATCH(B378,December!$D$3:$AH$3)+1)+INDEX(December!$C$3:$AH$169,84,MATCH(B378,December!$D$3:$AH$3)+1)+INDEX(December!$C$3:$AH$169,89,MATCH(B378,December!$D$3:$AH$3)+1)+INDEX(December!$C$3:$AH$169,94,MATCH(B378,December!$D$3:$AH$3)+1)+INDEX(December!$C$3:$AH$169,99,MATCH(B378,December!$D$3:$AH$3)+1)+INDEX(December!$C$3:$AH$169,104,MATCH(B378,December!$D$3:$AH$3)+1)+INDEX(December!$C$3:$AH$169,109,MATCH(B378,December!$D$3:$AH$3)+1)+INDEX(December!$C$3:$AH$169,114,MATCH(B378,December!$D$3:$AH$3)+1)+INDEX(December!$C$3:$AH$169,119,MATCH(B378,December!$D$3:$AH$3)+1)+INDEX(December!$C$3:$AH$169,124,MATCH(B378,December!$D$3:$AH$3)+1)+INDEX(December!$C$3:$AH$169,129,MATCH(B378,December!$D$3:$AH$3)+1)+INDEX(December!$C$3:$AH$169,134,MATCH(B378,December!$D$3:$AH$3)+1)+INDEX(December!$C$3:$AH$169,139,MATCH(B378,December!$D$3:$AH$3)+1)+INDEX(December!$C$3:$AH$169,144,MATCH(B378,December!$D$3:$AH$3)+1)+INDEX(December!$C$3:$AH$169,149,MATCH(B378,December!$D$3:$AH$3)+1)-INDEX(December!$B$5:$AH$169,MATCH("Patrick Janssen",December!$B$5:$B$169)+1,MATCH(B378,December!$D$3:$AH$3)+2)-INDEX(December!$B$5:$AH$169,MATCH("Patrick Ziesen",December!$B$5:$B$169)+1,MATCH(B378,December!$D$3:$AH$3)+2)-INDEX(December!$B$5:$AH$169,MATCH("Frido Meijer",December!$B$5:$B$169)+1,MATCH(B378,December!$D$3:$AH$3)+2)</f>
        <v>0</v>
      </c>
      <c r="I378" s="130">
        <v>0</v>
      </c>
      <c r="J378" s="130">
        <v>0</v>
      </c>
      <c r="L378" s="111"/>
      <c r="M378" s="111"/>
      <c r="N378" s="111">
        <f t="shared" si="111"/>
        <v>0</v>
      </c>
      <c r="P378" s="112">
        <f t="shared" si="112"/>
        <v>0</v>
      </c>
      <c r="Q378" s="112">
        <f t="shared" si="113"/>
        <v>0</v>
      </c>
    </row>
    <row r="379" spans="2:17" x14ac:dyDescent="0.25">
      <c r="B379" s="110">
        <f>DATE(Title!$F$12,$S$16,S22)</f>
        <v>41626</v>
      </c>
      <c r="C379" s="111">
        <f>IF(WEEKDAY(B379)=1,0,IF(WEEKDAY(B379)=4,'Hours Scheduled'!$O$44-1,IF(WEEKDAY(B379)=7,0,'Hours Scheduled'!$O$44)))</f>
        <v>20</v>
      </c>
      <c r="D379" s="17">
        <f t="shared" si="114"/>
        <v>150</v>
      </c>
      <c r="E379" s="127">
        <f t="shared" si="115"/>
        <v>160</v>
      </c>
      <c r="F379" s="111"/>
      <c r="G379" s="130">
        <f>INDEX(December!$C$3:$AH$169,3,MATCH(B379,December!$D$3:$AH$3)+1)+INDEX(December!$C$3:$AH$169,8,MATCH(B379,December!$D$3:$AH$3)+1)+INDEX(December!$C$3:$AH$169,13,MATCH(B379,December!$D$3:$AH$3)+1)+INDEX(December!$C$3:$AH$169,18,MATCH(B379,December!$D$3:$AH$3)+1)+INDEX(December!$C$3:$AH$169,23,MATCH(B379,December!$D$3:$AH$3)+1)+INDEX(December!$C$3:$AH$169,28,MATCH(B379,December!$D$3:$AH$3)+1)+INDEX(December!$C$3:$AH$169,33,MATCH(B379,December!$D$3:$AH$3)+1)+INDEX(December!$C$3:$AH$169,38,MATCH(B379,December!$D$3:$AH$3)+1)+INDEX(December!$C$3:$AH$169,43,MATCH(B379,December!$D$3:$AH$3)+1)+INDEX(December!$C$3:$AH$169,48,MATCH(B379,December!$D$3:$AH$3)+1)+INDEX(December!$C$3:$AH$169,53,MATCH(B379,December!$D$3:$AH$3)+1)+INDEX(December!$C$3:$AH$169,58,MATCH(B379,December!$D$3:$AH$3)+1)+INDEX(December!$C$3:$AH$169,63,MATCH(B379,December!$D$3:$AH$3)+1)+INDEX(December!$C$3:$AH$169,68,MATCH(B379,December!$D$3:$AH$3)+1)+INDEX(December!$C$3:$AH$169,73,MATCH(B379,December!$D$3:$AH$3)+1)+INDEX(December!$C$3:$AH$169,78,MATCH(B379,December!$D$3:$AH$3)+1)+INDEX(December!$C$3:$AH$169,83,MATCH(B379,December!$D$3:$AH$3)+1)+INDEX(December!$C$3:$AH$169,88,MATCH(B379,December!$D$3:$AH$3)+1)+INDEX(December!$C$3:$AH$169,93,MATCH(B379,December!$D$3:$AH$3)+1)+INDEX(December!$C$3:$AH$169,98,MATCH(B379,December!$D$3:$AH$3)+1)+INDEX(December!$C$3:$AH$169,103,MATCH(B379,December!$D$3:$AH$3)+1)+INDEX(December!$C$3:$AH$169,108,MATCH(B379,December!$D$3:$AH$3)+1)+INDEX(December!$C$3:$AH$169,113,MATCH(B379,December!$D$3:$AH$3)+1)+INDEX(December!$C$3:$AH$169,118,MATCH(B379,December!$D$3:$AH$3)+1)+INDEX(December!$C$3:$AH$169,123,MATCH(B379,December!$D$3:$AH$3)+1)+INDEX(December!$C$3:$AH$169,128,MATCH(B379,December!$D$3:$AH$3)+1)+INDEX(December!$C$3:$AH$169,133,MATCH(B379,December!$D$3:$AH$3)+1)+INDEX(December!$C$3:$AH$169,138,MATCH(B379,December!$D$3:$AH$3)+1)+INDEX(December!$C$3:$AH$169,143,MATCH(B379,December!$D$3:$AH$3)+1)+INDEX(December!$C$3:$AH$169,148,MATCH(B379,December!$D$3:$AH$3)+1)-INDEX(December!$B$5:$AH$169,MATCH("Patrick Janssen",December!$B$5:$B$169),MATCH(B379,December!$D$3:$AH$3)+2)-INDEX(December!$B$5:$AH$169,MATCH("Patrick Ziesen",December!$B$5:$B$169),MATCH(B379,December!$D$3:$AH$3)+2)-INDEX(December!$B$5:$AH$169,MATCH("Frido Meijer",December!$B$5:$B$169),MATCH(B379,December!$D$3:$AH$3)+2)</f>
        <v>0</v>
      </c>
      <c r="H379" s="130">
        <f>INDEX(December!$C$3:$AH$169,4,MATCH(B379,December!$D$3:$AH$3)+1)+INDEX(December!$C$3:$AH$169,9,MATCH(B379,December!$D$3:$AH$3)+1)+INDEX(December!$C$3:$AH$169,14,MATCH(B379,December!$D$3:$AH$3)+1)+INDEX(December!$C$3:$AH$169,19,MATCH(B379,December!$D$3:$AH$3)+1)+INDEX(December!$C$3:$AH$169,24,MATCH(B379,December!$D$3:$AH$3)+1)+INDEX(December!$C$3:$AH$169,29,MATCH(B379,December!$D$3:$AH$3)+1)+INDEX(December!$C$3:$AH$169,34,MATCH(B379,December!$D$3:$AH$3)+1)+INDEX(December!$C$3:$AH$169,39,MATCH(B379,December!$D$3:$AH$3)+1)+INDEX(December!$C$3:$AH$169,44,MATCH(B379,December!$D$3:$AH$3)+1)+INDEX(December!$C$3:$AH$169,49,MATCH(B379,December!$D$3:$AH$3)+1)+INDEX(December!$C$3:$AH$169,54,MATCH(B379,December!$D$3:$AH$3)+1)+INDEX(December!$C$3:$AH$169,59,MATCH(B379,December!$D$3:$AH$3)+1)+INDEX(December!$C$3:$AH$169,64,MATCH(B379,December!$D$3:$AH$3)+1)+INDEX(December!$C$3:$AH$169,69,MATCH(B379,December!$D$3:$AH$3)+1)+INDEX(December!$C$3:$AH$169,74,MATCH(B379,December!$D$3:$AH$3)+1)+INDEX(December!$C$3:$AH$169,79,MATCH(B379,December!$D$3:$AH$3)+1)+INDEX(December!$C$3:$AH$169,84,MATCH(B379,December!$D$3:$AH$3)+1)+INDEX(December!$C$3:$AH$169,89,MATCH(B379,December!$D$3:$AH$3)+1)+INDEX(December!$C$3:$AH$169,94,MATCH(B379,December!$D$3:$AH$3)+1)+INDEX(December!$C$3:$AH$169,99,MATCH(B379,December!$D$3:$AH$3)+1)+INDEX(December!$C$3:$AH$169,104,MATCH(B379,December!$D$3:$AH$3)+1)+INDEX(December!$C$3:$AH$169,109,MATCH(B379,December!$D$3:$AH$3)+1)+INDEX(December!$C$3:$AH$169,114,MATCH(B379,December!$D$3:$AH$3)+1)+INDEX(December!$C$3:$AH$169,119,MATCH(B379,December!$D$3:$AH$3)+1)+INDEX(December!$C$3:$AH$169,124,MATCH(B379,December!$D$3:$AH$3)+1)+INDEX(December!$C$3:$AH$169,129,MATCH(B379,December!$D$3:$AH$3)+1)+INDEX(December!$C$3:$AH$169,134,MATCH(B379,December!$D$3:$AH$3)+1)+INDEX(December!$C$3:$AH$169,139,MATCH(B379,December!$D$3:$AH$3)+1)+INDEX(December!$C$3:$AH$169,144,MATCH(B379,December!$D$3:$AH$3)+1)+INDEX(December!$C$3:$AH$169,149,MATCH(B379,December!$D$3:$AH$3)+1)-INDEX(December!$B$5:$AH$169,MATCH("Patrick Janssen",December!$B$5:$B$169)+1,MATCH(B379,December!$D$3:$AH$3)+2)-INDEX(December!$B$5:$AH$169,MATCH("Patrick Ziesen",December!$B$5:$B$169)+1,MATCH(B379,December!$D$3:$AH$3)+2)-INDEX(December!$B$5:$AH$169,MATCH("Frido Meijer",December!$B$5:$B$169)+1,MATCH(B379,December!$D$3:$AH$3)+2)</f>
        <v>0</v>
      </c>
      <c r="I379" s="130">
        <v>0</v>
      </c>
      <c r="J379" s="130">
        <v>0</v>
      </c>
      <c r="L379" s="111"/>
      <c r="M379" s="111"/>
      <c r="N379" s="111">
        <f t="shared" si="111"/>
        <v>0</v>
      </c>
      <c r="P379" s="112">
        <f t="shared" si="112"/>
        <v>0</v>
      </c>
      <c r="Q379" s="112">
        <f t="shared" si="113"/>
        <v>0</v>
      </c>
    </row>
    <row r="380" spans="2:17" x14ac:dyDescent="0.25">
      <c r="B380" s="110">
        <f>DATE(Title!$F$12,$S$16,S23)</f>
        <v>41627</v>
      </c>
      <c r="C380" s="111">
        <f>IF(WEEKDAY(B380)=1,0,IF(WEEKDAY(B380)=4,'Hours Scheduled'!$O$44-1,IF(WEEKDAY(B380)=7,0,'Hours Scheduled'!$O$44)))</f>
        <v>21</v>
      </c>
      <c r="D380" s="17">
        <f t="shared" si="114"/>
        <v>157.5</v>
      </c>
      <c r="E380" s="127">
        <f t="shared" si="115"/>
        <v>160</v>
      </c>
      <c r="F380" s="111"/>
      <c r="G380" s="130">
        <f>INDEX(December!$C$3:$AH$169,3,MATCH(B380,December!$D$3:$AH$3)+1)+INDEX(December!$C$3:$AH$169,8,MATCH(B380,December!$D$3:$AH$3)+1)+INDEX(December!$C$3:$AH$169,13,MATCH(B380,December!$D$3:$AH$3)+1)+INDEX(December!$C$3:$AH$169,18,MATCH(B380,December!$D$3:$AH$3)+1)+INDEX(December!$C$3:$AH$169,23,MATCH(B380,December!$D$3:$AH$3)+1)+INDEX(December!$C$3:$AH$169,28,MATCH(B380,December!$D$3:$AH$3)+1)+INDEX(December!$C$3:$AH$169,33,MATCH(B380,December!$D$3:$AH$3)+1)+INDEX(December!$C$3:$AH$169,38,MATCH(B380,December!$D$3:$AH$3)+1)+INDEX(December!$C$3:$AH$169,43,MATCH(B380,December!$D$3:$AH$3)+1)+INDEX(December!$C$3:$AH$169,48,MATCH(B380,December!$D$3:$AH$3)+1)+INDEX(December!$C$3:$AH$169,53,MATCH(B380,December!$D$3:$AH$3)+1)+INDEX(December!$C$3:$AH$169,58,MATCH(B380,December!$D$3:$AH$3)+1)+INDEX(December!$C$3:$AH$169,63,MATCH(B380,December!$D$3:$AH$3)+1)+INDEX(December!$C$3:$AH$169,68,MATCH(B380,December!$D$3:$AH$3)+1)+INDEX(December!$C$3:$AH$169,73,MATCH(B380,December!$D$3:$AH$3)+1)+INDEX(December!$C$3:$AH$169,78,MATCH(B380,December!$D$3:$AH$3)+1)+INDEX(December!$C$3:$AH$169,83,MATCH(B380,December!$D$3:$AH$3)+1)+INDEX(December!$C$3:$AH$169,88,MATCH(B380,December!$D$3:$AH$3)+1)+INDEX(December!$C$3:$AH$169,93,MATCH(B380,December!$D$3:$AH$3)+1)+INDEX(December!$C$3:$AH$169,98,MATCH(B380,December!$D$3:$AH$3)+1)+INDEX(December!$C$3:$AH$169,103,MATCH(B380,December!$D$3:$AH$3)+1)+INDEX(December!$C$3:$AH$169,108,MATCH(B380,December!$D$3:$AH$3)+1)+INDEX(December!$C$3:$AH$169,113,MATCH(B380,December!$D$3:$AH$3)+1)+INDEX(December!$C$3:$AH$169,118,MATCH(B380,December!$D$3:$AH$3)+1)+INDEX(December!$C$3:$AH$169,123,MATCH(B380,December!$D$3:$AH$3)+1)+INDEX(December!$C$3:$AH$169,128,MATCH(B380,December!$D$3:$AH$3)+1)+INDEX(December!$C$3:$AH$169,133,MATCH(B380,December!$D$3:$AH$3)+1)+INDEX(December!$C$3:$AH$169,138,MATCH(B380,December!$D$3:$AH$3)+1)+INDEX(December!$C$3:$AH$169,143,MATCH(B380,December!$D$3:$AH$3)+1)+INDEX(December!$C$3:$AH$169,148,MATCH(B380,December!$D$3:$AH$3)+1)-INDEX(December!$B$5:$AH$169,MATCH("Patrick Janssen",December!$B$5:$B$169),MATCH(B380,December!$D$3:$AH$3)+2)-INDEX(December!$B$5:$AH$169,MATCH("Patrick Ziesen",December!$B$5:$B$169),MATCH(B380,December!$D$3:$AH$3)+2)-INDEX(December!$B$5:$AH$169,MATCH("Frido Meijer",December!$B$5:$B$169),MATCH(B380,December!$D$3:$AH$3)+2)</f>
        <v>8</v>
      </c>
      <c r="H380" s="130">
        <f>INDEX(December!$C$3:$AH$169,4,MATCH(B380,December!$D$3:$AH$3)+1)+INDEX(December!$C$3:$AH$169,9,MATCH(B380,December!$D$3:$AH$3)+1)+INDEX(December!$C$3:$AH$169,14,MATCH(B380,December!$D$3:$AH$3)+1)+INDEX(December!$C$3:$AH$169,19,MATCH(B380,December!$D$3:$AH$3)+1)+INDEX(December!$C$3:$AH$169,24,MATCH(B380,December!$D$3:$AH$3)+1)+INDEX(December!$C$3:$AH$169,29,MATCH(B380,December!$D$3:$AH$3)+1)+INDEX(December!$C$3:$AH$169,34,MATCH(B380,December!$D$3:$AH$3)+1)+INDEX(December!$C$3:$AH$169,39,MATCH(B380,December!$D$3:$AH$3)+1)+INDEX(December!$C$3:$AH$169,44,MATCH(B380,December!$D$3:$AH$3)+1)+INDEX(December!$C$3:$AH$169,49,MATCH(B380,December!$D$3:$AH$3)+1)+INDEX(December!$C$3:$AH$169,54,MATCH(B380,December!$D$3:$AH$3)+1)+INDEX(December!$C$3:$AH$169,59,MATCH(B380,December!$D$3:$AH$3)+1)+INDEX(December!$C$3:$AH$169,64,MATCH(B380,December!$D$3:$AH$3)+1)+INDEX(December!$C$3:$AH$169,69,MATCH(B380,December!$D$3:$AH$3)+1)+INDEX(December!$C$3:$AH$169,74,MATCH(B380,December!$D$3:$AH$3)+1)+INDEX(December!$C$3:$AH$169,79,MATCH(B380,December!$D$3:$AH$3)+1)+INDEX(December!$C$3:$AH$169,84,MATCH(B380,December!$D$3:$AH$3)+1)+INDEX(December!$C$3:$AH$169,89,MATCH(B380,December!$D$3:$AH$3)+1)+INDEX(December!$C$3:$AH$169,94,MATCH(B380,December!$D$3:$AH$3)+1)+INDEX(December!$C$3:$AH$169,99,MATCH(B380,December!$D$3:$AH$3)+1)+INDEX(December!$C$3:$AH$169,104,MATCH(B380,December!$D$3:$AH$3)+1)+INDEX(December!$C$3:$AH$169,109,MATCH(B380,December!$D$3:$AH$3)+1)+INDEX(December!$C$3:$AH$169,114,MATCH(B380,December!$D$3:$AH$3)+1)+INDEX(December!$C$3:$AH$169,119,MATCH(B380,December!$D$3:$AH$3)+1)+INDEX(December!$C$3:$AH$169,124,MATCH(B380,December!$D$3:$AH$3)+1)+INDEX(December!$C$3:$AH$169,129,MATCH(B380,December!$D$3:$AH$3)+1)+INDEX(December!$C$3:$AH$169,134,MATCH(B380,December!$D$3:$AH$3)+1)+INDEX(December!$C$3:$AH$169,139,MATCH(B380,December!$D$3:$AH$3)+1)+INDEX(December!$C$3:$AH$169,144,MATCH(B380,December!$D$3:$AH$3)+1)+INDEX(December!$C$3:$AH$169,149,MATCH(B380,December!$D$3:$AH$3)+1)-INDEX(December!$B$5:$AH$169,MATCH("Patrick Janssen",December!$B$5:$B$169)+1,MATCH(B380,December!$D$3:$AH$3)+2)-INDEX(December!$B$5:$AH$169,MATCH("Patrick Ziesen",December!$B$5:$B$169)+1,MATCH(B380,December!$D$3:$AH$3)+2)-INDEX(December!$B$5:$AH$169,MATCH("Frido Meijer",December!$B$5:$B$169)+1,MATCH(B380,December!$D$3:$AH$3)+2)</f>
        <v>0</v>
      </c>
      <c r="I380" s="130">
        <v>0</v>
      </c>
      <c r="J380" s="130">
        <v>0</v>
      </c>
      <c r="L380" s="111"/>
      <c r="M380" s="111"/>
      <c r="N380" s="111">
        <f t="shared" si="111"/>
        <v>0</v>
      </c>
      <c r="P380" s="112">
        <f t="shared" si="112"/>
        <v>0</v>
      </c>
      <c r="Q380" s="112">
        <f t="shared" si="113"/>
        <v>0</v>
      </c>
    </row>
    <row r="381" spans="2:17" x14ac:dyDescent="0.25">
      <c r="B381" s="110">
        <f>DATE(Title!$F$12,$S$16,S24)</f>
        <v>41628</v>
      </c>
      <c r="C381" s="111">
        <f>IF(WEEKDAY(B381)=1,0,IF(WEEKDAY(B381)=4,'Hours Scheduled'!$O$44-1,IF(WEEKDAY(B381)=7,0,'Hours Scheduled'!$O$44)))</f>
        <v>21</v>
      </c>
      <c r="D381" s="17">
        <f t="shared" si="114"/>
        <v>157.5</v>
      </c>
      <c r="E381" s="127">
        <f t="shared" si="115"/>
        <v>160</v>
      </c>
      <c r="F381" s="111"/>
      <c r="G381" s="130">
        <f>INDEX(December!$C$3:$AH$169,3,MATCH(B381,December!$D$3:$AH$3)+1)+INDEX(December!$C$3:$AH$169,8,MATCH(B381,December!$D$3:$AH$3)+1)+INDEX(December!$C$3:$AH$169,13,MATCH(B381,December!$D$3:$AH$3)+1)+INDEX(December!$C$3:$AH$169,18,MATCH(B381,December!$D$3:$AH$3)+1)+INDEX(December!$C$3:$AH$169,23,MATCH(B381,December!$D$3:$AH$3)+1)+INDEX(December!$C$3:$AH$169,28,MATCH(B381,December!$D$3:$AH$3)+1)+INDEX(December!$C$3:$AH$169,33,MATCH(B381,December!$D$3:$AH$3)+1)+INDEX(December!$C$3:$AH$169,38,MATCH(B381,December!$D$3:$AH$3)+1)+INDEX(December!$C$3:$AH$169,43,MATCH(B381,December!$D$3:$AH$3)+1)+INDEX(December!$C$3:$AH$169,48,MATCH(B381,December!$D$3:$AH$3)+1)+INDEX(December!$C$3:$AH$169,53,MATCH(B381,December!$D$3:$AH$3)+1)+INDEX(December!$C$3:$AH$169,58,MATCH(B381,December!$D$3:$AH$3)+1)+INDEX(December!$C$3:$AH$169,63,MATCH(B381,December!$D$3:$AH$3)+1)+INDEX(December!$C$3:$AH$169,68,MATCH(B381,December!$D$3:$AH$3)+1)+INDEX(December!$C$3:$AH$169,73,MATCH(B381,December!$D$3:$AH$3)+1)+INDEX(December!$C$3:$AH$169,78,MATCH(B381,December!$D$3:$AH$3)+1)+INDEX(December!$C$3:$AH$169,83,MATCH(B381,December!$D$3:$AH$3)+1)+INDEX(December!$C$3:$AH$169,88,MATCH(B381,December!$D$3:$AH$3)+1)+INDEX(December!$C$3:$AH$169,93,MATCH(B381,December!$D$3:$AH$3)+1)+INDEX(December!$C$3:$AH$169,98,MATCH(B381,December!$D$3:$AH$3)+1)+INDEX(December!$C$3:$AH$169,103,MATCH(B381,December!$D$3:$AH$3)+1)+INDEX(December!$C$3:$AH$169,108,MATCH(B381,December!$D$3:$AH$3)+1)+INDEX(December!$C$3:$AH$169,113,MATCH(B381,December!$D$3:$AH$3)+1)+INDEX(December!$C$3:$AH$169,118,MATCH(B381,December!$D$3:$AH$3)+1)+INDEX(December!$C$3:$AH$169,123,MATCH(B381,December!$D$3:$AH$3)+1)+INDEX(December!$C$3:$AH$169,128,MATCH(B381,December!$D$3:$AH$3)+1)+INDEX(December!$C$3:$AH$169,133,MATCH(B381,December!$D$3:$AH$3)+1)+INDEX(December!$C$3:$AH$169,138,MATCH(B381,December!$D$3:$AH$3)+1)+INDEX(December!$C$3:$AH$169,143,MATCH(B381,December!$D$3:$AH$3)+1)+INDEX(December!$C$3:$AH$169,148,MATCH(B381,December!$D$3:$AH$3)+1)-INDEX(December!$B$5:$AH$169,MATCH("Patrick Janssen",December!$B$5:$B$169),MATCH(B381,December!$D$3:$AH$3)+2)-INDEX(December!$B$5:$AH$169,MATCH("Patrick Ziesen",December!$B$5:$B$169),MATCH(B381,December!$D$3:$AH$3)+2)-INDEX(December!$B$5:$AH$169,MATCH("Frido Meijer",December!$B$5:$B$169),MATCH(B381,December!$D$3:$AH$3)+2)</f>
        <v>8</v>
      </c>
      <c r="H381" s="130">
        <f>INDEX(December!$C$3:$AH$169,4,MATCH(B381,December!$D$3:$AH$3)+1)+INDEX(December!$C$3:$AH$169,9,MATCH(B381,December!$D$3:$AH$3)+1)+INDEX(December!$C$3:$AH$169,14,MATCH(B381,December!$D$3:$AH$3)+1)+INDEX(December!$C$3:$AH$169,19,MATCH(B381,December!$D$3:$AH$3)+1)+INDEX(December!$C$3:$AH$169,24,MATCH(B381,December!$D$3:$AH$3)+1)+INDEX(December!$C$3:$AH$169,29,MATCH(B381,December!$D$3:$AH$3)+1)+INDEX(December!$C$3:$AH$169,34,MATCH(B381,December!$D$3:$AH$3)+1)+INDEX(December!$C$3:$AH$169,39,MATCH(B381,December!$D$3:$AH$3)+1)+INDEX(December!$C$3:$AH$169,44,MATCH(B381,December!$D$3:$AH$3)+1)+INDEX(December!$C$3:$AH$169,49,MATCH(B381,December!$D$3:$AH$3)+1)+INDEX(December!$C$3:$AH$169,54,MATCH(B381,December!$D$3:$AH$3)+1)+INDEX(December!$C$3:$AH$169,59,MATCH(B381,December!$D$3:$AH$3)+1)+INDEX(December!$C$3:$AH$169,64,MATCH(B381,December!$D$3:$AH$3)+1)+INDEX(December!$C$3:$AH$169,69,MATCH(B381,December!$D$3:$AH$3)+1)+INDEX(December!$C$3:$AH$169,74,MATCH(B381,December!$D$3:$AH$3)+1)+INDEX(December!$C$3:$AH$169,79,MATCH(B381,December!$D$3:$AH$3)+1)+INDEX(December!$C$3:$AH$169,84,MATCH(B381,December!$D$3:$AH$3)+1)+INDEX(December!$C$3:$AH$169,89,MATCH(B381,December!$D$3:$AH$3)+1)+INDEX(December!$C$3:$AH$169,94,MATCH(B381,December!$D$3:$AH$3)+1)+INDEX(December!$C$3:$AH$169,99,MATCH(B381,December!$D$3:$AH$3)+1)+INDEX(December!$C$3:$AH$169,104,MATCH(B381,December!$D$3:$AH$3)+1)+INDEX(December!$C$3:$AH$169,109,MATCH(B381,December!$D$3:$AH$3)+1)+INDEX(December!$C$3:$AH$169,114,MATCH(B381,December!$D$3:$AH$3)+1)+INDEX(December!$C$3:$AH$169,119,MATCH(B381,December!$D$3:$AH$3)+1)+INDEX(December!$C$3:$AH$169,124,MATCH(B381,December!$D$3:$AH$3)+1)+INDEX(December!$C$3:$AH$169,129,MATCH(B381,December!$D$3:$AH$3)+1)+INDEX(December!$C$3:$AH$169,134,MATCH(B381,December!$D$3:$AH$3)+1)+INDEX(December!$C$3:$AH$169,139,MATCH(B381,December!$D$3:$AH$3)+1)+INDEX(December!$C$3:$AH$169,144,MATCH(B381,December!$D$3:$AH$3)+1)+INDEX(December!$C$3:$AH$169,149,MATCH(B381,December!$D$3:$AH$3)+1)-INDEX(December!$B$5:$AH$169,MATCH("Patrick Janssen",December!$B$5:$B$169)+1,MATCH(B381,December!$D$3:$AH$3)+2)-INDEX(December!$B$5:$AH$169,MATCH("Patrick Ziesen",December!$B$5:$B$169)+1,MATCH(B381,December!$D$3:$AH$3)+2)-INDEX(December!$B$5:$AH$169,MATCH("Frido Meijer",December!$B$5:$B$169)+1,MATCH(B381,December!$D$3:$AH$3)+2)</f>
        <v>0</v>
      </c>
      <c r="I381" s="130">
        <v>0</v>
      </c>
      <c r="J381" s="130">
        <v>0</v>
      </c>
      <c r="L381" s="111"/>
      <c r="M381" s="111"/>
      <c r="N381" s="111">
        <f t="shared" si="111"/>
        <v>0</v>
      </c>
      <c r="P381" s="112">
        <f t="shared" si="112"/>
        <v>0</v>
      </c>
      <c r="Q381" s="112">
        <f t="shared" si="113"/>
        <v>0</v>
      </c>
    </row>
    <row r="382" spans="2:17" x14ac:dyDescent="0.25">
      <c r="B382" s="110">
        <f>DATE(Title!$F$12,$S$16,S25)</f>
        <v>41629</v>
      </c>
      <c r="C382" s="111">
        <f>IF(WEEKDAY(B382)=1,0,IF(WEEKDAY(B382)=4,'Hours Scheduled'!$O$44-1,IF(WEEKDAY(B382)=7,0,'Hours Scheduled'!$O$44)))</f>
        <v>0</v>
      </c>
      <c r="D382" s="17">
        <f t="shared" si="114"/>
        <v>0</v>
      </c>
      <c r="E382" s="127">
        <f t="shared" si="115"/>
        <v>0</v>
      </c>
      <c r="F382" s="111"/>
      <c r="G382" s="130">
        <f>INDEX(December!$C$3:$AH$169,3,MATCH(B382,December!$D$3:$AH$3)+1)+INDEX(December!$C$3:$AH$169,8,MATCH(B382,December!$D$3:$AH$3)+1)+INDEX(December!$C$3:$AH$169,13,MATCH(B382,December!$D$3:$AH$3)+1)+INDEX(December!$C$3:$AH$169,18,MATCH(B382,December!$D$3:$AH$3)+1)+INDEX(December!$C$3:$AH$169,23,MATCH(B382,December!$D$3:$AH$3)+1)+INDEX(December!$C$3:$AH$169,28,MATCH(B382,December!$D$3:$AH$3)+1)+INDEX(December!$C$3:$AH$169,33,MATCH(B382,December!$D$3:$AH$3)+1)+INDEX(December!$C$3:$AH$169,38,MATCH(B382,December!$D$3:$AH$3)+1)+INDEX(December!$C$3:$AH$169,43,MATCH(B382,December!$D$3:$AH$3)+1)+INDEX(December!$C$3:$AH$169,48,MATCH(B382,December!$D$3:$AH$3)+1)+INDEX(December!$C$3:$AH$169,53,MATCH(B382,December!$D$3:$AH$3)+1)+INDEX(December!$C$3:$AH$169,58,MATCH(B382,December!$D$3:$AH$3)+1)+INDEX(December!$C$3:$AH$169,63,MATCH(B382,December!$D$3:$AH$3)+1)+INDEX(December!$C$3:$AH$169,68,MATCH(B382,December!$D$3:$AH$3)+1)+INDEX(December!$C$3:$AH$169,73,MATCH(B382,December!$D$3:$AH$3)+1)+INDEX(December!$C$3:$AH$169,78,MATCH(B382,December!$D$3:$AH$3)+1)+INDEX(December!$C$3:$AH$169,83,MATCH(B382,December!$D$3:$AH$3)+1)+INDEX(December!$C$3:$AH$169,88,MATCH(B382,December!$D$3:$AH$3)+1)+INDEX(December!$C$3:$AH$169,93,MATCH(B382,December!$D$3:$AH$3)+1)+INDEX(December!$C$3:$AH$169,98,MATCH(B382,December!$D$3:$AH$3)+1)+INDEX(December!$C$3:$AH$169,103,MATCH(B382,December!$D$3:$AH$3)+1)+INDEX(December!$C$3:$AH$169,108,MATCH(B382,December!$D$3:$AH$3)+1)+INDEX(December!$C$3:$AH$169,113,MATCH(B382,December!$D$3:$AH$3)+1)+INDEX(December!$C$3:$AH$169,118,MATCH(B382,December!$D$3:$AH$3)+1)+INDEX(December!$C$3:$AH$169,123,MATCH(B382,December!$D$3:$AH$3)+1)+INDEX(December!$C$3:$AH$169,128,MATCH(B382,December!$D$3:$AH$3)+1)+INDEX(December!$C$3:$AH$169,133,MATCH(B382,December!$D$3:$AH$3)+1)+INDEX(December!$C$3:$AH$169,138,MATCH(B382,December!$D$3:$AH$3)+1)+INDEX(December!$C$3:$AH$169,143,MATCH(B382,December!$D$3:$AH$3)+1)+INDEX(December!$C$3:$AH$169,148,MATCH(B382,December!$D$3:$AH$3)+1)-INDEX(December!$B$5:$AH$169,MATCH("Patrick Janssen",December!$B$5:$B$169),MATCH(B382,December!$D$3:$AH$3)+2)-INDEX(December!$B$5:$AH$169,MATCH("Patrick Ziesen",December!$B$5:$B$169),MATCH(B382,December!$D$3:$AH$3)+2)-INDEX(December!$B$5:$AH$169,MATCH("Frido Meijer",December!$B$5:$B$169),MATCH(B382,December!$D$3:$AH$3)+2)</f>
        <v>0</v>
      </c>
      <c r="H382" s="130">
        <f>INDEX(December!$C$3:$AH$169,4,MATCH(B382,December!$D$3:$AH$3)+1)+INDEX(December!$C$3:$AH$169,9,MATCH(B382,December!$D$3:$AH$3)+1)+INDEX(December!$C$3:$AH$169,14,MATCH(B382,December!$D$3:$AH$3)+1)+INDEX(December!$C$3:$AH$169,19,MATCH(B382,December!$D$3:$AH$3)+1)+INDEX(December!$C$3:$AH$169,24,MATCH(B382,December!$D$3:$AH$3)+1)+INDEX(December!$C$3:$AH$169,29,MATCH(B382,December!$D$3:$AH$3)+1)+INDEX(December!$C$3:$AH$169,34,MATCH(B382,December!$D$3:$AH$3)+1)+INDEX(December!$C$3:$AH$169,39,MATCH(B382,December!$D$3:$AH$3)+1)+INDEX(December!$C$3:$AH$169,44,MATCH(B382,December!$D$3:$AH$3)+1)+INDEX(December!$C$3:$AH$169,49,MATCH(B382,December!$D$3:$AH$3)+1)+INDEX(December!$C$3:$AH$169,54,MATCH(B382,December!$D$3:$AH$3)+1)+INDEX(December!$C$3:$AH$169,59,MATCH(B382,December!$D$3:$AH$3)+1)+INDEX(December!$C$3:$AH$169,64,MATCH(B382,December!$D$3:$AH$3)+1)+INDEX(December!$C$3:$AH$169,69,MATCH(B382,December!$D$3:$AH$3)+1)+INDEX(December!$C$3:$AH$169,74,MATCH(B382,December!$D$3:$AH$3)+1)+INDEX(December!$C$3:$AH$169,79,MATCH(B382,December!$D$3:$AH$3)+1)+INDEX(December!$C$3:$AH$169,84,MATCH(B382,December!$D$3:$AH$3)+1)+INDEX(December!$C$3:$AH$169,89,MATCH(B382,December!$D$3:$AH$3)+1)+INDEX(December!$C$3:$AH$169,94,MATCH(B382,December!$D$3:$AH$3)+1)+INDEX(December!$C$3:$AH$169,99,MATCH(B382,December!$D$3:$AH$3)+1)+INDEX(December!$C$3:$AH$169,104,MATCH(B382,December!$D$3:$AH$3)+1)+INDEX(December!$C$3:$AH$169,109,MATCH(B382,December!$D$3:$AH$3)+1)+INDEX(December!$C$3:$AH$169,114,MATCH(B382,December!$D$3:$AH$3)+1)+INDEX(December!$C$3:$AH$169,119,MATCH(B382,December!$D$3:$AH$3)+1)+INDEX(December!$C$3:$AH$169,124,MATCH(B382,December!$D$3:$AH$3)+1)+INDEX(December!$C$3:$AH$169,129,MATCH(B382,December!$D$3:$AH$3)+1)+INDEX(December!$C$3:$AH$169,134,MATCH(B382,December!$D$3:$AH$3)+1)+INDEX(December!$C$3:$AH$169,139,MATCH(B382,December!$D$3:$AH$3)+1)+INDEX(December!$C$3:$AH$169,144,MATCH(B382,December!$D$3:$AH$3)+1)+INDEX(December!$C$3:$AH$169,149,MATCH(B382,December!$D$3:$AH$3)+1)-INDEX(December!$B$5:$AH$169,MATCH("Patrick Janssen",December!$B$5:$B$169)+1,MATCH(B382,December!$D$3:$AH$3)+2)-INDEX(December!$B$5:$AH$169,MATCH("Patrick Ziesen",December!$B$5:$B$169)+1,MATCH(B382,December!$D$3:$AH$3)+2)-INDEX(December!$B$5:$AH$169,MATCH("Frido Meijer",December!$B$5:$B$169)+1,MATCH(B382,December!$D$3:$AH$3)+2)</f>
        <v>0</v>
      </c>
      <c r="I382" s="130">
        <v>0</v>
      </c>
      <c r="J382" s="130">
        <v>0</v>
      </c>
      <c r="L382" s="111"/>
      <c r="M382" s="111"/>
      <c r="N382" s="111">
        <f t="shared" si="111"/>
        <v>0</v>
      </c>
      <c r="P382" s="112" t="str">
        <f t="shared" si="112"/>
        <v/>
      </c>
      <c r="Q382" s="112" t="str">
        <f t="shared" si="113"/>
        <v/>
      </c>
    </row>
    <row r="383" spans="2:17" x14ac:dyDescent="0.25">
      <c r="B383" s="110">
        <f>DATE(Title!$F$12,$S$16,S26)</f>
        <v>41630</v>
      </c>
      <c r="C383" s="111">
        <f>IF(WEEKDAY(B383)=1,0,IF(WEEKDAY(B383)=4,'Hours Scheduled'!$O$44-1,IF(WEEKDAY(B383)=7,0,'Hours Scheduled'!$O$44)))</f>
        <v>0</v>
      </c>
      <c r="D383" s="17">
        <f t="shared" si="114"/>
        <v>0</v>
      </c>
      <c r="E383" s="127">
        <f t="shared" si="115"/>
        <v>0</v>
      </c>
      <c r="F383" s="111"/>
      <c r="G383" s="130">
        <f>INDEX(December!$C$3:$AH$169,3,MATCH(B383,December!$D$3:$AH$3)+1)+INDEX(December!$C$3:$AH$169,8,MATCH(B383,December!$D$3:$AH$3)+1)+INDEX(December!$C$3:$AH$169,13,MATCH(B383,December!$D$3:$AH$3)+1)+INDEX(December!$C$3:$AH$169,18,MATCH(B383,December!$D$3:$AH$3)+1)+INDEX(December!$C$3:$AH$169,23,MATCH(B383,December!$D$3:$AH$3)+1)+INDEX(December!$C$3:$AH$169,28,MATCH(B383,December!$D$3:$AH$3)+1)+INDEX(December!$C$3:$AH$169,33,MATCH(B383,December!$D$3:$AH$3)+1)+INDEX(December!$C$3:$AH$169,38,MATCH(B383,December!$D$3:$AH$3)+1)+INDEX(December!$C$3:$AH$169,43,MATCH(B383,December!$D$3:$AH$3)+1)+INDEX(December!$C$3:$AH$169,48,MATCH(B383,December!$D$3:$AH$3)+1)+INDEX(December!$C$3:$AH$169,53,MATCH(B383,December!$D$3:$AH$3)+1)+INDEX(December!$C$3:$AH$169,58,MATCH(B383,December!$D$3:$AH$3)+1)+INDEX(December!$C$3:$AH$169,63,MATCH(B383,December!$D$3:$AH$3)+1)+INDEX(December!$C$3:$AH$169,68,MATCH(B383,December!$D$3:$AH$3)+1)+INDEX(December!$C$3:$AH$169,73,MATCH(B383,December!$D$3:$AH$3)+1)+INDEX(December!$C$3:$AH$169,78,MATCH(B383,December!$D$3:$AH$3)+1)+INDEX(December!$C$3:$AH$169,83,MATCH(B383,December!$D$3:$AH$3)+1)+INDEX(December!$C$3:$AH$169,88,MATCH(B383,December!$D$3:$AH$3)+1)+INDEX(December!$C$3:$AH$169,93,MATCH(B383,December!$D$3:$AH$3)+1)+INDEX(December!$C$3:$AH$169,98,MATCH(B383,December!$D$3:$AH$3)+1)+INDEX(December!$C$3:$AH$169,103,MATCH(B383,December!$D$3:$AH$3)+1)+INDEX(December!$C$3:$AH$169,108,MATCH(B383,December!$D$3:$AH$3)+1)+INDEX(December!$C$3:$AH$169,113,MATCH(B383,December!$D$3:$AH$3)+1)+INDEX(December!$C$3:$AH$169,118,MATCH(B383,December!$D$3:$AH$3)+1)+INDEX(December!$C$3:$AH$169,123,MATCH(B383,December!$D$3:$AH$3)+1)+INDEX(December!$C$3:$AH$169,128,MATCH(B383,December!$D$3:$AH$3)+1)+INDEX(December!$C$3:$AH$169,133,MATCH(B383,December!$D$3:$AH$3)+1)+INDEX(December!$C$3:$AH$169,138,MATCH(B383,December!$D$3:$AH$3)+1)+INDEX(December!$C$3:$AH$169,143,MATCH(B383,December!$D$3:$AH$3)+1)+INDEX(December!$C$3:$AH$169,148,MATCH(B383,December!$D$3:$AH$3)+1)-INDEX(December!$B$5:$AH$169,MATCH("Patrick Janssen",December!$B$5:$B$169),MATCH(B383,December!$D$3:$AH$3)+2)-INDEX(December!$B$5:$AH$169,MATCH("Patrick Ziesen",December!$B$5:$B$169),MATCH(B383,December!$D$3:$AH$3)+2)-INDEX(December!$B$5:$AH$169,MATCH("Frido Meijer",December!$B$5:$B$169),MATCH(B383,December!$D$3:$AH$3)+2)</f>
        <v>0</v>
      </c>
      <c r="H383" s="130">
        <f>INDEX(December!$C$3:$AH$169,4,MATCH(B383,December!$D$3:$AH$3)+1)+INDEX(December!$C$3:$AH$169,9,MATCH(B383,December!$D$3:$AH$3)+1)+INDEX(December!$C$3:$AH$169,14,MATCH(B383,December!$D$3:$AH$3)+1)+INDEX(December!$C$3:$AH$169,19,MATCH(B383,December!$D$3:$AH$3)+1)+INDEX(December!$C$3:$AH$169,24,MATCH(B383,December!$D$3:$AH$3)+1)+INDEX(December!$C$3:$AH$169,29,MATCH(B383,December!$D$3:$AH$3)+1)+INDEX(December!$C$3:$AH$169,34,MATCH(B383,December!$D$3:$AH$3)+1)+INDEX(December!$C$3:$AH$169,39,MATCH(B383,December!$D$3:$AH$3)+1)+INDEX(December!$C$3:$AH$169,44,MATCH(B383,December!$D$3:$AH$3)+1)+INDEX(December!$C$3:$AH$169,49,MATCH(B383,December!$D$3:$AH$3)+1)+INDEX(December!$C$3:$AH$169,54,MATCH(B383,December!$D$3:$AH$3)+1)+INDEX(December!$C$3:$AH$169,59,MATCH(B383,December!$D$3:$AH$3)+1)+INDEX(December!$C$3:$AH$169,64,MATCH(B383,December!$D$3:$AH$3)+1)+INDEX(December!$C$3:$AH$169,69,MATCH(B383,December!$D$3:$AH$3)+1)+INDEX(December!$C$3:$AH$169,74,MATCH(B383,December!$D$3:$AH$3)+1)+INDEX(December!$C$3:$AH$169,79,MATCH(B383,December!$D$3:$AH$3)+1)+INDEX(December!$C$3:$AH$169,84,MATCH(B383,December!$D$3:$AH$3)+1)+INDEX(December!$C$3:$AH$169,89,MATCH(B383,December!$D$3:$AH$3)+1)+INDEX(December!$C$3:$AH$169,94,MATCH(B383,December!$D$3:$AH$3)+1)+INDEX(December!$C$3:$AH$169,99,MATCH(B383,December!$D$3:$AH$3)+1)+INDEX(December!$C$3:$AH$169,104,MATCH(B383,December!$D$3:$AH$3)+1)+INDEX(December!$C$3:$AH$169,109,MATCH(B383,December!$D$3:$AH$3)+1)+INDEX(December!$C$3:$AH$169,114,MATCH(B383,December!$D$3:$AH$3)+1)+INDEX(December!$C$3:$AH$169,119,MATCH(B383,December!$D$3:$AH$3)+1)+INDEX(December!$C$3:$AH$169,124,MATCH(B383,December!$D$3:$AH$3)+1)+INDEX(December!$C$3:$AH$169,129,MATCH(B383,December!$D$3:$AH$3)+1)+INDEX(December!$C$3:$AH$169,134,MATCH(B383,December!$D$3:$AH$3)+1)+INDEX(December!$C$3:$AH$169,139,MATCH(B383,December!$D$3:$AH$3)+1)+INDEX(December!$C$3:$AH$169,144,MATCH(B383,December!$D$3:$AH$3)+1)+INDEX(December!$C$3:$AH$169,149,MATCH(B383,December!$D$3:$AH$3)+1)-INDEX(December!$B$5:$AH$169,MATCH("Patrick Janssen",December!$B$5:$B$169)+1,MATCH(B383,December!$D$3:$AH$3)+2)-INDEX(December!$B$5:$AH$169,MATCH("Patrick Ziesen",December!$B$5:$B$169)+1,MATCH(B383,December!$D$3:$AH$3)+2)-INDEX(December!$B$5:$AH$169,MATCH("Frido Meijer",December!$B$5:$B$169)+1,MATCH(B383,December!$D$3:$AH$3)+2)</f>
        <v>0</v>
      </c>
      <c r="I383" s="130">
        <v>0</v>
      </c>
      <c r="J383" s="130">
        <v>0</v>
      </c>
      <c r="L383" s="111"/>
      <c r="M383" s="111"/>
      <c r="N383" s="111">
        <f t="shared" si="111"/>
        <v>0</v>
      </c>
      <c r="P383" s="112" t="str">
        <f t="shared" si="112"/>
        <v/>
      </c>
      <c r="Q383" s="112" t="str">
        <f t="shared" si="113"/>
        <v/>
      </c>
    </row>
    <row r="384" spans="2:17" x14ac:dyDescent="0.25">
      <c r="B384" s="110">
        <f>DATE(Title!$F$12,$S$16,S27)</f>
        <v>41631</v>
      </c>
      <c r="C384" s="111">
        <f>IF(WEEKDAY(B384)=1,0,IF(WEEKDAY(B384)=4,'Hours Scheduled'!$O$44-1,IF(WEEKDAY(B384)=7,0,'Hours Scheduled'!$O$44)))</f>
        <v>21</v>
      </c>
      <c r="D384" s="17">
        <f t="shared" si="114"/>
        <v>157.5</v>
      </c>
      <c r="E384" s="127">
        <f t="shared" si="115"/>
        <v>136</v>
      </c>
      <c r="F384" s="111"/>
      <c r="G384" s="130">
        <f>INDEX(December!$C$3:$AH$169,3,MATCH(B384,December!$D$3:$AH$3)+1)+INDEX(December!$C$3:$AH$169,8,MATCH(B384,December!$D$3:$AH$3)+1)+INDEX(December!$C$3:$AH$169,13,MATCH(B384,December!$D$3:$AH$3)+1)+INDEX(December!$C$3:$AH$169,18,MATCH(B384,December!$D$3:$AH$3)+1)+INDEX(December!$C$3:$AH$169,23,MATCH(B384,December!$D$3:$AH$3)+1)+INDEX(December!$C$3:$AH$169,28,MATCH(B384,December!$D$3:$AH$3)+1)+INDEX(December!$C$3:$AH$169,33,MATCH(B384,December!$D$3:$AH$3)+1)+INDEX(December!$C$3:$AH$169,38,MATCH(B384,December!$D$3:$AH$3)+1)+INDEX(December!$C$3:$AH$169,43,MATCH(B384,December!$D$3:$AH$3)+1)+INDEX(December!$C$3:$AH$169,48,MATCH(B384,December!$D$3:$AH$3)+1)+INDEX(December!$C$3:$AH$169,53,MATCH(B384,December!$D$3:$AH$3)+1)+INDEX(December!$C$3:$AH$169,58,MATCH(B384,December!$D$3:$AH$3)+1)+INDEX(December!$C$3:$AH$169,63,MATCH(B384,December!$D$3:$AH$3)+1)+INDEX(December!$C$3:$AH$169,68,MATCH(B384,December!$D$3:$AH$3)+1)+INDEX(December!$C$3:$AH$169,73,MATCH(B384,December!$D$3:$AH$3)+1)+INDEX(December!$C$3:$AH$169,78,MATCH(B384,December!$D$3:$AH$3)+1)+INDEX(December!$C$3:$AH$169,83,MATCH(B384,December!$D$3:$AH$3)+1)+INDEX(December!$C$3:$AH$169,88,MATCH(B384,December!$D$3:$AH$3)+1)+INDEX(December!$C$3:$AH$169,93,MATCH(B384,December!$D$3:$AH$3)+1)+INDEX(December!$C$3:$AH$169,98,MATCH(B384,December!$D$3:$AH$3)+1)+INDEX(December!$C$3:$AH$169,103,MATCH(B384,December!$D$3:$AH$3)+1)+INDEX(December!$C$3:$AH$169,108,MATCH(B384,December!$D$3:$AH$3)+1)+INDEX(December!$C$3:$AH$169,113,MATCH(B384,December!$D$3:$AH$3)+1)+INDEX(December!$C$3:$AH$169,118,MATCH(B384,December!$D$3:$AH$3)+1)+INDEX(December!$C$3:$AH$169,123,MATCH(B384,December!$D$3:$AH$3)+1)+INDEX(December!$C$3:$AH$169,128,MATCH(B384,December!$D$3:$AH$3)+1)+INDEX(December!$C$3:$AH$169,133,MATCH(B384,December!$D$3:$AH$3)+1)+INDEX(December!$C$3:$AH$169,138,MATCH(B384,December!$D$3:$AH$3)+1)+INDEX(December!$C$3:$AH$169,143,MATCH(B384,December!$D$3:$AH$3)+1)+INDEX(December!$C$3:$AH$169,148,MATCH(B384,December!$D$3:$AH$3)+1)-INDEX(December!$B$5:$AH$169,MATCH("Patrick Janssen",December!$B$5:$B$169),MATCH(B384,December!$D$3:$AH$3)+2)-INDEX(December!$B$5:$AH$169,MATCH("Patrick Ziesen",December!$B$5:$B$169),MATCH(B384,December!$D$3:$AH$3)+2)-INDEX(December!$B$5:$AH$169,MATCH("Frido Meijer",December!$B$5:$B$169),MATCH(B384,December!$D$3:$AH$3)+2)</f>
        <v>32</v>
      </c>
      <c r="H384" s="130">
        <f>INDEX(December!$C$3:$AH$169,4,MATCH(B384,December!$D$3:$AH$3)+1)+INDEX(December!$C$3:$AH$169,9,MATCH(B384,December!$D$3:$AH$3)+1)+INDEX(December!$C$3:$AH$169,14,MATCH(B384,December!$D$3:$AH$3)+1)+INDEX(December!$C$3:$AH$169,19,MATCH(B384,December!$D$3:$AH$3)+1)+INDEX(December!$C$3:$AH$169,24,MATCH(B384,December!$D$3:$AH$3)+1)+INDEX(December!$C$3:$AH$169,29,MATCH(B384,December!$D$3:$AH$3)+1)+INDEX(December!$C$3:$AH$169,34,MATCH(B384,December!$D$3:$AH$3)+1)+INDEX(December!$C$3:$AH$169,39,MATCH(B384,December!$D$3:$AH$3)+1)+INDEX(December!$C$3:$AH$169,44,MATCH(B384,December!$D$3:$AH$3)+1)+INDEX(December!$C$3:$AH$169,49,MATCH(B384,December!$D$3:$AH$3)+1)+INDEX(December!$C$3:$AH$169,54,MATCH(B384,December!$D$3:$AH$3)+1)+INDEX(December!$C$3:$AH$169,59,MATCH(B384,December!$D$3:$AH$3)+1)+INDEX(December!$C$3:$AH$169,64,MATCH(B384,December!$D$3:$AH$3)+1)+INDEX(December!$C$3:$AH$169,69,MATCH(B384,December!$D$3:$AH$3)+1)+INDEX(December!$C$3:$AH$169,74,MATCH(B384,December!$D$3:$AH$3)+1)+INDEX(December!$C$3:$AH$169,79,MATCH(B384,December!$D$3:$AH$3)+1)+INDEX(December!$C$3:$AH$169,84,MATCH(B384,December!$D$3:$AH$3)+1)+INDEX(December!$C$3:$AH$169,89,MATCH(B384,December!$D$3:$AH$3)+1)+INDEX(December!$C$3:$AH$169,94,MATCH(B384,December!$D$3:$AH$3)+1)+INDEX(December!$C$3:$AH$169,99,MATCH(B384,December!$D$3:$AH$3)+1)+INDEX(December!$C$3:$AH$169,104,MATCH(B384,December!$D$3:$AH$3)+1)+INDEX(December!$C$3:$AH$169,109,MATCH(B384,December!$D$3:$AH$3)+1)+INDEX(December!$C$3:$AH$169,114,MATCH(B384,December!$D$3:$AH$3)+1)+INDEX(December!$C$3:$AH$169,119,MATCH(B384,December!$D$3:$AH$3)+1)+INDEX(December!$C$3:$AH$169,124,MATCH(B384,December!$D$3:$AH$3)+1)+INDEX(December!$C$3:$AH$169,129,MATCH(B384,December!$D$3:$AH$3)+1)+INDEX(December!$C$3:$AH$169,134,MATCH(B384,December!$D$3:$AH$3)+1)+INDEX(December!$C$3:$AH$169,139,MATCH(B384,December!$D$3:$AH$3)+1)+INDEX(December!$C$3:$AH$169,144,MATCH(B384,December!$D$3:$AH$3)+1)+INDEX(December!$C$3:$AH$169,149,MATCH(B384,December!$D$3:$AH$3)+1)-INDEX(December!$B$5:$AH$169,MATCH("Patrick Janssen",December!$B$5:$B$169)+1,MATCH(B384,December!$D$3:$AH$3)+2)-INDEX(December!$B$5:$AH$169,MATCH("Patrick Ziesen",December!$B$5:$B$169)+1,MATCH(B384,December!$D$3:$AH$3)+2)-INDEX(December!$B$5:$AH$169,MATCH("Frido Meijer",December!$B$5:$B$169)+1,MATCH(B384,December!$D$3:$AH$3)+2)</f>
        <v>0</v>
      </c>
      <c r="I384" s="130">
        <v>0</v>
      </c>
      <c r="J384" s="130">
        <v>0</v>
      </c>
      <c r="L384" s="111"/>
      <c r="M384" s="111"/>
      <c r="N384" s="111">
        <f t="shared" si="111"/>
        <v>0</v>
      </c>
      <c r="P384" s="112">
        <f t="shared" si="112"/>
        <v>0</v>
      </c>
      <c r="Q384" s="112">
        <f t="shared" si="113"/>
        <v>0</v>
      </c>
    </row>
    <row r="385" spans="2:17" x14ac:dyDescent="0.25">
      <c r="B385" s="110">
        <f>DATE(Title!$F$12,$S$16,S28)</f>
        <v>41632</v>
      </c>
      <c r="C385" s="111">
        <f>IF(WEEKDAY(B385)=1,0,IF(WEEKDAY(B385)=4,'Hours Scheduled'!$O$44-1,IF(WEEKDAY(B385)=7,0,'Hours Scheduled'!$O$44)))</f>
        <v>21</v>
      </c>
      <c r="D385" s="17">
        <f t="shared" si="114"/>
        <v>157.5</v>
      </c>
      <c r="E385" s="127">
        <f t="shared" si="115"/>
        <v>136</v>
      </c>
      <c r="F385" s="111"/>
      <c r="G385" s="130">
        <f>INDEX(December!$C$3:$AH$169,3,MATCH(B385,December!$D$3:$AH$3)+1)+INDEX(December!$C$3:$AH$169,8,MATCH(B385,December!$D$3:$AH$3)+1)+INDEX(December!$C$3:$AH$169,13,MATCH(B385,December!$D$3:$AH$3)+1)+INDEX(December!$C$3:$AH$169,18,MATCH(B385,December!$D$3:$AH$3)+1)+INDEX(December!$C$3:$AH$169,23,MATCH(B385,December!$D$3:$AH$3)+1)+INDEX(December!$C$3:$AH$169,28,MATCH(B385,December!$D$3:$AH$3)+1)+INDEX(December!$C$3:$AH$169,33,MATCH(B385,December!$D$3:$AH$3)+1)+INDEX(December!$C$3:$AH$169,38,MATCH(B385,December!$D$3:$AH$3)+1)+INDEX(December!$C$3:$AH$169,43,MATCH(B385,December!$D$3:$AH$3)+1)+INDEX(December!$C$3:$AH$169,48,MATCH(B385,December!$D$3:$AH$3)+1)+INDEX(December!$C$3:$AH$169,53,MATCH(B385,December!$D$3:$AH$3)+1)+INDEX(December!$C$3:$AH$169,58,MATCH(B385,December!$D$3:$AH$3)+1)+INDEX(December!$C$3:$AH$169,63,MATCH(B385,December!$D$3:$AH$3)+1)+INDEX(December!$C$3:$AH$169,68,MATCH(B385,December!$D$3:$AH$3)+1)+INDEX(December!$C$3:$AH$169,73,MATCH(B385,December!$D$3:$AH$3)+1)+INDEX(December!$C$3:$AH$169,78,MATCH(B385,December!$D$3:$AH$3)+1)+INDEX(December!$C$3:$AH$169,83,MATCH(B385,December!$D$3:$AH$3)+1)+INDEX(December!$C$3:$AH$169,88,MATCH(B385,December!$D$3:$AH$3)+1)+INDEX(December!$C$3:$AH$169,93,MATCH(B385,December!$D$3:$AH$3)+1)+INDEX(December!$C$3:$AH$169,98,MATCH(B385,December!$D$3:$AH$3)+1)+INDEX(December!$C$3:$AH$169,103,MATCH(B385,December!$D$3:$AH$3)+1)+INDEX(December!$C$3:$AH$169,108,MATCH(B385,December!$D$3:$AH$3)+1)+INDEX(December!$C$3:$AH$169,113,MATCH(B385,December!$D$3:$AH$3)+1)+INDEX(December!$C$3:$AH$169,118,MATCH(B385,December!$D$3:$AH$3)+1)+INDEX(December!$C$3:$AH$169,123,MATCH(B385,December!$D$3:$AH$3)+1)+INDEX(December!$C$3:$AH$169,128,MATCH(B385,December!$D$3:$AH$3)+1)+INDEX(December!$C$3:$AH$169,133,MATCH(B385,December!$D$3:$AH$3)+1)+INDEX(December!$C$3:$AH$169,138,MATCH(B385,December!$D$3:$AH$3)+1)+INDEX(December!$C$3:$AH$169,143,MATCH(B385,December!$D$3:$AH$3)+1)+INDEX(December!$C$3:$AH$169,148,MATCH(B385,December!$D$3:$AH$3)+1)-INDEX(December!$B$5:$AH$169,MATCH("Patrick Janssen",December!$B$5:$B$169),MATCH(B385,December!$D$3:$AH$3)+2)-INDEX(December!$B$5:$AH$169,MATCH("Patrick Ziesen",December!$B$5:$B$169),MATCH(B385,December!$D$3:$AH$3)+2)-INDEX(December!$B$5:$AH$169,MATCH("Frido Meijer",December!$B$5:$B$169),MATCH(B385,December!$D$3:$AH$3)+2)</f>
        <v>32</v>
      </c>
      <c r="H385" s="130">
        <f>INDEX(December!$C$3:$AH$169,4,MATCH(B385,December!$D$3:$AH$3)+1)+INDEX(December!$C$3:$AH$169,9,MATCH(B385,December!$D$3:$AH$3)+1)+INDEX(December!$C$3:$AH$169,14,MATCH(B385,December!$D$3:$AH$3)+1)+INDEX(December!$C$3:$AH$169,19,MATCH(B385,December!$D$3:$AH$3)+1)+INDEX(December!$C$3:$AH$169,24,MATCH(B385,December!$D$3:$AH$3)+1)+INDEX(December!$C$3:$AH$169,29,MATCH(B385,December!$D$3:$AH$3)+1)+INDEX(December!$C$3:$AH$169,34,MATCH(B385,December!$D$3:$AH$3)+1)+INDEX(December!$C$3:$AH$169,39,MATCH(B385,December!$D$3:$AH$3)+1)+INDEX(December!$C$3:$AH$169,44,MATCH(B385,December!$D$3:$AH$3)+1)+INDEX(December!$C$3:$AH$169,49,MATCH(B385,December!$D$3:$AH$3)+1)+INDEX(December!$C$3:$AH$169,54,MATCH(B385,December!$D$3:$AH$3)+1)+INDEX(December!$C$3:$AH$169,59,MATCH(B385,December!$D$3:$AH$3)+1)+INDEX(December!$C$3:$AH$169,64,MATCH(B385,December!$D$3:$AH$3)+1)+INDEX(December!$C$3:$AH$169,69,MATCH(B385,December!$D$3:$AH$3)+1)+INDEX(December!$C$3:$AH$169,74,MATCH(B385,December!$D$3:$AH$3)+1)+INDEX(December!$C$3:$AH$169,79,MATCH(B385,December!$D$3:$AH$3)+1)+INDEX(December!$C$3:$AH$169,84,MATCH(B385,December!$D$3:$AH$3)+1)+INDEX(December!$C$3:$AH$169,89,MATCH(B385,December!$D$3:$AH$3)+1)+INDEX(December!$C$3:$AH$169,94,MATCH(B385,December!$D$3:$AH$3)+1)+INDEX(December!$C$3:$AH$169,99,MATCH(B385,December!$D$3:$AH$3)+1)+INDEX(December!$C$3:$AH$169,104,MATCH(B385,December!$D$3:$AH$3)+1)+INDEX(December!$C$3:$AH$169,109,MATCH(B385,December!$D$3:$AH$3)+1)+INDEX(December!$C$3:$AH$169,114,MATCH(B385,December!$D$3:$AH$3)+1)+INDEX(December!$C$3:$AH$169,119,MATCH(B385,December!$D$3:$AH$3)+1)+INDEX(December!$C$3:$AH$169,124,MATCH(B385,December!$D$3:$AH$3)+1)+INDEX(December!$C$3:$AH$169,129,MATCH(B385,December!$D$3:$AH$3)+1)+INDEX(December!$C$3:$AH$169,134,MATCH(B385,December!$D$3:$AH$3)+1)+INDEX(December!$C$3:$AH$169,139,MATCH(B385,December!$D$3:$AH$3)+1)+INDEX(December!$C$3:$AH$169,144,MATCH(B385,December!$D$3:$AH$3)+1)+INDEX(December!$C$3:$AH$169,149,MATCH(B385,December!$D$3:$AH$3)+1)-INDEX(December!$B$5:$AH$169,MATCH("Patrick Janssen",December!$B$5:$B$169)+1,MATCH(B385,December!$D$3:$AH$3)+2)-INDEX(December!$B$5:$AH$169,MATCH("Patrick Ziesen",December!$B$5:$B$169)+1,MATCH(B385,December!$D$3:$AH$3)+2)-INDEX(December!$B$5:$AH$169,MATCH("Frido Meijer",December!$B$5:$B$169)+1,MATCH(B385,December!$D$3:$AH$3)+2)</f>
        <v>0</v>
      </c>
      <c r="I385" s="130">
        <v>0</v>
      </c>
      <c r="J385" s="130">
        <v>0</v>
      </c>
      <c r="L385" s="111"/>
      <c r="M385" s="111"/>
      <c r="N385" s="111">
        <f t="shared" si="111"/>
        <v>0</v>
      </c>
      <c r="P385" s="112">
        <f t="shared" si="112"/>
        <v>0</v>
      </c>
      <c r="Q385" s="112">
        <f t="shared" si="113"/>
        <v>0</v>
      </c>
    </row>
    <row r="386" spans="2:17" x14ac:dyDescent="0.25">
      <c r="B386" s="110">
        <f>DATE(Title!$F$12,$S$16,S29)</f>
        <v>41633</v>
      </c>
      <c r="C386" s="111">
        <f>IF(WEEKDAY(B386)=1,0,IF(WEEKDAY(B386)=4,'Hours Scheduled'!$O$44-1,IF(WEEKDAY(B386)=7,0,'Hours Scheduled'!$O$44)))</f>
        <v>20</v>
      </c>
      <c r="D386" s="17">
        <f t="shared" si="114"/>
        <v>150</v>
      </c>
      <c r="E386" s="127">
        <f t="shared" si="115"/>
        <v>160</v>
      </c>
      <c r="F386" s="111"/>
      <c r="G386" s="130">
        <f>INDEX(December!$C$3:$AH$169,3,MATCH(B386,December!$D$3:$AH$3)+1)+INDEX(December!$C$3:$AH$169,8,MATCH(B386,December!$D$3:$AH$3)+1)+INDEX(December!$C$3:$AH$169,13,MATCH(B386,December!$D$3:$AH$3)+1)+INDEX(December!$C$3:$AH$169,18,MATCH(B386,December!$D$3:$AH$3)+1)+INDEX(December!$C$3:$AH$169,23,MATCH(B386,December!$D$3:$AH$3)+1)+INDEX(December!$C$3:$AH$169,28,MATCH(B386,December!$D$3:$AH$3)+1)+INDEX(December!$C$3:$AH$169,33,MATCH(B386,December!$D$3:$AH$3)+1)+INDEX(December!$C$3:$AH$169,38,MATCH(B386,December!$D$3:$AH$3)+1)+INDEX(December!$C$3:$AH$169,43,MATCH(B386,December!$D$3:$AH$3)+1)+INDEX(December!$C$3:$AH$169,48,MATCH(B386,December!$D$3:$AH$3)+1)+INDEX(December!$C$3:$AH$169,53,MATCH(B386,December!$D$3:$AH$3)+1)+INDEX(December!$C$3:$AH$169,58,MATCH(B386,December!$D$3:$AH$3)+1)+INDEX(December!$C$3:$AH$169,63,MATCH(B386,December!$D$3:$AH$3)+1)+INDEX(December!$C$3:$AH$169,68,MATCH(B386,December!$D$3:$AH$3)+1)+INDEX(December!$C$3:$AH$169,73,MATCH(B386,December!$D$3:$AH$3)+1)+INDEX(December!$C$3:$AH$169,78,MATCH(B386,December!$D$3:$AH$3)+1)+INDEX(December!$C$3:$AH$169,83,MATCH(B386,December!$D$3:$AH$3)+1)+INDEX(December!$C$3:$AH$169,88,MATCH(B386,December!$D$3:$AH$3)+1)+INDEX(December!$C$3:$AH$169,93,MATCH(B386,December!$D$3:$AH$3)+1)+INDEX(December!$C$3:$AH$169,98,MATCH(B386,December!$D$3:$AH$3)+1)+INDEX(December!$C$3:$AH$169,103,MATCH(B386,December!$D$3:$AH$3)+1)+INDEX(December!$C$3:$AH$169,108,MATCH(B386,December!$D$3:$AH$3)+1)+INDEX(December!$C$3:$AH$169,113,MATCH(B386,December!$D$3:$AH$3)+1)+INDEX(December!$C$3:$AH$169,118,MATCH(B386,December!$D$3:$AH$3)+1)+INDEX(December!$C$3:$AH$169,123,MATCH(B386,December!$D$3:$AH$3)+1)+INDEX(December!$C$3:$AH$169,128,MATCH(B386,December!$D$3:$AH$3)+1)+INDEX(December!$C$3:$AH$169,133,MATCH(B386,December!$D$3:$AH$3)+1)+INDEX(December!$C$3:$AH$169,138,MATCH(B386,December!$D$3:$AH$3)+1)+INDEX(December!$C$3:$AH$169,143,MATCH(B386,December!$D$3:$AH$3)+1)+INDEX(December!$C$3:$AH$169,148,MATCH(B386,December!$D$3:$AH$3)+1)-INDEX(December!$B$5:$AH$169,MATCH("Patrick Janssen",December!$B$5:$B$169),MATCH(B386,December!$D$3:$AH$3)+2)-INDEX(December!$B$5:$AH$169,MATCH("Patrick Ziesen",December!$B$5:$B$169),MATCH(B386,December!$D$3:$AH$3)+2)-INDEX(December!$B$5:$AH$169,MATCH("Frido Meijer",December!$B$5:$B$169),MATCH(B386,December!$D$3:$AH$3)+2)</f>
        <v>0</v>
      </c>
      <c r="H386" s="130">
        <f>INDEX(December!$C$3:$AH$169,4,MATCH(B386,December!$D$3:$AH$3)+1)+INDEX(December!$C$3:$AH$169,9,MATCH(B386,December!$D$3:$AH$3)+1)+INDEX(December!$C$3:$AH$169,14,MATCH(B386,December!$D$3:$AH$3)+1)+INDEX(December!$C$3:$AH$169,19,MATCH(B386,December!$D$3:$AH$3)+1)+INDEX(December!$C$3:$AH$169,24,MATCH(B386,December!$D$3:$AH$3)+1)+INDEX(December!$C$3:$AH$169,29,MATCH(B386,December!$D$3:$AH$3)+1)+INDEX(December!$C$3:$AH$169,34,MATCH(B386,December!$D$3:$AH$3)+1)+INDEX(December!$C$3:$AH$169,39,MATCH(B386,December!$D$3:$AH$3)+1)+INDEX(December!$C$3:$AH$169,44,MATCH(B386,December!$D$3:$AH$3)+1)+INDEX(December!$C$3:$AH$169,49,MATCH(B386,December!$D$3:$AH$3)+1)+INDEX(December!$C$3:$AH$169,54,MATCH(B386,December!$D$3:$AH$3)+1)+INDEX(December!$C$3:$AH$169,59,MATCH(B386,December!$D$3:$AH$3)+1)+INDEX(December!$C$3:$AH$169,64,MATCH(B386,December!$D$3:$AH$3)+1)+INDEX(December!$C$3:$AH$169,69,MATCH(B386,December!$D$3:$AH$3)+1)+INDEX(December!$C$3:$AH$169,74,MATCH(B386,December!$D$3:$AH$3)+1)+INDEX(December!$C$3:$AH$169,79,MATCH(B386,December!$D$3:$AH$3)+1)+INDEX(December!$C$3:$AH$169,84,MATCH(B386,December!$D$3:$AH$3)+1)+INDEX(December!$C$3:$AH$169,89,MATCH(B386,December!$D$3:$AH$3)+1)+INDEX(December!$C$3:$AH$169,94,MATCH(B386,December!$D$3:$AH$3)+1)+INDEX(December!$C$3:$AH$169,99,MATCH(B386,December!$D$3:$AH$3)+1)+INDEX(December!$C$3:$AH$169,104,MATCH(B386,December!$D$3:$AH$3)+1)+INDEX(December!$C$3:$AH$169,109,MATCH(B386,December!$D$3:$AH$3)+1)+INDEX(December!$C$3:$AH$169,114,MATCH(B386,December!$D$3:$AH$3)+1)+INDEX(December!$C$3:$AH$169,119,MATCH(B386,December!$D$3:$AH$3)+1)+INDEX(December!$C$3:$AH$169,124,MATCH(B386,December!$D$3:$AH$3)+1)+INDEX(December!$C$3:$AH$169,129,MATCH(B386,December!$D$3:$AH$3)+1)+INDEX(December!$C$3:$AH$169,134,MATCH(B386,December!$D$3:$AH$3)+1)+INDEX(December!$C$3:$AH$169,139,MATCH(B386,December!$D$3:$AH$3)+1)+INDEX(December!$C$3:$AH$169,144,MATCH(B386,December!$D$3:$AH$3)+1)+INDEX(December!$C$3:$AH$169,149,MATCH(B386,December!$D$3:$AH$3)+1)-INDEX(December!$B$5:$AH$169,MATCH("Patrick Janssen",December!$B$5:$B$169)+1,MATCH(B386,December!$D$3:$AH$3)+2)-INDEX(December!$B$5:$AH$169,MATCH("Patrick Ziesen",December!$B$5:$B$169)+1,MATCH(B386,December!$D$3:$AH$3)+2)-INDEX(December!$B$5:$AH$169,MATCH("Frido Meijer",December!$B$5:$B$169)+1,MATCH(B386,December!$D$3:$AH$3)+2)</f>
        <v>0</v>
      </c>
      <c r="I386" s="130">
        <v>0</v>
      </c>
      <c r="J386" s="130">
        <v>0</v>
      </c>
      <c r="L386" s="111"/>
      <c r="M386" s="111"/>
      <c r="N386" s="111">
        <f t="shared" si="111"/>
        <v>0</v>
      </c>
      <c r="P386" s="112">
        <f t="shared" si="112"/>
        <v>0</v>
      </c>
      <c r="Q386" s="112">
        <f t="shared" si="113"/>
        <v>0</v>
      </c>
    </row>
    <row r="387" spans="2:17" x14ac:dyDescent="0.25">
      <c r="B387" s="110">
        <f>DATE(Title!$F$12,$S$16,S30)</f>
        <v>41634</v>
      </c>
      <c r="C387" s="111">
        <f>IF(WEEKDAY(B387)=1,0,IF(WEEKDAY(B387)=4,'Hours Scheduled'!$O$44-1,IF(WEEKDAY(B387)=7,0,'Hours Scheduled'!$O$44)))</f>
        <v>21</v>
      </c>
      <c r="D387" s="17">
        <f t="shared" si="114"/>
        <v>157.5</v>
      </c>
      <c r="E387" s="127">
        <f t="shared" si="115"/>
        <v>168</v>
      </c>
      <c r="F387" s="111"/>
      <c r="G387" s="130">
        <f>INDEX(December!$C$3:$AH$169,3,MATCH(B387,December!$D$3:$AH$3)+1)+INDEX(December!$C$3:$AH$169,8,MATCH(B387,December!$D$3:$AH$3)+1)+INDEX(December!$C$3:$AH$169,13,MATCH(B387,December!$D$3:$AH$3)+1)+INDEX(December!$C$3:$AH$169,18,MATCH(B387,December!$D$3:$AH$3)+1)+INDEX(December!$C$3:$AH$169,23,MATCH(B387,December!$D$3:$AH$3)+1)+INDEX(December!$C$3:$AH$169,28,MATCH(B387,December!$D$3:$AH$3)+1)+INDEX(December!$C$3:$AH$169,33,MATCH(B387,December!$D$3:$AH$3)+1)+INDEX(December!$C$3:$AH$169,38,MATCH(B387,December!$D$3:$AH$3)+1)+INDEX(December!$C$3:$AH$169,43,MATCH(B387,December!$D$3:$AH$3)+1)+INDEX(December!$C$3:$AH$169,48,MATCH(B387,December!$D$3:$AH$3)+1)+INDEX(December!$C$3:$AH$169,53,MATCH(B387,December!$D$3:$AH$3)+1)+INDEX(December!$C$3:$AH$169,58,MATCH(B387,December!$D$3:$AH$3)+1)+INDEX(December!$C$3:$AH$169,63,MATCH(B387,December!$D$3:$AH$3)+1)+INDEX(December!$C$3:$AH$169,68,MATCH(B387,December!$D$3:$AH$3)+1)+INDEX(December!$C$3:$AH$169,73,MATCH(B387,December!$D$3:$AH$3)+1)+INDEX(December!$C$3:$AH$169,78,MATCH(B387,December!$D$3:$AH$3)+1)+INDEX(December!$C$3:$AH$169,83,MATCH(B387,December!$D$3:$AH$3)+1)+INDEX(December!$C$3:$AH$169,88,MATCH(B387,December!$D$3:$AH$3)+1)+INDEX(December!$C$3:$AH$169,93,MATCH(B387,December!$D$3:$AH$3)+1)+INDEX(December!$C$3:$AH$169,98,MATCH(B387,December!$D$3:$AH$3)+1)+INDEX(December!$C$3:$AH$169,103,MATCH(B387,December!$D$3:$AH$3)+1)+INDEX(December!$C$3:$AH$169,108,MATCH(B387,December!$D$3:$AH$3)+1)+INDEX(December!$C$3:$AH$169,113,MATCH(B387,December!$D$3:$AH$3)+1)+INDEX(December!$C$3:$AH$169,118,MATCH(B387,December!$D$3:$AH$3)+1)+INDEX(December!$C$3:$AH$169,123,MATCH(B387,December!$D$3:$AH$3)+1)+INDEX(December!$C$3:$AH$169,128,MATCH(B387,December!$D$3:$AH$3)+1)+INDEX(December!$C$3:$AH$169,133,MATCH(B387,December!$D$3:$AH$3)+1)+INDEX(December!$C$3:$AH$169,138,MATCH(B387,December!$D$3:$AH$3)+1)+INDEX(December!$C$3:$AH$169,143,MATCH(B387,December!$D$3:$AH$3)+1)+INDEX(December!$C$3:$AH$169,148,MATCH(B387,December!$D$3:$AH$3)+1)-INDEX(December!$B$5:$AH$169,MATCH("Patrick Janssen",December!$B$5:$B$169),MATCH(B387,December!$D$3:$AH$3)+2)-INDEX(December!$B$5:$AH$169,MATCH("Patrick Ziesen",December!$B$5:$B$169),MATCH(B387,December!$D$3:$AH$3)+2)-INDEX(December!$B$5:$AH$169,MATCH("Frido Meijer",December!$B$5:$B$169),MATCH(B387,December!$D$3:$AH$3)+2)</f>
        <v>0</v>
      </c>
      <c r="H387" s="130">
        <f>INDEX(December!$C$3:$AH$169,4,MATCH(B387,December!$D$3:$AH$3)+1)+INDEX(December!$C$3:$AH$169,9,MATCH(B387,December!$D$3:$AH$3)+1)+INDEX(December!$C$3:$AH$169,14,MATCH(B387,December!$D$3:$AH$3)+1)+INDEX(December!$C$3:$AH$169,19,MATCH(B387,December!$D$3:$AH$3)+1)+INDEX(December!$C$3:$AH$169,24,MATCH(B387,December!$D$3:$AH$3)+1)+INDEX(December!$C$3:$AH$169,29,MATCH(B387,December!$D$3:$AH$3)+1)+INDEX(December!$C$3:$AH$169,34,MATCH(B387,December!$D$3:$AH$3)+1)+INDEX(December!$C$3:$AH$169,39,MATCH(B387,December!$D$3:$AH$3)+1)+INDEX(December!$C$3:$AH$169,44,MATCH(B387,December!$D$3:$AH$3)+1)+INDEX(December!$C$3:$AH$169,49,MATCH(B387,December!$D$3:$AH$3)+1)+INDEX(December!$C$3:$AH$169,54,MATCH(B387,December!$D$3:$AH$3)+1)+INDEX(December!$C$3:$AH$169,59,MATCH(B387,December!$D$3:$AH$3)+1)+INDEX(December!$C$3:$AH$169,64,MATCH(B387,December!$D$3:$AH$3)+1)+INDEX(December!$C$3:$AH$169,69,MATCH(B387,December!$D$3:$AH$3)+1)+INDEX(December!$C$3:$AH$169,74,MATCH(B387,December!$D$3:$AH$3)+1)+INDEX(December!$C$3:$AH$169,79,MATCH(B387,December!$D$3:$AH$3)+1)+INDEX(December!$C$3:$AH$169,84,MATCH(B387,December!$D$3:$AH$3)+1)+INDEX(December!$C$3:$AH$169,89,MATCH(B387,December!$D$3:$AH$3)+1)+INDEX(December!$C$3:$AH$169,94,MATCH(B387,December!$D$3:$AH$3)+1)+INDEX(December!$C$3:$AH$169,99,MATCH(B387,December!$D$3:$AH$3)+1)+INDEX(December!$C$3:$AH$169,104,MATCH(B387,December!$D$3:$AH$3)+1)+INDEX(December!$C$3:$AH$169,109,MATCH(B387,December!$D$3:$AH$3)+1)+INDEX(December!$C$3:$AH$169,114,MATCH(B387,December!$D$3:$AH$3)+1)+INDEX(December!$C$3:$AH$169,119,MATCH(B387,December!$D$3:$AH$3)+1)+INDEX(December!$C$3:$AH$169,124,MATCH(B387,December!$D$3:$AH$3)+1)+INDEX(December!$C$3:$AH$169,129,MATCH(B387,December!$D$3:$AH$3)+1)+INDEX(December!$C$3:$AH$169,134,MATCH(B387,December!$D$3:$AH$3)+1)+INDEX(December!$C$3:$AH$169,139,MATCH(B387,December!$D$3:$AH$3)+1)+INDEX(December!$C$3:$AH$169,144,MATCH(B387,December!$D$3:$AH$3)+1)+INDEX(December!$C$3:$AH$169,149,MATCH(B387,December!$D$3:$AH$3)+1)-INDEX(December!$B$5:$AH$169,MATCH("Patrick Janssen",December!$B$5:$B$169)+1,MATCH(B387,December!$D$3:$AH$3)+2)-INDEX(December!$B$5:$AH$169,MATCH("Patrick Ziesen",December!$B$5:$B$169)+1,MATCH(B387,December!$D$3:$AH$3)+2)-INDEX(December!$B$5:$AH$169,MATCH("Frido Meijer",December!$B$5:$B$169)+1,MATCH(B387,December!$D$3:$AH$3)+2)</f>
        <v>0</v>
      </c>
      <c r="I387" s="130">
        <v>0</v>
      </c>
      <c r="J387" s="130">
        <v>0</v>
      </c>
      <c r="L387" s="111"/>
      <c r="M387" s="111"/>
      <c r="N387" s="111">
        <f t="shared" si="111"/>
        <v>0</v>
      </c>
      <c r="P387" s="112">
        <f t="shared" si="112"/>
        <v>0</v>
      </c>
      <c r="Q387" s="112">
        <f t="shared" si="113"/>
        <v>0</v>
      </c>
    </row>
    <row r="388" spans="2:17" x14ac:dyDescent="0.25">
      <c r="B388" s="110">
        <f>DATE(Title!$F$12,$S$16,S31)</f>
        <v>41635</v>
      </c>
      <c r="C388" s="111">
        <f>IF(WEEKDAY(B388)=1,0,IF(WEEKDAY(B388)=4,'Hours Scheduled'!$O$44-1,IF(WEEKDAY(B388)=7,0,'Hours Scheduled'!$O$44)))</f>
        <v>21</v>
      </c>
      <c r="D388" s="17">
        <f t="shared" si="114"/>
        <v>157.5</v>
      </c>
      <c r="E388" s="127">
        <f t="shared" si="115"/>
        <v>136</v>
      </c>
      <c r="F388" s="111"/>
      <c r="G388" s="130">
        <f>INDEX(December!$C$3:$AH$169,3,MATCH(B388,December!$D$3:$AH$3)+1)+INDEX(December!$C$3:$AH$169,8,MATCH(B388,December!$D$3:$AH$3)+1)+INDEX(December!$C$3:$AH$169,13,MATCH(B388,December!$D$3:$AH$3)+1)+INDEX(December!$C$3:$AH$169,18,MATCH(B388,December!$D$3:$AH$3)+1)+INDEX(December!$C$3:$AH$169,23,MATCH(B388,December!$D$3:$AH$3)+1)+INDEX(December!$C$3:$AH$169,28,MATCH(B388,December!$D$3:$AH$3)+1)+INDEX(December!$C$3:$AH$169,33,MATCH(B388,December!$D$3:$AH$3)+1)+INDEX(December!$C$3:$AH$169,38,MATCH(B388,December!$D$3:$AH$3)+1)+INDEX(December!$C$3:$AH$169,43,MATCH(B388,December!$D$3:$AH$3)+1)+INDEX(December!$C$3:$AH$169,48,MATCH(B388,December!$D$3:$AH$3)+1)+INDEX(December!$C$3:$AH$169,53,MATCH(B388,December!$D$3:$AH$3)+1)+INDEX(December!$C$3:$AH$169,58,MATCH(B388,December!$D$3:$AH$3)+1)+INDEX(December!$C$3:$AH$169,63,MATCH(B388,December!$D$3:$AH$3)+1)+INDEX(December!$C$3:$AH$169,68,MATCH(B388,December!$D$3:$AH$3)+1)+INDEX(December!$C$3:$AH$169,73,MATCH(B388,December!$D$3:$AH$3)+1)+INDEX(December!$C$3:$AH$169,78,MATCH(B388,December!$D$3:$AH$3)+1)+INDEX(December!$C$3:$AH$169,83,MATCH(B388,December!$D$3:$AH$3)+1)+INDEX(December!$C$3:$AH$169,88,MATCH(B388,December!$D$3:$AH$3)+1)+INDEX(December!$C$3:$AH$169,93,MATCH(B388,December!$D$3:$AH$3)+1)+INDEX(December!$C$3:$AH$169,98,MATCH(B388,December!$D$3:$AH$3)+1)+INDEX(December!$C$3:$AH$169,103,MATCH(B388,December!$D$3:$AH$3)+1)+INDEX(December!$C$3:$AH$169,108,MATCH(B388,December!$D$3:$AH$3)+1)+INDEX(December!$C$3:$AH$169,113,MATCH(B388,December!$D$3:$AH$3)+1)+INDEX(December!$C$3:$AH$169,118,MATCH(B388,December!$D$3:$AH$3)+1)+INDEX(December!$C$3:$AH$169,123,MATCH(B388,December!$D$3:$AH$3)+1)+INDEX(December!$C$3:$AH$169,128,MATCH(B388,December!$D$3:$AH$3)+1)+INDEX(December!$C$3:$AH$169,133,MATCH(B388,December!$D$3:$AH$3)+1)+INDEX(December!$C$3:$AH$169,138,MATCH(B388,December!$D$3:$AH$3)+1)+INDEX(December!$C$3:$AH$169,143,MATCH(B388,December!$D$3:$AH$3)+1)+INDEX(December!$C$3:$AH$169,148,MATCH(B388,December!$D$3:$AH$3)+1)-INDEX(December!$B$5:$AH$169,MATCH("Patrick Janssen",December!$B$5:$B$169),MATCH(B388,December!$D$3:$AH$3)+2)-INDEX(December!$B$5:$AH$169,MATCH("Patrick Ziesen",December!$B$5:$B$169),MATCH(B388,December!$D$3:$AH$3)+2)-INDEX(December!$B$5:$AH$169,MATCH("Frido Meijer",December!$B$5:$B$169),MATCH(B388,December!$D$3:$AH$3)+2)</f>
        <v>32</v>
      </c>
      <c r="H388" s="130">
        <f>INDEX(December!$C$3:$AH$169,4,MATCH(B388,December!$D$3:$AH$3)+1)+INDEX(December!$C$3:$AH$169,9,MATCH(B388,December!$D$3:$AH$3)+1)+INDEX(December!$C$3:$AH$169,14,MATCH(B388,December!$D$3:$AH$3)+1)+INDEX(December!$C$3:$AH$169,19,MATCH(B388,December!$D$3:$AH$3)+1)+INDEX(December!$C$3:$AH$169,24,MATCH(B388,December!$D$3:$AH$3)+1)+INDEX(December!$C$3:$AH$169,29,MATCH(B388,December!$D$3:$AH$3)+1)+INDEX(December!$C$3:$AH$169,34,MATCH(B388,December!$D$3:$AH$3)+1)+INDEX(December!$C$3:$AH$169,39,MATCH(B388,December!$D$3:$AH$3)+1)+INDEX(December!$C$3:$AH$169,44,MATCH(B388,December!$D$3:$AH$3)+1)+INDEX(December!$C$3:$AH$169,49,MATCH(B388,December!$D$3:$AH$3)+1)+INDEX(December!$C$3:$AH$169,54,MATCH(B388,December!$D$3:$AH$3)+1)+INDEX(December!$C$3:$AH$169,59,MATCH(B388,December!$D$3:$AH$3)+1)+INDEX(December!$C$3:$AH$169,64,MATCH(B388,December!$D$3:$AH$3)+1)+INDEX(December!$C$3:$AH$169,69,MATCH(B388,December!$D$3:$AH$3)+1)+INDEX(December!$C$3:$AH$169,74,MATCH(B388,December!$D$3:$AH$3)+1)+INDEX(December!$C$3:$AH$169,79,MATCH(B388,December!$D$3:$AH$3)+1)+INDEX(December!$C$3:$AH$169,84,MATCH(B388,December!$D$3:$AH$3)+1)+INDEX(December!$C$3:$AH$169,89,MATCH(B388,December!$D$3:$AH$3)+1)+INDEX(December!$C$3:$AH$169,94,MATCH(B388,December!$D$3:$AH$3)+1)+INDEX(December!$C$3:$AH$169,99,MATCH(B388,December!$D$3:$AH$3)+1)+INDEX(December!$C$3:$AH$169,104,MATCH(B388,December!$D$3:$AH$3)+1)+INDEX(December!$C$3:$AH$169,109,MATCH(B388,December!$D$3:$AH$3)+1)+INDEX(December!$C$3:$AH$169,114,MATCH(B388,December!$D$3:$AH$3)+1)+INDEX(December!$C$3:$AH$169,119,MATCH(B388,December!$D$3:$AH$3)+1)+INDEX(December!$C$3:$AH$169,124,MATCH(B388,December!$D$3:$AH$3)+1)+INDEX(December!$C$3:$AH$169,129,MATCH(B388,December!$D$3:$AH$3)+1)+INDEX(December!$C$3:$AH$169,134,MATCH(B388,December!$D$3:$AH$3)+1)+INDEX(December!$C$3:$AH$169,139,MATCH(B388,December!$D$3:$AH$3)+1)+INDEX(December!$C$3:$AH$169,144,MATCH(B388,December!$D$3:$AH$3)+1)+INDEX(December!$C$3:$AH$169,149,MATCH(B388,December!$D$3:$AH$3)+1)-INDEX(December!$B$5:$AH$169,MATCH("Patrick Janssen",December!$B$5:$B$169)+1,MATCH(B388,December!$D$3:$AH$3)+2)-INDEX(December!$B$5:$AH$169,MATCH("Patrick Ziesen",December!$B$5:$B$169)+1,MATCH(B388,December!$D$3:$AH$3)+2)-INDEX(December!$B$5:$AH$169,MATCH("Frido Meijer",December!$B$5:$B$169)+1,MATCH(B388,December!$D$3:$AH$3)+2)</f>
        <v>0</v>
      </c>
      <c r="I388" s="130">
        <v>0</v>
      </c>
      <c r="J388" s="130">
        <v>0</v>
      </c>
      <c r="L388" s="111"/>
      <c r="M388" s="111"/>
      <c r="N388" s="111">
        <f t="shared" si="111"/>
        <v>0</v>
      </c>
      <c r="P388" s="112">
        <f t="shared" si="112"/>
        <v>0</v>
      </c>
      <c r="Q388" s="112">
        <f t="shared" si="113"/>
        <v>0</v>
      </c>
    </row>
    <row r="389" spans="2:17" x14ac:dyDescent="0.25">
      <c r="B389" s="110">
        <f>DATE(Title!$F$12,$S$16,S32)</f>
        <v>41636</v>
      </c>
      <c r="C389" s="111">
        <f>IF(WEEKDAY(B389)=1,0,IF(WEEKDAY(B389)=4,'Hours Scheduled'!$O$44-1,IF(WEEKDAY(B389)=7,0,'Hours Scheduled'!$O$44)))</f>
        <v>0</v>
      </c>
      <c r="D389" s="17">
        <f t="shared" si="114"/>
        <v>0</v>
      </c>
      <c r="E389" s="127">
        <f t="shared" si="115"/>
        <v>0</v>
      </c>
      <c r="F389" s="111"/>
      <c r="G389" s="130">
        <f>INDEX(December!$C$3:$AH$169,3,MATCH(B389,December!$D$3:$AH$3)+1)+INDEX(December!$C$3:$AH$169,8,MATCH(B389,December!$D$3:$AH$3)+1)+INDEX(December!$C$3:$AH$169,13,MATCH(B389,December!$D$3:$AH$3)+1)+INDEX(December!$C$3:$AH$169,18,MATCH(B389,December!$D$3:$AH$3)+1)+INDEX(December!$C$3:$AH$169,23,MATCH(B389,December!$D$3:$AH$3)+1)+INDEX(December!$C$3:$AH$169,28,MATCH(B389,December!$D$3:$AH$3)+1)+INDEX(December!$C$3:$AH$169,33,MATCH(B389,December!$D$3:$AH$3)+1)+INDEX(December!$C$3:$AH$169,38,MATCH(B389,December!$D$3:$AH$3)+1)+INDEX(December!$C$3:$AH$169,43,MATCH(B389,December!$D$3:$AH$3)+1)+INDEX(December!$C$3:$AH$169,48,MATCH(B389,December!$D$3:$AH$3)+1)+INDEX(December!$C$3:$AH$169,53,MATCH(B389,December!$D$3:$AH$3)+1)+INDEX(December!$C$3:$AH$169,58,MATCH(B389,December!$D$3:$AH$3)+1)+INDEX(December!$C$3:$AH$169,63,MATCH(B389,December!$D$3:$AH$3)+1)+INDEX(December!$C$3:$AH$169,68,MATCH(B389,December!$D$3:$AH$3)+1)+INDEX(December!$C$3:$AH$169,73,MATCH(B389,December!$D$3:$AH$3)+1)+INDEX(December!$C$3:$AH$169,78,MATCH(B389,December!$D$3:$AH$3)+1)+INDEX(December!$C$3:$AH$169,83,MATCH(B389,December!$D$3:$AH$3)+1)+INDEX(December!$C$3:$AH$169,88,MATCH(B389,December!$D$3:$AH$3)+1)+INDEX(December!$C$3:$AH$169,93,MATCH(B389,December!$D$3:$AH$3)+1)+INDEX(December!$C$3:$AH$169,98,MATCH(B389,December!$D$3:$AH$3)+1)+INDEX(December!$C$3:$AH$169,103,MATCH(B389,December!$D$3:$AH$3)+1)+INDEX(December!$C$3:$AH$169,108,MATCH(B389,December!$D$3:$AH$3)+1)+INDEX(December!$C$3:$AH$169,113,MATCH(B389,December!$D$3:$AH$3)+1)+INDEX(December!$C$3:$AH$169,118,MATCH(B389,December!$D$3:$AH$3)+1)+INDEX(December!$C$3:$AH$169,123,MATCH(B389,December!$D$3:$AH$3)+1)+INDEX(December!$C$3:$AH$169,128,MATCH(B389,December!$D$3:$AH$3)+1)+INDEX(December!$C$3:$AH$169,133,MATCH(B389,December!$D$3:$AH$3)+1)+INDEX(December!$C$3:$AH$169,138,MATCH(B389,December!$D$3:$AH$3)+1)+INDEX(December!$C$3:$AH$169,143,MATCH(B389,December!$D$3:$AH$3)+1)+INDEX(December!$C$3:$AH$169,148,MATCH(B389,December!$D$3:$AH$3)+1)-INDEX(December!$B$5:$AH$169,MATCH("Patrick Janssen",December!$B$5:$B$169),MATCH(B389,December!$D$3:$AH$3)+2)-INDEX(December!$B$5:$AH$169,MATCH("Patrick Ziesen",December!$B$5:$B$169),MATCH(B389,December!$D$3:$AH$3)+2)-INDEX(December!$B$5:$AH$169,MATCH("Frido Meijer",December!$B$5:$B$169),MATCH(B389,December!$D$3:$AH$3)+2)</f>
        <v>0</v>
      </c>
      <c r="H389" s="130">
        <f>INDEX(December!$C$3:$AH$169,4,MATCH(B389,December!$D$3:$AH$3)+1)+INDEX(December!$C$3:$AH$169,9,MATCH(B389,December!$D$3:$AH$3)+1)+INDEX(December!$C$3:$AH$169,14,MATCH(B389,December!$D$3:$AH$3)+1)+INDEX(December!$C$3:$AH$169,19,MATCH(B389,December!$D$3:$AH$3)+1)+INDEX(December!$C$3:$AH$169,24,MATCH(B389,December!$D$3:$AH$3)+1)+INDEX(December!$C$3:$AH$169,29,MATCH(B389,December!$D$3:$AH$3)+1)+INDEX(December!$C$3:$AH$169,34,MATCH(B389,December!$D$3:$AH$3)+1)+INDEX(December!$C$3:$AH$169,39,MATCH(B389,December!$D$3:$AH$3)+1)+INDEX(December!$C$3:$AH$169,44,MATCH(B389,December!$D$3:$AH$3)+1)+INDEX(December!$C$3:$AH$169,49,MATCH(B389,December!$D$3:$AH$3)+1)+INDEX(December!$C$3:$AH$169,54,MATCH(B389,December!$D$3:$AH$3)+1)+INDEX(December!$C$3:$AH$169,59,MATCH(B389,December!$D$3:$AH$3)+1)+INDEX(December!$C$3:$AH$169,64,MATCH(B389,December!$D$3:$AH$3)+1)+INDEX(December!$C$3:$AH$169,69,MATCH(B389,December!$D$3:$AH$3)+1)+INDEX(December!$C$3:$AH$169,74,MATCH(B389,December!$D$3:$AH$3)+1)+INDEX(December!$C$3:$AH$169,79,MATCH(B389,December!$D$3:$AH$3)+1)+INDEX(December!$C$3:$AH$169,84,MATCH(B389,December!$D$3:$AH$3)+1)+INDEX(December!$C$3:$AH$169,89,MATCH(B389,December!$D$3:$AH$3)+1)+INDEX(December!$C$3:$AH$169,94,MATCH(B389,December!$D$3:$AH$3)+1)+INDEX(December!$C$3:$AH$169,99,MATCH(B389,December!$D$3:$AH$3)+1)+INDEX(December!$C$3:$AH$169,104,MATCH(B389,December!$D$3:$AH$3)+1)+INDEX(December!$C$3:$AH$169,109,MATCH(B389,December!$D$3:$AH$3)+1)+INDEX(December!$C$3:$AH$169,114,MATCH(B389,December!$D$3:$AH$3)+1)+INDEX(December!$C$3:$AH$169,119,MATCH(B389,December!$D$3:$AH$3)+1)+INDEX(December!$C$3:$AH$169,124,MATCH(B389,December!$D$3:$AH$3)+1)+INDEX(December!$C$3:$AH$169,129,MATCH(B389,December!$D$3:$AH$3)+1)+INDEX(December!$C$3:$AH$169,134,MATCH(B389,December!$D$3:$AH$3)+1)+INDEX(December!$C$3:$AH$169,139,MATCH(B389,December!$D$3:$AH$3)+1)+INDEX(December!$C$3:$AH$169,144,MATCH(B389,December!$D$3:$AH$3)+1)+INDEX(December!$C$3:$AH$169,149,MATCH(B389,December!$D$3:$AH$3)+1)-INDEX(December!$B$5:$AH$169,MATCH("Patrick Janssen",December!$B$5:$B$169)+1,MATCH(B389,December!$D$3:$AH$3)+2)-INDEX(December!$B$5:$AH$169,MATCH("Patrick Ziesen",December!$B$5:$B$169)+1,MATCH(B389,December!$D$3:$AH$3)+2)-INDEX(December!$B$5:$AH$169,MATCH("Frido Meijer",December!$B$5:$B$169)+1,MATCH(B389,December!$D$3:$AH$3)+2)</f>
        <v>0</v>
      </c>
      <c r="I389" s="130">
        <v>0</v>
      </c>
      <c r="J389" s="130">
        <v>0</v>
      </c>
      <c r="L389" s="111"/>
      <c r="M389" s="111"/>
      <c r="N389" s="111">
        <f t="shared" si="111"/>
        <v>0</v>
      </c>
      <c r="P389" s="112" t="str">
        <f t="shared" si="112"/>
        <v/>
      </c>
      <c r="Q389" s="112" t="str">
        <f t="shared" si="113"/>
        <v/>
      </c>
    </row>
    <row r="390" spans="2:17" x14ac:dyDescent="0.25">
      <c r="B390" s="110">
        <f>DATE(Title!$F$12,$S$16,S33)</f>
        <v>41637</v>
      </c>
      <c r="C390" s="111">
        <f>IF(WEEKDAY(B390)=1,0,IF(WEEKDAY(B390)=4,'Hours Scheduled'!$O$44-1,IF(WEEKDAY(B390)=7,0,'Hours Scheduled'!$O$44)))</f>
        <v>0</v>
      </c>
      <c r="D390" s="17">
        <f t="shared" si="114"/>
        <v>0</v>
      </c>
      <c r="E390" s="127">
        <f t="shared" si="115"/>
        <v>0</v>
      </c>
      <c r="F390" s="111"/>
      <c r="G390" s="130">
        <f>INDEX(December!$C$3:$AH$169,3,MATCH(B390,December!$D$3:$AH$3)+1)+INDEX(December!$C$3:$AH$169,8,MATCH(B390,December!$D$3:$AH$3)+1)+INDEX(December!$C$3:$AH$169,13,MATCH(B390,December!$D$3:$AH$3)+1)+INDEX(December!$C$3:$AH$169,18,MATCH(B390,December!$D$3:$AH$3)+1)+INDEX(December!$C$3:$AH$169,23,MATCH(B390,December!$D$3:$AH$3)+1)+INDEX(December!$C$3:$AH$169,28,MATCH(B390,December!$D$3:$AH$3)+1)+INDEX(December!$C$3:$AH$169,33,MATCH(B390,December!$D$3:$AH$3)+1)+INDEX(December!$C$3:$AH$169,38,MATCH(B390,December!$D$3:$AH$3)+1)+INDEX(December!$C$3:$AH$169,43,MATCH(B390,December!$D$3:$AH$3)+1)+INDEX(December!$C$3:$AH$169,48,MATCH(B390,December!$D$3:$AH$3)+1)+INDEX(December!$C$3:$AH$169,53,MATCH(B390,December!$D$3:$AH$3)+1)+INDEX(December!$C$3:$AH$169,58,MATCH(B390,December!$D$3:$AH$3)+1)+INDEX(December!$C$3:$AH$169,63,MATCH(B390,December!$D$3:$AH$3)+1)+INDEX(December!$C$3:$AH$169,68,MATCH(B390,December!$D$3:$AH$3)+1)+INDEX(December!$C$3:$AH$169,73,MATCH(B390,December!$D$3:$AH$3)+1)+INDEX(December!$C$3:$AH$169,78,MATCH(B390,December!$D$3:$AH$3)+1)+INDEX(December!$C$3:$AH$169,83,MATCH(B390,December!$D$3:$AH$3)+1)+INDEX(December!$C$3:$AH$169,88,MATCH(B390,December!$D$3:$AH$3)+1)+INDEX(December!$C$3:$AH$169,93,MATCH(B390,December!$D$3:$AH$3)+1)+INDEX(December!$C$3:$AH$169,98,MATCH(B390,December!$D$3:$AH$3)+1)+INDEX(December!$C$3:$AH$169,103,MATCH(B390,December!$D$3:$AH$3)+1)+INDEX(December!$C$3:$AH$169,108,MATCH(B390,December!$D$3:$AH$3)+1)+INDEX(December!$C$3:$AH$169,113,MATCH(B390,December!$D$3:$AH$3)+1)+INDEX(December!$C$3:$AH$169,118,MATCH(B390,December!$D$3:$AH$3)+1)+INDEX(December!$C$3:$AH$169,123,MATCH(B390,December!$D$3:$AH$3)+1)+INDEX(December!$C$3:$AH$169,128,MATCH(B390,December!$D$3:$AH$3)+1)+INDEX(December!$C$3:$AH$169,133,MATCH(B390,December!$D$3:$AH$3)+1)+INDEX(December!$C$3:$AH$169,138,MATCH(B390,December!$D$3:$AH$3)+1)+INDEX(December!$C$3:$AH$169,143,MATCH(B390,December!$D$3:$AH$3)+1)+INDEX(December!$C$3:$AH$169,148,MATCH(B390,December!$D$3:$AH$3)+1)-INDEX(December!$B$5:$AH$169,MATCH("Patrick Janssen",December!$B$5:$B$169),MATCH(B390,December!$D$3:$AH$3)+2)-INDEX(December!$B$5:$AH$169,MATCH("Patrick Ziesen",December!$B$5:$B$169),MATCH(B390,December!$D$3:$AH$3)+2)-INDEX(December!$B$5:$AH$169,MATCH("Frido Meijer",December!$B$5:$B$169),MATCH(B390,December!$D$3:$AH$3)+2)</f>
        <v>0</v>
      </c>
      <c r="H390" s="130">
        <f>INDEX(December!$C$3:$AH$169,4,MATCH(B390,December!$D$3:$AH$3)+1)+INDEX(December!$C$3:$AH$169,9,MATCH(B390,December!$D$3:$AH$3)+1)+INDEX(December!$C$3:$AH$169,14,MATCH(B390,December!$D$3:$AH$3)+1)+INDEX(December!$C$3:$AH$169,19,MATCH(B390,December!$D$3:$AH$3)+1)+INDEX(December!$C$3:$AH$169,24,MATCH(B390,December!$D$3:$AH$3)+1)+INDEX(December!$C$3:$AH$169,29,MATCH(B390,December!$D$3:$AH$3)+1)+INDEX(December!$C$3:$AH$169,34,MATCH(B390,December!$D$3:$AH$3)+1)+INDEX(December!$C$3:$AH$169,39,MATCH(B390,December!$D$3:$AH$3)+1)+INDEX(December!$C$3:$AH$169,44,MATCH(B390,December!$D$3:$AH$3)+1)+INDEX(December!$C$3:$AH$169,49,MATCH(B390,December!$D$3:$AH$3)+1)+INDEX(December!$C$3:$AH$169,54,MATCH(B390,December!$D$3:$AH$3)+1)+INDEX(December!$C$3:$AH$169,59,MATCH(B390,December!$D$3:$AH$3)+1)+INDEX(December!$C$3:$AH$169,64,MATCH(B390,December!$D$3:$AH$3)+1)+INDEX(December!$C$3:$AH$169,69,MATCH(B390,December!$D$3:$AH$3)+1)+INDEX(December!$C$3:$AH$169,74,MATCH(B390,December!$D$3:$AH$3)+1)+INDEX(December!$C$3:$AH$169,79,MATCH(B390,December!$D$3:$AH$3)+1)+INDEX(December!$C$3:$AH$169,84,MATCH(B390,December!$D$3:$AH$3)+1)+INDEX(December!$C$3:$AH$169,89,MATCH(B390,December!$D$3:$AH$3)+1)+INDEX(December!$C$3:$AH$169,94,MATCH(B390,December!$D$3:$AH$3)+1)+INDEX(December!$C$3:$AH$169,99,MATCH(B390,December!$D$3:$AH$3)+1)+INDEX(December!$C$3:$AH$169,104,MATCH(B390,December!$D$3:$AH$3)+1)+INDEX(December!$C$3:$AH$169,109,MATCH(B390,December!$D$3:$AH$3)+1)+INDEX(December!$C$3:$AH$169,114,MATCH(B390,December!$D$3:$AH$3)+1)+INDEX(December!$C$3:$AH$169,119,MATCH(B390,December!$D$3:$AH$3)+1)+INDEX(December!$C$3:$AH$169,124,MATCH(B390,December!$D$3:$AH$3)+1)+INDEX(December!$C$3:$AH$169,129,MATCH(B390,December!$D$3:$AH$3)+1)+INDEX(December!$C$3:$AH$169,134,MATCH(B390,December!$D$3:$AH$3)+1)+INDEX(December!$C$3:$AH$169,139,MATCH(B390,December!$D$3:$AH$3)+1)+INDEX(December!$C$3:$AH$169,144,MATCH(B390,December!$D$3:$AH$3)+1)+INDEX(December!$C$3:$AH$169,149,MATCH(B390,December!$D$3:$AH$3)+1)-INDEX(December!$B$5:$AH$169,MATCH("Patrick Janssen",December!$B$5:$B$169)+1,MATCH(B390,December!$D$3:$AH$3)+2)-INDEX(December!$B$5:$AH$169,MATCH("Patrick Ziesen",December!$B$5:$B$169)+1,MATCH(B390,December!$D$3:$AH$3)+2)-INDEX(December!$B$5:$AH$169,MATCH("Frido Meijer",December!$B$5:$B$169)+1,MATCH(B390,December!$D$3:$AH$3)+2)</f>
        <v>0</v>
      </c>
      <c r="I390" s="130">
        <v>0</v>
      </c>
      <c r="J390" s="130">
        <v>0</v>
      </c>
      <c r="L390" s="111"/>
      <c r="M390" s="111"/>
      <c r="N390" s="111">
        <f t="shared" si="111"/>
        <v>0</v>
      </c>
      <c r="P390" s="112" t="str">
        <f t="shared" si="112"/>
        <v/>
      </c>
      <c r="Q390" s="112" t="str">
        <f t="shared" si="113"/>
        <v/>
      </c>
    </row>
    <row r="391" spans="2:17" x14ac:dyDescent="0.25">
      <c r="B391" s="110">
        <f>DATE(Title!$F$12,$S$16,S34)</f>
        <v>41638</v>
      </c>
      <c r="C391" s="111">
        <f>IF(WEEKDAY(B391)=1,0,IF(WEEKDAY(B391)=4,'Hours Scheduled'!$O$44-1,IF(WEEKDAY(B391)=7,0,'Hours Scheduled'!$O$44)))</f>
        <v>21</v>
      </c>
      <c r="D391" s="17">
        <f t="shared" si="114"/>
        <v>157.5</v>
      </c>
      <c r="E391" s="127">
        <f t="shared" si="115"/>
        <v>136</v>
      </c>
      <c r="F391" s="111"/>
      <c r="G391" s="130">
        <f>INDEX(December!$C$3:$AH$169,3,MATCH(B391,December!$D$3:$AH$3)+1)+INDEX(December!$C$3:$AH$169,8,MATCH(B391,December!$D$3:$AH$3)+1)+INDEX(December!$C$3:$AH$169,13,MATCH(B391,December!$D$3:$AH$3)+1)+INDEX(December!$C$3:$AH$169,18,MATCH(B391,December!$D$3:$AH$3)+1)+INDEX(December!$C$3:$AH$169,23,MATCH(B391,December!$D$3:$AH$3)+1)+INDEX(December!$C$3:$AH$169,28,MATCH(B391,December!$D$3:$AH$3)+1)+INDEX(December!$C$3:$AH$169,33,MATCH(B391,December!$D$3:$AH$3)+1)+INDEX(December!$C$3:$AH$169,38,MATCH(B391,December!$D$3:$AH$3)+1)+INDEX(December!$C$3:$AH$169,43,MATCH(B391,December!$D$3:$AH$3)+1)+INDEX(December!$C$3:$AH$169,48,MATCH(B391,December!$D$3:$AH$3)+1)+INDEX(December!$C$3:$AH$169,53,MATCH(B391,December!$D$3:$AH$3)+1)+INDEX(December!$C$3:$AH$169,58,MATCH(B391,December!$D$3:$AH$3)+1)+INDEX(December!$C$3:$AH$169,63,MATCH(B391,December!$D$3:$AH$3)+1)+INDEX(December!$C$3:$AH$169,68,MATCH(B391,December!$D$3:$AH$3)+1)+INDEX(December!$C$3:$AH$169,73,MATCH(B391,December!$D$3:$AH$3)+1)+INDEX(December!$C$3:$AH$169,78,MATCH(B391,December!$D$3:$AH$3)+1)+INDEX(December!$C$3:$AH$169,83,MATCH(B391,December!$D$3:$AH$3)+1)+INDEX(December!$C$3:$AH$169,88,MATCH(B391,December!$D$3:$AH$3)+1)+INDEX(December!$C$3:$AH$169,93,MATCH(B391,December!$D$3:$AH$3)+1)+INDEX(December!$C$3:$AH$169,98,MATCH(B391,December!$D$3:$AH$3)+1)+INDEX(December!$C$3:$AH$169,103,MATCH(B391,December!$D$3:$AH$3)+1)+INDEX(December!$C$3:$AH$169,108,MATCH(B391,December!$D$3:$AH$3)+1)+INDEX(December!$C$3:$AH$169,113,MATCH(B391,December!$D$3:$AH$3)+1)+INDEX(December!$C$3:$AH$169,118,MATCH(B391,December!$D$3:$AH$3)+1)+INDEX(December!$C$3:$AH$169,123,MATCH(B391,December!$D$3:$AH$3)+1)+INDEX(December!$C$3:$AH$169,128,MATCH(B391,December!$D$3:$AH$3)+1)+INDEX(December!$C$3:$AH$169,133,MATCH(B391,December!$D$3:$AH$3)+1)+INDEX(December!$C$3:$AH$169,138,MATCH(B391,December!$D$3:$AH$3)+1)+INDEX(December!$C$3:$AH$169,143,MATCH(B391,December!$D$3:$AH$3)+1)+INDEX(December!$C$3:$AH$169,148,MATCH(B391,December!$D$3:$AH$3)+1)-INDEX(December!$B$5:$AH$169,MATCH("Patrick Janssen",December!$B$5:$B$169),MATCH(B391,December!$D$3:$AH$3)+2)-INDEX(December!$B$5:$AH$169,MATCH("Patrick Ziesen",December!$B$5:$B$169),MATCH(B391,December!$D$3:$AH$3)+2)-INDEX(December!$B$5:$AH$169,MATCH("Frido Meijer",December!$B$5:$B$169),MATCH(B391,December!$D$3:$AH$3)+2)</f>
        <v>32</v>
      </c>
      <c r="H391" s="130">
        <f>INDEX(December!$C$3:$AH$169,4,MATCH(B391,December!$D$3:$AH$3)+1)+INDEX(December!$C$3:$AH$169,9,MATCH(B391,December!$D$3:$AH$3)+1)+INDEX(December!$C$3:$AH$169,14,MATCH(B391,December!$D$3:$AH$3)+1)+INDEX(December!$C$3:$AH$169,19,MATCH(B391,December!$D$3:$AH$3)+1)+INDEX(December!$C$3:$AH$169,24,MATCH(B391,December!$D$3:$AH$3)+1)+INDEX(December!$C$3:$AH$169,29,MATCH(B391,December!$D$3:$AH$3)+1)+INDEX(December!$C$3:$AH$169,34,MATCH(B391,December!$D$3:$AH$3)+1)+INDEX(December!$C$3:$AH$169,39,MATCH(B391,December!$D$3:$AH$3)+1)+INDEX(December!$C$3:$AH$169,44,MATCH(B391,December!$D$3:$AH$3)+1)+INDEX(December!$C$3:$AH$169,49,MATCH(B391,December!$D$3:$AH$3)+1)+INDEX(December!$C$3:$AH$169,54,MATCH(B391,December!$D$3:$AH$3)+1)+INDEX(December!$C$3:$AH$169,59,MATCH(B391,December!$D$3:$AH$3)+1)+INDEX(December!$C$3:$AH$169,64,MATCH(B391,December!$D$3:$AH$3)+1)+INDEX(December!$C$3:$AH$169,69,MATCH(B391,December!$D$3:$AH$3)+1)+INDEX(December!$C$3:$AH$169,74,MATCH(B391,December!$D$3:$AH$3)+1)+INDEX(December!$C$3:$AH$169,79,MATCH(B391,December!$D$3:$AH$3)+1)+INDEX(December!$C$3:$AH$169,84,MATCH(B391,December!$D$3:$AH$3)+1)+INDEX(December!$C$3:$AH$169,89,MATCH(B391,December!$D$3:$AH$3)+1)+INDEX(December!$C$3:$AH$169,94,MATCH(B391,December!$D$3:$AH$3)+1)+INDEX(December!$C$3:$AH$169,99,MATCH(B391,December!$D$3:$AH$3)+1)+INDEX(December!$C$3:$AH$169,104,MATCH(B391,December!$D$3:$AH$3)+1)+INDEX(December!$C$3:$AH$169,109,MATCH(B391,December!$D$3:$AH$3)+1)+INDEX(December!$C$3:$AH$169,114,MATCH(B391,December!$D$3:$AH$3)+1)+INDEX(December!$C$3:$AH$169,119,MATCH(B391,December!$D$3:$AH$3)+1)+INDEX(December!$C$3:$AH$169,124,MATCH(B391,December!$D$3:$AH$3)+1)+INDEX(December!$C$3:$AH$169,129,MATCH(B391,December!$D$3:$AH$3)+1)+INDEX(December!$C$3:$AH$169,134,MATCH(B391,December!$D$3:$AH$3)+1)+INDEX(December!$C$3:$AH$169,139,MATCH(B391,December!$D$3:$AH$3)+1)+INDEX(December!$C$3:$AH$169,144,MATCH(B391,December!$D$3:$AH$3)+1)+INDEX(December!$C$3:$AH$169,149,MATCH(B391,December!$D$3:$AH$3)+1)-INDEX(December!$B$5:$AH$169,MATCH("Patrick Janssen",December!$B$5:$B$169)+1,MATCH(B391,December!$D$3:$AH$3)+2)-INDEX(December!$B$5:$AH$169,MATCH("Patrick Ziesen",December!$B$5:$B$169)+1,MATCH(B391,December!$D$3:$AH$3)+2)-INDEX(December!$B$5:$AH$169,MATCH("Frido Meijer",December!$B$5:$B$169)+1,MATCH(B391,December!$D$3:$AH$3)+2)</f>
        <v>0</v>
      </c>
      <c r="I391" s="130">
        <v>0</v>
      </c>
      <c r="J391" s="130">
        <v>0</v>
      </c>
      <c r="L391" s="111"/>
      <c r="M391" s="111"/>
      <c r="N391" s="111">
        <f t="shared" si="111"/>
        <v>0</v>
      </c>
      <c r="P391" s="112">
        <f t="shared" si="112"/>
        <v>0</v>
      </c>
      <c r="Q391" s="112">
        <f t="shared" si="113"/>
        <v>0</v>
      </c>
    </row>
    <row r="392" spans="2:17" ht="15.75" thickBot="1" x14ac:dyDescent="0.3">
      <c r="B392" s="110">
        <f>DATE(Title!$F$12,$S$16,S35)</f>
        <v>41639</v>
      </c>
      <c r="C392" s="111">
        <f>IF(WEEKDAY(B392)=1,0,IF(WEEKDAY(B392)=4,'Hours Scheduled'!$O$44-1,IF(WEEKDAY(B392)=7,0,'Hours Scheduled'!$O$44)))</f>
        <v>21</v>
      </c>
      <c r="D392" s="17">
        <f t="shared" si="114"/>
        <v>157.5</v>
      </c>
      <c r="E392" s="127">
        <f t="shared" si="115"/>
        <v>136</v>
      </c>
      <c r="F392" s="113"/>
      <c r="G392" s="132">
        <f>INDEX(December!$C$3:$AH$169,3,MATCH(B392,December!$D$3:$AH$3)+1)+INDEX(December!$C$3:$AH$169,8,MATCH(B392,December!$D$3:$AH$3)+1)+INDEX(December!$C$3:$AH$169,13,MATCH(B392,December!$D$3:$AH$3)+1)+INDEX(December!$C$3:$AH$169,18,MATCH(B392,December!$D$3:$AH$3)+1)+INDEX(December!$C$3:$AH$169,23,MATCH(B392,December!$D$3:$AH$3)+1)+INDEX(December!$C$3:$AH$169,28,MATCH(B392,December!$D$3:$AH$3)+1)+INDEX(December!$C$3:$AH$169,33,MATCH(B392,December!$D$3:$AH$3)+1)+INDEX(December!$C$3:$AH$169,38,MATCH(B392,December!$D$3:$AH$3)+1)+INDEX(December!$C$3:$AH$169,43,MATCH(B392,December!$D$3:$AH$3)+1)+INDEX(December!$C$3:$AH$169,48,MATCH(B392,December!$D$3:$AH$3)+1)+INDEX(December!$C$3:$AH$169,53,MATCH(B392,December!$D$3:$AH$3)+1)+INDEX(December!$C$3:$AH$169,58,MATCH(B392,December!$D$3:$AH$3)+1)+INDEX(December!$C$3:$AH$169,63,MATCH(B392,December!$D$3:$AH$3)+1)+INDEX(December!$C$3:$AH$169,68,MATCH(B392,December!$D$3:$AH$3)+1)+INDEX(December!$C$3:$AH$169,73,MATCH(B392,December!$D$3:$AH$3)+1)+INDEX(December!$C$3:$AH$169,78,MATCH(B392,December!$D$3:$AH$3)+1)+INDEX(December!$C$3:$AH$169,83,MATCH(B392,December!$D$3:$AH$3)+1)+INDEX(December!$C$3:$AH$169,88,MATCH(B392,December!$D$3:$AH$3)+1)+INDEX(December!$C$3:$AH$169,93,MATCH(B392,December!$D$3:$AH$3)+1)+INDEX(December!$C$3:$AH$169,98,MATCH(B392,December!$D$3:$AH$3)+1)+INDEX(December!$C$3:$AH$169,103,MATCH(B392,December!$D$3:$AH$3)+1)+INDEX(December!$C$3:$AH$169,108,MATCH(B392,December!$D$3:$AH$3)+1)+INDEX(December!$C$3:$AH$169,113,MATCH(B392,December!$D$3:$AH$3)+1)+INDEX(December!$C$3:$AH$169,118,MATCH(B392,December!$D$3:$AH$3)+1)+INDEX(December!$C$3:$AH$169,123,MATCH(B392,December!$D$3:$AH$3)+1)+INDEX(December!$C$3:$AH$169,128,MATCH(B392,December!$D$3:$AH$3)+1)+INDEX(December!$C$3:$AH$169,133,MATCH(B392,December!$D$3:$AH$3)+1)+INDEX(December!$C$3:$AH$169,138,MATCH(B392,December!$D$3:$AH$3)+1)+INDEX(December!$C$3:$AH$169,143,MATCH(B392,December!$D$3:$AH$3)+1)+INDEX(December!$C$3:$AH$169,148,MATCH(B392,December!$D$3:$AH$3)+1)-INDEX(December!$B$5:$AH$169,MATCH("Patrick Janssen",December!$B$5:$B$169),MATCH(B392,December!$D$3:$AH$3)+2)-INDEX(December!$B$5:$AH$169,MATCH("Patrick Ziesen",December!$B$5:$B$169),MATCH(B392,December!$D$3:$AH$3)+2)-INDEX(December!$B$5:$AH$169,MATCH("Frido Meijer",December!$B$5:$B$169),MATCH(B392,December!$D$3:$AH$3)+2)</f>
        <v>32</v>
      </c>
      <c r="H392" s="132">
        <f>INDEX(December!$C$3:$AH$169,4,MATCH(B392,December!$D$3:$AH$3)+1)+INDEX(December!$C$3:$AH$169,9,MATCH(B392,December!$D$3:$AH$3)+1)+INDEX(December!$C$3:$AH$169,14,MATCH(B392,December!$D$3:$AH$3)+1)+INDEX(December!$C$3:$AH$169,19,MATCH(B392,December!$D$3:$AH$3)+1)+INDEX(December!$C$3:$AH$169,24,MATCH(B392,December!$D$3:$AH$3)+1)+INDEX(December!$C$3:$AH$169,29,MATCH(B392,December!$D$3:$AH$3)+1)+INDEX(December!$C$3:$AH$169,34,MATCH(B392,December!$D$3:$AH$3)+1)+INDEX(December!$C$3:$AH$169,39,MATCH(B392,December!$D$3:$AH$3)+1)+INDEX(December!$C$3:$AH$169,44,MATCH(B392,December!$D$3:$AH$3)+1)+INDEX(December!$C$3:$AH$169,49,MATCH(B392,December!$D$3:$AH$3)+1)+INDEX(December!$C$3:$AH$169,54,MATCH(B392,December!$D$3:$AH$3)+1)+INDEX(December!$C$3:$AH$169,59,MATCH(B392,December!$D$3:$AH$3)+1)+INDEX(December!$C$3:$AH$169,64,MATCH(B392,December!$D$3:$AH$3)+1)+INDEX(December!$C$3:$AH$169,69,MATCH(B392,December!$D$3:$AH$3)+1)+INDEX(December!$C$3:$AH$169,74,MATCH(B392,December!$D$3:$AH$3)+1)+INDEX(December!$C$3:$AH$169,79,MATCH(B392,December!$D$3:$AH$3)+1)+INDEX(December!$C$3:$AH$169,84,MATCH(B392,December!$D$3:$AH$3)+1)+INDEX(December!$C$3:$AH$169,89,MATCH(B392,December!$D$3:$AH$3)+1)+INDEX(December!$C$3:$AH$169,94,MATCH(B392,December!$D$3:$AH$3)+1)+INDEX(December!$C$3:$AH$169,99,MATCH(B392,December!$D$3:$AH$3)+1)+INDEX(December!$C$3:$AH$169,104,MATCH(B392,December!$D$3:$AH$3)+1)+INDEX(December!$C$3:$AH$169,109,MATCH(B392,December!$D$3:$AH$3)+1)+INDEX(December!$C$3:$AH$169,114,MATCH(B392,December!$D$3:$AH$3)+1)+INDEX(December!$C$3:$AH$169,119,MATCH(B392,December!$D$3:$AH$3)+1)+INDEX(December!$C$3:$AH$169,124,MATCH(B392,December!$D$3:$AH$3)+1)+INDEX(December!$C$3:$AH$169,129,MATCH(B392,December!$D$3:$AH$3)+1)+INDEX(December!$C$3:$AH$169,134,MATCH(B392,December!$D$3:$AH$3)+1)+INDEX(December!$C$3:$AH$169,139,MATCH(B392,December!$D$3:$AH$3)+1)+INDEX(December!$C$3:$AH$169,144,MATCH(B392,December!$D$3:$AH$3)+1)+INDEX(December!$C$3:$AH$169,149,MATCH(B392,December!$D$3:$AH$3)+1)-INDEX(December!$B$5:$AH$169,MATCH("Patrick Janssen",December!$B$5:$B$169)+1,MATCH(B392,December!$D$3:$AH$3)+2)-INDEX(December!$B$5:$AH$169,MATCH("Patrick Ziesen",December!$B$5:$B$169)+1,MATCH(B392,December!$D$3:$AH$3)+2)-INDEX(December!$B$5:$AH$169,MATCH("Frido Meijer",December!$B$5:$B$169)+1,MATCH(B392,December!$D$3:$AH$3)+2)</f>
        <v>0</v>
      </c>
      <c r="I392" s="130">
        <v>0</v>
      </c>
      <c r="J392" s="130">
        <v>0</v>
      </c>
      <c r="L392" s="113"/>
      <c r="M392" s="113"/>
      <c r="N392" s="111">
        <f t="shared" si="111"/>
        <v>0</v>
      </c>
      <c r="P392" s="112">
        <f t="shared" si="112"/>
        <v>0</v>
      </c>
      <c r="Q392" s="112">
        <f t="shared" si="113"/>
        <v>0</v>
      </c>
    </row>
    <row r="393" spans="2:17" ht="15.75" x14ac:dyDescent="0.25">
      <c r="B393" s="146" t="s">
        <v>7</v>
      </c>
      <c r="C393" s="114">
        <f>SUM(C362:C392)</f>
        <v>458</v>
      </c>
      <c r="D393" s="107">
        <f t="shared" si="114"/>
        <v>3435</v>
      </c>
      <c r="E393" s="140">
        <f t="shared" si="115"/>
        <v>3488</v>
      </c>
      <c r="F393" s="114">
        <f>SUM(F362:F392)</f>
        <v>0</v>
      </c>
      <c r="G393" s="133">
        <f t="shared" ref="G393:J393" si="116">SUM(G362:G392)</f>
        <v>176</v>
      </c>
      <c r="H393" s="133">
        <f t="shared" si="116"/>
        <v>0</v>
      </c>
      <c r="I393" s="133">
        <f t="shared" si="116"/>
        <v>0</v>
      </c>
      <c r="J393" s="133">
        <f t="shared" si="116"/>
        <v>0</v>
      </c>
      <c r="K393" s="115"/>
      <c r="L393" s="114">
        <f>SUM(L362:L392)</f>
        <v>0</v>
      </c>
      <c r="M393" s="114">
        <f t="shared" ref="M393:N393" si="117">SUM(M362:M392)</f>
        <v>0</v>
      </c>
      <c r="N393" s="114">
        <f t="shared" si="117"/>
        <v>0</v>
      </c>
      <c r="O393" s="115"/>
      <c r="P393" s="116">
        <f t="shared" ref="P393" si="118">(L393+(M393/60)+N393)/(D393-F393-G393-H393-I393-J393)</f>
        <v>0</v>
      </c>
      <c r="Q393" s="116">
        <f t="shared" ref="Q393" si="119">(L393+(M393/60)+N393)/(D393-(G393+H393))</f>
        <v>0</v>
      </c>
    </row>
    <row r="394" spans="2:17" ht="15.75" thickBot="1" x14ac:dyDescent="0.3">
      <c r="B394"/>
    </row>
    <row r="395" spans="2:17" ht="16.5" thickBot="1" x14ac:dyDescent="0.3">
      <c r="B395" s="117" t="s">
        <v>147</v>
      </c>
      <c r="C395" s="118">
        <f>C393+C360+C328+C295+C263+C230+C197+C165+C132+C100+C67+C36</f>
        <v>5767</v>
      </c>
      <c r="D395" s="119">
        <f t="shared" ref="D395" si="120">C395*7.5</f>
        <v>43252.5</v>
      </c>
      <c r="E395" s="119">
        <f>C395*8-G395-H395</f>
        <v>40960.25</v>
      </c>
      <c r="F395" s="125">
        <f>F393+F360+F328+F295+F263+F230+F197+F165+F132+F100+F67+F36</f>
        <v>0</v>
      </c>
      <c r="G395" s="135">
        <f t="shared" ref="G395:N395" si="121">G393+G360+G328+G295+G263+G230+G197+G165+G132+G100+G67+G36</f>
        <v>3926.75</v>
      </c>
      <c r="H395" s="135">
        <f t="shared" si="121"/>
        <v>1249</v>
      </c>
      <c r="I395" s="135">
        <f t="shared" si="121"/>
        <v>0</v>
      </c>
      <c r="J395" s="135">
        <f t="shared" si="121"/>
        <v>0</v>
      </c>
      <c r="K395" s="120"/>
      <c r="L395" s="118">
        <f t="shared" si="121"/>
        <v>0</v>
      </c>
      <c r="M395" s="118">
        <f t="shared" si="121"/>
        <v>0</v>
      </c>
      <c r="N395" s="118">
        <f t="shared" si="121"/>
        <v>0</v>
      </c>
      <c r="O395" s="120"/>
      <c r="P395" s="121">
        <f t="shared" ref="P395" si="122">(L395+(M395/60)+N395)/(D395-F395-G395-H395-I395-J395)</f>
        <v>0</v>
      </c>
      <c r="Q395" s="122">
        <f t="shared" ref="Q395" si="123">(L395+(M395/60)+N395)/(D395-(G395+H395))</f>
        <v>0</v>
      </c>
    </row>
    <row r="396" spans="2:17" x14ac:dyDescent="0.25">
      <c r="B396"/>
    </row>
    <row r="397" spans="2:17" x14ac:dyDescent="0.25">
      <c r="B397"/>
    </row>
    <row r="398" spans="2:17" x14ac:dyDescent="0.25">
      <c r="B398"/>
    </row>
    <row r="399" spans="2:17" x14ac:dyDescent="0.25">
      <c r="B399"/>
    </row>
    <row r="400" spans="2:17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</sheetData>
  <customSheetViews>
    <customSheetView guid="{98CBC5BF-8C89-48A4-860E-9C56014CD200}" scale="90" showGridLines="0" hiddenRows="1" hiddenColumns="1" topLeftCell="A2">
      <selection activeCell="C20" sqref="C20"/>
      <pageMargins left="0.7" right="0.7" top="0.75" bottom="0.75" header="0.3" footer="0.3"/>
      <pageSetup paperSize="9" orientation="portrait" r:id="rId1"/>
    </customSheetView>
    <customSheetView guid="{1BC25061-32D5-45DE-83F9-EFA3A1092E03}" scale="90" showGridLines="0" hiddenRows="1" hiddenColumns="1" topLeftCell="A2">
      <pane ySplit="3" topLeftCell="A294" activePane="bottomLeft" state="frozenSplit"/>
      <selection pane="bottomLeft" activeCell="L320" sqref="L320"/>
      <pageMargins left="0.7" right="0.7" top="0.75" bottom="0.75" header="0.3" footer="0.3"/>
      <pageSetup paperSize="9" orientation="portrait" r:id="rId2"/>
    </customSheetView>
    <customSheetView guid="{CF917189-7AB9-4E55-816F-ACFC7FA45C05}" scale="90" showGridLines="0" hiddenRows="1" hiddenColumns="1" topLeftCell="A2">
      <selection activeCell="L320" sqref="L320"/>
      <pageMargins left="0.7" right="0.7" top="0.75" bottom="0.75" header="0.3" footer="0.3"/>
      <pageSetup paperSize="9" orientation="portrait" r:id="rId3"/>
    </customSheetView>
    <customSheetView guid="{4155806E-C0D0-4CC9-9B31-04245B7DD4C8}" scale="90" showGridLines="0" hiddenRows="1" hiddenColumns="1" topLeftCell="A2">
      <pane ySplit="3" topLeftCell="A5" activePane="bottomLeft" state="frozenSplit"/>
      <selection pane="bottomLeft" activeCell="L20" sqref="L20:L24"/>
      <pageMargins left="0.7" right="0.7" top="0.75" bottom="0.75" header="0.3" footer="0.3"/>
      <pageSetup paperSize="9" orientation="portrait" r:id="rId4"/>
    </customSheetView>
    <customSheetView guid="{1587CBCC-2CC7-4525-8A49-E261AB2E1606}" scale="90" showGridLines="0" hiddenRows="1" hiddenColumns="1" topLeftCell="A2">
      <selection activeCell="L320" sqref="L320"/>
      <pageMargins left="0.7" right="0.7" top="0.75" bottom="0.75" header="0.3" footer="0.3"/>
      <pageSetup paperSize="9" orientation="portrait" r:id="rId5"/>
    </customSheetView>
    <customSheetView guid="{C5D9000A-81ED-4920-B6AF-4B234775AEC9}" scale="90" showGridLines="0" hiddenRows="1" hiddenColumns="1" topLeftCell="A2">
      <selection activeCell="L320" sqref="L320"/>
      <pageMargins left="0.7" right="0.7" top="0.75" bottom="0.75" header="0.3" footer="0.3"/>
      <pageSetup paperSize="9" orientation="portrait" r:id="rId6"/>
    </customSheetView>
  </customSheetViews>
  <conditionalFormatting sqref="B69:B100 B134:B165 B167:B197 B395 B490:B1048576 B199:B229 B232:B262 B265:B294 B297:B327 B330:B359 B362:B392 B67 B102:B132">
    <cfRule type="expression" dxfId="126" priority="19">
      <formula>WEEKDAY($B67:$B466)=4</formula>
    </cfRule>
    <cfRule type="expression" dxfId="125" priority="20">
      <formula>WEEKDAY($B67:$B466)=7</formula>
    </cfRule>
    <cfRule type="expression" dxfId="124" priority="21">
      <formula>WEEKDAY($B67:$B466)=1</formula>
    </cfRule>
  </conditionalFormatting>
  <conditionalFormatting sqref="B230">
    <cfRule type="expression" dxfId="123" priority="16">
      <formula>WEEKDAY($B230:$B629)=4</formula>
    </cfRule>
    <cfRule type="expression" dxfId="122" priority="17">
      <formula>WEEKDAY($B230:$B629)=7</formula>
    </cfRule>
    <cfRule type="expression" dxfId="121" priority="18">
      <formula>WEEKDAY($B230:$B629)=1</formula>
    </cfRule>
  </conditionalFormatting>
  <conditionalFormatting sqref="B263">
    <cfRule type="expression" dxfId="120" priority="13">
      <formula>WEEKDAY($B263:$B662)=4</formula>
    </cfRule>
    <cfRule type="expression" dxfId="119" priority="14">
      <formula>WEEKDAY($B263:$B662)=7</formula>
    </cfRule>
    <cfRule type="expression" dxfId="118" priority="15">
      <formula>WEEKDAY($B263:$B662)=1</formula>
    </cfRule>
  </conditionalFormatting>
  <conditionalFormatting sqref="B295">
    <cfRule type="expression" dxfId="117" priority="10">
      <formula>WEEKDAY($B295:$B694)=4</formula>
    </cfRule>
    <cfRule type="expression" dxfId="116" priority="11">
      <formula>WEEKDAY($B295:$B694)=7</formula>
    </cfRule>
    <cfRule type="expression" dxfId="115" priority="12">
      <formula>WEEKDAY($B295:$B694)=1</formula>
    </cfRule>
  </conditionalFormatting>
  <conditionalFormatting sqref="B328">
    <cfRule type="expression" dxfId="114" priority="7">
      <formula>WEEKDAY($B328:$B727)=4</formula>
    </cfRule>
    <cfRule type="expression" dxfId="113" priority="8">
      <formula>WEEKDAY($B328:$B727)=7</formula>
    </cfRule>
    <cfRule type="expression" dxfId="112" priority="9">
      <formula>WEEKDAY($B328:$B727)=1</formula>
    </cfRule>
  </conditionalFormatting>
  <conditionalFormatting sqref="B360">
    <cfRule type="expression" dxfId="111" priority="4">
      <formula>WEEKDAY($B360:$B759)=4</formula>
    </cfRule>
    <cfRule type="expression" dxfId="110" priority="5">
      <formula>WEEKDAY($B360:$B759)=7</formula>
    </cfRule>
    <cfRule type="expression" dxfId="109" priority="6">
      <formula>WEEKDAY($B360:$B759)=1</formula>
    </cfRule>
  </conditionalFormatting>
  <conditionalFormatting sqref="B393">
    <cfRule type="expression" dxfId="108" priority="1">
      <formula>WEEKDAY($B393:$B792)=4</formula>
    </cfRule>
    <cfRule type="expression" dxfId="107" priority="2">
      <formula>WEEKDAY($B393:$B792)=7</formula>
    </cfRule>
    <cfRule type="expression" dxfId="106" priority="3">
      <formula>WEEKDAY($B393:$B792)=1</formula>
    </cfRule>
  </conditionalFormatting>
  <conditionalFormatting sqref="B1:B3 B5:B36 B38:B66">
    <cfRule type="expression" dxfId="105" priority="104">
      <formula>WEEKDAY($B1:$B401)=4</formula>
    </cfRule>
    <cfRule type="expression" dxfId="104" priority="105">
      <formula>WEEKDAY($B1:$B401)=7</formula>
    </cfRule>
    <cfRule type="expression" dxfId="103" priority="106">
      <formula>WEEKDAY($B1:$B401)=1</formula>
    </cfRule>
  </conditionalFormatting>
  <hyperlinks>
    <hyperlink ref="L3" r:id="rId7"/>
    <hyperlink ref="M3" r:id="rId8"/>
  </hyperlinks>
  <pageMargins left="0.7" right="0.7" top="0.75" bottom="0.75" header="0.3" footer="0.3"/>
  <pageSetup paperSize="9"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CC"/>
  </sheetPr>
  <dimension ref="B1:AY45"/>
  <sheetViews>
    <sheetView showGridLines="0" topLeftCell="A6" zoomScale="80" zoomScaleNormal="100" workbookViewId="0">
      <selection activeCell="AB38" sqref="AB38"/>
    </sheetView>
  </sheetViews>
  <sheetFormatPr defaultRowHeight="15" x14ac:dyDescent="0.25"/>
  <cols>
    <col min="2" max="2" width="19.5703125" bestFit="1" customWidth="1"/>
    <col min="3" max="3" width="1.7109375" customWidth="1"/>
    <col min="4" max="46" width="3.140625" customWidth="1"/>
    <col min="47" max="55" width="3" customWidth="1"/>
  </cols>
  <sheetData>
    <row r="1" spans="2:51" x14ac:dyDescent="0.25">
      <c r="S1" s="36" t="s">
        <v>90</v>
      </c>
    </row>
    <row r="2" spans="2:51" ht="18.75" x14ac:dyDescent="0.3">
      <c r="D2" s="20" t="s">
        <v>64</v>
      </c>
      <c r="S2" s="36" t="s">
        <v>65</v>
      </c>
    </row>
    <row r="3" spans="2:51" ht="15.75" thickBot="1" x14ac:dyDescent="0.3">
      <c r="S3" s="36" t="s">
        <v>74</v>
      </c>
    </row>
    <row r="4" spans="2:51" x14ac:dyDescent="0.25">
      <c r="D4" s="271" t="s">
        <v>6</v>
      </c>
      <c r="E4" s="272"/>
      <c r="F4" s="272"/>
      <c r="G4" s="273"/>
      <c r="H4" s="271" t="s">
        <v>8</v>
      </c>
      <c r="I4" s="272"/>
      <c r="J4" s="272"/>
      <c r="K4" s="273"/>
      <c r="L4" s="271" t="s">
        <v>9</v>
      </c>
      <c r="M4" s="272"/>
      <c r="N4" s="272"/>
      <c r="O4" s="273"/>
      <c r="P4" s="271" t="s">
        <v>10</v>
      </c>
      <c r="Q4" s="272"/>
      <c r="R4" s="272"/>
      <c r="S4" s="273"/>
      <c r="T4" s="271" t="s">
        <v>11</v>
      </c>
      <c r="U4" s="272"/>
      <c r="V4" s="272"/>
      <c r="W4" s="273"/>
      <c r="X4" s="271" t="s">
        <v>12</v>
      </c>
      <c r="Y4" s="272"/>
      <c r="Z4" s="272"/>
      <c r="AA4" s="273"/>
      <c r="AB4" s="271" t="s">
        <v>13</v>
      </c>
      <c r="AC4" s="272"/>
      <c r="AD4" s="272"/>
      <c r="AE4" s="273"/>
      <c r="AF4" s="271" t="s">
        <v>14</v>
      </c>
      <c r="AG4" s="272"/>
      <c r="AH4" s="272"/>
      <c r="AI4" s="273"/>
      <c r="AJ4" s="271" t="s">
        <v>15</v>
      </c>
      <c r="AK4" s="272"/>
      <c r="AL4" s="272"/>
      <c r="AM4" s="273"/>
      <c r="AN4" s="271" t="s">
        <v>16</v>
      </c>
      <c r="AO4" s="272"/>
      <c r="AP4" s="272"/>
      <c r="AQ4" s="273"/>
      <c r="AR4" s="271" t="s">
        <v>17</v>
      </c>
      <c r="AS4" s="272"/>
      <c r="AT4" s="272"/>
      <c r="AU4" s="273"/>
      <c r="AV4" s="271" t="s">
        <v>18</v>
      </c>
      <c r="AW4" s="272"/>
      <c r="AX4" s="272"/>
      <c r="AY4" s="273"/>
    </row>
    <row r="5" spans="2:51" ht="109.5" x14ac:dyDescent="0.25">
      <c r="D5" s="41" t="s">
        <v>61</v>
      </c>
      <c r="E5" s="42" t="s">
        <v>62</v>
      </c>
      <c r="F5" s="42" t="s">
        <v>63</v>
      </c>
      <c r="G5" s="43" t="s">
        <v>72</v>
      </c>
      <c r="H5" s="41" t="s">
        <v>61</v>
      </c>
      <c r="I5" s="42" t="s">
        <v>62</v>
      </c>
      <c r="J5" s="42" t="s">
        <v>63</v>
      </c>
      <c r="K5" s="43" t="s">
        <v>72</v>
      </c>
      <c r="L5" s="41" t="s">
        <v>61</v>
      </c>
      <c r="M5" s="42" t="s">
        <v>62</v>
      </c>
      <c r="N5" s="42" t="s">
        <v>63</v>
      </c>
      <c r="O5" s="43" t="s">
        <v>72</v>
      </c>
      <c r="P5" s="41" t="s">
        <v>61</v>
      </c>
      <c r="Q5" s="42" t="s">
        <v>62</v>
      </c>
      <c r="R5" s="42" t="s">
        <v>63</v>
      </c>
      <c r="S5" s="43" t="s">
        <v>72</v>
      </c>
      <c r="T5" s="41" t="s">
        <v>61</v>
      </c>
      <c r="U5" s="42" t="s">
        <v>62</v>
      </c>
      <c r="V5" s="42" t="s">
        <v>63</v>
      </c>
      <c r="W5" s="43" t="s">
        <v>72</v>
      </c>
      <c r="X5" s="41" t="s">
        <v>61</v>
      </c>
      <c r="Y5" s="42" t="s">
        <v>62</v>
      </c>
      <c r="Z5" s="42" t="s">
        <v>63</v>
      </c>
      <c r="AA5" s="43" t="s">
        <v>72</v>
      </c>
      <c r="AB5" s="41" t="s">
        <v>61</v>
      </c>
      <c r="AC5" s="42" t="s">
        <v>62</v>
      </c>
      <c r="AD5" s="42" t="s">
        <v>63</v>
      </c>
      <c r="AE5" s="43" t="s">
        <v>72</v>
      </c>
      <c r="AF5" s="41" t="s">
        <v>61</v>
      </c>
      <c r="AG5" s="42" t="s">
        <v>62</v>
      </c>
      <c r="AH5" s="42" t="s">
        <v>63</v>
      </c>
      <c r="AI5" s="43" t="s">
        <v>72</v>
      </c>
      <c r="AJ5" s="41" t="s">
        <v>61</v>
      </c>
      <c r="AK5" s="42" t="s">
        <v>62</v>
      </c>
      <c r="AL5" s="42" t="s">
        <v>63</v>
      </c>
      <c r="AM5" s="43" t="s">
        <v>72</v>
      </c>
      <c r="AN5" s="41" t="s">
        <v>61</v>
      </c>
      <c r="AO5" s="42" t="s">
        <v>62</v>
      </c>
      <c r="AP5" s="42" t="s">
        <v>63</v>
      </c>
      <c r="AQ5" s="43" t="s">
        <v>72</v>
      </c>
      <c r="AR5" s="41" t="s">
        <v>61</v>
      </c>
      <c r="AS5" s="42" t="s">
        <v>62</v>
      </c>
      <c r="AT5" s="42" t="s">
        <v>63</v>
      </c>
      <c r="AU5" s="43" t="s">
        <v>72</v>
      </c>
      <c r="AV5" s="41" t="s">
        <v>61</v>
      </c>
      <c r="AW5" s="42" t="s">
        <v>62</v>
      </c>
      <c r="AX5" s="42" t="s">
        <v>63</v>
      </c>
      <c r="AY5" s="43" t="s">
        <v>72</v>
      </c>
    </row>
    <row r="6" spans="2:51" x14ac:dyDescent="0.25">
      <c r="B6" s="63" t="str">
        <f>'Hours Scheduled'!B4</f>
        <v>Barry Berendhuysen</v>
      </c>
      <c r="D6" s="59" t="s">
        <v>164</v>
      </c>
      <c r="E6" s="60"/>
      <c r="F6" s="60"/>
      <c r="G6" s="61"/>
      <c r="H6" s="59" t="s">
        <v>164</v>
      </c>
      <c r="I6" s="60"/>
      <c r="J6" s="60"/>
      <c r="K6" s="61"/>
      <c r="L6" s="59" t="s">
        <v>164</v>
      </c>
      <c r="M6" s="60"/>
      <c r="N6" s="60"/>
      <c r="O6" s="61"/>
      <c r="P6" s="59" t="s">
        <v>164</v>
      </c>
      <c r="Q6" s="60"/>
      <c r="R6" s="60"/>
      <c r="S6" s="61"/>
      <c r="T6" s="59" t="s">
        <v>164</v>
      </c>
      <c r="U6" s="60"/>
      <c r="V6" s="60"/>
      <c r="W6" s="61"/>
      <c r="X6" s="59" t="s">
        <v>164</v>
      </c>
      <c r="Y6" s="60"/>
      <c r="Z6" s="60"/>
      <c r="AA6" s="61"/>
      <c r="AB6" s="59" t="s">
        <v>164</v>
      </c>
      <c r="AC6" s="60"/>
      <c r="AD6" s="60"/>
      <c r="AE6" s="61"/>
      <c r="AF6" s="59"/>
      <c r="AG6" s="60"/>
      <c r="AH6" s="60"/>
      <c r="AI6" s="61"/>
      <c r="AJ6" s="59"/>
      <c r="AK6" s="60"/>
      <c r="AL6" s="60"/>
      <c r="AM6" s="61"/>
      <c r="AN6" s="59"/>
      <c r="AO6" s="60"/>
      <c r="AP6" s="60"/>
      <c r="AQ6" s="61"/>
      <c r="AR6" s="59"/>
      <c r="AS6" s="60"/>
      <c r="AT6" s="60"/>
      <c r="AU6" s="61"/>
      <c r="AV6" s="59"/>
      <c r="AW6" s="60"/>
      <c r="AX6" s="60"/>
      <c r="AY6" s="61"/>
    </row>
    <row r="7" spans="2:51" x14ac:dyDescent="0.25">
      <c r="B7" s="63" t="str">
        <f>'Hours Scheduled'!B5</f>
        <v>Bas Boermans</v>
      </c>
      <c r="D7" s="59" t="s">
        <v>164</v>
      </c>
      <c r="E7" s="60"/>
      <c r="F7" s="60"/>
      <c r="G7" s="61"/>
      <c r="H7" s="59" t="s">
        <v>164</v>
      </c>
      <c r="I7" s="60"/>
      <c r="J7" s="60"/>
      <c r="K7" s="61"/>
      <c r="L7" s="59" t="s">
        <v>164</v>
      </c>
      <c r="M7" s="60"/>
      <c r="N7" s="60"/>
      <c r="O7" s="61"/>
      <c r="P7" s="59" t="s">
        <v>164</v>
      </c>
      <c r="Q7" s="60"/>
      <c r="R7" s="60"/>
      <c r="S7" s="61"/>
      <c r="T7" s="245"/>
      <c r="U7" s="200"/>
      <c r="V7" s="200"/>
      <c r="W7" s="246"/>
      <c r="X7" s="245"/>
      <c r="Y7" s="200"/>
      <c r="Z7" s="200"/>
      <c r="AA7" s="246"/>
      <c r="AB7" s="245"/>
      <c r="AC7" s="200"/>
      <c r="AD7" s="200"/>
      <c r="AE7" s="246"/>
      <c r="AF7" s="245"/>
      <c r="AG7" s="200"/>
      <c r="AH7" s="200"/>
      <c r="AI7" s="246"/>
      <c r="AJ7" s="245"/>
      <c r="AK7" s="200"/>
      <c r="AL7" s="200"/>
      <c r="AM7" s="246"/>
      <c r="AN7" s="245"/>
      <c r="AO7" s="200"/>
      <c r="AP7" s="200"/>
      <c r="AQ7" s="246"/>
      <c r="AR7" s="245"/>
      <c r="AS7" s="200"/>
      <c r="AT7" s="200"/>
      <c r="AU7" s="246"/>
      <c r="AV7" s="245"/>
      <c r="AW7" s="200"/>
      <c r="AX7" s="200"/>
      <c r="AY7" s="246"/>
    </row>
    <row r="8" spans="2:51" x14ac:dyDescent="0.25">
      <c r="B8" s="63" t="str">
        <f>'Hours Scheduled'!B6</f>
        <v>Bastiaan Franssen</v>
      </c>
      <c r="D8" s="59" t="s">
        <v>164</v>
      </c>
      <c r="E8" s="60"/>
      <c r="F8" s="60"/>
      <c r="G8" s="61"/>
      <c r="H8" s="59" t="s">
        <v>164</v>
      </c>
      <c r="I8" s="60"/>
      <c r="J8" s="60"/>
      <c r="K8" s="61"/>
      <c r="L8" s="59" t="s">
        <v>164</v>
      </c>
      <c r="M8" s="60"/>
      <c r="N8" s="60"/>
      <c r="O8" s="61"/>
      <c r="P8" s="245"/>
      <c r="Q8" s="200"/>
      <c r="R8" s="200"/>
      <c r="S8" s="246"/>
      <c r="T8" s="245"/>
      <c r="U8" s="200"/>
      <c r="V8" s="200"/>
      <c r="W8" s="246"/>
      <c r="X8" s="245"/>
      <c r="Y8" s="200"/>
      <c r="Z8" s="200"/>
      <c r="AA8" s="246"/>
      <c r="AB8" s="245"/>
      <c r="AC8" s="200"/>
      <c r="AD8" s="200"/>
      <c r="AE8" s="246"/>
      <c r="AF8" s="245"/>
      <c r="AG8" s="200"/>
      <c r="AH8" s="200"/>
      <c r="AI8" s="246"/>
      <c r="AJ8" s="245"/>
      <c r="AK8" s="200"/>
      <c r="AL8" s="200"/>
      <c r="AM8" s="246"/>
      <c r="AN8" s="245"/>
      <c r="AO8" s="200"/>
      <c r="AP8" s="200"/>
      <c r="AQ8" s="246"/>
      <c r="AR8" s="245"/>
      <c r="AS8" s="200"/>
      <c r="AT8" s="200"/>
      <c r="AU8" s="246"/>
      <c r="AV8" s="245"/>
      <c r="AW8" s="200"/>
      <c r="AX8" s="200"/>
      <c r="AY8" s="246"/>
    </row>
    <row r="9" spans="2:51" x14ac:dyDescent="0.25">
      <c r="B9" s="63" t="str">
        <f>'Hours Scheduled'!B7</f>
        <v>Bjorn Haagen</v>
      </c>
      <c r="D9" s="59" t="s">
        <v>164</v>
      </c>
      <c r="E9" s="60"/>
      <c r="F9" s="60"/>
      <c r="G9" s="61"/>
      <c r="H9" s="59" t="s">
        <v>164</v>
      </c>
      <c r="I9" s="60"/>
      <c r="J9" s="60"/>
      <c r="K9" s="61"/>
      <c r="L9" s="59" t="s">
        <v>164</v>
      </c>
      <c r="M9" s="60"/>
      <c r="N9" s="60"/>
      <c r="O9" s="61"/>
      <c r="P9" s="59" t="s">
        <v>164</v>
      </c>
      <c r="Q9" s="60"/>
      <c r="R9" s="60"/>
      <c r="S9" s="61"/>
      <c r="T9" s="59" t="s">
        <v>164</v>
      </c>
      <c r="U9" s="60"/>
      <c r="V9" s="60"/>
      <c r="W9" s="61"/>
      <c r="X9" s="59" t="s">
        <v>164</v>
      </c>
      <c r="Y9" s="60"/>
      <c r="Z9" s="60"/>
      <c r="AA9" s="61"/>
      <c r="AB9" s="59" t="s">
        <v>164</v>
      </c>
      <c r="AC9" s="60"/>
      <c r="AD9" s="60"/>
      <c r="AE9" s="61"/>
      <c r="AF9" s="59"/>
      <c r="AG9" s="60"/>
      <c r="AH9" s="60"/>
      <c r="AI9" s="61"/>
      <c r="AJ9" s="59"/>
      <c r="AK9" s="60"/>
      <c r="AL9" s="60"/>
      <c r="AM9" s="61"/>
      <c r="AN9" s="59"/>
      <c r="AO9" s="60"/>
      <c r="AP9" s="60"/>
      <c r="AQ9" s="61"/>
      <c r="AR9" s="59"/>
      <c r="AS9" s="60"/>
      <c r="AT9" s="60"/>
      <c r="AU9" s="61"/>
      <c r="AV9" s="59"/>
      <c r="AW9" s="60"/>
      <c r="AX9" s="60"/>
      <c r="AY9" s="61"/>
    </row>
    <row r="10" spans="2:51" x14ac:dyDescent="0.25">
      <c r="B10" s="63" t="str">
        <f>'Hours Scheduled'!B8</f>
        <v>Dave Creusen</v>
      </c>
      <c r="D10" s="59" t="s">
        <v>164</v>
      </c>
      <c r="E10" s="60"/>
      <c r="F10" s="60"/>
      <c r="G10" s="61"/>
      <c r="H10" s="59" t="s">
        <v>164</v>
      </c>
      <c r="I10" s="60"/>
      <c r="J10" s="60"/>
      <c r="K10" s="61"/>
      <c r="L10" s="59" t="s">
        <v>164</v>
      </c>
      <c r="M10" s="60"/>
      <c r="N10" s="60"/>
      <c r="O10" s="61"/>
      <c r="P10" s="59" t="s">
        <v>164</v>
      </c>
      <c r="Q10" s="60"/>
      <c r="R10" s="60"/>
      <c r="S10" s="61"/>
      <c r="T10" s="59" t="s">
        <v>164</v>
      </c>
      <c r="U10" s="60"/>
      <c r="V10" s="60"/>
      <c r="W10" s="61"/>
      <c r="X10" s="59" t="s">
        <v>164</v>
      </c>
      <c r="Y10" s="60"/>
      <c r="Z10" s="60"/>
      <c r="AA10" s="61"/>
      <c r="AB10" s="59" t="s">
        <v>164</v>
      </c>
      <c r="AC10" s="60"/>
      <c r="AD10" s="60"/>
      <c r="AE10" s="61"/>
      <c r="AF10" s="59"/>
      <c r="AG10" s="60"/>
      <c r="AH10" s="60"/>
      <c r="AI10" s="61"/>
      <c r="AJ10" s="59"/>
      <c r="AK10" s="60"/>
      <c r="AL10" s="60"/>
      <c r="AM10" s="61"/>
      <c r="AN10" s="59"/>
      <c r="AO10" s="60"/>
      <c r="AP10" s="60"/>
      <c r="AQ10" s="61"/>
      <c r="AR10" s="59"/>
      <c r="AS10" s="60"/>
      <c r="AT10" s="60"/>
      <c r="AU10" s="61"/>
      <c r="AV10" s="59"/>
      <c r="AW10" s="60"/>
      <c r="AX10" s="60"/>
      <c r="AY10" s="61"/>
    </row>
    <row r="11" spans="2:51" x14ac:dyDescent="0.25">
      <c r="B11" s="63" t="str">
        <f>'Hours Scheduled'!B9</f>
        <v>Davy Smeets</v>
      </c>
      <c r="D11" s="59" t="s">
        <v>164</v>
      </c>
      <c r="E11" s="60"/>
      <c r="F11" s="60"/>
      <c r="G11" s="61"/>
      <c r="H11" s="59" t="s">
        <v>164</v>
      </c>
      <c r="I11" s="60"/>
      <c r="J11" s="60"/>
      <c r="K11" s="61"/>
      <c r="L11" s="59" t="s">
        <v>164</v>
      </c>
      <c r="M11" s="60"/>
      <c r="N11" s="60"/>
      <c r="O11" s="61"/>
      <c r="P11" s="59" t="s">
        <v>164</v>
      </c>
      <c r="Q11" s="60"/>
      <c r="R11" s="60"/>
      <c r="S11" s="61"/>
      <c r="T11" s="59" t="s">
        <v>164</v>
      </c>
      <c r="U11" s="60"/>
      <c r="V11" s="60"/>
      <c r="W11" s="61"/>
      <c r="X11" s="59" t="s">
        <v>164</v>
      </c>
      <c r="Y11" s="60"/>
      <c r="Z11" s="60"/>
      <c r="AA11" s="61"/>
      <c r="AB11" s="59" t="s">
        <v>164</v>
      </c>
      <c r="AC11" s="60"/>
      <c r="AD11" s="60"/>
      <c r="AE11" s="61"/>
      <c r="AF11" s="59"/>
      <c r="AG11" s="60"/>
      <c r="AH11" s="60"/>
      <c r="AI11" s="61"/>
      <c r="AJ11" s="59"/>
      <c r="AK11" s="60"/>
      <c r="AL11" s="60"/>
      <c r="AM11" s="61"/>
      <c r="AN11" s="59"/>
      <c r="AO11" s="60"/>
      <c r="AP11" s="60"/>
      <c r="AQ11" s="61"/>
      <c r="AR11" s="59"/>
      <c r="AS11" s="60"/>
      <c r="AT11" s="60"/>
      <c r="AU11" s="61"/>
      <c r="AV11" s="59"/>
      <c r="AW11" s="60"/>
      <c r="AX11" s="60"/>
      <c r="AY11" s="61"/>
    </row>
    <row r="12" spans="2:51" x14ac:dyDescent="0.25">
      <c r="B12" s="63" t="str">
        <f>'Hours Scheduled'!B10</f>
        <v>Dennis van 't Hul</v>
      </c>
      <c r="D12" s="59" t="s">
        <v>164</v>
      </c>
      <c r="E12" s="60"/>
      <c r="F12" s="60"/>
      <c r="G12" s="61" t="s">
        <v>164</v>
      </c>
      <c r="H12" s="245"/>
      <c r="I12" s="200"/>
      <c r="J12" s="200"/>
      <c r="K12" s="246"/>
      <c r="L12" s="245"/>
      <c r="M12" s="200"/>
      <c r="N12" s="200"/>
      <c r="O12" s="246"/>
      <c r="P12" s="245"/>
      <c r="Q12" s="200"/>
      <c r="R12" s="200"/>
      <c r="S12" s="246"/>
      <c r="T12" s="245"/>
      <c r="U12" s="200"/>
      <c r="V12" s="200"/>
      <c r="W12" s="246"/>
      <c r="X12" s="245"/>
      <c r="Y12" s="200"/>
      <c r="Z12" s="200"/>
      <c r="AA12" s="246"/>
      <c r="AB12" s="245"/>
      <c r="AC12" s="200"/>
      <c r="AD12" s="200"/>
      <c r="AE12" s="246"/>
      <c r="AF12" s="245"/>
      <c r="AG12" s="200"/>
      <c r="AH12" s="200"/>
      <c r="AI12" s="246"/>
      <c r="AJ12" s="245"/>
      <c r="AK12" s="200"/>
      <c r="AL12" s="200"/>
      <c r="AM12" s="246"/>
      <c r="AN12" s="245"/>
      <c r="AO12" s="200"/>
      <c r="AP12" s="200"/>
      <c r="AQ12" s="246"/>
      <c r="AR12" s="245"/>
      <c r="AS12" s="200"/>
      <c r="AT12" s="200"/>
      <c r="AU12" s="246"/>
      <c r="AV12" s="245"/>
      <c r="AW12" s="200"/>
      <c r="AX12" s="200"/>
      <c r="AY12" s="246"/>
    </row>
    <row r="13" spans="2:51" x14ac:dyDescent="0.25">
      <c r="B13" s="63" t="str">
        <f>'Hours Scheduled'!B11</f>
        <v>Dominique Daemen</v>
      </c>
      <c r="D13" s="59" t="s">
        <v>164</v>
      </c>
      <c r="E13" s="60"/>
      <c r="F13" s="60"/>
      <c r="G13" s="61"/>
      <c r="H13" s="59" t="s">
        <v>164</v>
      </c>
      <c r="I13" s="60"/>
      <c r="J13" s="60"/>
      <c r="K13" s="61"/>
      <c r="L13" s="59" t="s">
        <v>164</v>
      </c>
      <c r="M13" s="60"/>
      <c r="N13" s="60"/>
      <c r="O13" s="61"/>
      <c r="P13" s="59" t="s">
        <v>164</v>
      </c>
      <c r="Q13" s="60"/>
      <c r="R13" s="60"/>
      <c r="S13" s="61"/>
      <c r="T13" s="59" t="s">
        <v>164</v>
      </c>
      <c r="U13" s="60"/>
      <c r="V13" s="60"/>
      <c r="W13" s="61"/>
      <c r="X13" s="59" t="s">
        <v>164</v>
      </c>
      <c r="Y13" s="60"/>
      <c r="Z13" s="60"/>
      <c r="AA13" s="61"/>
      <c r="AB13" s="59" t="s">
        <v>164</v>
      </c>
      <c r="AC13" s="60"/>
      <c r="AD13" s="60"/>
      <c r="AE13" s="61"/>
      <c r="AF13" s="59"/>
      <c r="AG13" s="60"/>
      <c r="AH13" s="60"/>
      <c r="AI13" s="61"/>
      <c r="AJ13" s="59"/>
      <c r="AK13" s="60"/>
      <c r="AL13" s="60"/>
      <c r="AM13" s="61"/>
      <c r="AN13" s="59"/>
      <c r="AO13" s="60"/>
      <c r="AP13" s="60"/>
      <c r="AQ13" s="61"/>
      <c r="AR13" s="59"/>
      <c r="AS13" s="60"/>
      <c r="AT13" s="60"/>
      <c r="AU13" s="61"/>
      <c r="AV13" s="59"/>
      <c r="AW13" s="60"/>
      <c r="AX13" s="60"/>
      <c r="AY13" s="61"/>
    </row>
    <row r="14" spans="2:51" x14ac:dyDescent="0.25">
      <c r="B14" s="63" t="str">
        <f>'Hours Scheduled'!B12</f>
        <v>Erwin Deckers</v>
      </c>
      <c r="D14" s="59" t="s">
        <v>164</v>
      </c>
      <c r="E14" s="60"/>
      <c r="F14" s="60"/>
      <c r="G14" s="61"/>
      <c r="H14" s="59" t="s">
        <v>164</v>
      </c>
      <c r="I14" s="60"/>
      <c r="J14" s="60"/>
      <c r="K14" s="61"/>
      <c r="L14" s="59" t="s">
        <v>164</v>
      </c>
      <c r="M14" s="60"/>
      <c r="N14" s="60"/>
      <c r="O14" s="61"/>
      <c r="P14" s="59" t="s">
        <v>164</v>
      </c>
      <c r="Q14" s="60"/>
      <c r="R14" s="60"/>
      <c r="S14" s="61"/>
      <c r="T14" s="59" t="s">
        <v>164</v>
      </c>
      <c r="U14" s="60"/>
      <c r="V14" s="60"/>
      <c r="W14" s="61"/>
      <c r="X14" s="59" t="s">
        <v>164</v>
      </c>
      <c r="Y14" s="60"/>
      <c r="Z14" s="60"/>
      <c r="AA14" s="61"/>
      <c r="AB14" s="59" t="s">
        <v>164</v>
      </c>
      <c r="AC14" s="60"/>
      <c r="AD14" s="60"/>
      <c r="AE14" s="61"/>
      <c r="AF14" s="59"/>
      <c r="AG14" s="60"/>
      <c r="AH14" s="60"/>
      <c r="AI14" s="61"/>
      <c r="AJ14" s="59"/>
      <c r="AK14" s="60"/>
      <c r="AL14" s="60"/>
      <c r="AM14" s="61"/>
      <c r="AN14" s="59"/>
      <c r="AO14" s="60"/>
      <c r="AP14" s="60"/>
      <c r="AQ14" s="61"/>
      <c r="AR14" s="59"/>
      <c r="AS14" s="60"/>
      <c r="AT14" s="60"/>
      <c r="AU14" s="61"/>
      <c r="AV14" s="59"/>
      <c r="AW14" s="60"/>
      <c r="AX14" s="60"/>
      <c r="AY14" s="61"/>
    </row>
    <row r="15" spans="2:51" x14ac:dyDescent="0.25">
      <c r="B15" s="63" t="str">
        <f>'Hours Scheduled'!B13</f>
        <v>Fred Boekwijt</v>
      </c>
      <c r="D15" s="59" t="s">
        <v>164</v>
      </c>
      <c r="E15" s="60"/>
      <c r="F15" s="60"/>
      <c r="G15" s="61"/>
      <c r="H15" s="59" t="s">
        <v>164</v>
      </c>
      <c r="I15" s="60"/>
      <c r="J15" s="60"/>
      <c r="K15" s="61"/>
      <c r="L15" s="59" t="s">
        <v>164</v>
      </c>
      <c r="M15" s="60"/>
      <c r="N15" s="60"/>
      <c r="O15" s="61"/>
      <c r="P15" s="59" t="s">
        <v>164</v>
      </c>
      <c r="Q15" s="60"/>
      <c r="R15" s="60"/>
      <c r="S15" s="61"/>
      <c r="T15" s="59" t="s">
        <v>164</v>
      </c>
      <c r="U15" s="60"/>
      <c r="V15" s="60"/>
      <c r="W15" s="61"/>
      <c r="X15" s="59" t="s">
        <v>164</v>
      </c>
      <c r="Y15" s="60"/>
      <c r="Z15" s="60"/>
      <c r="AA15" s="61"/>
      <c r="AB15" s="59" t="s">
        <v>164</v>
      </c>
      <c r="AC15" s="60"/>
      <c r="AD15" s="60"/>
      <c r="AE15" s="61"/>
      <c r="AF15" s="59"/>
      <c r="AG15" s="60"/>
      <c r="AH15" s="60"/>
      <c r="AI15" s="61"/>
      <c r="AJ15" s="59"/>
      <c r="AK15" s="60"/>
      <c r="AL15" s="60"/>
      <c r="AM15" s="61"/>
      <c r="AN15" s="59"/>
      <c r="AO15" s="60"/>
      <c r="AP15" s="60"/>
      <c r="AQ15" s="61"/>
      <c r="AR15" s="59"/>
      <c r="AS15" s="60"/>
      <c r="AT15" s="60"/>
      <c r="AU15" s="61"/>
      <c r="AV15" s="59"/>
      <c r="AW15" s="60"/>
      <c r="AX15" s="60"/>
      <c r="AY15" s="61"/>
    </row>
    <row r="16" spans="2:51" x14ac:dyDescent="0.25">
      <c r="B16" s="63" t="str">
        <f>'Hours Scheduled'!B14</f>
        <v>Frido Meijer</v>
      </c>
      <c r="D16" s="59" t="s">
        <v>164</v>
      </c>
      <c r="E16" s="60"/>
      <c r="F16" s="60"/>
      <c r="G16" s="61"/>
      <c r="H16" s="59" t="s">
        <v>164</v>
      </c>
      <c r="I16" s="60"/>
      <c r="J16" s="60"/>
      <c r="K16" s="61"/>
      <c r="L16" s="59" t="s">
        <v>164</v>
      </c>
      <c r="M16" s="60"/>
      <c r="N16" s="60"/>
      <c r="O16" s="61"/>
      <c r="P16" s="59" t="s">
        <v>164</v>
      </c>
      <c r="Q16" s="60"/>
      <c r="R16" s="60"/>
      <c r="S16" s="61"/>
      <c r="T16" s="59" t="s">
        <v>164</v>
      </c>
      <c r="U16" s="60"/>
      <c r="V16" s="60"/>
      <c r="W16" s="61"/>
      <c r="X16" s="59" t="s">
        <v>164</v>
      </c>
      <c r="Y16" s="60"/>
      <c r="Z16" s="60"/>
      <c r="AA16" s="61"/>
      <c r="AB16" s="59" t="s">
        <v>164</v>
      </c>
      <c r="AC16" s="60"/>
      <c r="AD16" s="60"/>
      <c r="AE16" s="61"/>
      <c r="AF16" s="59"/>
      <c r="AG16" s="60"/>
      <c r="AH16" s="60"/>
      <c r="AI16" s="61"/>
      <c r="AJ16" s="59"/>
      <c r="AK16" s="60"/>
      <c r="AL16" s="60"/>
      <c r="AM16" s="61"/>
      <c r="AN16" s="59"/>
      <c r="AO16" s="60"/>
      <c r="AP16" s="60"/>
      <c r="AQ16" s="61"/>
      <c r="AR16" s="59"/>
      <c r="AS16" s="60"/>
      <c r="AT16" s="60"/>
      <c r="AU16" s="61"/>
      <c r="AV16" s="59"/>
      <c r="AW16" s="60"/>
      <c r="AX16" s="60"/>
      <c r="AY16" s="61"/>
    </row>
    <row r="17" spans="2:51" x14ac:dyDescent="0.25">
      <c r="B17" s="63" t="str">
        <f>'Hours Scheduled'!B15</f>
        <v>Jean Pierre Knubben</v>
      </c>
      <c r="D17" s="59" t="s">
        <v>164</v>
      </c>
      <c r="E17" s="60"/>
      <c r="F17" s="60"/>
      <c r="G17" s="61"/>
      <c r="H17" s="59" t="s">
        <v>164</v>
      </c>
      <c r="I17" s="60"/>
      <c r="J17" s="60"/>
      <c r="K17" s="61"/>
      <c r="L17" s="59" t="s">
        <v>164</v>
      </c>
      <c r="M17" s="60"/>
      <c r="N17" s="60"/>
      <c r="O17" s="61"/>
      <c r="P17" s="59" t="s">
        <v>164</v>
      </c>
      <c r="Q17" s="60"/>
      <c r="R17" s="60"/>
      <c r="S17" s="61"/>
      <c r="T17" s="59" t="s">
        <v>164</v>
      </c>
      <c r="U17" s="60"/>
      <c r="V17" s="60"/>
      <c r="W17" s="61"/>
      <c r="X17" s="59" t="s">
        <v>164</v>
      </c>
      <c r="Y17" s="60"/>
      <c r="Z17" s="60"/>
      <c r="AA17" s="61"/>
      <c r="AB17" s="59" t="s">
        <v>164</v>
      </c>
      <c r="AC17" s="60"/>
      <c r="AD17" s="60"/>
      <c r="AE17" s="61"/>
      <c r="AF17" s="59"/>
      <c r="AG17" s="60"/>
      <c r="AH17" s="60"/>
      <c r="AI17" s="61"/>
      <c r="AJ17" s="59"/>
      <c r="AK17" s="60"/>
      <c r="AL17" s="60"/>
      <c r="AM17" s="61"/>
      <c r="AN17" s="59"/>
      <c r="AO17" s="60"/>
      <c r="AP17" s="60"/>
      <c r="AQ17" s="61"/>
      <c r="AR17" s="59"/>
      <c r="AS17" s="60"/>
      <c r="AT17" s="60"/>
      <c r="AU17" s="61"/>
      <c r="AV17" s="59"/>
      <c r="AW17" s="60"/>
      <c r="AX17" s="60"/>
      <c r="AY17" s="61"/>
    </row>
    <row r="18" spans="2:51" x14ac:dyDescent="0.25">
      <c r="B18" s="63" t="str">
        <f>'Hours Scheduled'!B16</f>
        <v>Jim van der Weijden</v>
      </c>
      <c r="D18" s="245"/>
      <c r="E18" s="200"/>
      <c r="F18" s="200"/>
      <c r="G18" s="246"/>
      <c r="H18" s="245"/>
      <c r="I18" s="200"/>
      <c r="J18" s="200"/>
      <c r="K18" s="246"/>
      <c r="L18" s="245"/>
      <c r="M18" s="200"/>
      <c r="N18" s="200"/>
      <c r="O18" s="246"/>
      <c r="P18" s="245"/>
      <c r="Q18" s="200"/>
      <c r="R18" s="200"/>
      <c r="S18" s="246"/>
      <c r="T18" s="245"/>
      <c r="U18" s="200"/>
      <c r="V18" s="200"/>
      <c r="W18" s="246"/>
      <c r="X18" s="245"/>
      <c r="Y18" s="200"/>
      <c r="Z18" s="200"/>
      <c r="AA18" s="246"/>
      <c r="AB18" s="245"/>
      <c r="AC18" s="200"/>
      <c r="AD18" s="200"/>
      <c r="AE18" s="246"/>
      <c r="AF18" s="245"/>
      <c r="AG18" s="200"/>
      <c r="AH18" s="200"/>
      <c r="AI18" s="246"/>
      <c r="AJ18" s="245"/>
      <c r="AK18" s="200"/>
      <c r="AL18" s="200"/>
      <c r="AM18" s="246"/>
      <c r="AN18" s="245"/>
      <c r="AO18" s="200"/>
      <c r="AP18" s="200"/>
      <c r="AQ18" s="246"/>
      <c r="AR18" s="245"/>
      <c r="AS18" s="200"/>
      <c r="AT18" s="200"/>
      <c r="AU18" s="246"/>
      <c r="AV18" s="245"/>
      <c r="AW18" s="200"/>
      <c r="AX18" s="200"/>
      <c r="AY18" s="246"/>
    </row>
    <row r="19" spans="2:51" x14ac:dyDescent="0.25">
      <c r="B19" s="63" t="str">
        <f>'Hours Scheduled'!B17</f>
        <v>Joop Kiefte</v>
      </c>
      <c r="D19" s="59" t="s">
        <v>164</v>
      </c>
      <c r="E19" s="60"/>
      <c r="F19" s="60"/>
      <c r="G19" s="61"/>
      <c r="H19" s="59" t="s">
        <v>164</v>
      </c>
      <c r="I19" s="60"/>
      <c r="J19" s="60"/>
      <c r="K19" s="61"/>
      <c r="L19" s="59" t="s">
        <v>164</v>
      </c>
      <c r="M19" s="60"/>
      <c r="N19" s="60"/>
      <c r="O19" s="61"/>
      <c r="P19" s="59" t="s">
        <v>164</v>
      </c>
      <c r="Q19" s="60"/>
      <c r="R19" s="60"/>
      <c r="S19" s="61"/>
      <c r="T19" s="59" t="s">
        <v>164</v>
      </c>
      <c r="U19" s="60"/>
      <c r="V19" s="60"/>
      <c r="W19" s="61"/>
      <c r="X19" s="59" t="s">
        <v>164</v>
      </c>
      <c r="Y19" s="60"/>
      <c r="Z19" s="60"/>
      <c r="AA19" s="61"/>
      <c r="AB19" s="59" t="s">
        <v>164</v>
      </c>
      <c r="AC19" s="60"/>
      <c r="AD19" s="60"/>
      <c r="AE19" s="61"/>
      <c r="AF19" s="59"/>
      <c r="AG19" s="60"/>
      <c r="AH19" s="60"/>
      <c r="AI19" s="61"/>
      <c r="AJ19" s="59"/>
      <c r="AK19" s="60"/>
      <c r="AL19" s="60"/>
      <c r="AM19" s="61"/>
      <c r="AN19" s="59"/>
      <c r="AO19" s="60"/>
      <c r="AP19" s="60"/>
      <c r="AQ19" s="61"/>
      <c r="AR19" s="59"/>
      <c r="AS19" s="60"/>
      <c r="AT19" s="60"/>
      <c r="AU19" s="61"/>
      <c r="AV19" s="59"/>
      <c r="AW19" s="60"/>
      <c r="AX19" s="60"/>
      <c r="AY19" s="61"/>
    </row>
    <row r="20" spans="2:51" x14ac:dyDescent="0.25">
      <c r="B20" s="63" t="str">
        <f>'Hours Scheduled'!B18</f>
        <v>Kevin Ploum</v>
      </c>
      <c r="D20" s="59" t="s">
        <v>164</v>
      </c>
      <c r="E20" s="60"/>
      <c r="F20" s="60"/>
      <c r="G20" s="61"/>
      <c r="H20" s="59" t="s">
        <v>164</v>
      </c>
      <c r="I20" s="60"/>
      <c r="J20" s="60"/>
      <c r="K20" s="61"/>
      <c r="L20" s="59" t="s">
        <v>164</v>
      </c>
      <c r="M20" s="60"/>
      <c r="N20" s="60"/>
      <c r="O20" s="61"/>
      <c r="P20" s="59" t="s">
        <v>164</v>
      </c>
      <c r="Q20" s="60"/>
      <c r="R20" s="60"/>
      <c r="S20" s="61"/>
      <c r="T20" s="59" t="s">
        <v>164</v>
      </c>
      <c r="U20" s="60"/>
      <c r="V20" s="60"/>
      <c r="W20" s="61"/>
      <c r="X20" s="245"/>
      <c r="Y20" s="200"/>
      <c r="Z20" s="200"/>
      <c r="AA20" s="246"/>
      <c r="AB20" s="245"/>
      <c r="AC20" s="200"/>
      <c r="AD20" s="200"/>
      <c r="AE20" s="246"/>
      <c r="AF20" s="245"/>
      <c r="AG20" s="200"/>
      <c r="AH20" s="200"/>
      <c r="AI20" s="246"/>
      <c r="AJ20" s="245"/>
      <c r="AK20" s="200"/>
      <c r="AL20" s="200"/>
      <c r="AM20" s="246"/>
      <c r="AN20" s="245"/>
      <c r="AO20" s="200"/>
      <c r="AP20" s="200"/>
      <c r="AQ20" s="246"/>
      <c r="AR20" s="245"/>
      <c r="AS20" s="200"/>
      <c r="AT20" s="200"/>
      <c r="AU20" s="246"/>
      <c r="AV20" s="245"/>
      <c r="AW20" s="200"/>
      <c r="AX20" s="200"/>
      <c r="AY20" s="246"/>
    </row>
    <row r="21" spans="2:51" x14ac:dyDescent="0.25">
      <c r="B21" s="63" t="str">
        <f>'Hours Scheduled'!B19</f>
        <v>Loek Moling</v>
      </c>
      <c r="D21" s="59" t="s">
        <v>164</v>
      </c>
      <c r="E21" s="60"/>
      <c r="F21" s="60"/>
      <c r="G21" s="61"/>
      <c r="H21" s="245" t="s">
        <v>164</v>
      </c>
      <c r="I21" s="200" t="s">
        <v>164</v>
      </c>
      <c r="J21" s="200"/>
      <c r="K21" s="246"/>
      <c r="L21" s="245"/>
      <c r="M21" s="200"/>
      <c r="N21" s="200"/>
      <c r="O21" s="246"/>
      <c r="P21" s="245"/>
      <c r="Q21" s="200"/>
      <c r="R21" s="200"/>
      <c r="S21" s="246"/>
      <c r="T21" s="245"/>
      <c r="U21" s="200"/>
      <c r="V21" s="200"/>
      <c r="W21" s="246"/>
      <c r="X21" s="245"/>
      <c r="Y21" s="200"/>
      <c r="Z21" s="200"/>
      <c r="AA21" s="246"/>
      <c r="AB21" s="245"/>
      <c r="AC21" s="200"/>
      <c r="AD21" s="200"/>
      <c r="AE21" s="246"/>
      <c r="AF21" s="245"/>
      <c r="AG21" s="200"/>
      <c r="AH21" s="200"/>
      <c r="AI21" s="246"/>
      <c r="AJ21" s="245"/>
      <c r="AK21" s="200"/>
      <c r="AL21" s="200"/>
      <c r="AM21" s="246"/>
      <c r="AN21" s="245"/>
      <c r="AO21" s="200"/>
      <c r="AP21" s="200"/>
      <c r="AQ21" s="246"/>
      <c r="AR21" s="245"/>
      <c r="AS21" s="200"/>
      <c r="AT21" s="200"/>
      <c r="AU21" s="246"/>
      <c r="AV21" s="245"/>
      <c r="AW21" s="200"/>
      <c r="AX21" s="200"/>
      <c r="AY21" s="246"/>
    </row>
    <row r="22" spans="2:51" x14ac:dyDescent="0.25">
      <c r="B22" s="63" t="str">
        <f>'Hours Scheduled'!B20</f>
        <v>Loode Evers</v>
      </c>
      <c r="D22" s="59" t="s">
        <v>164</v>
      </c>
      <c r="E22" s="60"/>
      <c r="F22" s="60"/>
      <c r="G22" s="61"/>
      <c r="H22" s="59" t="s">
        <v>164</v>
      </c>
      <c r="I22" s="60"/>
      <c r="J22" s="60"/>
      <c r="K22" s="61"/>
      <c r="L22" s="59" t="s">
        <v>164</v>
      </c>
      <c r="M22" s="60"/>
      <c r="N22" s="60"/>
      <c r="O22" s="61"/>
      <c r="P22" s="59" t="s">
        <v>164</v>
      </c>
      <c r="Q22" s="60"/>
      <c r="R22" s="60"/>
      <c r="S22" s="61"/>
      <c r="T22" s="59" t="s">
        <v>164</v>
      </c>
      <c r="U22" s="60"/>
      <c r="V22" s="60"/>
      <c r="W22" s="61"/>
      <c r="X22" s="59" t="s">
        <v>164</v>
      </c>
      <c r="Y22" s="60"/>
      <c r="Z22" s="60"/>
      <c r="AA22" s="61"/>
      <c r="AB22" s="59" t="s">
        <v>164</v>
      </c>
      <c r="AC22" s="60"/>
      <c r="AD22" s="60"/>
      <c r="AE22" s="61"/>
      <c r="AF22" s="59"/>
      <c r="AG22" s="60"/>
      <c r="AH22" s="60"/>
      <c r="AI22" s="61"/>
      <c r="AJ22" s="59"/>
      <c r="AK22" s="60"/>
      <c r="AL22" s="60"/>
      <c r="AM22" s="61"/>
      <c r="AN22" s="59"/>
      <c r="AO22" s="60"/>
      <c r="AP22" s="60"/>
      <c r="AQ22" s="61"/>
      <c r="AR22" s="59"/>
      <c r="AS22" s="60"/>
      <c r="AT22" s="60"/>
      <c r="AU22" s="61"/>
      <c r="AV22" s="59"/>
      <c r="AW22" s="60"/>
      <c r="AX22" s="60"/>
      <c r="AY22" s="61"/>
    </row>
    <row r="23" spans="2:51" x14ac:dyDescent="0.25">
      <c r="B23" s="63" t="str">
        <f>'Hours Scheduled'!B21</f>
        <v>Manuel Sperti</v>
      </c>
      <c r="D23" s="59" t="s">
        <v>164</v>
      </c>
      <c r="E23" s="60"/>
      <c r="F23" s="60"/>
      <c r="G23" s="61"/>
      <c r="H23" s="245" t="s">
        <v>164</v>
      </c>
      <c r="I23" s="200" t="s">
        <v>164</v>
      </c>
      <c r="J23" s="200"/>
      <c r="K23" s="246"/>
      <c r="L23" s="245"/>
      <c r="M23" s="200"/>
      <c r="N23" s="200"/>
      <c r="O23" s="246"/>
      <c r="P23" s="245"/>
      <c r="Q23" s="200"/>
      <c r="R23" s="200"/>
      <c r="S23" s="246"/>
      <c r="T23" s="245"/>
      <c r="U23" s="200"/>
      <c r="V23" s="200"/>
      <c r="W23" s="246"/>
      <c r="X23" s="245"/>
      <c r="Y23" s="200"/>
      <c r="Z23" s="200"/>
      <c r="AA23" s="246"/>
      <c r="AB23" s="245"/>
      <c r="AC23" s="200"/>
      <c r="AD23" s="200"/>
      <c r="AE23" s="246"/>
      <c r="AF23" s="245"/>
      <c r="AG23" s="200"/>
      <c r="AH23" s="200"/>
      <c r="AI23" s="246"/>
      <c r="AJ23" s="245"/>
      <c r="AK23" s="200"/>
      <c r="AL23" s="200"/>
      <c r="AM23" s="246"/>
      <c r="AN23" s="245"/>
      <c r="AO23" s="200"/>
      <c r="AP23" s="200"/>
      <c r="AQ23" s="246"/>
      <c r="AR23" s="245"/>
      <c r="AS23" s="200"/>
      <c r="AT23" s="200"/>
      <c r="AU23" s="246"/>
      <c r="AV23" s="245"/>
      <c r="AW23" s="200"/>
      <c r="AX23" s="200"/>
      <c r="AY23" s="246"/>
    </row>
    <row r="24" spans="2:51" x14ac:dyDescent="0.25">
      <c r="B24" s="63" t="str">
        <f>'Hours Scheduled'!B22</f>
        <v xml:space="preserve">Marc Linssen </v>
      </c>
      <c r="D24" s="59" t="s">
        <v>164</v>
      </c>
      <c r="E24" s="60"/>
      <c r="F24" s="60"/>
      <c r="G24" s="61"/>
      <c r="H24" s="59" t="s">
        <v>164</v>
      </c>
      <c r="I24" s="60"/>
      <c r="J24" s="60"/>
      <c r="K24" s="61"/>
      <c r="L24" s="59" t="s">
        <v>164</v>
      </c>
      <c r="M24" s="60"/>
      <c r="N24" s="60"/>
      <c r="O24" s="61"/>
      <c r="P24" s="59" t="s">
        <v>164</v>
      </c>
      <c r="Q24" s="60"/>
      <c r="R24" s="60"/>
      <c r="S24" s="61"/>
      <c r="T24" s="59" t="s">
        <v>164</v>
      </c>
      <c r="U24" s="60"/>
      <c r="V24" s="60"/>
      <c r="W24" s="61"/>
      <c r="X24" s="59" t="s">
        <v>164</v>
      </c>
      <c r="Y24" s="60"/>
      <c r="Z24" s="60"/>
      <c r="AA24" s="61"/>
      <c r="AB24" s="59" t="s">
        <v>164</v>
      </c>
      <c r="AC24" s="60"/>
      <c r="AD24" s="60"/>
      <c r="AE24" s="61"/>
      <c r="AF24" s="59"/>
      <c r="AG24" s="60"/>
      <c r="AH24" s="60"/>
      <c r="AI24" s="61"/>
      <c r="AJ24" s="59"/>
      <c r="AK24" s="60"/>
      <c r="AL24" s="60"/>
      <c r="AM24" s="61"/>
      <c r="AN24" s="59"/>
      <c r="AO24" s="60"/>
      <c r="AP24" s="60"/>
      <c r="AQ24" s="61"/>
      <c r="AR24" s="59"/>
      <c r="AS24" s="60"/>
      <c r="AT24" s="60"/>
      <c r="AU24" s="61"/>
      <c r="AV24" s="59"/>
      <c r="AW24" s="60"/>
      <c r="AX24" s="60"/>
      <c r="AY24" s="61"/>
    </row>
    <row r="25" spans="2:51" x14ac:dyDescent="0.25">
      <c r="B25" s="63" t="str">
        <f>'Hours Scheduled'!B23</f>
        <v>Marco Smeekes</v>
      </c>
      <c r="D25" s="59" t="s">
        <v>164</v>
      </c>
      <c r="E25" s="60"/>
      <c r="F25" s="60"/>
      <c r="G25" s="61"/>
      <c r="H25" s="59" t="s">
        <v>164</v>
      </c>
      <c r="I25" s="60"/>
      <c r="J25" s="60"/>
      <c r="K25" s="61"/>
      <c r="L25" s="59" t="s">
        <v>164</v>
      </c>
      <c r="M25" s="60"/>
      <c r="N25" s="60"/>
      <c r="O25" s="61"/>
      <c r="P25" s="59" t="s">
        <v>164</v>
      </c>
      <c r="Q25" s="60"/>
      <c r="R25" s="60"/>
      <c r="S25" s="61"/>
      <c r="T25" s="59" t="s">
        <v>164</v>
      </c>
      <c r="U25" s="60"/>
      <c r="V25" s="60"/>
      <c r="W25" s="61"/>
      <c r="X25" s="59" t="s">
        <v>164</v>
      </c>
      <c r="Y25" s="60"/>
      <c r="Z25" s="60"/>
      <c r="AA25" s="61"/>
      <c r="AB25" s="59" t="s">
        <v>164</v>
      </c>
      <c r="AC25" s="60"/>
      <c r="AD25" s="60"/>
      <c r="AE25" s="61"/>
      <c r="AF25" s="59"/>
      <c r="AG25" s="60"/>
      <c r="AH25" s="60"/>
      <c r="AI25" s="61"/>
      <c r="AJ25" s="59"/>
      <c r="AK25" s="60"/>
      <c r="AL25" s="60"/>
      <c r="AM25" s="61"/>
      <c r="AN25" s="59"/>
      <c r="AO25" s="60"/>
      <c r="AP25" s="60"/>
      <c r="AQ25" s="61"/>
      <c r="AR25" s="59"/>
      <c r="AS25" s="60"/>
      <c r="AT25" s="60"/>
      <c r="AU25" s="61"/>
      <c r="AV25" s="59"/>
      <c r="AW25" s="60"/>
      <c r="AX25" s="60"/>
      <c r="AY25" s="61"/>
    </row>
    <row r="26" spans="2:51" x14ac:dyDescent="0.25">
      <c r="B26" s="63" t="str">
        <f>'Hours Scheduled'!B24</f>
        <v>Mark Meijer</v>
      </c>
      <c r="D26" s="59" t="s">
        <v>164</v>
      </c>
      <c r="E26" s="60"/>
      <c r="F26" s="60"/>
      <c r="G26" s="61"/>
      <c r="H26" s="59" t="s">
        <v>164</v>
      </c>
      <c r="I26" s="60"/>
      <c r="J26" s="60"/>
      <c r="K26" s="61"/>
      <c r="L26" s="59" t="s">
        <v>164</v>
      </c>
      <c r="M26" s="60"/>
      <c r="N26" s="60"/>
      <c r="O26" s="61"/>
      <c r="P26" s="59" t="s">
        <v>164</v>
      </c>
      <c r="Q26" s="60"/>
      <c r="R26" s="60"/>
      <c r="S26" s="61"/>
      <c r="T26" s="59" t="s">
        <v>164</v>
      </c>
      <c r="U26" s="60"/>
      <c r="V26" s="60"/>
      <c r="W26" s="61"/>
      <c r="X26" s="59" t="s">
        <v>164</v>
      </c>
      <c r="Y26" s="60"/>
      <c r="Z26" s="60"/>
      <c r="AA26" s="61"/>
      <c r="AB26" s="59" t="s">
        <v>164</v>
      </c>
      <c r="AC26" s="60"/>
      <c r="AD26" s="60"/>
      <c r="AE26" s="61"/>
      <c r="AF26" s="59"/>
      <c r="AG26" s="60"/>
      <c r="AH26" s="60"/>
      <c r="AI26" s="61"/>
      <c r="AJ26" s="59"/>
      <c r="AK26" s="60"/>
      <c r="AL26" s="60"/>
      <c r="AM26" s="61"/>
      <c r="AN26" s="59"/>
      <c r="AO26" s="60"/>
      <c r="AP26" s="60"/>
      <c r="AQ26" s="61"/>
      <c r="AR26" s="59"/>
      <c r="AS26" s="60"/>
      <c r="AT26" s="60"/>
      <c r="AU26" s="61"/>
      <c r="AV26" s="59"/>
      <c r="AW26" s="60"/>
      <c r="AX26" s="60"/>
      <c r="AY26" s="61"/>
    </row>
    <row r="27" spans="2:51" x14ac:dyDescent="0.25">
      <c r="B27" s="63" t="str">
        <f>'Hours Scheduled'!B25</f>
        <v>Marvin Machelesen</v>
      </c>
      <c r="D27" s="59" t="s">
        <v>164</v>
      </c>
      <c r="E27" s="60"/>
      <c r="F27" s="60"/>
      <c r="G27" s="61"/>
      <c r="H27" s="59" t="s">
        <v>164</v>
      </c>
      <c r="I27" s="60"/>
      <c r="J27" s="60"/>
      <c r="K27" s="61"/>
      <c r="L27" s="59" t="s">
        <v>164</v>
      </c>
      <c r="M27" s="60"/>
      <c r="N27" s="60"/>
      <c r="O27" s="61"/>
      <c r="P27" s="59" t="s">
        <v>164</v>
      </c>
      <c r="Q27" s="60"/>
      <c r="R27" s="60"/>
      <c r="S27" s="61"/>
      <c r="T27" s="59" t="s">
        <v>164</v>
      </c>
      <c r="U27" s="60"/>
      <c r="V27" s="60"/>
      <c r="W27" s="61"/>
      <c r="X27" s="59" t="s">
        <v>164</v>
      </c>
      <c r="Y27" s="60"/>
      <c r="Z27" s="60"/>
      <c r="AA27" s="61"/>
      <c r="AB27" s="59" t="s">
        <v>164</v>
      </c>
      <c r="AC27" s="60"/>
      <c r="AD27" s="60"/>
      <c r="AE27" s="61"/>
      <c r="AF27" s="59"/>
      <c r="AG27" s="60"/>
      <c r="AH27" s="60"/>
      <c r="AI27" s="61"/>
      <c r="AJ27" s="59"/>
      <c r="AK27" s="60"/>
      <c r="AL27" s="60"/>
      <c r="AM27" s="61"/>
      <c r="AN27" s="59"/>
      <c r="AO27" s="60"/>
      <c r="AP27" s="60"/>
      <c r="AQ27" s="61"/>
      <c r="AR27" s="59"/>
      <c r="AS27" s="60"/>
      <c r="AT27" s="60"/>
      <c r="AU27" s="61"/>
      <c r="AV27" s="59"/>
      <c r="AW27" s="60"/>
      <c r="AX27" s="60"/>
      <c r="AY27" s="61"/>
    </row>
    <row r="28" spans="2:51" x14ac:dyDescent="0.25">
      <c r="B28" s="63" t="str">
        <f>'Hours Scheduled'!B26</f>
        <v>Michael Callemeijn</v>
      </c>
      <c r="D28" s="59" t="s">
        <v>164</v>
      </c>
      <c r="E28" s="60"/>
      <c r="F28" s="60"/>
      <c r="G28" s="61"/>
      <c r="H28" s="59" t="s">
        <v>164</v>
      </c>
      <c r="I28" s="60"/>
      <c r="J28" s="60"/>
      <c r="K28" s="61"/>
      <c r="L28" s="59" t="s">
        <v>164</v>
      </c>
      <c r="M28" s="60"/>
      <c r="N28" s="60"/>
      <c r="O28" s="61"/>
      <c r="P28" s="59" t="s">
        <v>164</v>
      </c>
      <c r="Q28" s="60"/>
      <c r="R28" s="60"/>
      <c r="S28" s="61"/>
      <c r="T28" s="59" t="s">
        <v>164</v>
      </c>
      <c r="U28" s="60"/>
      <c r="V28" s="60"/>
      <c r="W28" s="61"/>
      <c r="X28" s="59" t="s">
        <v>164</v>
      </c>
      <c r="Y28" s="60"/>
      <c r="Z28" s="60"/>
      <c r="AA28" s="61"/>
      <c r="AB28" s="59" t="s">
        <v>164</v>
      </c>
      <c r="AC28" s="60"/>
      <c r="AD28" s="60"/>
      <c r="AE28" s="61"/>
      <c r="AF28" s="59"/>
      <c r="AG28" s="60"/>
      <c r="AH28" s="60"/>
      <c r="AI28" s="61"/>
      <c r="AJ28" s="59"/>
      <c r="AK28" s="60"/>
      <c r="AL28" s="60"/>
      <c r="AM28" s="61"/>
      <c r="AN28" s="59"/>
      <c r="AO28" s="60"/>
      <c r="AP28" s="60"/>
      <c r="AQ28" s="61"/>
      <c r="AR28" s="59"/>
      <c r="AS28" s="60"/>
      <c r="AT28" s="60"/>
      <c r="AU28" s="61"/>
      <c r="AV28" s="59"/>
      <c r="AW28" s="60"/>
      <c r="AX28" s="60"/>
      <c r="AY28" s="61"/>
    </row>
    <row r="29" spans="2:51" x14ac:dyDescent="0.25">
      <c r="B29" s="63" t="str">
        <f>'Hours Scheduled'!B27</f>
        <v>Niels Lievaart</v>
      </c>
      <c r="D29" s="59" t="s">
        <v>164</v>
      </c>
      <c r="E29" s="60"/>
      <c r="F29" s="60"/>
      <c r="G29" s="61"/>
      <c r="H29" s="59" t="s">
        <v>164</v>
      </c>
      <c r="I29" s="60"/>
      <c r="J29" s="60"/>
      <c r="K29" s="61"/>
      <c r="L29" s="59" t="s">
        <v>164</v>
      </c>
      <c r="M29" s="60"/>
      <c r="N29" s="60"/>
      <c r="O29" s="61"/>
      <c r="P29" s="59" t="s">
        <v>164</v>
      </c>
      <c r="Q29" s="60"/>
      <c r="R29" s="60"/>
      <c r="S29" s="61"/>
      <c r="T29" s="59" t="s">
        <v>164</v>
      </c>
      <c r="U29" s="60"/>
      <c r="V29" s="60"/>
      <c r="W29" s="61"/>
      <c r="X29" s="59" t="s">
        <v>164</v>
      </c>
      <c r="Y29" s="60"/>
      <c r="Z29" s="60"/>
      <c r="AA29" s="61"/>
      <c r="AB29" s="59" t="s">
        <v>164</v>
      </c>
      <c r="AC29" s="60"/>
      <c r="AD29" s="60"/>
      <c r="AE29" s="61"/>
      <c r="AF29" s="59"/>
      <c r="AG29" s="60"/>
      <c r="AH29" s="60"/>
      <c r="AI29" s="61"/>
      <c r="AJ29" s="59"/>
      <c r="AK29" s="60"/>
      <c r="AL29" s="60"/>
      <c r="AM29" s="61"/>
      <c r="AN29" s="59"/>
      <c r="AO29" s="60"/>
      <c r="AP29" s="60"/>
      <c r="AQ29" s="61"/>
      <c r="AR29" s="59"/>
      <c r="AS29" s="60"/>
      <c r="AT29" s="60"/>
      <c r="AU29" s="61"/>
      <c r="AV29" s="59"/>
      <c r="AW29" s="60"/>
      <c r="AX29" s="60"/>
      <c r="AY29" s="61"/>
    </row>
    <row r="30" spans="2:51" x14ac:dyDescent="0.25">
      <c r="B30" s="63" t="str">
        <f>'Hours Scheduled'!B28</f>
        <v>Patrick Janssen</v>
      </c>
      <c r="D30" s="59" t="s">
        <v>164</v>
      </c>
      <c r="E30" s="60"/>
      <c r="F30" s="60"/>
      <c r="G30" s="61"/>
      <c r="H30" s="59" t="s">
        <v>164</v>
      </c>
      <c r="I30" s="60"/>
      <c r="J30" s="60"/>
      <c r="K30" s="61"/>
      <c r="L30" s="59" t="s">
        <v>164</v>
      </c>
      <c r="M30" s="60"/>
      <c r="N30" s="60"/>
      <c r="O30" s="61"/>
      <c r="P30" s="59" t="s">
        <v>164</v>
      </c>
      <c r="Q30" s="60"/>
      <c r="R30" s="60"/>
      <c r="S30" s="61"/>
      <c r="T30" s="59" t="s">
        <v>164</v>
      </c>
      <c r="U30" s="60"/>
      <c r="V30" s="60"/>
      <c r="W30" s="61"/>
      <c r="X30" s="59" t="s">
        <v>164</v>
      </c>
      <c r="Y30" s="60"/>
      <c r="Z30" s="60"/>
      <c r="AA30" s="61"/>
      <c r="AB30" s="59" t="s">
        <v>164</v>
      </c>
      <c r="AC30" s="60"/>
      <c r="AD30" s="60"/>
      <c r="AE30" s="61"/>
      <c r="AF30" s="59"/>
      <c r="AG30" s="60"/>
      <c r="AH30" s="60"/>
      <c r="AI30" s="61"/>
      <c r="AJ30" s="59"/>
      <c r="AK30" s="60"/>
      <c r="AL30" s="60"/>
      <c r="AM30" s="61"/>
      <c r="AN30" s="59"/>
      <c r="AO30" s="60"/>
      <c r="AP30" s="60"/>
      <c r="AQ30" s="61"/>
      <c r="AR30" s="59"/>
      <c r="AS30" s="60"/>
      <c r="AT30" s="60"/>
      <c r="AU30" s="61"/>
      <c r="AV30" s="59"/>
      <c r="AW30" s="60"/>
      <c r="AX30" s="60"/>
      <c r="AY30" s="61"/>
    </row>
    <row r="31" spans="2:51" x14ac:dyDescent="0.25">
      <c r="B31" s="63" t="str">
        <f>'Hours Scheduled'!B29</f>
        <v>Patrick Ziesen</v>
      </c>
      <c r="D31" s="59" t="s">
        <v>164</v>
      </c>
      <c r="E31" s="60"/>
      <c r="F31" s="60"/>
      <c r="G31" s="61"/>
      <c r="H31" s="59" t="s">
        <v>164</v>
      </c>
      <c r="I31" s="60"/>
      <c r="J31" s="60"/>
      <c r="K31" s="61"/>
      <c r="L31" s="59" t="s">
        <v>164</v>
      </c>
      <c r="M31" s="60"/>
      <c r="N31" s="60"/>
      <c r="O31" s="61"/>
      <c r="P31" s="59" t="s">
        <v>164</v>
      </c>
      <c r="Q31" s="60"/>
      <c r="R31" s="60"/>
      <c r="S31" s="61"/>
      <c r="T31" s="59" t="s">
        <v>164</v>
      </c>
      <c r="U31" s="60"/>
      <c r="V31" s="60"/>
      <c r="W31" s="61"/>
      <c r="X31" s="59" t="s">
        <v>164</v>
      </c>
      <c r="Y31" s="60"/>
      <c r="Z31" s="60"/>
      <c r="AA31" s="61"/>
      <c r="AB31" s="59" t="s">
        <v>164</v>
      </c>
      <c r="AC31" s="60"/>
      <c r="AD31" s="60"/>
      <c r="AE31" s="61"/>
      <c r="AF31" s="59"/>
      <c r="AG31" s="60"/>
      <c r="AH31" s="60"/>
      <c r="AI31" s="61"/>
      <c r="AJ31" s="59"/>
      <c r="AK31" s="60"/>
      <c r="AL31" s="60"/>
      <c r="AM31" s="61"/>
      <c r="AN31" s="59"/>
      <c r="AO31" s="60"/>
      <c r="AP31" s="60"/>
      <c r="AQ31" s="61"/>
      <c r="AR31" s="59"/>
      <c r="AS31" s="60"/>
      <c r="AT31" s="60"/>
      <c r="AU31" s="61"/>
      <c r="AV31" s="59"/>
      <c r="AW31" s="60"/>
      <c r="AX31" s="60"/>
      <c r="AY31" s="61"/>
    </row>
    <row r="32" spans="2:51" x14ac:dyDescent="0.25">
      <c r="B32" s="63" t="str">
        <f>'Hours Scheduled'!B30</f>
        <v>Robin Nieuwenhuis</v>
      </c>
      <c r="D32" s="59" t="s">
        <v>164</v>
      </c>
      <c r="E32" s="60"/>
      <c r="F32" s="60"/>
      <c r="G32" s="61"/>
      <c r="H32" s="59" t="s">
        <v>164</v>
      </c>
      <c r="I32" s="60"/>
      <c r="J32" s="60"/>
      <c r="K32" s="61"/>
      <c r="L32" s="59" t="s">
        <v>164</v>
      </c>
      <c r="M32" s="60"/>
      <c r="N32" s="60"/>
      <c r="O32" s="61"/>
      <c r="P32" s="59" t="s">
        <v>164</v>
      </c>
      <c r="Q32" s="60"/>
      <c r="R32" s="60"/>
      <c r="S32" s="61"/>
      <c r="T32" s="59" t="s">
        <v>164</v>
      </c>
      <c r="U32" s="60"/>
      <c r="V32" s="60"/>
      <c r="W32" s="61"/>
      <c r="X32" s="59" t="s">
        <v>164</v>
      </c>
      <c r="Y32" s="60"/>
      <c r="Z32" s="60"/>
      <c r="AA32" s="61"/>
      <c r="AB32" s="59" t="s">
        <v>164</v>
      </c>
      <c r="AC32" s="60"/>
      <c r="AD32" s="60"/>
      <c r="AE32" s="61"/>
      <c r="AF32" s="59"/>
      <c r="AG32" s="60"/>
      <c r="AH32" s="60"/>
      <c r="AI32" s="61"/>
      <c r="AJ32" s="59"/>
      <c r="AK32" s="60"/>
      <c r="AL32" s="60"/>
      <c r="AM32" s="61"/>
      <c r="AN32" s="59"/>
      <c r="AO32" s="60"/>
      <c r="AP32" s="60"/>
      <c r="AQ32" s="61"/>
      <c r="AR32" s="59"/>
      <c r="AS32" s="60"/>
      <c r="AT32" s="60"/>
      <c r="AU32" s="61"/>
      <c r="AV32" s="59"/>
      <c r="AW32" s="60"/>
      <c r="AX32" s="60"/>
      <c r="AY32" s="61"/>
    </row>
    <row r="33" spans="2:51" x14ac:dyDescent="0.25">
      <c r="B33" s="63" t="str">
        <f>'Hours Scheduled'!B31</f>
        <v>Thom van Bodegraven</v>
      </c>
      <c r="D33" s="59" t="s">
        <v>164</v>
      </c>
      <c r="E33" s="60"/>
      <c r="F33" s="60"/>
      <c r="G33" s="61"/>
      <c r="H33" s="59" t="s">
        <v>164</v>
      </c>
      <c r="I33" s="60"/>
      <c r="J33" s="60"/>
      <c r="K33" s="61"/>
      <c r="L33" s="59" t="s">
        <v>164</v>
      </c>
      <c r="M33" s="60"/>
      <c r="N33" s="60" t="s">
        <v>164</v>
      </c>
      <c r="O33" s="61"/>
      <c r="P33" s="245"/>
      <c r="Q33" s="200"/>
      <c r="R33" s="200"/>
      <c r="S33" s="246"/>
      <c r="T33" s="245"/>
      <c r="U33" s="200"/>
      <c r="V33" s="200"/>
      <c r="W33" s="246"/>
      <c r="X33" s="245"/>
      <c r="Y33" s="200"/>
      <c r="Z33" s="200"/>
      <c r="AA33" s="246"/>
      <c r="AB33" s="245"/>
      <c r="AC33" s="200"/>
      <c r="AD33" s="200"/>
      <c r="AE33" s="246"/>
      <c r="AF33" s="245"/>
      <c r="AG33" s="200"/>
      <c r="AH33" s="200"/>
      <c r="AI33" s="246"/>
      <c r="AJ33" s="245"/>
      <c r="AK33" s="200"/>
      <c r="AL33" s="200"/>
      <c r="AM33" s="246"/>
      <c r="AN33" s="245"/>
      <c r="AO33" s="200"/>
      <c r="AP33" s="200"/>
      <c r="AQ33" s="246"/>
      <c r="AR33" s="245"/>
      <c r="AS33" s="200"/>
      <c r="AT33" s="200"/>
      <c r="AU33" s="246"/>
      <c r="AV33" s="245"/>
      <c r="AW33" s="200"/>
      <c r="AX33" s="200"/>
      <c r="AY33" s="246"/>
    </row>
    <row r="34" spans="2:51" x14ac:dyDescent="0.25">
      <c r="B34" s="63" t="str">
        <f>'Hours Scheduled'!B32</f>
        <v>Tiemen Schumacher</v>
      </c>
      <c r="D34" s="59" t="s">
        <v>164</v>
      </c>
      <c r="E34" s="60"/>
      <c r="F34" s="60"/>
      <c r="G34" s="61"/>
      <c r="H34" s="59" t="s">
        <v>164</v>
      </c>
      <c r="I34" s="60"/>
      <c r="J34" s="60"/>
      <c r="K34" s="61"/>
      <c r="L34" s="59" t="s">
        <v>164</v>
      </c>
      <c r="M34" s="60"/>
      <c r="N34" s="60"/>
      <c r="O34" s="61"/>
      <c r="P34" s="59" t="s">
        <v>164</v>
      </c>
      <c r="Q34" s="60"/>
      <c r="R34" s="60"/>
      <c r="S34" s="61"/>
      <c r="T34" s="59" t="s">
        <v>164</v>
      </c>
      <c r="U34" s="60"/>
      <c r="V34" s="60"/>
      <c r="W34" s="61"/>
      <c r="X34" s="59" t="s">
        <v>164</v>
      </c>
      <c r="Y34" s="60"/>
      <c r="Z34" s="60"/>
      <c r="AA34" s="61"/>
      <c r="AB34" s="59" t="s">
        <v>164</v>
      </c>
      <c r="AC34" s="60"/>
      <c r="AD34" s="60"/>
      <c r="AE34" s="61"/>
      <c r="AF34" s="59"/>
      <c r="AG34" s="60"/>
      <c r="AH34" s="60"/>
      <c r="AI34" s="61"/>
      <c r="AJ34" s="59"/>
      <c r="AK34" s="60"/>
      <c r="AL34" s="60"/>
      <c r="AM34" s="61"/>
      <c r="AN34" s="59"/>
      <c r="AO34" s="60"/>
      <c r="AP34" s="60"/>
      <c r="AQ34" s="61"/>
      <c r="AR34" s="59"/>
      <c r="AS34" s="60"/>
      <c r="AT34" s="60"/>
      <c r="AU34" s="61"/>
      <c r="AV34" s="59"/>
      <c r="AW34" s="60"/>
      <c r="AX34" s="60"/>
      <c r="AY34" s="61"/>
    </row>
    <row r="35" spans="2:51" x14ac:dyDescent="0.25">
      <c r="B35" s="63" t="str">
        <f>'Hours Scheduled'!B33</f>
        <v>Erik Jaspers</v>
      </c>
      <c r="D35" s="245"/>
      <c r="E35" s="200"/>
      <c r="F35" s="200"/>
      <c r="G35" s="246"/>
      <c r="H35" s="245"/>
      <c r="I35" s="200"/>
      <c r="J35" s="200"/>
      <c r="K35" s="246"/>
      <c r="L35" s="59" t="s">
        <v>164</v>
      </c>
      <c r="M35" s="60"/>
      <c r="N35" s="60"/>
      <c r="O35" s="61"/>
      <c r="P35" s="59" t="s">
        <v>164</v>
      </c>
      <c r="Q35" s="60"/>
      <c r="R35" s="60"/>
      <c r="S35" s="61"/>
      <c r="T35" s="59" t="s">
        <v>164</v>
      </c>
      <c r="U35" s="60"/>
      <c r="V35" s="60"/>
      <c r="W35" s="61"/>
      <c r="X35" s="59" t="s">
        <v>164</v>
      </c>
      <c r="Y35" s="60"/>
      <c r="Z35" s="60"/>
      <c r="AA35" s="61"/>
      <c r="AB35" s="59" t="s">
        <v>164</v>
      </c>
      <c r="AC35" s="60"/>
      <c r="AD35" s="60"/>
      <c r="AE35" s="61"/>
      <c r="AF35" s="59"/>
      <c r="AG35" s="60"/>
      <c r="AH35" s="60"/>
      <c r="AI35" s="61"/>
      <c r="AJ35" s="59"/>
      <c r="AK35" s="60"/>
      <c r="AL35" s="60"/>
      <c r="AM35" s="61"/>
      <c r="AN35" s="59"/>
      <c r="AO35" s="60"/>
      <c r="AP35" s="60"/>
      <c r="AQ35" s="61"/>
      <c r="AR35" s="59"/>
      <c r="AS35" s="60"/>
      <c r="AT35" s="60"/>
      <c r="AU35" s="61"/>
      <c r="AV35" s="59"/>
      <c r="AW35" s="60"/>
      <c r="AX35" s="60"/>
      <c r="AY35" s="61"/>
    </row>
    <row r="36" spans="2:51" x14ac:dyDescent="0.25">
      <c r="B36" s="63" t="str">
        <f>'Hours Scheduled'!B34</f>
        <v>Leo Wijnands</v>
      </c>
      <c r="D36" s="245"/>
      <c r="E36" s="200"/>
      <c r="F36" s="200"/>
      <c r="G36" s="246"/>
      <c r="H36" s="245"/>
      <c r="I36" s="200"/>
      <c r="J36" s="200"/>
      <c r="K36" s="246"/>
      <c r="L36" s="59" t="s">
        <v>164</v>
      </c>
      <c r="M36" s="60"/>
      <c r="N36" s="60"/>
      <c r="O36" s="61"/>
      <c r="P36" s="59" t="s">
        <v>164</v>
      </c>
      <c r="Q36" s="60"/>
      <c r="R36" s="60"/>
      <c r="S36" s="61"/>
      <c r="T36" s="59" t="s">
        <v>164</v>
      </c>
      <c r="U36" s="60"/>
      <c r="V36" s="60"/>
      <c r="W36" s="61"/>
      <c r="X36" s="59" t="s">
        <v>164</v>
      </c>
      <c r="Y36" s="60"/>
      <c r="Z36" s="60"/>
      <c r="AA36" s="61"/>
      <c r="AB36" s="59" t="s">
        <v>164</v>
      </c>
      <c r="AC36" s="60"/>
      <c r="AD36" s="60"/>
      <c r="AE36" s="61"/>
      <c r="AF36" s="59"/>
      <c r="AG36" s="60"/>
      <c r="AH36" s="60"/>
      <c r="AI36" s="61"/>
      <c r="AJ36" s="59"/>
      <c r="AK36" s="60"/>
      <c r="AL36" s="60"/>
      <c r="AM36" s="61"/>
      <c r="AN36" s="59"/>
      <c r="AO36" s="60"/>
      <c r="AP36" s="60"/>
      <c r="AQ36" s="61"/>
      <c r="AR36" s="59"/>
      <c r="AS36" s="60"/>
      <c r="AT36" s="60"/>
      <c r="AU36" s="61"/>
      <c r="AV36" s="59"/>
      <c r="AW36" s="60"/>
      <c r="AX36" s="60"/>
      <c r="AY36" s="61"/>
    </row>
    <row r="37" spans="2:51" x14ac:dyDescent="0.25">
      <c r="B37" s="63" t="str">
        <f>'Hours Scheduled'!B35</f>
        <v>Danny Ummels</v>
      </c>
      <c r="D37" s="245"/>
      <c r="E37" s="200"/>
      <c r="F37" s="200"/>
      <c r="G37" s="246"/>
      <c r="H37" s="245"/>
      <c r="I37" s="200"/>
      <c r="J37" s="200"/>
      <c r="K37" s="246"/>
      <c r="L37" s="59" t="s">
        <v>164</v>
      </c>
      <c r="M37" s="60"/>
      <c r="N37" s="60"/>
      <c r="O37" s="61"/>
      <c r="P37" s="59" t="s">
        <v>164</v>
      </c>
      <c r="Q37" s="60"/>
      <c r="R37" s="60"/>
      <c r="S37" s="61"/>
      <c r="T37" s="59" t="s">
        <v>164</v>
      </c>
      <c r="U37" s="60"/>
      <c r="V37" s="60"/>
      <c r="W37" s="61"/>
      <c r="X37" s="59" t="s">
        <v>164</v>
      </c>
      <c r="Y37" s="60"/>
      <c r="Z37" s="60"/>
      <c r="AA37" s="61"/>
      <c r="AB37" s="59" t="s">
        <v>164</v>
      </c>
      <c r="AC37" s="60"/>
      <c r="AD37" s="60"/>
      <c r="AE37" s="61"/>
      <c r="AF37" s="59"/>
      <c r="AG37" s="60"/>
      <c r="AH37" s="60"/>
      <c r="AI37" s="61"/>
      <c r="AJ37" s="59"/>
      <c r="AK37" s="60"/>
      <c r="AL37" s="60"/>
      <c r="AM37" s="61"/>
      <c r="AN37" s="59"/>
      <c r="AO37" s="60"/>
      <c r="AP37" s="60"/>
      <c r="AQ37" s="61"/>
      <c r="AR37" s="59"/>
      <c r="AS37" s="60"/>
      <c r="AT37" s="60"/>
      <c r="AU37" s="61"/>
      <c r="AV37" s="59"/>
      <c r="AW37" s="60"/>
      <c r="AX37" s="60"/>
      <c r="AY37" s="61"/>
    </row>
    <row r="38" spans="2:51" x14ac:dyDescent="0.25">
      <c r="B38" s="63">
        <f>'Hours Scheduled'!B36</f>
        <v>0</v>
      </c>
      <c r="D38" s="59"/>
      <c r="E38" s="60"/>
      <c r="F38" s="60"/>
      <c r="G38" s="61"/>
      <c r="H38" s="59"/>
      <c r="I38" s="60"/>
      <c r="J38" s="60"/>
      <c r="K38" s="61"/>
      <c r="L38" s="59"/>
      <c r="M38" s="60"/>
      <c r="N38" s="60"/>
      <c r="O38" s="61"/>
      <c r="P38" s="59"/>
      <c r="Q38" s="60"/>
      <c r="R38" s="60"/>
      <c r="S38" s="61"/>
      <c r="T38" s="59"/>
      <c r="U38" s="60"/>
      <c r="V38" s="60"/>
      <c r="W38" s="61"/>
      <c r="X38" s="59"/>
      <c r="Y38" s="60"/>
      <c r="Z38" s="60"/>
      <c r="AA38" s="61"/>
      <c r="AB38" s="59"/>
      <c r="AC38" s="60"/>
      <c r="AD38" s="60"/>
      <c r="AE38" s="61"/>
      <c r="AF38" s="59"/>
      <c r="AG38" s="60"/>
      <c r="AH38" s="60"/>
      <c r="AI38" s="61"/>
      <c r="AJ38" s="59"/>
      <c r="AK38" s="60"/>
      <c r="AL38" s="60"/>
      <c r="AM38" s="61"/>
      <c r="AN38" s="59"/>
      <c r="AO38" s="60"/>
      <c r="AP38" s="60"/>
      <c r="AQ38" s="61"/>
      <c r="AR38" s="59"/>
      <c r="AS38" s="60"/>
      <c r="AT38" s="60"/>
      <c r="AU38" s="61"/>
      <c r="AV38" s="59"/>
      <c r="AW38" s="60"/>
      <c r="AX38" s="60"/>
      <c r="AY38" s="61"/>
    </row>
    <row r="39" spans="2:51" x14ac:dyDescent="0.25">
      <c r="B39" s="63">
        <f>'Hours Scheduled'!B37</f>
        <v>0</v>
      </c>
      <c r="D39" s="59"/>
      <c r="E39" s="60"/>
      <c r="F39" s="60"/>
      <c r="G39" s="61"/>
      <c r="H39" s="59"/>
      <c r="I39" s="60"/>
      <c r="J39" s="60"/>
      <c r="K39" s="61"/>
      <c r="L39" s="59"/>
      <c r="M39" s="60"/>
      <c r="N39" s="60"/>
      <c r="O39" s="61"/>
      <c r="P39" s="59"/>
      <c r="Q39" s="60"/>
      <c r="R39" s="60"/>
      <c r="S39" s="61"/>
      <c r="T39" s="59"/>
      <c r="U39" s="60"/>
      <c r="V39" s="60"/>
      <c r="W39" s="61"/>
      <c r="X39" s="59"/>
      <c r="Y39" s="60"/>
      <c r="Z39" s="60"/>
      <c r="AA39" s="61"/>
      <c r="AB39" s="59"/>
      <c r="AC39" s="60"/>
      <c r="AD39" s="60"/>
      <c r="AE39" s="61"/>
      <c r="AF39" s="59"/>
      <c r="AG39" s="60"/>
      <c r="AH39" s="60"/>
      <c r="AI39" s="61"/>
      <c r="AJ39" s="59"/>
      <c r="AK39" s="60"/>
      <c r="AL39" s="60"/>
      <c r="AM39" s="61"/>
      <c r="AN39" s="59"/>
      <c r="AO39" s="60"/>
      <c r="AP39" s="60"/>
      <c r="AQ39" s="61"/>
      <c r="AR39" s="59"/>
      <c r="AS39" s="60"/>
      <c r="AT39" s="60"/>
      <c r="AU39" s="61"/>
      <c r="AV39" s="59"/>
      <c r="AW39" s="60"/>
      <c r="AX39" s="60"/>
      <c r="AY39" s="61"/>
    </row>
    <row r="40" spans="2:51" x14ac:dyDescent="0.25">
      <c r="B40" s="63">
        <f>'Hours Scheduled'!B38</f>
        <v>0</v>
      </c>
      <c r="D40" s="59"/>
      <c r="E40" s="60"/>
      <c r="F40" s="60"/>
      <c r="G40" s="61"/>
      <c r="H40" s="59"/>
      <c r="I40" s="60"/>
      <c r="J40" s="60"/>
      <c r="K40" s="61"/>
      <c r="L40" s="59"/>
      <c r="M40" s="60"/>
      <c r="N40" s="60"/>
      <c r="O40" s="61"/>
      <c r="P40" s="59"/>
      <c r="Q40" s="60"/>
      <c r="R40" s="60"/>
      <c r="S40" s="61"/>
      <c r="T40" s="59"/>
      <c r="U40" s="60"/>
      <c r="V40" s="60"/>
      <c r="W40" s="61"/>
      <c r="X40" s="59"/>
      <c r="Y40" s="60"/>
      <c r="Z40" s="60"/>
      <c r="AA40" s="61"/>
      <c r="AB40" s="59"/>
      <c r="AC40" s="60"/>
      <c r="AD40" s="60"/>
      <c r="AE40" s="61"/>
      <c r="AF40" s="59"/>
      <c r="AG40" s="60"/>
      <c r="AH40" s="60"/>
      <c r="AI40" s="61"/>
      <c r="AJ40" s="59"/>
      <c r="AK40" s="60"/>
      <c r="AL40" s="60"/>
      <c r="AM40" s="61"/>
      <c r="AN40" s="59"/>
      <c r="AO40" s="60"/>
      <c r="AP40" s="60"/>
      <c r="AQ40" s="61"/>
      <c r="AR40" s="59"/>
      <c r="AS40" s="60"/>
      <c r="AT40" s="60"/>
      <c r="AU40" s="61"/>
      <c r="AV40" s="59"/>
      <c r="AW40" s="60"/>
      <c r="AX40" s="60"/>
      <c r="AY40" s="61"/>
    </row>
    <row r="41" spans="2:51" x14ac:dyDescent="0.25">
      <c r="B41" s="63">
        <f>'Hours Scheduled'!B39</f>
        <v>0</v>
      </c>
      <c r="D41" s="59"/>
      <c r="E41" s="60"/>
      <c r="F41" s="60"/>
      <c r="G41" s="61"/>
      <c r="H41" s="59"/>
      <c r="I41" s="60"/>
      <c r="J41" s="60"/>
      <c r="K41" s="61"/>
      <c r="L41" s="59"/>
      <c r="M41" s="60"/>
      <c r="N41" s="60"/>
      <c r="O41" s="61"/>
      <c r="P41" s="59"/>
      <c r="Q41" s="60"/>
      <c r="R41" s="60"/>
      <c r="S41" s="61"/>
      <c r="T41" s="59"/>
      <c r="U41" s="60"/>
      <c r="V41" s="60"/>
      <c r="W41" s="61"/>
      <c r="X41" s="59"/>
      <c r="Y41" s="60"/>
      <c r="Z41" s="60"/>
      <c r="AA41" s="61"/>
      <c r="AB41" s="59"/>
      <c r="AC41" s="60"/>
      <c r="AD41" s="60"/>
      <c r="AE41" s="61"/>
      <c r="AF41" s="59"/>
      <c r="AG41" s="60"/>
      <c r="AH41" s="60"/>
      <c r="AI41" s="61"/>
      <c r="AJ41" s="59"/>
      <c r="AK41" s="60"/>
      <c r="AL41" s="60"/>
      <c r="AM41" s="61"/>
      <c r="AN41" s="59"/>
      <c r="AO41" s="60"/>
      <c r="AP41" s="60"/>
      <c r="AQ41" s="61"/>
      <c r="AR41" s="59"/>
      <c r="AS41" s="60"/>
      <c r="AT41" s="60"/>
      <c r="AU41" s="61"/>
      <c r="AV41" s="59"/>
      <c r="AW41" s="60"/>
      <c r="AX41" s="60"/>
      <c r="AY41" s="61"/>
    </row>
    <row r="42" spans="2:51" x14ac:dyDescent="0.25">
      <c r="B42" s="63">
        <f>'Hours Scheduled'!B40</f>
        <v>0</v>
      </c>
      <c r="D42" s="59"/>
      <c r="E42" s="60"/>
      <c r="F42" s="60"/>
      <c r="G42" s="61"/>
      <c r="H42" s="59"/>
      <c r="I42" s="60"/>
      <c r="J42" s="60"/>
      <c r="K42" s="61"/>
      <c r="L42" s="59"/>
      <c r="M42" s="60"/>
      <c r="N42" s="60"/>
      <c r="O42" s="61"/>
      <c r="P42" s="59"/>
      <c r="Q42" s="60"/>
      <c r="R42" s="60"/>
      <c r="S42" s="61"/>
      <c r="T42" s="59"/>
      <c r="U42" s="60"/>
      <c r="V42" s="60"/>
      <c r="W42" s="61"/>
      <c r="X42" s="59"/>
      <c r="Y42" s="60"/>
      <c r="Z42" s="60"/>
      <c r="AA42" s="61"/>
      <c r="AB42" s="59"/>
      <c r="AC42" s="60"/>
      <c r="AD42" s="60"/>
      <c r="AE42" s="61"/>
      <c r="AF42" s="59"/>
      <c r="AG42" s="60"/>
      <c r="AH42" s="60"/>
      <c r="AI42" s="61"/>
      <c r="AJ42" s="59"/>
      <c r="AK42" s="60"/>
      <c r="AL42" s="60"/>
      <c r="AM42" s="61"/>
      <c r="AN42" s="59"/>
      <c r="AO42" s="60"/>
      <c r="AP42" s="60"/>
      <c r="AQ42" s="61"/>
      <c r="AR42" s="59"/>
      <c r="AS42" s="60"/>
      <c r="AT42" s="60"/>
      <c r="AU42" s="61"/>
      <c r="AV42" s="59"/>
      <c r="AW42" s="60"/>
      <c r="AX42" s="60"/>
      <c r="AY42" s="61"/>
    </row>
    <row r="43" spans="2:51" x14ac:dyDescent="0.25">
      <c r="B43" s="63">
        <f>'Hours Scheduled'!B41</f>
        <v>0</v>
      </c>
      <c r="D43" s="59"/>
      <c r="E43" s="60"/>
      <c r="F43" s="60"/>
      <c r="G43" s="61"/>
      <c r="H43" s="59"/>
      <c r="I43" s="60"/>
      <c r="J43" s="60"/>
      <c r="K43" s="61"/>
      <c r="L43" s="59"/>
      <c r="M43" s="60"/>
      <c r="N43" s="60"/>
      <c r="O43" s="61"/>
      <c r="P43" s="59"/>
      <c r="Q43" s="60"/>
      <c r="R43" s="60"/>
      <c r="S43" s="61"/>
      <c r="T43" s="59"/>
      <c r="U43" s="60"/>
      <c r="V43" s="60"/>
      <c r="W43" s="61"/>
      <c r="X43" s="59"/>
      <c r="Y43" s="60"/>
      <c r="Z43" s="60"/>
      <c r="AA43" s="61"/>
      <c r="AB43" s="59"/>
      <c r="AC43" s="60"/>
      <c r="AD43" s="60"/>
      <c r="AE43" s="61"/>
      <c r="AF43" s="59"/>
      <c r="AG43" s="60"/>
      <c r="AH43" s="60"/>
      <c r="AI43" s="61"/>
      <c r="AJ43" s="59"/>
      <c r="AK43" s="60"/>
      <c r="AL43" s="60"/>
      <c r="AM43" s="61"/>
      <c r="AN43" s="59"/>
      <c r="AO43" s="60"/>
      <c r="AP43" s="60"/>
      <c r="AQ43" s="61"/>
      <c r="AR43" s="59"/>
      <c r="AS43" s="60"/>
      <c r="AT43" s="60"/>
      <c r="AU43" s="61"/>
      <c r="AV43" s="59"/>
      <c r="AW43" s="60"/>
      <c r="AX43" s="60"/>
      <c r="AY43" s="61"/>
    </row>
    <row r="44" spans="2:51" ht="15.75" thickBot="1" x14ac:dyDescent="0.3"/>
    <row r="45" spans="2:51" ht="15.75" thickBot="1" x14ac:dyDescent="0.3">
      <c r="B45" t="s">
        <v>5</v>
      </c>
      <c r="D45" s="44">
        <f>COUNTIF(D6:D43,"x")</f>
        <v>28</v>
      </c>
      <c r="E45" s="44">
        <f t="shared" ref="E45:AY45" si="0">COUNTIF(E6:E43,"x")</f>
        <v>0</v>
      </c>
      <c r="F45" s="44">
        <f t="shared" si="0"/>
        <v>0</v>
      </c>
      <c r="G45" s="44">
        <f t="shared" si="0"/>
        <v>1</v>
      </c>
      <c r="H45" s="44">
        <f t="shared" si="0"/>
        <v>27</v>
      </c>
      <c r="I45" s="44">
        <f t="shared" si="0"/>
        <v>2</v>
      </c>
      <c r="J45" s="44">
        <f t="shared" si="0"/>
        <v>0</v>
      </c>
      <c r="K45" s="44">
        <f t="shared" si="0"/>
        <v>0</v>
      </c>
      <c r="L45" s="44">
        <f t="shared" si="0"/>
        <v>28</v>
      </c>
      <c r="M45" s="44">
        <f t="shared" si="0"/>
        <v>0</v>
      </c>
      <c r="N45" s="44">
        <f t="shared" si="0"/>
        <v>1</v>
      </c>
      <c r="O45" s="44">
        <f t="shared" si="0"/>
        <v>0</v>
      </c>
      <c r="P45" s="44">
        <f t="shared" si="0"/>
        <v>26</v>
      </c>
      <c r="Q45" s="44">
        <f t="shared" si="0"/>
        <v>0</v>
      </c>
      <c r="R45" s="44">
        <f t="shared" si="0"/>
        <v>0</v>
      </c>
      <c r="S45" s="44">
        <f t="shared" si="0"/>
        <v>0</v>
      </c>
      <c r="T45" s="44">
        <f t="shared" si="0"/>
        <v>25</v>
      </c>
      <c r="U45" s="44">
        <f t="shared" si="0"/>
        <v>0</v>
      </c>
      <c r="V45" s="44">
        <f t="shared" si="0"/>
        <v>0</v>
      </c>
      <c r="W45" s="44">
        <f t="shared" si="0"/>
        <v>0</v>
      </c>
      <c r="X45" s="44">
        <f t="shared" si="0"/>
        <v>24</v>
      </c>
      <c r="Y45" s="44">
        <f t="shared" si="0"/>
        <v>0</v>
      </c>
      <c r="Z45" s="44">
        <f t="shared" si="0"/>
        <v>0</v>
      </c>
      <c r="AA45" s="44">
        <f t="shared" si="0"/>
        <v>0</v>
      </c>
      <c r="AB45" s="44">
        <f t="shared" si="0"/>
        <v>24</v>
      </c>
      <c r="AC45" s="44">
        <f t="shared" si="0"/>
        <v>0</v>
      </c>
      <c r="AD45" s="44">
        <f t="shared" si="0"/>
        <v>0</v>
      </c>
      <c r="AE45" s="44">
        <f t="shared" si="0"/>
        <v>0</v>
      </c>
      <c r="AF45" s="44">
        <f t="shared" si="0"/>
        <v>0</v>
      </c>
      <c r="AG45" s="44">
        <f t="shared" si="0"/>
        <v>0</v>
      </c>
      <c r="AH45" s="44">
        <f t="shared" si="0"/>
        <v>0</v>
      </c>
      <c r="AI45" s="44">
        <f t="shared" si="0"/>
        <v>0</v>
      </c>
      <c r="AJ45" s="44">
        <f t="shared" si="0"/>
        <v>0</v>
      </c>
      <c r="AK45" s="44">
        <f t="shared" si="0"/>
        <v>0</v>
      </c>
      <c r="AL45" s="44">
        <f t="shared" si="0"/>
        <v>0</v>
      </c>
      <c r="AM45" s="44">
        <f t="shared" si="0"/>
        <v>0</v>
      </c>
      <c r="AN45" s="44">
        <f t="shared" si="0"/>
        <v>0</v>
      </c>
      <c r="AO45" s="44">
        <f t="shared" si="0"/>
        <v>0</v>
      </c>
      <c r="AP45" s="44">
        <f t="shared" si="0"/>
        <v>0</v>
      </c>
      <c r="AQ45" s="44">
        <f t="shared" si="0"/>
        <v>0</v>
      </c>
      <c r="AR45" s="44">
        <f t="shared" si="0"/>
        <v>0</v>
      </c>
      <c r="AS45" s="44">
        <f t="shared" si="0"/>
        <v>0</v>
      </c>
      <c r="AT45" s="44">
        <f t="shared" si="0"/>
        <v>0</v>
      </c>
      <c r="AU45" s="44">
        <f t="shared" si="0"/>
        <v>0</v>
      </c>
      <c r="AV45" s="44">
        <f t="shared" si="0"/>
        <v>0</v>
      </c>
      <c r="AW45" s="44">
        <f t="shared" si="0"/>
        <v>0</v>
      </c>
      <c r="AX45" s="44">
        <f t="shared" si="0"/>
        <v>0</v>
      </c>
      <c r="AY45" s="44">
        <f t="shared" si="0"/>
        <v>0</v>
      </c>
    </row>
  </sheetData>
  <customSheetViews>
    <customSheetView guid="{98CBC5BF-8C89-48A4-860E-9C56014CD200}" scale="80" showGridLines="0" topLeftCell="A6">
      <selection activeCell="AB38" sqref="AB38"/>
      <pageMargins left="0.7" right="0.7" top="0.75" bottom="0.75" header="0.3" footer="0.3"/>
      <pageSetup paperSize="9" orientation="portrait" horizontalDpi="1200" r:id="rId1"/>
    </customSheetView>
    <customSheetView guid="{1BC25061-32D5-45DE-83F9-EFA3A1092E03}" scale="80" showGridLines="0">
      <pane ySplit="5" topLeftCell="A6" activePane="bottomLeft" state="frozenSplit"/>
      <selection pane="bottomLeft" activeCell="BF18" sqref="BF18"/>
      <pageMargins left="0.7" right="0.7" top="0.75" bottom="0.75" header="0.3" footer="0.3"/>
      <pageSetup paperSize="9" orientation="portrait" horizontalDpi="1200" r:id="rId2"/>
    </customSheetView>
    <customSheetView guid="{CF917189-7AB9-4E55-816F-ACFC7FA45C05}" scale="80" showGridLines="0">
      <selection activeCell="BF18" sqref="BF18"/>
      <pageMargins left="0.7" right="0.7" top="0.75" bottom="0.75" header="0.3" footer="0.3"/>
      <pageSetup paperSize="9" orientation="portrait" horizontalDpi="1200" r:id="rId3"/>
    </customSheetView>
    <customSheetView guid="{4155806E-C0D0-4CC9-9B31-04245B7DD4C8}" showGridLines="0">
      <pane ySplit="5" topLeftCell="A6" activePane="bottomLeft" state="frozenSplit"/>
      <selection pane="bottomLeft" activeCell="K9" sqref="K9"/>
      <pageMargins left="0.7" right="0.7" top="0.75" bottom="0.75" header="0.3" footer="0.3"/>
      <pageSetup paperSize="9" orientation="portrait" horizontalDpi="1200" r:id="rId4"/>
    </customSheetView>
    <customSheetView guid="{1587CBCC-2CC7-4525-8A49-E261AB2E1606}" scale="80" showGridLines="0" topLeftCell="A12">
      <selection activeCell="BF18" sqref="BF18"/>
      <pageMargins left="0.7" right="0.7" top="0.75" bottom="0.75" header="0.3" footer="0.3"/>
      <pageSetup paperSize="9" orientation="portrait" horizontalDpi="1200" r:id="rId5"/>
    </customSheetView>
    <customSheetView guid="{C5D9000A-81ED-4920-B6AF-4B234775AEC9}" scale="80" showGridLines="0">
      <selection activeCell="BF18" sqref="BF18"/>
      <pageMargins left="0.7" right="0.7" top="0.75" bottom="0.75" header="0.3" footer="0.3"/>
      <pageSetup paperSize="9" orientation="portrait" horizontalDpi="1200" r:id="rId6"/>
    </customSheetView>
  </customSheetViews>
  <mergeCells count="12">
    <mergeCell ref="AV4:AY4"/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</mergeCells>
  <pageMargins left="0.7" right="0.7" top="0.75" bottom="0.75" header="0.3" footer="0.3"/>
  <pageSetup paperSize="9" orientation="portrait" horizont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filterMode="1">
    <tabColor rgb="FFFFFFCC"/>
  </sheetPr>
  <dimension ref="A2:R45"/>
  <sheetViews>
    <sheetView showGridLines="0" topLeftCell="A8" zoomScaleNormal="100" workbookViewId="0">
      <selection activeCell="S21" sqref="S21"/>
    </sheetView>
  </sheetViews>
  <sheetFormatPr defaultRowHeight="15" x14ac:dyDescent="0.25"/>
  <cols>
    <col min="1" max="1" width="6" customWidth="1"/>
    <col min="2" max="2" width="24.5703125" bestFit="1" customWidth="1"/>
    <col min="3" max="15" width="4.7109375" customWidth="1"/>
    <col min="16" max="16" width="6.28515625" customWidth="1"/>
    <col min="17" max="17" width="9.28515625" customWidth="1"/>
  </cols>
  <sheetData>
    <row r="2" spans="1:18" ht="18.75" x14ac:dyDescent="0.3">
      <c r="B2" s="20" t="s">
        <v>45</v>
      </c>
      <c r="P2" s="46"/>
    </row>
    <row r="4" spans="1:18" ht="71.25" customHeight="1" x14ac:dyDescent="0.25">
      <c r="A4" s="191" t="s">
        <v>171</v>
      </c>
      <c r="B4" s="12" t="s">
        <v>52</v>
      </c>
      <c r="C4" s="227" t="s">
        <v>6</v>
      </c>
      <c r="D4" s="227" t="s">
        <v>8</v>
      </c>
      <c r="E4" s="227" t="s">
        <v>9</v>
      </c>
      <c r="F4" s="227" t="s">
        <v>10</v>
      </c>
      <c r="G4" s="227" t="s">
        <v>11</v>
      </c>
      <c r="H4" s="227" t="s">
        <v>12</v>
      </c>
      <c r="I4" s="227" t="s">
        <v>13</v>
      </c>
      <c r="J4" s="227" t="s">
        <v>14</v>
      </c>
      <c r="K4" s="227" t="s">
        <v>15</v>
      </c>
      <c r="L4" s="227" t="s">
        <v>16</v>
      </c>
      <c r="M4" s="227" t="s">
        <v>17</v>
      </c>
      <c r="N4" s="227" t="s">
        <v>18</v>
      </c>
      <c r="O4" s="97"/>
      <c r="P4" s="98" t="s">
        <v>7</v>
      </c>
      <c r="R4" s="36" t="s">
        <v>91</v>
      </c>
    </row>
    <row r="5" spans="1:18" x14ac:dyDescent="0.25">
      <c r="A5" s="86">
        <v>5.6</v>
      </c>
      <c r="B5" s="38" t="str">
        <f>'Hours Scheduled'!B30</f>
        <v>Robin Nieuwenhuis</v>
      </c>
      <c r="C5" s="62">
        <f>0.4+0.5-0.75</f>
        <v>0.15000000000000002</v>
      </c>
      <c r="D5" s="62">
        <f>-2+2.5+1.75</f>
        <v>2.25</v>
      </c>
      <c r="E5" s="62">
        <f>1.75+2+1.1+1.5+1.5+1.75+1.5+1+0.6</f>
        <v>12.7</v>
      </c>
      <c r="F5" s="62">
        <f>1.5+1.35+0.3+1.5</f>
        <v>4.6500000000000004</v>
      </c>
      <c r="G5" s="62">
        <f>0.5+0.5+1.8+1.5+0.25+1+0.5</f>
        <v>6.05</v>
      </c>
      <c r="H5" s="62">
        <f>0.6+0.5+0.3+0.75+0.8</f>
        <v>2.95</v>
      </c>
      <c r="I5" s="62"/>
      <c r="J5" s="62"/>
      <c r="K5" s="62"/>
      <c r="L5" s="62"/>
      <c r="M5" s="62"/>
      <c r="N5" s="62"/>
      <c r="P5" s="85">
        <f t="shared" ref="P5:P36" si="0">SUM(C5:N5)+A5</f>
        <v>34.35</v>
      </c>
    </row>
    <row r="6" spans="1:18" x14ac:dyDescent="0.25">
      <c r="A6" s="86">
        <v>34.4</v>
      </c>
      <c r="B6" s="38" t="str">
        <f>'Hours Scheduled'!B7</f>
        <v>Bjorn Haagen</v>
      </c>
      <c r="C6" s="62"/>
      <c r="D6" s="62">
        <v>-8</v>
      </c>
      <c r="E6" s="62">
        <f>1+1.5</f>
        <v>2.5</v>
      </c>
      <c r="F6" s="62">
        <f>-0.5+4.25</f>
        <v>3.75</v>
      </c>
      <c r="G6" s="62">
        <v>0.5</v>
      </c>
      <c r="H6" s="62"/>
      <c r="I6" s="62"/>
      <c r="J6" s="62"/>
      <c r="K6" s="62"/>
      <c r="L6" s="62"/>
      <c r="M6" s="62"/>
      <c r="N6" s="62"/>
      <c r="P6" s="85">
        <f t="shared" si="0"/>
        <v>33.15</v>
      </c>
      <c r="R6" s="36" t="s">
        <v>78</v>
      </c>
    </row>
    <row r="7" spans="1:18" x14ac:dyDescent="0.25">
      <c r="A7" s="86">
        <v>31.45</v>
      </c>
      <c r="B7" s="38" t="str">
        <f>'Hours Scheduled'!B11</f>
        <v>Dominique Daemen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P7" s="85">
        <f t="shared" si="0"/>
        <v>31.45</v>
      </c>
      <c r="R7" s="36" t="s">
        <v>79</v>
      </c>
    </row>
    <row r="8" spans="1:18" x14ac:dyDescent="0.25">
      <c r="A8" s="86">
        <v>27.96</v>
      </c>
      <c r="B8" s="38" t="str">
        <f>'Hours Scheduled'!B25</f>
        <v>Marvin Machelesen</v>
      </c>
      <c r="C8" s="62">
        <f>4-0.25-1-2-0.2</f>
        <v>0.55000000000000004</v>
      </c>
      <c r="D8" s="62">
        <v>0.5</v>
      </c>
      <c r="E8" s="62">
        <f>-4-1</f>
        <v>-5</v>
      </c>
      <c r="F8" s="62">
        <f>-0.5+0.5</f>
        <v>0</v>
      </c>
      <c r="G8" s="62">
        <f>-0.5</f>
        <v>-0.5</v>
      </c>
      <c r="H8" s="62"/>
      <c r="I8" s="62"/>
      <c r="J8" s="62"/>
      <c r="K8" s="62"/>
      <c r="L8" s="62"/>
      <c r="M8" s="62"/>
      <c r="N8" s="62"/>
      <c r="P8" s="85">
        <f t="shared" si="0"/>
        <v>23.51</v>
      </c>
      <c r="R8" s="36"/>
    </row>
    <row r="9" spans="1:18" x14ac:dyDescent="0.25">
      <c r="A9" s="86">
        <v>19.25</v>
      </c>
      <c r="B9" s="38" t="str">
        <f>'Hours Scheduled'!B12</f>
        <v>Erwin Deckers</v>
      </c>
      <c r="C9" s="62"/>
      <c r="D9" s="62"/>
      <c r="E9" s="62">
        <f>2.75+0.5</f>
        <v>3.25</v>
      </c>
      <c r="F9" s="62"/>
      <c r="G9" s="62"/>
      <c r="H9" s="62"/>
      <c r="I9" s="62"/>
      <c r="J9" s="62"/>
      <c r="K9" s="62"/>
      <c r="L9" s="62"/>
      <c r="M9" s="62"/>
      <c r="N9" s="62"/>
      <c r="P9" s="85">
        <f t="shared" si="0"/>
        <v>22.5</v>
      </c>
      <c r="R9" s="36" t="s">
        <v>80</v>
      </c>
    </row>
    <row r="10" spans="1:18" x14ac:dyDescent="0.25">
      <c r="A10" s="86">
        <v>2.75</v>
      </c>
      <c r="B10" s="38" t="str">
        <f>'Hours Scheduled'!B17</f>
        <v>Joop Kiefte</v>
      </c>
      <c r="C10" s="62">
        <f>0.9-1+1</f>
        <v>0.9</v>
      </c>
      <c r="D10" s="62">
        <f>0.75+2.25+1.75+1.5</f>
        <v>6.25</v>
      </c>
      <c r="E10" s="62"/>
      <c r="F10" s="62">
        <f>2.25+2.25+1.75+2+0.5</f>
        <v>8.75</v>
      </c>
      <c r="G10" s="62">
        <f>-1+1+0.75</f>
        <v>0.75</v>
      </c>
      <c r="H10" s="62">
        <f>0.5+0.5</f>
        <v>1</v>
      </c>
      <c r="I10" s="62"/>
      <c r="J10" s="62"/>
      <c r="K10" s="62"/>
      <c r="L10" s="62"/>
      <c r="M10" s="62"/>
      <c r="N10" s="62"/>
      <c r="P10" s="85">
        <f t="shared" si="0"/>
        <v>20.399999999999999</v>
      </c>
      <c r="R10" s="36" t="s">
        <v>81</v>
      </c>
    </row>
    <row r="11" spans="1:18" x14ac:dyDescent="0.25">
      <c r="A11" s="86">
        <v>2</v>
      </c>
      <c r="B11" s="38" t="str">
        <f>'Hours Scheduled'!B9</f>
        <v>Davy Smeets</v>
      </c>
      <c r="C11" s="62"/>
      <c r="D11" s="62">
        <f>-0.5+2.75+2+1.75</f>
        <v>6</v>
      </c>
      <c r="E11" s="62">
        <f>1.75+1.1+1.5+1.75+1.5-1</f>
        <v>6.6</v>
      </c>
      <c r="F11" s="62">
        <f>-0.1+1.75</f>
        <v>1.65</v>
      </c>
      <c r="G11" s="62"/>
      <c r="H11" s="62"/>
      <c r="I11" s="62"/>
      <c r="J11" s="62"/>
      <c r="K11" s="62"/>
      <c r="L11" s="62"/>
      <c r="M11" s="62"/>
      <c r="N11" s="62"/>
      <c r="P11" s="85">
        <f t="shared" si="0"/>
        <v>16.25</v>
      </c>
      <c r="R11" s="36"/>
    </row>
    <row r="12" spans="1:18" x14ac:dyDescent="0.25">
      <c r="A12" s="86">
        <v>12.1</v>
      </c>
      <c r="B12" s="38" t="str">
        <f>'Hours Scheduled'!B20</f>
        <v>Loode Evers</v>
      </c>
      <c r="C12" s="62">
        <f>1.5+1.5+0.5</f>
        <v>3.5</v>
      </c>
      <c r="D12" s="62"/>
      <c r="E12" s="62"/>
      <c r="F12" s="62"/>
      <c r="G12" s="62">
        <f>0.5</f>
        <v>0.5</v>
      </c>
      <c r="H12" s="62"/>
      <c r="I12" s="62">
        <f>1.5</f>
        <v>1.5</v>
      </c>
      <c r="J12" s="62"/>
      <c r="K12" s="62"/>
      <c r="L12" s="62"/>
      <c r="M12" s="62"/>
      <c r="N12" s="62"/>
      <c r="P12" s="85">
        <f t="shared" si="0"/>
        <v>17.600000000000001</v>
      </c>
      <c r="R12" s="56" t="s">
        <v>82</v>
      </c>
    </row>
    <row r="13" spans="1:18" x14ac:dyDescent="0.25">
      <c r="A13" s="86">
        <v>28.25</v>
      </c>
      <c r="B13" s="38" t="str">
        <f>'Hours Scheduled'!B14</f>
        <v>Frido Meijer</v>
      </c>
      <c r="C13" s="62">
        <f>-8+0.5+0.5+2+2+0.6+0.5+0.5+0.5+0.5+0.3+0.5+0.5+0.5+0.45+0.5+0.4+0.5+0.5+0.4+0.5</f>
        <v>4.6500000000000004</v>
      </c>
      <c r="D13" s="62">
        <f>0.4-8+0.4+0.5+0.5+0.5+0.4+0.5+0.5+0.4+3+2.25+2+2</f>
        <v>5.3500000000000014</v>
      </c>
      <c r="E13" s="62">
        <f>-2.5+0.5+1.75+2.5+1.6+0.5+0.5+0.5+1.5+2+0.5+1.75+0.5+0.5+2+0.5+0.5+0.5+0.5-4+0.5+0.5+1+0.5+0.5+0.5</f>
        <v>15.600000000000001</v>
      </c>
      <c r="F13" s="62">
        <f>0.5+0.5+0.5+-2-8+0.5+0.5+0.5-2.25+2.5+0.5+0.5-3+0.5-0.1+2+0.5+0.5+0.5+0.5</f>
        <v>-4.3499999999999996</v>
      </c>
      <c r="G13" s="62">
        <f>0.5+0.5+0.5+1.75+0.5+0.5+0.5+0.5+0.45+0.5+0.5+0.5</f>
        <v>7.2</v>
      </c>
      <c r="H13" s="62">
        <f>0.5+0.4+0.5+0.5+0.5+0.5+0.5+0.5+0.5+0.5+0.5+0.5+0.5+0.5+0.5</f>
        <v>7.4</v>
      </c>
      <c r="I13" s="62">
        <f>-8-8-8-8+1.5+0.5+0.5-8-8-8</f>
        <v>-53.5</v>
      </c>
      <c r="J13" s="62"/>
      <c r="K13" s="62"/>
      <c r="L13" s="62"/>
      <c r="M13" s="62"/>
      <c r="N13" s="62"/>
      <c r="P13" s="85">
        <f t="shared" si="0"/>
        <v>10.600000000000001</v>
      </c>
      <c r="R13" s="36" t="s">
        <v>83</v>
      </c>
    </row>
    <row r="14" spans="1:18" x14ac:dyDescent="0.25">
      <c r="A14" s="86">
        <v>-5.5</v>
      </c>
      <c r="B14" s="38" t="str">
        <f>'Hours Scheduled'!B28</f>
        <v>Patrick Janssen</v>
      </c>
      <c r="C14" s="62">
        <f>1.5+1.5+0.5+2+0.5</f>
        <v>6</v>
      </c>
      <c r="D14" s="62"/>
      <c r="E14" s="62">
        <f>3.75+0.5+1+0.5</f>
        <v>5.75</v>
      </c>
      <c r="F14" s="62">
        <f>0.5+1.5+0.5</f>
        <v>2.5</v>
      </c>
      <c r="G14" s="62">
        <f>0.5+1+0.5+0.5+0.5+0.5+0.25+0.5+0.5</f>
        <v>4.75</v>
      </c>
      <c r="H14" s="62">
        <f>0.5+0.5</f>
        <v>1</v>
      </c>
      <c r="I14" s="62"/>
      <c r="J14" s="62"/>
      <c r="K14" s="62"/>
      <c r="L14" s="62"/>
      <c r="M14" s="62"/>
      <c r="N14" s="62"/>
      <c r="P14" s="85">
        <f t="shared" si="0"/>
        <v>14.5</v>
      </c>
      <c r="R14" s="36" t="s">
        <v>84</v>
      </c>
    </row>
    <row r="15" spans="1:18" x14ac:dyDescent="0.25">
      <c r="A15" s="86">
        <v>15.103333333333332</v>
      </c>
      <c r="B15" s="38" t="str">
        <f>'Hours Scheduled'!B15</f>
        <v>Jean Pierre Knubben</v>
      </c>
      <c r="C15" s="62">
        <f>-8+0.25</f>
        <v>-7.75</v>
      </c>
      <c r="D15" s="62">
        <f>1.5-0.25+0.5+0.75+1.5</f>
        <v>4</v>
      </c>
      <c r="E15" s="62"/>
      <c r="F15" s="62">
        <f>1</f>
        <v>1</v>
      </c>
      <c r="G15" s="62">
        <f>0.5-0.25+0.42</f>
        <v>0.66999999999999993</v>
      </c>
      <c r="H15" s="62">
        <f>0.42</f>
        <v>0.42</v>
      </c>
      <c r="I15" s="62"/>
      <c r="J15" s="62"/>
      <c r="K15" s="62"/>
      <c r="L15" s="62"/>
      <c r="M15" s="62"/>
      <c r="N15" s="62"/>
      <c r="P15" s="85">
        <f t="shared" si="0"/>
        <v>13.443333333333332</v>
      </c>
      <c r="R15" s="36"/>
    </row>
    <row r="16" spans="1:18" x14ac:dyDescent="0.25">
      <c r="A16" s="86">
        <v>0.25</v>
      </c>
      <c r="B16" s="38" t="str">
        <f>'Hours Scheduled'!B27</f>
        <v>Niels Lievaart</v>
      </c>
      <c r="C16" s="62">
        <f>0.4+0.3</f>
        <v>0.7</v>
      </c>
      <c r="D16" s="62">
        <f>-1+2.25+1.75+1.5</f>
        <v>4.5</v>
      </c>
      <c r="E16" s="62">
        <f>2.75-8+2+2.25+1.5+2+1</f>
        <v>3.5</v>
      </c>
      <c r="F16" s="62">
        <f>-0.5+1.5+1.75-0.5</f>
        <v>2.25</v>
      </c>
      <c r="G16" s="62"/>
      <c r="H16" s="62"/>
      <c r="I16" s="62"/>
      <c r="J16" s="62"/>
      <c r="K16" s="62"/>
      <c r="L16" s="62"/>
      <c r="M16" s="62"/>
      <c r="N16" s="62"/>
      <c r="P16" s="85">
        <f t="shared" si="0"/>
        <v>11.2</v>
      </c>
      <c r="R16" s="36" t="s">
        <v>85</v>
      </c>
    </row>
    <row r="17" spans="1:18" x14ac:dyDescent="0.25">
      <c r="A17" s="86">
        <v>14.55</v>
      </c>
      <c r="B17" s="38" t="str">
        <f>'Hours Scheduled'!B4</f>
        <v>Barry Berendhuysen</v>
      </c>
      <c r="C17" s="62">
        <f>0.9+1.35+0.5+0.5-1+0.5+0.5</f>
        <v>3.25</v>
      </c>
      <c r="D17" s="62">
        <f>-4+0.5+0.5-1</f>
        <v>-4</v>
      </c>
      <c r="E17" s="62">
        <f>2+1.1+2.25+1.5+1.5+1.75+1+0.5</f>
        <v>11.6</v>
      </c>
      <c r="F17" s="62">
        <f>0.5+2.25-8+0.25+2+2+0.5</f>
        <v>-0.5</v>
      </c>
      <c r="G17" s="62">
        <f>-8-8-4+0.8+0.75+0.35+0.75</f>
        <v>-17.349999999999998</v>
      </c>
      <c r="H17" s="62">
        <f>0.7+0.5+0.5</f>
        <v>1.7</v>
      </c>
      <c r="I17" s="62">
        <f>0.42+0.75</f>
        <v>1.17</v>
      </c>
      <c r="J17" s="62"/>
      <c r="K17" s="62"/>
      <c r="L17" s="62"/>
      <c r="M17" s="62"/>
      <c r="N17" s="62"/>
      <c r="P17" s="85">
        <f t="shared" si="0"/>
        <v>10.420000000000002</v>
      </c>
      <c r="R17" s="36" t="s">
        <v>86</v>
      </c>
    </row>
    <row r="18" spans="1:18" x14ac:dyDescent="0.25">
      <c r="A18" s="86">
        <v>0</v>
      </c>
      <c r="B18" s="38" t="str">
        <f>'Hours Scheduled'!B31</f>
        <v>Thom van Bodegraven</v>
      </c>
      <c r="C18" s="62"/>
      <c r="D18" s="62">
        <f>2.25+2</f>
        <v>4.25</v>
      </c>
      <c r="E18" s="62">
        <f>2+1.5</f>
        <v>3.5</v>
      </c>
      <c r="F18" s="62"/>
      <c r="G18" s="62"/>
      <c r="H18" s="145"/>
      <c r="I18" s="62"/>
      <c r="J18" s="62"/>
      <c r="K18" s="62"/>
      <c r="L18" s="62"/>
      <c r="M18" s="62"/>
      <c r="N18" s="62"/>
      <c r="P18" s="85">
        <f t="shared" si="0"/>
        <v>7.75</v>
      </c>
    </row>
    <row r="19" spans="1:18" x14ac:dyDescent="0.25">
      <c r="A19" s="86">
        <v>1.1000000000000001</v>
      </c>
      <c r="B19" s="38" t="str">
        <f>'Hours Scheduled'!B6</f>
        <v>Bastiaan Franssen</v>
      </c>
      <c r="C19" s="62">
        <f>0.4+0.2+0.35+0.25</f>
        <v>1.2000000000000002</v>
      </c>
      <c r="D19" s="62">
        <f>4</f>
        <v>4</v>
      </c>
      <c r="E19" s="62">
        <f>1.25</f>
        <v>1.25</v>
      </c>
      <c r="F19" s="62"/>
      <c r="G19" s="62"/>
      <c r="H19" s="62"/>
      <c r="I19" s="62"/>
      <c r="J19" s="62"/>
      <c r="K19" s="62"/>
      <c r="L19" s="62"/>
      <c r="M19" s="62"/>
      <c r="N19" s="62"/>
      <c r="P19" s="85">
        <f t="shared" si="0"/>
        <v>7.5500000000000007</v>
      </c>
    </row>
    <row r="20" spans="1:18" x14ac:dyDescent="0.25">
      <c r="A20" s="86">
        <v>0.5</v>
      </c>
      <c r="B20" s="38" t="str">
        <f>'Hours Scheduled'!B23</f>
        <v>Marco Smeekes</v>
      </c>
      <c r="C20" s="62"/>
      <c r="D20" s="62">
        <f>2.25</f>
        <v>2.25</v>
      </c>
      <c r="E20" s="62">
        <f>1.1+1.5+1.5</f>
        <v>4.0999999999999996</v>
      </c>
      <c r="F20" s="62">
        <f>-2+1.5+1</f>
        <v>0.5</v>
      </c>
      <c r="G20" s="62"/>
      <c r="H20" s="62"/>
      <c r="I20" s="62"/>
      <c r="J20" s="62"/>
      <c r="K20" s="62"/>
      <c r="L20" s="62"/>
      <c r="M20" s="62"/>
      <c r="N20" s="62"/>
      <c r="P20" s="85">
        <f t="shared" si="0"/>
        <v>7.35</v>
      </c>
    </row>
    <row r="21" spans="1:18" x14ac:dyDescent="0.25">
      <c r="A21" s="86">
        <v>0.48</v>
      </c>
      <c r="B21" s="38" t="str">
        <f>'Hours Scheduled'!B26</f>
        <v>Michael Callemeijn</v>
      </c>
      <c r="C21" s="62">
        <v>-0.5</v>
      </c>
      <c r="D21" s="62">
        <f>0.25+0.25+2.5+2.75</f>
        <v>5.75</v>
      </c>
      <c r="E21" s="62">
        <f>-3+3-4.25+0.5</f>
        <v>-3.75</v>
      </c>
      <c r="F21" s="62">
        <f>3+0.2+0.4+0.5</f>
        <v>4.0999999999999996</v>
      </c>
      <c r="G21" s="62">
        <f>-5+0.2+0.5+0.25</f>
        <v>-4.05</v>
      </c>
      <c r="H21" s="62">
        <f>0.25+0.35</f>
        <v>0.6</v>
      </c>
      <c r="I21" s="62">
        <f>-2.63</f>
        <v>-2.63</v>
      </c>
      <c r="J21" s="62"/>
      <c r="K21" s="62"/>
      <c r="L21" s="62"/>
      <c r="M21" s="62"/>
      <c r="N21" s="62"/>
      <c r="P21" s="85">
        <f t="shared" si="0"/>
        <v>0</v>
      </c>
    </row>
    <row r="22" spans="1:18" x14ac:dyDescent="0.25">
      <c r="A22" s="86"/>
      <c r="B22" s="38" t="str">
        <f>'Hours Scheduled'!B34</f>
        <v>Leo Wijnands</v>
      </c>
      <c r="C22" s="62"/>
      <c r="D22" s="62"/>
      <c r="E22" s="62"/>
      <c r="F22" s="62">
        <f>1+1.2+1</f>
        <v>3.2</v>
      </c>
      <c r="G22" s="62"/>
      <c r="H22" s="62"/>
      <c r="I22" s="62"/>
      <c r="J22" s="62"/>
      <c r="K22" s="62"/>
      <c r="L22" s="62"/>
      <c r="M22" s="62"/>
      <c r="N22" s="62"/>
      <c r="P22" s="85">
        <f t="shared" si="0"/>
        <v>3.2</v>
      </c>
    </row>
    <row r="23" spans="1:18" x14ac:dyDescent="0.25">
      <c r="A23" s="86"/>
      <c r="B23" s="38" t="str">
        <f>'Hours Scheduled'!B35</f>
        <v>Danny Ummels</v>
      </c>
      <c r="C23" s="224"/>
      <c r="D23" s="224"/>
      <c r="E23" s="224"/>
      <c r="F23" s="224">
        <f>2</f>
        <v>2</v>
      </c>
      <c r="G23" s="224">
        <f>1.5</f>
        <v>1.5</v>
      </c>
      <c r="H23" s="224"/>
      <c r="I23" s="224"/>
      <c r="J23" s="224"/>
      <c r="K23" s="224"/>
      <c r="L23" s="224"/>
      <c r="M23" s="224"/>
      <c r="N23" s="224"/>
      <c r="O23" s="46"/>
      <c r="P23" s="85">
        <f t="shared" si="0"/>
        <v>3.5</v>
      </c>
    </row>
    <row r="24" spans="1:18" x14ac:dyDescent="0.25">
      <c r="A24" s="86">
        <v>1.45</v>
      </c>
      <c r="B24" s="38" t="str">
        <f>'Hours Scheduled'!B24</f>
        <v>Mark Meijer</v>
      </c>
      <c r="C24" s="62"/>
      <c r="D24" s="62"/>
      <c r="E24" s="62">
        <f>-1+0.5</f>
        <v>-0.5</v>
      </c>
      <c r="F24" s="62">
        <v>-0.95</v>
      </c>
      <c r="G24" s="62">
        <f>0.25+0.25+0.25</f>
        <v>0.75</v>
      </c>
      <c r="H24" s="145">
        <f>0.25+0.25-0.75+0.25+0.25+0.25+0.5+0.25+0.25+0.25</f>
        <v>1.75</v>
      </c>
      <c r="I24" s="62"/>
      <c r="J24" s="62"/>
      <c r="K24" s="62"/>
      <c r="L24" s="62"/>
      <c r="M24" s="62"/>
      <c r="N24" s="62"/>
      <c r="P24" s="85">
        <f t="shared" si="0"/>
        <v>2.5</v>
      </c>
    </row>
    <row r="25" spans="1:18" x14ac:dyDescent="0.25">
      <c r="A25" s="86"/>
      <c r="B25" s="38" t="str">
        <f>'Hours Scheduled'!B33</f>
        <v>Erik Jaspers</v>
      </c>
      <c r="C25" s="62"/>
      <c r="D25" s="62"/>
      <c r="E25" s="62"/>
      <c r="F25" s="62">
        <f>2</f>
        <v>2</v>
      </c>
      <c r="G25" s="62"/>
      <c r="H25" s="62"/>
      <c r="I25" s="62"/>
      <c r="J25" s="62"/>
      <c r="K25" s="62"/>
      <c r="L25" s="62"/>
      <c r="M25" s="62"/>
      <c r="N25" s="62"/>
      <c r="P25" s="85">
        <f t="shared" si="0"/>
        <v>2</v>
      </c>
    </row>
    <row r="26" spans="1:18" x14ac:dyDescent="0.25">
      <c r="A26" s="86">
        <v>5.91</v>
      </c>
      <c r="B26" s="38" t="str">
        <f>'Hours Scheduled'!B29</f>
        <v>Patrick Ziesen</v>
      </c>
      <c r="C26" s="62">
        <f>-4.5+4.5</f>
        <v>0</v>
      </c>
      <c r="D26" s="62">
        <f>0.5+0.5+2-0.5+0.5-2.5-8</f>
        <v>-7.5</v>
      </c>
      <c r="E26" s="62">
        <f>2.5+2.5+1+0.5+1.25</f>
        <v>7.75</v>
      </c>
      <c r="F26" s="62">
        <f>-3-5.5+0.5+2.25+1.75+2</f>
        <v>-2</v>
      </c>
      <c r="G26" s="62"/>
      <c r="H26" s="62">
        <f>-2</f>
        <v>-2</v>
      </c>
      <c r="I26" s="62">
        <f>6.5-2-4</f>
        <v>0.5</v>
      </c>
      <c r="J26" s="62"/>
      <c r="K26" s="62"/>
      <c r="L26" s="62"/>
      <c r="M26" s="62"/>
      <c r="N26" s="62"/>
      <c r="P26" s="85">
        <f t="shared" si="0"/>
        <v>2.66</v>
      </c>
    </row>
    <row r="27" spans="1:18" x14ac:dyDescent="0.25">
      <c r="A27" s="210">
        <v>0.1</v>
      </c>
      <c r="B27" s="38" t="str">
        <f>'Hours Scheduled'!B22</f>
        <v xml:space="preserve">Marc Linssen </v>
      </c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P27" s="85">
        <f t="shared" si="0"/>
        <v>0.1</v>
      </c>
    </row>
    <row r="28" spans="1:18" hidden="1" x14ac:dyDescent="0.25">
      <c r="A28" s="86">
        <v>10</v>
      </c>
      <c r="B28" s="38" t="str">
        <f>'Hours Scheduled'!B19</f>
        <v>Loek Moling</v>
      </c>
      <c r="C28" s="62"/>
      <c r="D28" s="62">
        <f>-3.5+2.25+1.5-2.25</f>
        <v>-2</v>
      </c>
      <c r="E28" s="62">
        <f>-8</f>
        <v>-8</v>
      </c>
      <c r="F28" s="62"/>
      <c r="G28" s="62"/>
      <c r="H28" s="62"/>
      <c r="I28" s="62"/>
      <c r="J28" s="62"/>
      <c r="K28" s="62"/>
      <c r="L28" s="62"/>
      <c r="M28" s="62"/>
      <c r="N28" s="62"/>
      <c r="P28" s="85">
        <f t="shared" si="0"/>
        <v>0</v>
      </c>
    </row>
    <row r="29" spans="1:18" hidden="1" x14ac:dyDescent="0.25">
      <c r="A29" s="86">
        <v>0</v>
      </c>
      <c r="B29" s="38" t="str">
        <f>'Hours Scheduled'!B10</f>
        <v>Dennis van 't Hul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P29" s="85">
        <f t="shared" si="0"/>
        <v>0</v>
      </c>
    </row>
    <row r="30" spans="1:18" hidden="1" x14ac:dyDescent="0.25">
      <c r="A30" s="86">
        <v>0</v>
      </c>
      <c r="B30" s="38" t="str">
        <f>'Hours Scheduled'!B21</f>
        <v>Manuel Sperti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P30" s="85">
        <f t="shared" si="0"/>
        <v>0</v>
      </c>
    </row>
    <row r="31" spans="1:18" x14ac:dyDescent="0.25">
      <c r="A31" s="86">
        <v>3.2</v>
      </c>
      <c r="B31" s="38" t="str">
        <f>'Hours Scheduled'!B18</f>
        <v>Kevin Ploum</v>
      </c>
      <c r="C31" s="62">
        <f>1.5+1.5+0.3+0.3</f>
        <v>3.5999999999999996</v>
      </c>
      <c r="D31" s="62">
        <f>-3+1.75+1.75+1.75</f>
        <v>2.25</v>
      </c>
      <c r="E31" s="62">
        <f>2+1.1+2.25+1.5+2+1.5-1</f>
        <v>9.35</v>
      </c>
      <c r="F31" s="62">
        <f>2-3+2+1</f>
        <v>2</v>
      </c>
      <c r="G31" s="62">
        <f>-1-4-4-8-3.4</f>
        <v>-20.399999999999999</v>
      </c>
      <c r="H31" s="62"/>
      <c r="I31" s="62"/>
      <c r="J31" s="62"/>
      <c r="K31" s="62"/>
      <c r="L31" s="62"/>
      <c r="M31" s="62"/>
      <c r="N31" s="62"/>
      <c r="P31" s="85">
        <f t="shared" si="0"/>
        <v>0</v>
      </c>
    </row>
    <row r="32" spans="1:18" x14ac:dyDescent="0.25">
      <c r="A32" s="86">
        <v>0</v>
      </c>
      <c r="B32" s="38" t="str">
        <f>'Hours Scheduled'!B5</f>
        <v>Bas Boermans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P32" s="85">
        <f t="shared" si="0"/>
        <v>0</v>
      </c>
    </row>
    <row r="33" spans="1:16" x14ac:dyDescent="0.25">
      <c r="A33" s="86">
        <v>0</v>
      </c>
      <c r="B33" s="38" t="str">
        <f>'Hours Scheduled'!B13</f>
        <v>Fred Boekwijt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P33" s="85">
        <f t="shared" si="0"/>
        <v>0</v>
      </c>
    </row>
    <row r="34" spans="1:16" hidden="1" x14ac:dyDescent="0.25">
      <c r="A34" s="86">
        <v>-1.8</v>
      </c>
      <c r="B34" s="38" t="str">
        <f>'Hours Scheduled'!B16</f>
        <v>Jim van der Weijden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P34" s="85">
        <f t="shared" si="0"/>
        <v>-1.8</v>
      </c>
    </row>
    <row r="35" spans="1:16" x14ac:dyDescent="0.25">
      <c r="A35" s="86">
        <v>-2.2000000000000002</v>
      </c>
      <c r="B35" s="38" t="str">
        <f>'Hours Scheduled'!B32</f>
        <v>Tiemen Schumacher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P35" s="85">
        <f t="shared" si="0"/>
        <v>-2.2000000000000002</v>
      </c>
    </row>
    <row r="36" spans="1:16" x14ac:dyDescent="0.25">
      <c r="A36" s="86">
        <v>-4</v>
      </c>
      <c r="B36" s="38" t="str">
        <f>'Hours Scheduled'!B8</f>
        <v>Dave Creusen</v>
      </c>
      <c r="C36" s="62">
        <v>-2</v>
      </c>
      <c r="D36" s="62"/>
      <c r="E36" s="62">
        <f>0.5+2</f>
        <v>2.5</v>
      </c>
      <c r="F36" s="62"/>
      <c r="G36" s="62"/>
      <c r="H36" s="62"/>
      <c r="I36" s="62"/>
      <c r="J36" s="62"/>
      <c r="K36" s="62"/>
      <c r="L36" s="62"/>
      <c r="M36" s="62"/>
      <c r="N36" s="62"/>
      <c r="P36" s="85">
        <f t="shared" si="0"/>
        <v>-3.5</v>
      </c>
    </row>
    <row r="37" spans="1:16" hidden="1" x14ac:dyDescent="0.25">
      <c r="A37" s="86"/>
      <c r="B37" s="38">
        <f>'Hours Scheduled'!B36</f>
        <v>0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P37" s="85">
        <f t="shared" ref="P37:P43" si="1">SUM(C37:N37)+A37</f>
        <v>0</v>
      </c>
    </row>
    <row r="38" spans="1:16" hidden="1" x14ac:dyDescent="0.25">
      <c r="A38" s="86"/>
      <c r="B38" s="38">
        <f>'Hours Scheduled'!B37</f>
        <v>0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P38" s="85">
        <f t="shared" si="1"/>
        <v>0</v>
      </c>
    </row>
    <row r="39" spans="1:16" hidden="1" x14ac:dyDescent="0.25">
      <c r="A39" s="86"/>
      <c r="B39" s="38">
        <f>'Hours Scheduled'!B38</f>
        <v>0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P39" s="85">
        <f t="shared" si="1"/>
        <v>0</v>
      </c>
    </row>
    <row r="40" spans="1:16" hidden="1" x14ac:dyDescent="0.25">
      <c r="A40" s="86"/>
      <c r="B40" s="38">
        <f>'Hours Scheduled'!B39</f>
        <v>0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P40" s="85">
        <f t="shared" si="1"/>
        <v>0</v>
      </c>
    </row>
    <row r="41" spans="1:16" hidden="1" x14ac:dyDescent="0.25">
      <c r="A41" s="86"/>
      <c r="B41" s="38">
        <f>'Hours Scheduled'!B40</f>
        <v>0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P41" s="85">
        <f t="shared" si="1"/>
        <v>0</v>
      </c>
    </row>
    <row r="42" spans="1:16" hidden="1" x14ac:dyDescent="0.25">
      <c r="A42" s="86"/>
      <c r="B42" s="38">
        <f>'Hours Scheduled'!B41</f>
        <v>0</v>
      </c>
      <c r="C42" s="62"/>
      <c r="D42" s="62"/>
      <c r="E42" s="62"/>
      <c r="F42" s="62"/>
      <c r="G42" s="62"/>
      <c r="H42" s="62"/>
      <c r="I42" s="62"/>
      <c r="J42" s="145"/>
      <c r="K42" s="62"/>
      <c r="L42" s="62"/>
      <c r="M42" s="62"/>
      <c r="N42" s="62"/>
      <c r="P42" s="85">
        <f t="shared" si="1"/>
        <v>0</v>
      </c>
    </row>
    <row r="43" spans="1:16" hidden="1" x14ac:dyDescent="0.25">
      <c r="A43" s="86"/>
      <c r="B43" s="38">
        <f>'Hours Scheduled'!B42</f>
        <v>0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P43" s="85">
        <f t="shared" si="1"/>
        <v>0</v>
      </c>
    </row>
    <row r="44" spans="1:16" x14ac:dyDescent="0.25">
      <c r="A44" s="46"/>
    </row>
    <row r="45" spans="1:16" x14ac:dyDescent="0.25">
      <c r="B45" s="55" t="s">
        <v>5</v>
      </c>
      <c r="C45" s="39">
        <f t="shared" ref="C45:N45" si="2">SUM(C5:C43)</f>
        <v>14.25</v>
      </c>
      <c r="D45" s="39">
        <f t="shared" si="2"/>
        <v>25.85</v>
      </c>
      <c r="E45" s="39">
        <f t="shared" si="2"/>
        <v>72.699999999999989</v>
      </c>
      <c r="F45" s="39">
        <f t="shared" si="2"/>
        <v>30.549999999999997</v>
      </c>
      <c r="G45" s="39">
        <f t="shared" si="2"/>
        <v>-19.629999999999995</v>
      </c>
      <c r="H45" s="39">
        <f t="shared" si="2"/>
        <v>14.82</v>
      </c>
      <c r="I45" s="39">
        <f t="shared" si="2"/>
        <v>-52.96</v>
      </c>
      <c r="J45" s="39">
        <f t="shared" si="2"/>
        <v>0</v>
      </c>
      <c r="K45" s="39">
        <f t="shared" si="2"/>
        <v>0</v>
      </c>
      <c r="L45" s="39">
        <f t="shared" si="2"/>
        <v>0</v>
      </c>
      <c r="M45" s="39">
        <f t="shared" si="2"/>
        <v>0</v>
      </c>
      <c r="N45" s="39">
        <f t="shared" si="2"/>
        <v>0</v>
      </c>
      <c r="O45" s="192"/>
      <c r="P45" s="40">
        <f>SUM(P5:P43)</f>
        <v>288.48333333333341</v>
      </c>
    </row>
  </sheetData>
  <autoFilter ref="A4:P43">
    <filterColumn colId="1">
      <filters>
        <filter val="Barry Berendhuysen"/>
        <filter val="Bas Boermans"/>
        <filter val="Bastiaan Franssen"/>
        <filter val="Bjorn Haagen"/>
        <filter val="Danny Ummels"/>
        <filter val="Dave Creusen"/>
        <filter val="Davy Smeets"/>
        <filter val="Dominique Daemen"/>
        <filter val="Erik Jaspers"/>
        <filter val="Erwin Deckers"/>
        <filter val="Fred Boekwijt"/>
        <filter val="Frido Meijer"/>
        <filter val="Jean Pierre Knubben"/>
        <filter val="Joop Kiefte"/>
        <filter val="Kevin Ploum"/>
        <filter val="Leo Wijnands"/>
        <filter val="Loode Evers"/>
        <filter val="Marc Linssen"/>
        <filter val="Marco Smeekes"/>
        <filter val="Mark Meijer"/>
        <filter val="Marvin Machelesen"/>
        <filter val="Michael Callemeijn"/>
        <filter val="Niels Lievaart"/>
        <filter val="Patrick Janssen"/>
        <filter val="Patrick Ziesen"/>
        <filter val="Robin Nieuwenhuis"/>
        <filter val="Thom van Bodegraven"/>
        <filter val="Tiemen Schumacher"/>
      </filters>
    </filterColumn>
    <sortState ref="A6:P43">
      <sortCondition descending="1" ref="P4:P43"/>
    </sortState>
  </autoFilter>
  <sortState ref="P5:P46">
    <sortCondition descending="1" ref="P46"/>
  </sortState>
  <customSheetViews>
    <customSheetView guid="{98CBC5BF-8C89-48A4-860E-9C56014CD200}" showGridLines="0" filter="1" showAutoFilter="1" topLeftCell="A8">
      <selection activeCell="S21" sqref="S21"/>
      <pageMargins left="0.7" right="0.7" top="0.75" bottom="0.75" header="0.3" footer="0.3"/>
      <pageSetup paperSize="9" orientation="portrait" horizontalDpi="1200" r:id="rId1"/>
      <autoFilter ref="A4:P43">
        <filterColumn colId="1">
          <filters>
            <filter val="Barry Berendhuysen"/>
            <filter val="Bas Boermans"/>
            <filter val="Bastiaan Franssen"/>
            <filter val="Bjorn Haagen"/>
            <filter val="Danny Ummels"/>
            <filter val="Dave Creusen"/>
            <filter val="Davy Smeets"/>
            <filter val="Dominique Daemen"/>
            <filter val="Erik Jaspers"/>
            <filter val="Erwin Deckers"/>
            <filter val="Fred Boekwijt"/>
            <filter val="Frido Meijer"/>
            <filter val="Jean Pierre Knubben"/>
            <filter val="Joop Kiefte"/>
            <filter val="Kevin Ploum"/>
            <filter val="Leo Wijnands"/>
            <filter val="Loode Evers"/>
            <filter val="Marc Linssen"/>
            <filter val="Marco Smeekes"/>
            <filter val="Mark Meijer"/>
            <filter val="Marvin Machelesen"/>
            <filter val="Michael Callemeijn"/>
            <filter val="Niels Lievaart"/>
            <filter val="Patrick Janssen"/>
            <filter val="Patrick Ziesen"/>
            <filter val="Robin Nieuwenhuis"/>
            <filter val="Thom van Bodegraven"/>
            <filter val="Tiemen Schumacher"/>
          </filters>
        </filterColumn>
        <sortState ref="A6:P43">
          <sortCondition descending="1" ref="P4:P43"/>
        </sortState>
      </autoFilter>
    </customSheetView>
    <customSheetView guid="{1BC25061-32D5-45DE-83F9-EFA3A1092E03}" showGridLines="0" filter="1" showAutoFilter="1" topLeftCell="A4">
      <selection activeCell="V41" sqref="V41"/>
      <pageMargins left="0.7" right="0.7" top="0.75" bottom="0.75" header="0.3" footer="0.3"/>
      <pageSetup paperSize="9" orientation="portrait" horizontalDpi="1200" r:id="rId2"/>
      <autoFilter ref="A4:P45">
        <filterColumn colId="1">
          <filters>
            <filter val="Barry Berendhuysen"/>
            <filter val="Bjorn Haagen"/>
            <filter val="Dave Creusen"/>
            <filter val="Dominique Daemen"/>
            <filter val="Erwin Deckers"/>
            <filter val="Fred Boekwijt"/>
            <filter val="Frido Meijer"/>
            <filter val="Jean Pierre Knubben"/>
            <filter val="Joost Dirksen"/>
            <filter val="Lars de Winter"/>
            <filter val="Loode Evers"/>
            <filter val="Marc Linssen"/>
            <filter val="Marco Smeekes"/>
            <filter val="Mark Meijer"/>
            <filter val="Marvin Machelesen"/>
            <filter val="Michael Callemeijn"/>
            <filter val="Patrick Janssen"/>
            <filter val="Patrick Ziesen"/>
            <filter val="Rudi Spees"/>
            <filter val="Tiemen Schumacher"/>
            <filter val="Wantoo Jacobs"/>
          </filters>
        </filterColumn>
        <sortState ref="A5:P45">
          <sortCondition descending="1" ref="P4:P45"/>
        </sortState>
      </autoFilter>
    </customSheetView>
    <customSheetView guid="{CF917189-7AB9-4E55-816F-ACFC7FA45C05}" showGridLines="0" filter="1" showAutoFilter="1" topLeftCell="A4">
      <selection activeCell="A4" sqref="A4"/>
      <pageMargins left="0.7" right="0.7" top="0.75" bottom="0.75" header="0.3" footer="0.3"/>
      <pageSetup paperSize="9" orientation="portrait" horizontalDpi="1200" r:id="rId3"/>
      <autoFilter ref="A4:P48">
        <filterColumn colId="1">
          <filters>
            <filter val="Barry Berendhuysen"/>
            <filter val="Bjorn Haagen"/>
            <filter val="Dave Creusen"/>
            <filter val="Dominique Daemen"/>
            <filter val="Erwin Deckers"/>
            <filter val="Fred Boekwijt"/>
            <filter val="Frido Meijer"/>
            <filter val="Jean Pierre Knubben"/>
            <filter val="Joost Dirksen"/>
            <filter val="Lars de Winter"/>
            <filter val="Loode Evers"/>
            <filter val="Marc Linssen"/>
            <filter val="Marco Smeekes"/>
            <filter val="Mark Meijer"/>
            <filter val="Marvin Machelesen"/>
            <filter val="Michael Callemeijn"/>
            <filter val="Patrick Janssen"/>
            <filter val="Patrick Ziesen"/>
            <filter val="Rudi Spees"/>
            <filter val="Tiemen Schumacher"/>
            <filter val="Wantoo Jacobs"/>
          </filters>
        </filterColumn>
        <sortState ref="A6:P48">
          <sortCondition descending="1" ref="P4:P43"/>
        </sortState>
      </autoFilter>
    </customSheetView>
    <customSheetView guid="{4155806E-C0D0-4CC9-9B31-04245B7DD4C8}" showGridLines="0" filter="1" showAutoFilter="1">
      <selection activeCell="I39" sqref="I39"/>
      <pageMargins left="0.7" right="0.7" top="0.75" bottom="0.75" header="0.3" footer="0.3"/>
      <pageSetup paperSize="9" orientation="portrait" horizontalDpi="1200" r:id="rId4"/>
      <autoFilter ref="A4:P43">
        <filterColumn colId="1">
          <filters>
            <filter val="Barry Berendhuysen"/>
            <filter val="Bjorn Haagen"/>
            <filter val="Dave Creusen"/>
            <filter val="Dominique Daemen"/>
            <filter val="Erwin Deckers"/>
            <filter val="Fred Boekwijt"/>
            <filter val="Frido Meijer"/>
            <filter val="Gerardus de Haas"/>
            <filter val="Jean Pierre Knubben"/>
            <filter val="Lars de Winter"/>
            <filter val="Loode Evers"/>
            <filter val="Marco Smeekes"/>
            <filter val="Mark Meijer"/>
            <filter val="Marvin Machelesen"/>
            <filter val="Michael Callemeijn"/>
            <filter val="Patrick Janssen"/>
            <filter val="Patrick Ziesen"/>
            <filter val="Rudi Spees"/>
            <filter val="Tiemen Schumacher"/>
            <filter val="Wantoo Jacobs"/>
          </filters>
        </filterColumn>
        <sortState ref="A5:P43">
          <sortCondition descending="1" ref="P4:P43"/>
        </sortState>
      </autoFilter>
    </customSheetView>
    <customSheetView guid="{1587CBCC-2CC7-4525-8A49-E261AB2E1606}" showGridLines="0" filter="1" showAutoFilter="1" topLeftCell="A10">
      <selection activeCell="N28" sqref="N28"/>
      <pageMargins left="0.7" right="0.7" top="0.75" bottom="0.75" header="0.3" footer="0.3"/>
      <pageSetup paperSize="9" orientation="portrait" horizontalDpi="1200" r:id="rId5"/>
      <autoFilter ref="A4:P43">
        <filterColumn colId="1">
          <filters>
            <filter val="Barry Berendhuysen"/>
            <filter val="Bas Boermans"/>
            <filter val="Bastiaan Franssen"/>
            <filter val="Bjorn Haagen"/>
            <filter val="Dave Creusen"/>
            <filter val="Davy Smeets"/>
            <filter val="Dennis van 't Hul"/>
            <filter val="Dominique Daemen"/>
            <filter val="Erwin Deckers"/>
            <filter val="Fred Boekwijt"/>
            <filter val="Frido Meijer"/>
            <filter val="Jean Pierre Knubben"/>
            <filter val="Jim van der Weijden"/>
            <filter val="Joop Kiefte"/>
            <filter val="Kevin Ploum"/>
            <filter val="Loek Moling"/>
            <filter val="Loode Evers"/>
            <filter val="Manuel Sperti"/>
            <filter val="Marc Linssen"/>
            <filter val="Marco Smeekes"/>
            <filter val="Mark Meijer"/>
            <filter val="Marvin Machelesen"/>
            <filter val="Michael Callemeijn"/>
            <filter val="Niels Lievaart"/>
            <filter val="Patrick Janssen"/>
            <filter val="Patrick Ziesen"/>
            <filter val="Robin Nieuwenhuis"/>
            <filter val="Thom van Bodegraven"/>
            <filter val="Tiemen Schumacher"/>
          </filters>
        </filterColumn>
        <sortState ref="A6:P43">
          <sortCondition descending="1" ref="P4:P43"/>
        </sortState>
      </autoFilter>
    </customSheetView>
    <customSheetView guid="{C5D9000A-81ED-4920-B6AF-4B234775AEC9}" showGridLines="0" filter="1" showAutoFilter="1">
      <selection activeCell="R24" sqref="R24"/>
      <pageMargins left="0.7" right="0.7" top="0.75" bottom="0.75" header="0.3" footer="0.3"/>
      <pageSetup paperSize="9" orientation="portrait" horizontalDpi="1200" r:id="rId6"/>
      <autoFilter ref="A4:P43">
        <filterColumn colId="1">
          <filters>
            <filter val="Barry Berendhuysen"/>
            <filter val="Bas Boermans"/>
            <filter val="Bastiaan Franssen"/>
            <filter val="Bjorn Haagen"/>
            <filter val="Dave Creusen"/>
            <filter val="Davy Smeets"/>
            <filter val="Dennis van 't Hul"/>
            <filter val="Dominique Daemen"/>
            <filter val="Erwin Deckers"/>
            <filter val="Fred Boekwijt"/>
            <filter val="Frido Meijer"/>
            <filter val="Gerardus de Haas"/>
            <filter val="Jean Pierre Knubben"/>
            <filter val="Jim van der Weijden"/>
            <filter val="Joop Kiefte"/>
            <filter val="Joost Dirksen"/>
            <filter val="Kevin Ploum"/>
            <filter val="Lars de Winter"/>
            <filter val="Loek Moling"/>
            <filter val="Loode Evers"/>
            <filter val="Manuel Sperti"/>
            <filter val="Marc Linssen"/>
            <filter val="Marco Smeekes"/>
            <filter val="Mark Meijer"/>
            <filter val="Marvin Machelesen"/>
            <filter val="Michael Callemeijn"/>
            <filter val="Niels Lievaart"/>
            <filter val="Patrick Janssen"/>
            <filter val="Patrick Ziesen"/>
            <filter val="Robin Nieuwenhuis"/>
            <filter val="Rudi Spees"/>
            <filter val="Thom van Bodegraven"/>
            <filter val="Tiemen Schumacher"/>
            <filter val="Tim Wouters"/>
            <filter val="Wantoo Jacobs"/>
            <filter val="Wouter Hamers"/>
          </filters>
        </filterColumn>
        <sortState ref="A6:P43">
          <sortCondition descending="1" ref="P4:P43"/>
        </sortState>
      </autoFilter>
    </customSheetView>
  </customSheetViews>
  <conditionalFormatting sqref="P5:P4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filterMode="1">
    <tabColor rgb="FFFFFFCC"/>
    <pageSetUpPr autoPageBreaks="0" fitToPage="1"/>
  </sheetPr>
  <dimension ref="A2:P44"/>
  <sheetViews>
    <sheetView showGridLines="0" zoomScale="85" zoomScaleNormal="85" workbookViewId="0">
      <selection activeCell="B19" sqref="B19:H19"/>
    </sheetView>
  </sheetViews>
  <sheetFormatPr defaultRowHeight="15" outlineLevelCol="1" x14ac:dyDescent="0.25"/>
  <cols>
    <col min="1" max="1" width="9.85546875" bestFit="1" customWidth="1"/>
    <col min="2" max="2" width="23.42578125" customWidth="1"/>
    <col min="3" max="3" width="9.42578125" customWidth="1"/>
    <col min="8" max="8" width="9.140625" customWidth="1"/>
    <col min="9" max="9" width="9.140625" hidden="1" customWidth="1" outlineLevel="1"/>
    <col min="10" max="10" width="9.42578125" hidden="1" customWidth="1" outlineLevel="1"/>
    <col min="11" max="11" width="8.85546875" hidden="1" customWidth="1" outlineLevel="1"/>
    <col min="12" max="12" width="28.140625" customWidth="1" collapsed="1"/>
    <col min="13" max="13" width="20" bestFit="1" customWidth="1"/>
    <col min="16" max="16" width="21.85546875" bestFit="1" customWidth="1"/>
  </cols>
  <sheetData>
    <row r="2" spans="1:16" ht="18.75" x14ac:dyDescent="0.3">
      <c r="B2" s="20" t="s">
        <v>55</v>
      </c>
      <c r="H2" s="161"/>
    </row>
    <row r="3" spans="1:16" x14ac:dyDescent="0.25">
      <c r="H3" s="162"/>
    </row>
    <row r="4" spans="1:16" ht="202.5" customHeight="1" x14ac:dyDescent="0.25">
      <c r="A4" s="226" t="s">
        <v>111</v>
      </c>
      <c r="B4" s="226" t="s">
        <v>52</v>
      </c>
      <c r="C4" s="226" t="s">
        <v>50</v>
      </c>
      <c r="D4" s="226" t="s">
        <v>51</v>
      </c>
      <c r="E4" s="226" t="s">
        <v>53</v>
      </c>
      <c r="F4" s="226" t="s">
        <v>54</v>
      </c>
      <c r="G4" s="226" t="s">
        <v>173</v>
      </c>
      <c r="H4" s="226" t="s">
        <v>174</v>
      </c>
      <c r="I4" s="83" t="s">
        <v>172</v>
      </c>
      <c r="J4" s="83" t="s">
        <v>115</v>
      </c>
      <c r="K4" s="84" t="s">
        <v>116</v>
      </c>
      <c r="L4" s="36" t="s">
        <v>60</v>
      </c>
    </row>
    <row r="5" spans="1:16" hidden="1" x14ac:dyDescent="0.25">
      <c r="A5" s="39">
        <f>'Employee List'!A21</f>
        <v>30279</v>
      </c>
      <c r="B5" s="38" t="str">
        <f>'Hours Scheduled'!B21</f>
        <v>Manuel Sperti</v>
      </c>
      <c r="C5" s="22">
        <v>26.03</v>
      </c>
      <c r="D5" s="22">
        <f t="shared" ref="D5:D36" si="0">IF(A5&lt;30000,224,208)</f>
        <v>208</v>
      </c>
      <c r="E5" s="39">
        <f>'Employee Overview'!Q90</f>
        <v>0</v>
      </c>
      <c r="F5" s="40">
        <f t="shared" ref="F5:F36" si="1">(C5+D5)-E5+I5</f>
        <v>234.03</v>
      </c>
      <c r="G5" s="40">
        <f t="shared" ref="G5:G36" si="2">F5/8</f>
        <v>29.25375</v>
      </c>
      <c r="H5" s="40">
        <f t="shared" ref="H5:H36" si="3">G5/5</f>
        <v>5.8507499999999997</v>
      </c>
      <c r="I5" s="81"/>
      <c r="J5" s="82">
        <f>I5+(D5/12*6)-SUM('Employee Overview'!J11:O11)</f>
        <v>104</v>
      </c>
      <c r="K5" s="80">
        <f t="shared" ref="K5:K36" si="4">J5-F5</f>
        <v>-130.03</v>
      </c>
      <c r="O5" s="242"/>
      <c r="P5" s="241"/>
    </row>
    <row r="6" spans="1:16" ht="15" customHeight="1" x14ac:dyDescent="0.25">
      <c r="A6" s="39">
        <f>'Employee List'!A11</f>
        <v>20043</v>
      </c>
      <c r="B6" s="38" t="str">
        <f>'Hours Scheduled'!B11</f>
        <v>Dominique Daemen</v>
      </c>
      <c r="C6" s="157">
        <v>79.23</v>
      </c>
      <c r="D6" s="22">
        <f t="shared" si="0"/>
        <v>224</v>
      </c>
      <c r="E6" s="39">
        <f>'Employee Overview'!Q40</f>
        <v>226</v>
      </c>
      <c r="F6" s="40">
        <f t="shared" si="1"/>
        <v>77.230000000000018</v>
      </c>
      <c r="G6" s="40">
        <f t="shared" si="2"/>
        <v>9.6537500000000023</v>
      </c>
      <c r="H6" s="40">
        <f t="shared" si="3"/>
        <v>1.9307500000000004</v>
      </c>
      <c r="I6" s="81"/>
      <c r="J6" s="82">
        <f>I6+(D6/12*6)-SUM('Employee Overview'!J41:O41)</f>
        <v>112</v>
      </c>
      <c r="K6" s="80">
        <f t="shared" si="4"/>
        <v>34.769999999999982</v>
      </c>
      <c r="O6" s="242"/>
      <c r="P6" s="241"/>
    </row>
    <row r="7" spans="1:16" ht="15" hidden="1" customHeight="1" x14ac:dyDescent="0.25">
      <c r="A7" s="39">
        <f>'Employee List'!A16</f>
        <v>34555</v>
      </c>
      <c r="B7" s="38" t="str">
        <f>'Hours Scheduled'!B16</f>
        <v>Jim van der Weijden</v>
      </c>
      <c r="C7" s="22">
        <v>0</v>
      </c>
      <c r="D7" s="22">
        <f t="shared" si="0"/>
        <v>208</v>
      </c>
      <c r="E7" s="39">
        <f>'Employee Overview'!Q65</f>
        <v>0</v>
      </c>
      <c r="F7" s="40">
        <f t="shared" si="1"/>
        <v>208</v>
      </c>
      <c r="G7" s="40">
        <f t="shared" si="2"/>
        <v>26</v>
      </c>
      <c r="H7" s="40">
        <f t="shared" si="3"/>
        <v>5.2</v>
      </c>
      <c r="I7" s="81"/>
      <c r="J7" s="82">
        <f>I7+(D7/12*6)-SUM('Employee Overview'!J6:O6)</f>
        <v>104</v>
      </c>
      <c r="K7" s="80">
        <f t="shared" si="4"/>
        <v>-104</v>
      </c>
      <c r="L7" s="36"/>
      <c r="O7" s="242"/>
      <c r="P7" s="241"/>
    </row>
    <row r="8" spans="1:16" ht="15" hidden="1" customHeight="1" x14ac:dyDescent="0.25">
      <c r="A8" s="39">
        <f>'Employee List'!A10</f>
        <v>34561</v>
      </c>
      <c r="B8" s="38" t="str">
        <f>'Hours Scheduled'!B10</f>
        <v>Dennis van 't Hul</v>
      </c>
      <c r="C8" s="157">
        <v>0</v>
      </c>
      <c r="D8" s="22">
        <f t="shared" si="0"/>
        <v>208</v>
      </c>
      <c r="E8" s="39">
        <f>'Employee Overview'!Q35</f>
        <v>4</v>
      </c>
      <c r="F8" s="40">
        <f t="shared" si="1"/>
        <v>204</v>
      </c>
      <c r="G8" s="40">
        <f t="shared" si="2"/>
        <v>25.5</v>
      </c>
      <c r="H8" s="40">
        <f t="shared" si="3"/>
        <v>5.0999999999999996</v>
      </c>
      <c r="I8" s="81"/>
      <c r="J8" s="82">
        <f>I8+(D8/12*6)-SUM('Employee Overview'!J40:O40)</f>
        <v>-40</v>
      </c>
      <c r="K8" s="80">
        <f t="shared" si="4"/>
        <v>-244</v>
      </c>
      <c r="O8" s="242"/>
      <c r="P8" s="241"/>
    </row>
    <row r="9" spans="1:16" ht="15" hidden="1" customHeight="1" x14ac:dyDescent="0.25">
      <c r="A9" s="39">
        <f>'Employee List'!A19</f>
        <v>34563</v>
      </c>
      <c r="B9" s="38" t="str">
        <f>'Hours Scheduled'!B19</f>
        <v>Loek Moling</v>
      </c>
      <c r="C9" s="22">
        <v>22.43</v>
      </c>
      <c r="D9" s="22">
        <f t="shared" si="0"/>
        <v>208</v>
      </c>
      <c r="E9" s="39">
        <f>'Employee Overview'!Q80</f>
        <v>38</v>
      </c>
      <c r="F9" s="40">
        <f t="shared" si="1"/>
        <v>192.43</v>
      </c>
      <c r="G9" s="40">
        <f t="shared" si="2"/>
        <v>24.053750000000001</v>
      </c>
      <c r="H9" s="40">
        <f t="shared" si="3"/>
        <v>4.8107500000000005</v>
      </c>
      <c r="I9" s="81"/>
      <c r="J9" s="82">
        <f>I9+(D9/12*6)-SUM('Employee Overview'!J9:O9)</f>
        <v>104</v>
      </c>
      <c r="K9" s="80">
        <f t="shared" si="4"/>
        <v>-88.43</v>
      </c>
      <c r="L9" s="46"/>
      <c r="O9" s="242"/>
      <c r="P9" s="241"/>
    </row>
    <row r="10" spans="1:16" ht="15" customHeight="1" x14ac:dyDescent="0.25">
      <c r="A10" s="39">
        <f>'Employee List'!A29</f>
        <v>20449</v>
      </c>
      <c r="B10" s="38" t="str">
        <f>'Hours Scheduled'!B29</f>
        <v>Patrick Ziesen</v>
      </c>
      <c r="C10" s="22">
        <v>49.36</v>
      </c>
      <c r="D10" s="22">
        <f t="shared" si="0"/>
        <v>224</v>
      </c>
      <c r="E10" s="39">
        <f>'Employee Overview'!Q130</f>
        <v>124</v>
      </c>
      <c r="F10" s="40">
        <f t="shared" si="1"/>
        <v>149.36000000000001</v>
      </c>
      <c r="G10" s="40">
        <f t="shared" si="2"/>
        <v>18.670000000000002</v>
      </c>
      <c r="H10" s="40">
        <f t="shared" si="3"/>
        <v>3.7340000000000004</v>
      </c>
      <c r="I10" s="81"/>
      <c r="J10" s="82">
        <f>I10+(D10/12*6)-SUM('Employee Overview'!J19:O19)</f>
        <v>112</v>
      </c>
      <c r="K10" s="80">
        <f t="shared" si="4"/>
        <v>-37.360000000000014</v>
      </c>
      <c r="L10" s="46"/>
      <c r="O10" s="242"/>
      <c r="P10" s="241"/>
    </row>
    <row r="11" spans="1:16" ht="15" hidden="1" customHeight="1" x14ac:dyDescent="0.25">
      <c r="A11" s="39">
        <f>'Employee List'!A34</f>
        <v>40296</v>
      </c>
      <c r="B11" s="38" t="str">
        <f>'Hours Scheduled'!B33</f>
        <v>Erik Jaspers</v>
      </c>
      <c r="C11" s="157"/>
      <c r="D11" s="22">
        <f t="shared" si="0"/>
        <v>208</v>
      </c>
      <c r="E11" s="39">
        <f>'Employee Overview'!Q155</f>
        <v>28</v>
      </c>
      <c r="F11" s="40">
        <f t="shared" si="1"/>
        <v>180</v>
      </c>
      <c r="G11" s="40">
        <f t="shared" si="2"/>
        <v>22.5</v>
      </c>
      <c r="H11" s="40">
        <f t="shared" si="3"/>
        <v>4.5</v>
      </c>
      <c r="I11" s="81"/>
      <c r="J11" s="82">
        <f>I11+(D11/12*6)-SUM('Employee Overview'!J24:O24)</f>
        <v>104</v>
      </c>
      <c r="K11" s="80">
        <f t="shared" si="4"/>
        <v>-76</v>
      </c>
      <c r="L11" s="36" t="s">
        <v>59</v>
      </c>
      <c r="O11" s="242"/>
      <c r="P11" s="241"/>
    </row>
    <row r="12" spans="1:16" ht="15" hidden="1" customHeight="1" x14ac:dyDescent="0.25">
      <c r="A12" s="39">
        <f>'Employee List'!A35</f>
        <v>40325</v>
      </c>
      <c r="B12" s="38" t="str">
        <f>'Hours Scheduled'!B34</f>
        <v>Leo Wijnands</v>
      </c>
      <c r="C12" s="157"/>
      <c r="D12" s="22">
        <f t="shared" si="0"/>
        <v>208</v>
      </c>
      <c r="E12" s="39">
        <f>'Employee Overview'!Q160</f>
        <v>120.5</v>
      </c>
      <c r="F12" s="40">
        <f t="shared" si="1"/>
        <v>87.5</v>
      </c>
      <c r="G12" s="40">
        <f t="shared" si="2"/>
        <v>10.9375</v>
      </c>
      <c r="H12" s="40">
        <f t="shared" si="3"/>
        <v>2.1875</v>
      </c>
      <c r="I12" s="81"/>
      <c r="J12" s="82">
        <f>I12+(D12/12*6)-SUM('Employee Overview'!J25:O25)</f>
        <v>-8</v>
      </c>
      <c r="K12" s="80">
        <f t="shared" si="4"/>
        <v>-95.5</v>
      </c>
      <c r="L12" s="36" t="s">
        <v>57</v>
      </c>
      <c r="O12" s="242"/>
      <c r="P12" s="241"/>
    </row>
    <row r="13" spans="1:16" ht="15" customHeight="1" x14ac:dyDescent="0.25">
      <c r="A13" s="39">
        <f>'Employee List'!A6</f>
        <v>34576</v>
      </c>
      <c r="B13" s="38" t="str">
        <f>'Hours Scheduled'!B6</f>
        <v>Bastiaan Franssen</v>
      </c>
      <c r="C13" s="157">
        <v>23.18</v>
      </c>
      <c r="D13" s="22">
        <f t="shared" si="0"/>
        <v>208</v>
      </c>
      <c r="E13" s="39">
        <f>'Employee Overview'!Q15</f>
        <v>54</v>
      </c>
      <c r="F13" s="40">
        <f t="shared" si="1"/>
        <v>177.18</v>
      </c>
      <c r="G13" s="40">
        <f t="shared" si="2"/>
        <v>22.147500000000001</v>
      </c>
      <c r="H13" s="40">
        <f t="shared" si="3"/>
        <v>4.4295</v>
      </c>
      <c r="I13" s="81"/>
      <c r="J13" s="82">
        <f>I13+(D13/12*6)-SUM('Employee Overview'!J36:O36)</f>
        <v>104</v>
      </c>
      <c r="K13" s="80">
        <f t="shared" si="4"/>
        <v>-73.180000000000007</v>
      </c>
      <c r="L13" s="46"/>
      <c r="O13" s="242"/>
      <c r="P13" s="241"/>
    </row>
    <row r="14" spans="1:16" ht="15" hidden="1" customHeight="1" x14ac:dyDescent="0.25">
      <c r="A14" s="39">
        <f>'Employee List'!A31</f>
        <v>34592</v>
      </c>
      <c r="B14" s="38" t="str">
        <f>'Hours Scheduled'!B31</f>
        <v>Thom van Bodegraven</v>
      </c>
      <c r="C14" s="22">
        <v>5.9399999999999995</v>
      </c>
      <c r="D14" s="22">
        <f t="shared" si="0"/>
        <v>208</v>
      </c>
      <c r="E14" s="39">
        <f>'Employee Overview'!Q140</f>
        <v>38</v>
      </c>
      <c r="F14" s="40">
        <f t="shared" si="1"/>
        <v>175.94</v>
      </c>
      <c r="G14" s="40">
        <f t="shared" si="2"/>
        <v>21.9925</v>
      </c>
      <c r="H14" s="40">
        <f t="shared" si="3"/>
        <v>4.3985000000000003</v>
      </c>
      <c r="I14" s="81"/>
      <c r="J14" s="82">
        <f>I14+(D14/12*6)-SUM('Employee Overview'!J21:O21)</f>
        <v>104</v>
      </c>
      <c r="K14" s="80">
        <f t="shared" si="4"/>
        <v>-71.94</v>
      </c>
      <c r="L14" s="257"/>
      <c r="O14" s="242"/>
      <c r="P14" s="241"/>
    </row>
    <row r="15" spans="1:16" ht="15" customHeight="1" x14ac:dyDescent="0.25">
      <c r="A15" s="39">
        <f>'Employee List'!A27</f>
        <v>34590</v>
      </c>
      <c r="B15" s="38" t="str">
        <f>'Hours Scheduled'!B27</f>
        <v>Niels Lievaart</v>
      </c>
      <c r="C15" s="22">
        <v>36.43</v>
      </c>
      <c r="D15" s="22">
        <f t="shared" si="0"/>
        <v>208</v>
      </c>
      <c r="E15" s="39">
        <f>'Employee Overview'!Q120</f>
        <v>132.75</v>
      </c>
      <c r="F15" s="40">
        <f t="shared" si="1"/>
        <v>111.68</v>
      </c>
      <c r="G15" s="40">
        <f t="shared" si="2"/>
        <v>13.96</v>
      </c>
      <c r="H15" s="40">
        <f t="shared" si="3"/>
        <v>2.7920000000000003</v>
      </c>
      <c r="I15" s="81"/>
      <c r="J15" s="82">
        <f>I15+(D15/12*6)-SUM('Employee Overview'!J17:O17)</f>
        <v>104</v>
      </c>
      <c r="K15" s="80">
        <f t="shared" si="4"/>
        <v>-7.6800000000000068</v>
      </c>
      <c r="L15" s="229"/>
      <c r="O15" s="242"/>
      <c r="P15" s="241"/>
    </row>
    <row r="16" spans="1:16" ht="15" customHeight="1" x14ac:dyDescent="0.25">
      <c r="A16" s="39">
        <f>'Employee List'!A23</f>
        <v>20955</v>
      </c>
      <c r="B16" s="38" t="str">
        <f>'Hours Scheduled'!B23</f>
        <v>Marco Smeekes</v>
      </c>
      <c r="C16" s="22">
        <v>-7.85</v>
      </c>
      <c r="D16" s="22">
        <f t="shared" si="0"/>
        <v>224</v>
      </c>
      <c r="E16" s="39">
        <f>'Employee Overview'!Q100</f>
        <v>153.5</v>
      </c>
      <c r="F16" s="40">
        <f t="shared" si="1"/>
        <v>62.650000000000006</v>
      </c>
      <c r="G16" s="40">
        <f t="shared" si="2"/>
        <v>7.8312500000000007</v>
      </c>
      <c r="H16" s="40">
        <f t="shared" si="3"/>
        <v>1.5662500000000001</v>
      </c>
      <c r="I16" s="81"/>
      <c r="J16" s="82">
        <f>I16+(D16/12*6)-SUM('Employee Overview'!J13:O13)</f>
        <v>112</v>
      </c>
      <c r="K16" s="80">
        <f t="shared" si="4"/>
        <v>49.349999999999994</v>
      </c>
      <c r="L16" s="229"/>
      <c r="O16" s="242"/>
      <c r="P16" s="241"/>
    </row>
    <row r="17" spans="1:16" ht="15" customHeight="1" x14ac:dyDescent="0.25">
      <c r="A17" s="39">
        <f>'Employee List'!A7</f>
        <v>30527</v>
      </c>
      <c r="B17" s="38" t="str">
        <f>'Hours Scheduled'!B7</f>
        <v>Bjorn Haagen</v>
      </c>
      <c r="C17" s="157">
        <v>103.94</v>
      </c>
      <c r="D17" s="22">
        <f t="shared" si="0"/>
        <v>208</v>
      </c>
      <c r="E17" s="39">
        <f>'Employee Overview'!Q20</f>
        <v>184</v>
      </c>
      <c r="F17" s="40">
        <f t="shared" si="1"/>
        <v>127.94</v>
      </c>
      <c r="G17" s="40">
        <f t="shared" si="2"/>
        <v>15.9925</v>
      </c>
      <c r="H17" s="40">
        <f t="shared" si="3"/>
        <v>3.1985000000000001</v>
      </c>
      <c r="I17" s="81"/>
      <c r="J17" s="82">
        <f>I17+(D17/12*6)-SUM('Employee Overview'!J37:O37)</f>
        <v>104</v>
      </c>
      <c r="K17" s="80">
        <f t="shared" si="4"/>
        <v>-23.939999999999998</v>
      </c>
      <c r="L17" s="46"/>
      <c r="O17" s="242"/>
      <c r="P17" s="241"/>
    </row>
    <row r="18" spans="1:16" ht="15" customHeight="1" x14ac:dyDescent="0.25">
      <c r="A18" s="39">
        <f>'Employee List'!A18</f>
        <v>34579</v>
      </c>
      <c r="B18" s="38" t="str">
        <f>'Hours Scheduled'!B18</f>
        <v>Kevin Ploum</v>
      </c>
      <c r="C18" s="22">
        <v>44.68</v>
      </c>
      <c r="D18" s="22">
        <f t="shared" si="0"/>
        <v>208</v>
      </c>
      <c r="E18" s="39">
        <f>'Employee Overview'!Q75</f>
        <v>111</v>
      </c>
      <c r="F18" s="40">
        <f t="shared" si="1"/>
        <v>141.68</v>
      </c>
      <c r="G18" s="40">
        <f t="shared" si="2"/>
        <v>17.71</v>
      </c>
      <c r="H18" s="40">
        <f t="shared" si="3"/>
        <v>3.5420000000000003</v>
      </c>
      <c r="I18" s="81"/>
      <c r="J18" s="82">
        <f>I18+(D18/12*6)-SUM('Employee Overview'!J8:O8)</f>
        <v>104</v>
      </c>
      <c r="K18" s="80">
        <f t="shared" si="4"/>
        <v>-37.680000000000007</v>
      </c>
      <c r="L18" s="228"/>
      <c r="O18" s="242"/>
      <c r="P18" s="241"/>
    </row>
    <row r="19" spans="1:16" ht="15" customHeight="1" x14ac:dyDescent="0.25">
      <c r="A19" s="39">
        <f>'Employee List'!A5</f>
        <v>34529</v>
      </c>
      <c r="B19" s="38" t="str">
        <f>'Hours Scheduled'!B5</f>
        <v>Bas Boermans</v>
      </c>
      <c r="C19" s="157">
        <v>29.43</v>
      </c>
      <c r="D19" s="22">
        <f t="shared" si="0"/>
        <v>208</v>
      </c>
      <c r="E19" s="39">
        <f>'Employee Overview'!Q10</f>
        <v>96</v>
      </c>
      <c r="F19" s="40">
        <f t="shared" si="1"/>
        <v>141.43</v>
      </c>
      <c r="G19" s="40">
        <f t="shared" si="2"/>
        <v>17.678750000000001</v>
      </c>
      <c r="H19" s="40">
        <f t="shared" si="3"/>
        <v>3.5357500000000002</v>
      </c>
      <c r="I19" s="81"/>
      <c r="J19" s="82">
        <f>I19+(D19/12*6)-SUM('Employee Overview'!J35:O35)</f>
        <v>104</v>
      </c>
      <c r="K19" s="80">
        <f t="shared" si="4"/>
        <v>-37.430000000000007</v>
      </c>
      <c r="L19" s="46"/>
      <c r="O19" s="242"/>
      <c r="P19" s="241"/>
    </row>
    <row r="20" spans="1:16" ht="15" customHeight="1" x14ac:dyDescent="0.25">
      <c r="A20" s="39">
        <f>'Employee List'!A22</f>
        <v>21122</v>
      </c>
      <c r="B20" s="38" t="str">
        <f>'Hours Scheduled'!B22</f>
        <v xml:space="preserve">Marc Linssen </v>
      </c>
      <c r="C20" s="22">
        <v>97.23</v>
      </c>
      <c r="D20" s="22">
        <f t="shared" si="0"/>
        <v>224</v>
      </c>
      <c r="E20" s="39">
        <f>'Employee Overview'!Q95</f>
        <v>214</v>
      </c>
      <c r="F20" s="40">
        <f t="shared" si="1"/>
        <v>107.23000000000002</v>
      </c>
      <c r="G20" s="40">
        <f t="shared" si="2"/>
        <v>13.403750000000002</v>
      </c>
      <c r="H20" s="40">
        <f t="shared" si="3"/>
        <v>2.6807500000000006</v>
      </c>
      <c r="I20" s="81"/>
      <c r="J20" s="82">
        <f>I20+(D20/12*6)-SUM('Employee Overview'!J12:O12)</f>
        <v>112</v>
      </c>
      <c r="K20" s="80">
        <f t="shared" si="4"/>
        <v>4.7699999999999818</v>
      </c>
      <c r="L20" s="248"/>
      <c r="O20" s="242"/>
      <c r="P20" s="241"/>
    </row>
    <row r="21" spans="1:16" ht="15" customHeight="1" x14ac:dyDescent="0.25">
      <c r="A21" s="39">
        <f>'Employee List'!A20</f>
        <v>22057</v>
      </c>
      <c r="B21" s="38" t="str">
        <f>'Hours Scheduled'!B20</f>
        <v>Loode Evers</v>
      </c>
      <c r="C21" s="22">
        <v>53.94</v>
      </c>
      <c r="D21" s="22">
        <f t="shared" si="0"/>
        <v>224</v>
      </c>
      <c r="E21" s="39">
        <f>'Employee Overview'!Q85</f>
        <v>196</v>
      </c>
      <c r="F21" s="40">
        <f t="shared" si="1"/>
        <v>81.94</v>
      </c>
      <c r="G21" s="40">
        <f t="shared" si="2"/>
        <v>10.2425</v>
      </c>
      <c r="H21" s="40">
        <f t="shared" si="3"/>
        <v>2.0484999999999998</v>
      </c>
      <c r="I21" s="81"/>
      <c r="J21" s="82">
        <f>I21+(D21/12*6)-SUM('Employee Overview'!J10:O10)</f>
        <v>112</v>
      </c>
      <c r="K21" s="80">
        <f t="shared" si="4"/>
        <v>30.060000000000002</v>
      </c>
      <c r="L21" s="46"/>
      <c r="O21" s="242"/>
      <c r="P21" s="241"/>
    </row>
    <row r="22" spans="1:16" ht="15" hidden="1" customHeight="1" x14ac:dyDescent="0.25">
      <c r="A22" s="39">
        <f>'Employee List'!A33</f>
        <v>30680</v>
      </c>
      <c r="B22" s="38" t="str">
        <f>'Hours Scheduled'!B33</f>
        <v>Erik Jaspers</v>
      </c>
      <c r="C22" s="157"/>
      <c r="D22" s="22">
        <f t="shared" si="0"/>
        <v>208</v>
      </c>
      <c r="E22" s="39">
        <f>'Employee Overview'!Q150</f>
        <v>105</v>
      </c>
      <c r="F22" s="40">
        <f t="shared" si="1"/>
        <v>103</v>
      </c>
      <c r="G22" s="40">
        <f t="shared" si="2"/>
        <v>12.875</v>
      </c>
      <c r="H22" s="40">
        <f t="shared" si="3"/>
        <v>2.5750000000000002</v>
      </c>
      <c r="I22" s="81"/>
      <c r="J22" s="82">
        <f>I22+(D22/12*6)-SUM('Employee Overview'!J23:O23)</f>
        <v>104</v>
      </c>
      <c r="K22" s="80">
        <f t="shared" si="4"/>
        <v>1</v>
      </c>
      <c r="O22" s="242"/>
      <c r="P22" s="241"/>
    </row>
    <row r="23" spans="1:16" x14ac:dyDescent="0.25">
      <c r="A23" s="39">
        <f>'Employee List'!A24</f>
        <v>31673</v>
      </c>
      <c r="B23" s="38" t="str">
        <f>'Hours Scheduled'!B24</f>
        <v>Mark Meijer</v>
      </c>
      <c r="C23" s="22">
        <v>-48.6</v>
      </c>
      <c r="D23" s="22">
        <f t="shared" si="0"/>
        <v>208</v>
      </c>
      <c r="E23" s="39">
        <f>'Employee Overview'!Q105</f>
        <v>68</v>
      </c>
      <c r="F23" s="40">
        <f t="shared" si="1"/>
        <v>91.4</v>
      </c>
      <c r="G23" s="40">
        <f t="shared" si="2"/>
        <v>11.425000000000001</v>
      </c>
      <c r="H23" s="40">
        <f t="shared" si="3"/>
        <v>2.2850000000000001</v>
      </c>
      <c r="I23" s="81"/>
      <c r="J23" s="82">
        <f>I23+(D23/12*6)-SUM('Employee Overview'!J14:O14)</f>
        <v>104</v>
      </c>
      <c r="K23" s="80">
        <f t="shared" si="4"/>
        <v>12.599999999999994</v>
      </c>
      <c r="O23" s="242"/>
      <c r="P23" s="241"/>
    </row>
    <row r="24" spans="1:16" x14ac:dyDescent="0.25">
      <c r="A24" s="39">
        <f>'Employee List'!A4</f>
        <v>31656</v>
      </c>
      <c r="B24" s="38" t="str">
        <f>'Hours Scheduled'!B4</f>
        <v>Barry Berendhuysen</v>
      </c>
      <c r="C24" s="157">
        <v>21.44</v>
      </c>
      <c r="D24" s="22">
        <f t="shared" si="0"/>
        <v>208</v>
      </c>
      <c r="E24" s="39">
        <f>'Employee Overview'!Q5</f>
        <v>152</v>
      </c>
      <c r="F24" s="40">
        <f t="shared" si="1"/>
        <v>77.44</v>
      </c>
      <c r="G24" s="40">
        <f t="shared" si="2"/>
        <v>9.68</v>
      </c>
      <c r="H24" s="40">
        <f t="shared" si="3"/>
        <v>1.9359999999999999</v>
      </c>
      <c r="I24" s="81"/>
      <c r="J24" s="82">
        <f>I24+(D24/12*6)-SUM('Employee Overview'!J5:O5)</f>
        <v>12</v>
      </c>
      <c r="K24" s="80">
        <f t="shared" si="4"/>
        <v>-65.44</v>
      </c>
      <c r="O24" s="242"/>
      <c r="P24" s="241"/>
    </row>
    <row r="25" spans="1:16" x14ac:dyDescent="0.25">
      <c r="A25" s="39">
        <f>'Employee List'!A13</f>
        <v>21025</v>
      </c>
      <c r="B25" s="38" t="str">
        <f>'Hours Scheduled'!B13</f>
        <v>Fred Boekwijt</v>
      </c>
      <c r="C25" s="157">
        <v>19.989999999999998</v>
      </c>
      <c r="D25" s="22">
        <f t="shared" si="0"/>
        <v>224</v>
      </c>
      <c r="E25" s="39">
        <f>'Employee Overview'!Q50</f>
        <v>171.5</v>
      </c>
      <c r="F25" s="40">
        <f t="shared" si="1"/>
        <v>72.490000000000009</v>
      </c>
      <c r="G25" s="40">
        <f t="shared" si="2"/>
        <v>9.0612500000000011</v>
      </c>
      <c r="H25" s="40">
        <f t="shared" si="3"/>
        <v>1.8122500000000001</v>
      </c>
      <c r="I25" s="81"/>
      <c r="J25" s="82">
        <f>I25+(D25/12*6)-SUM('Employee Overview'!J43:O43)</f>
        <v>112</v>
      </c>
      <c r="K25" s="80">
        <f t="shared" si="4"/>
        <v>39.509999999999991</v>
      </c>
      <c r="L25" s="46"/>
      <c r="O25" s="242"/>
      <c r="P25" s="241"/>
    </row>
    <row r="26" spans="1:16" x14ac:dyDescent="0.25">
      <c r="A26" s="39">
        <f>'Employee List'!A17</f>
        <v>34562</v>
      </c>
      <c r="B26" s="38" t="str">
        <f>'Hours Scheduled'!B17</f>
        <v>Joop Kiefte</v>
      </c>
      <c r="C26" s="22">
        <v>58.68</v>
      </c>
      <c r="D26" s="22">
        <f t="shared" si="0"/>
        <v>208</v>
      </c>
      <c r="E26" s="39">
        <f>'Employee Overview'!Q70</f>
        <v>192</v>
      </c>
      <c r="F26" s="40">
        <f t="shared" si="1"/>
        <v>74.680000000000007</v>
      </c>
      <c r="G26" s="40">
        <f t="shared" si="2"/>
        <v>9.3350000000000009</v>
      </c>
      <c r="H26" s="40">
        <f t="shared" si="3"/>
        <v>1.8670000000000002</v>
      </c>
      <c r="I26" s="81"/>
      <c r="J26" s="82">
        <f>I26+(D26/12*6)-SUM('Employee Overview'!J7:O7)</f>
        <v>104</v>
      </c>
      <c r="K26" s="80">
        <f t="shared" si="4"/>
        <v>29.319999999999993</v>
      </c>
      <c r="O26" s="242"/>
      <c r="P26" s="241"/>
    </row>
    <row r="27" spans="1:16" x14ac:dyDescent="0.25">
      <c r="A27" s="39">
        <f>'Employee List'!A25</f>
        <v>30761</v>
      </c>
      <c r="B27" s="38" t="str">
        <f>'Hours Scheduled'!B25</f>
        <v>Marvin Machelesen</v>
      </c>
      <c r="C27" s="22">
        <v>84.8</v>
      </c>
      <c r="D27" s="22">
        <f t="shared" si="0"/>
        <v>208</v>
      </c>
      <c r="E27" s="39">
        <f>'Employee Overview'!Q110</f>
        <v>261.5</v>
      </c>
      <c r="F27" s="40">
        <f t="shared" si="1"/>
        <v>31.300000000000011</v>
      </c>
      <c r="G27" s="40">
        <f t="shared" si="2"/>
        <v>3.9125000000000014</v>
      </c>
      <c r="H27" s="40">
        <f t="shared" si="3"/>
        <v>0.78250000000000031</v>
      </c>
      <c r="I27" s="81"/>
      <c r="J27" s="82">
        <f>I27+(D27/12*6)-SUM('Employee Overview'!J15:O15)</f>
        <v>104</v>
      </c>
      <c r="K27" s="80">
        <f t="shared" si="4"/>
        <v>72.699999999999989</v>
      </c>
      <c r="L27" s="228"/>
      <c r="O27" s="242"/>
      <c r="P27" s="241"/>
    </row>
    <row r="28" spans="1:16" x14ac:dyDescent="0.25">
      <c r="A28" s="39">
        <f>'Employee List'!A14</f>
        <v>21167</v>
      </c>
      <c r="B28" s="38" t="str">
        <f>'Hours Scheduled'!B14</f>
        <v>Frido Meijer</v>
      </c>
      <c r="C28" s="157">
        <v>30.54</v>
      </c>
      <c r="D28" s="22">
        <f t="shared" si="0"/>
        <v>224</v>
      </c>
      <c r="E28" s="39">
        <f>'Employee Overview'!Q55</f>
        <v>248</v>
      </c>
      <c r="F28" s="40">
        <f t="shared" si="1"/>
        <v>6.539999999999992</v>
      </c>
      <c r="G28" s="40">
        <f t="shared" si="2"/>
        <v>0.81749999999999901</v>
      </c>
      <c r="H28" s="40">
        <f t="shared" si="3"/>
        <v>0.16349999999999981</v>
      </c>
      <c r="I28" s="81"/>
      <c r="J28" s="82">
        <f>I28+(D28/12*6)-SUM('Employee Overview'!J44:O44)</f>
        <v>112</v>
      </c>
      <c r="K28" s="80">
        <f t="shared" si="4"/>
        <v>105.46000000000001</v>
      </c>
      <c r="L28" s="46"/>
      <c r="O28" s="242"/>
      <c r="P28" s="241"/>
    </row>
    <row r="29" spans="1:16" x14ac:dyDescent="0.25">
      <c r="A29" s="39">
        <f>'Employee List'!A32</f>
        <v>30104</v>
      </c>
      <c r="B29" s="38" t="str">
        <f>'Hours Scheduled'!B32</f>
        <v>Tiemen Schumacher</v>
      </c>
      <c r="C29" s="157">
        <v>-44.78</v>
      </c>
      <c r="D29" s="22">
        <f t="shared" si="0"/>
        <v>208</v>
      </c>
      <c r="E29" s="39">
        <f>'Employee Overview'!Q145</f>
        <v>154.5</v>
      </c>
      <c r="F29" s="40">
        <f t="shared" si="1"/>
        <v>8.7199999999999989</v>
      </c>
      <c r="G29" s="40">
        <f t="shared" si="2"/>
        <v>1.0899999999999999</v>
      </c>
      <c r="H29" s="40">
        <f t="shared" si="3"/>
        <v>0.21799999999999997</v>
      </c>
      <c r="I29" s="81"/>
      <c r="J29" s="82">
        <f>I29+(D29/12*6)-SUM('Employee Overview'!J22:O22)</f>
        <v>104</v>
      </c>
      <c r="K29" s="80">
        <f t="shared" si="4"/>
        <v>95.28</v>
      </c>
      <c r="L29" s="248"/>
      <c r="O29" s="242"/>
      <c r="P29" s="241"/>
    </row>
    <row r="30" spans="1:16" x14ac:dyDescent="0.25">
      <c r="A30" s="39">
        <f>'Employee List'!A30</f>
        <v>30038</v>
      </c>
      <c r="B30" s="38" t="str">
        <f>'Hours Scheduled'!B30</f>
        <v>Robin Nieuwenhuis</v>
      </c>
      <c r="C30" s="22">
        <v>30.45</v>
      </c>
      <c r="D30" s="22">
        <f t="shared" si="0"/>
        <v>208</v>
      </c>
      <c r="E30" s="39">
        <f>'Employee Overview'!Q135</f>
        <v>237</v>
      </c>
      <c r="F30" s="40">
        <f t="shared" si="1"/>
        <v>1.4499999999999886</v>
      </c>
      <c r="G30" s="40">
        <f t="shared" si="2"/>
        <v>0.18124999999999858</v>
      </c>
      <c r="H30" s="40">
        <f t="shared" si="3"/>
        <v>3.6249999999999713E-2</v>
      </c>
      <c r="I30" s="81"/>
      <c r="J30" s="82">
        <f>I30+(D30/12*6)-SUM('Employee Overview'!J20:O20)</f>
        <v>36</v>
      </c>
      <c r="K30" s="80">
        <f t="shared" si="4"/>
        <v>34.550000000000011</v>
      </c>
      <c r="O30" s="242"/>
      <c r="P30" s="241"/>
    </row>
    <row r="31" spans="1:16" x14ac:dyDescent="0.25">
      <c r="A31" s="39">
        <f>'Employee List'!A12</f>
        <v>30763</v>
      </c>
      <c r="B31" s="38" t="str">
        <f>'Hours Scheduled'!B12</f>
        <v>Erwin Deckers</v>
      </c>
      <c r="C31" s="157">
        <v>-46.65</v>
      </c>
      <c r="D31" s="22">
        <f t="shared" si="0"/>
        <v>208</v>
      </c>
      <c r="E31" s="39">
        <f>'Employee Overview'!Q45</f>
        <v>171.5</v>
      </c>
      <c r="F31" s="40">
        <f t="shared" si="1"/>
        <v>-10.150000000000006</v>
      </c>
      <c r="G31" s="40">
        <f t="shared" si="2"/>
        <v>-1.2687500000000007</v>
      </c>
      <c r="H31" s="40">
        <f t="shared" si="3"/>
        <v>-0.25375000000000014</v>
      </c>
      <c r="I31" s="81"/>
      <c r="J31" s="82">
        <f>I31+(D31/12*6)-SUM('Employee Overview'!J42:O42)</f>
        <v>104</v>
      </c>
      <c r="K31" s="80">
        <f t="shared" si="4"/>
        <v>114.15</v>
      </c>
      <c r="O31" s="242"/>
      <c r="P31" s="241"/>
    </row>
    <row r="32" spans="1:16" x14ac:dyDescent="0.25">
      <c r="A32" s="39">
        <f>'Employee List'!A8</f>
        <v>30920</v>
      </c>
      <c r="B32" s="38" t="str">
        <f>'Hours Scheduled'!B8</f>
        <v>Dave Creusen</v>
      </c>
      <c r="C32" s="157">
        <v>8.19</v>
      </c>
      <c r="D32" s="22">
        <f t="shared" si="0"/>
        <v>208</v>
      </c>
      <c r="E32" s="39">
        <f>'Employee Overview'!Q25</f>
        <v>288.5</v>
      </c>
      <c r="F32" s="40">
        <f t="shared" si="1"/>
        <v>-72.31</v>
      </c>
      <c r="G32" s="40">
        <f t="shared" si="2"/>
        <v>-9.0387500000000003</v>
      </c>
      <c r="H32" s="40">
        <f t="shared" si="3"/>
        <v>-1.80775</v>
      </c>
      <c r="I32" s="81"/>
      <c r="J32" s="82">
        <f>I32+(D32/12*6)-SUM('Employee Overview'!J38:O38)</f>
        <v>104</v>
      </c>
      <c r="K32" s="80">
        <f t="shared" si="4"/>
        <v>176.31</v>
      </c>
      <c r="O32" s="242"/>
      <c r="P32" s="241"/>
    </row>
    <row r="33" spans="1:16" x14ac:dyDescent="0.25">
      <c r="A33" s="39">
        <f>'Employee List'!A28</f>
        <v>20228</v>
      </c>
      <c r="B33" s="38" t="str">
        <f>'Hours Scheduled'!B28</f>
        <v>Patrick Janssen</v>
      </c>
      <c r="C33" s="22">
        <v>0.75</v>
      </c>
      <c r="D33" s="22">
        <f t="shared" si="0"/>
        <v>224</v>
      </c>
      <c r="E33" s="39">
        <f>'Employee Overview'!Q125</f>
        <v>231.5</v>
      </c>
      <c r="F33" s="40">
        <f t="shared" si="1"/>
        <v>-6.75</v>
      </c>
      <c r="G33" s="40">
        <f t="shared" si="2"/>
        <v>-0.84375</v>
      </c>
      <c r="H33" s="40">
        <f t="shared" si="3"/>
        <v>-0.16875000000000001</v>
      </c>
      <c r="I33" s="81"/>
      <c r="J33" s="82">
        <f>I33+(D33/12*6)-SUM('Employee Overview'!J18:O18)</f>
        <v>112</v>
      </c>
      <c r="K33" s="80">
        <f t="shared" si="4"/>
        <v>118.75</v>
      </c>
      <c r="L33" s="79"/>
      <c r="O33" s="242"/>
      <c r="P33" s="241"/>
    </row>
    <row r="34" spans="1:16" x14ac:dyDescent="0.25">
      <c r="A34" s="39">
        <f>'Employee List'!A26</f>
        <v>31039</v>
      </c>
      <c r="B34" s="38" t="str">
        <f>'Hours Scheduled'!B26</f>
        <v>Michael Callemeijn</v>
      </c>
      <c r="C34" s="22">
        <v>-42.33</v>
      </c>
      <c r="D34" s="22">
        <f t="shared" si="0"/>
        <v>208</v>
      </c>
      <c r="E34" s="39">
        <f>'Employee Overview'!Q115</f>
        <v>188.5</v>
      </c>
      <c r="F34" s="40">
        <f t="shared" si="1"/>
        <v>-22.829999999999984</v>
      </c>
      <c r="G34" s="40">
        <f t="shared" si="2"/>
        <v>-2.853749999999998</v>
      </c>
      <c r="H34" s="40">
        <f t="shared" si="3"/>
        <v>-0.57074999999999965</v>
      </c>
      <c r="I34" s="81"/>
      <c r="J34" s="82">
        <f>I34+(D34/12*6)-SUM('Employee Overview'!J16:O16)</f>
        <v>104</v>
      </c>
      <c r="K34" s="80">
        <f t="shared" si="4"/>
        <v>126.82999999999998</v>
      </c>
      <c r="O34" s="242"/>
      <c r="P34" s="241"/>
    </row>
    <row r="35" spans="1:16" x14ac:dyDescent="0.25">
      <c r="A35" s="39">
        <f>'Employee List'!A9</f>
        <v>30828</v>
      </c>
      <c r="B35" s="38" t="str">
        <f>'Hours Scheduled'!B9</f>
        <v>Davy Smeets</v>
      </c>
      <c r="C35" s="157">
        <v>17.71</v>
      </c>
      <c r="D35" s="22">
        <f t="shared" si="0"/>
        <v>208</v>
      </c>
      <c r="E35" s="39">
        <f>'Employee Overview'!Q30</f>
        <v>286.5</v>
      </c>
      <c r="F35" s="40">
        <f t="shared" si="1"/>
        <v>-60.789999999999992</v>
      </c>
      <c r="G35" s="40">
        <f t="shared" si="2"/>
        <v>-7.598749999999999</v>
      </c>
      <c r="H35" s="40">
        <f t="shared" si="3"/>
        <v>-1.5197499999999997</v>
      </c>
      <c r="I35" s="81"/>
      <c r="J35" s="82">
        <f>I35+(D35/12*6)-SUM('Employee Overview'!J39:O39)</f>
        <v>104</v>
      </c>
      <c r="K35" s="80">
        <f t="shared" si="4"/>
        <v>164.79</v>
      </c>
      <c r="O35" s="242"/>
      <c r="P35" s="241"/>
    </row>
    <row r="36" spans="1:16" x14ac:dyDescent="0.25">
      <c r="A36" s="39">
        <f>'Employee List'!A15</f>
        <v>30528</v>
      </c>
      <c r="B36" s="38" t="str">
        <f>'Hours Scheduled'!B15</f>
        <v>Jean Pierre Knubben</v>
      </c>
      <c r="C36" s="22">
        <v>-55.2</v>
      </c>
      <c r="D36" s="22">
        <f t="shared" si="0"/>
        <v>208</v>
      </c>
      <c r="E36" s="39">
        <f>'Employee Overview'!Q60</f>
        <v>200</v>
      </c>
      <c r="F36" s="40">
        <f t="shared" si="1"/>
        <v>-47.199999999999989</v>
      </c>
      <c r="G36" s="40">
        <f t="shared" si="2"/>
        <v>-5.8999999999999986</v>
      </c>
      <c r="H36" s="40">
        <f t="shared" si="3"/>
        <v>-1.1799999999999997</v>
      </c>
      <c r="I36" s="81"/>
      <c r="J36" s="82">
        <f>I36+(D36/12*6)-SUM('Employee Overview'!J5:O5)</f>
        <v>12</v>
      </c>
      <c r="K36" s="80">
        <f t="shared" si="4"/>
        <v>59.199999999999989</v>
      </c>
      <c r="L36" s="46"/>
      <c r="O36" s="242"/>
      <c r="P36" s="241"/>
    </row>
    <row r="37" spans="1:16" hidden="1" x14ac:dyDescent="0.25">
      <c r="A37" s="39">
        <f>'Employee List'!A36</f>
        <v>0</v>
      </c>
      <c r="B37" s="38" t="str">
        <f>'Hours Scheduled'!B35</f>
        <v>Danny Ummels</v>
      </c>
      <c r="C37" s="157"/>
      <c r="D37" s="22">
        <f t="shared" ref="D37:D44" si="5">IF(A37&lt;30000,224,208)</f>
        <v>224</v>
      </c>
      <c r="E37" s="39">
        <f>'Employee Overview'!Q165</f>
        <v>0</v>
      </c>
      <c r="F37" s="40">
        <f t="shared" ref="F37:F44" si="6">(C37+D37)-E37+I37</f>
        <v>224</v>
      </c>
      <c r="G37" s="40">
        <f t="shared" ref="G37:G44" si="7">F37/8</f>
        <v>28</v>
      </c>
      <c r="H37" s="40">
        <f t="shared" ref="H37:H44" si="8">G37/5</f>
        <v>5.6</v>
      </c>
      <c r="I37" s="81"/>
      <c r="J37" s="82">
        <f>I37+(D37/12*6)-SUM('Employee Overview'!J26:O26)</f>
        <v>112</v>
      </c>
      <c r="K37" s="80">
        <f t="shared" ref="K37:K44" si="9">J37-F37</f>
        <v>-112</v>
      </c>
      <c r="L37" s="36" t="s">
        <v>114</v>
      </c>
      <c r="O37" s="242"/>
      <c r="P37" s="241"/>
    </row>
    <row r="38" spans="1:16" hidden="1" x14ac:dyDescent="0.25">
      <c r="A38" s="39">
        <f>'Employee List'!A37</f>
        <v>0</v>
      </c>
      <c r="B38" s="38">
        <f>'Hours Scheduled'!B36</f>
        <v>0</v>
      </c>
      <c r="C38" s="157"/>
      <c r="D38" s="22">
        <f t="shared" si="5"/>
        <v>224</v>
      </c>
      <c r="E38" s="39">
        <f>'Employee Overview'!Q170</f>
        <v>0</v>
      </c>
      <c r="F38" s="40">
        <f t="shared" si="6"/>
        <v>224</v>
      </c>
      <c r="G38" s="40">
        <f t="shared" si="7"/>
        <v>28</v>
      </c>
      <c r="H38" s="40">
        <f t="shared" si="8"/>
        <v>5.6</v>
      </c>
      <c r="I38" s="81"/>
      <c r="J38" s="82">
        <f>I38+(D38/12*6)-SUM('Employee Overview'!J27:O27)</f>
        <v>112</v>
      </c>
      <c r="K38" s="80">
        <f t="shared" si="9"/>
        <v>-112</v>
      </c>
      <c r="L38" s="36" t="s">
        <v>58</v>
      </c>
      <c r="O38" s="242"/>
      <c r="P38" s="241"/>
    </row>
    <row r="39" spans="1:16" hidden="1" x14ac:dyDescent="0.25">
      <c r="A39" s="39">
        <f>'Employee List'!A38</f>
        <v>0</v>
      </c>
      <c r="B39" s="38">
        <f>'Hours Scheduled'!B37</f>
        <v>0</v>
      </c>
      <c r="C39" s="157"/>
      <c r="D39" s="22">
        <f t="shared" si="5"/>
        <v>224</v>
      </c>
      <c r="E39" s="39">
        <f>'Employee Overview'!Q175</f>
        <v>0</v>
      </c>
      <c r="F39" s="40">
        <f t="shared" si="6"/>
        <v>224</v>
      </c>
      <c r="G39" s="40">
        <f t="shared" si="7"/>
        <v>28</v>
      </c>
      <c r="H39" s="40">
        <f t="shared" si="8"/>
        <v>5.6</v>
      </c>
      <c r="I39" s="81"/>
      <c r="J39" s="82">
        <f>I39+(D39/12*6)-SUM('Employee Overview'!J28:O28)</f>
        <v>112</v>
      </c>
      <c r="K39" s="80">
        <f t="shared" si="9"/>
        <v>-112</v>
      </c>
      <c r="L39" s="36" t="s">
        <v>56</v>
      </c>
      <c r="O39" s="242"/>
      <c r="P39" s="241"/>
    </row>
    <row r="40" spans="1:16" hidden="1" x14ac:dyDescent="0.25">
      <c r="A40" s="39">
        <f>'Employee List'!A39</f>
        <v>0</v>
      </c>
      <c r="B40" s="38">
        <f>'Hours Scheduled'!B38</f>
        <v>0</v>
      </c>
      <c r="C40" s="157"/>
      <c r="D40" s="22">
        <f t="shared" si="5"/>
        <v>224</v>
      </c>
      <c r="E40" s="39">
        <f>'Employee Overview'!Q180</f>
        <v>0</v>
      </c>
      <c r="F40" s="40">
        <f t="shared" si="6"/>
        <v>224</v>
      </c>
      <c r="G40" s="40">
        <f t="shared" si="7"/>
        <v>28</v>
      </c>
      <c r="H40" s="40">
        <f t="shared" si="8"/>
        <v>5.6</v>
      </c>
      <c r="I40" s="81"/>
      <c r="J40" s="82">
        <f>I40+(D40/12*6)-SUM('Employee Overview'!J29:O29)</f>
        <v>112</v>
      </c>
      <c r="K40" s="80">
        <f t="shared" si="9"/>
        <v>-112</v>
      </c>
      <c r="O40" s="242"/>
      <c r="P40" s="241"/>
    </row>
    <row r="41" spans="1:16" hidden="1" x14ac:dyDescent="0.25">
      <c r="A41" s="39">
        <f>'Employee List'!A40</f>
        <v>0</v>
      </c>
      <c r="B41" s="38">
        <f>'Hours Scheduled'!B39</f>
        <v>0</v>
      </c>
      <c r="C41" s="157"/>
      <c r="D41" s="22">
        <f t="shared" si="5"/>
        <v>224</v>
      </c>
      <c r="E41" s="39">
        <f>'Employee Overview'!Q185</f>
        <v>0</v>
      </c>
      <c r="F41" s="40">
        <f t="shared" si="6"/>
        <v>224</v>
      </c>
      <c r="G41" s="40">
        <f t="shared" si="7"/>
        <v>28</v>
      </c>
      <c r="H41" s="40">
        <f t="shared" si="8"/>
        <v>5.6</v>
      </c>
      <c r="I41" s="81"/>
      <c r="J41" s="82">
        <f>I41+(D41/12*6)-SUM('Employee Overview'!J30:O30)</f>
        <v>8</v>
      </c>
      <c r="K41" s="80">
        <f t="shared" si="9"/>
        <v>-216</v>
      </c>
      <c r="O41" s="242"/>
      <c r="P41" s="241"/>
    </row>
    <row r="42" spans="1:16" hidden="1" x14ac:dyDescent="0.25">
      <c r="A42" s="39">
        <f>'Employee List'!A41</f>
        <v>0</v>
      </c>
      <c r="B42" s="38">
        <f>'Hours Scheduled'!B40</f>
        <v>0</v>
      </c>
      <c r="C42" s="157"/>
      <c r="D42" s="22">
        <f t="shared" si="5"/>
        <v>224</v>
      </c>
      <c r="E42" s="39">
        <f>'Employee Overview'!Q190</f>
        <v>0</v>
      </c>
      <c r="F42" s="40">
        <f t="shared" si="6"/>
        <v>224</v>
      </c>
      <c r="G42" s="40">
        <f t="shared" si="7"/>
        <v>28</v>
      </c>
      <c r="H42" s="40">
        <f t="shared" si="8"/>
        <v>5.6</v>
      </c>
      <c r="I42" s="81"/>
      <c r="J42" s="82">
        <f>I42+(D42/12*6)-SUM('Employee Overview'!J31:O31)</f>
        <v>112</v>
      </c>
      <c r="K42" s="80">
        <f t="shared" si="9"/>
        <v>-112</v>
      </c>
      <c r="O42" s="242"/>
      <c r="P42" s="241"/>
    </row>
    <row r="43" spans="1:16" hidden="1" x14ac:dyDescent="0.25">
      <c r="A43" s="39">
        <f>'Employee List'!A42</f>
        <v>0</v>
      </c>
      <c r="B43" s="38">
        <f>'Hours Scheduled'!B41</f>
        <v>0</v>
      </c>
      <c r="C43" s="157"/>
      <c r="D43" s="22">
        <f t="shared" si="5"/>
        <v>224</v>
      </c>
      <c r="E43" s="39">
        <f>'Employee Overview'!Q195</f>
        <v>0</v>
      </c>
      <c r="F43" s="40">
        <f t="shared" si="6"/>
        <v>224</v>
      </c>
      <c r="G43" s="40">
        <f t="shared" si="7"/>
        <v>28</v>
      </c>
      <c r="H43" s="40">
        <f t="shared" si="8"/>
        <v>5.6</v>
      </c>
      <c r="I43" s="81"/>
      <c r="J43" s="82">
        <f>I43+(D43/12*6)-SUM('Employee Overview'!J32:O32)</f>
        <v>112</v>
      </c>
      <c r="K43" s="80">
        <f t="shared" si="9"/>
        <v>-112</v>
      </c>
      <c r="O43" s="242"/>
      <c r="P43" s="241"/>
    </row>
    <row r="44" spans="1:16" hidden="1" x14ac:dyDescent="0.25">
      <c r="A44" s="39">
        <f>'Employee List'!A43</f>
        <v>0</v>
      </c>
      <c r="B44" s="38">
        <f>'Hours Scheduled'!B42</f>
        <v>0</v>
      </c>
      <c r="C44" s="157"/>
      <c r="D44" s="22">
        <f t="shared" si="5"/>
        <v>224</v>
      </c>
      <c r="E44" s="39">
        <f>'Employee Overview'!Q200</f>
        <v>0</v>
      </c>
      <c r="F44" s="40">
        <f t="shared" si="6"/>
        <v>224</v>
      </c>
      <c r="G44" s="40">
        <f t="shared" si="7"/>
        <v>28</v>
      </c>
      <c r="H44" s="40">
        <f t="shared" si="8"/>
        <v>5.6</v>
      </c>
      <c r="I44" s="81"/>
      <c r="J44" s="82">
        <f>I44+(D44/12*6)-SUM('Employee Overview'!J33:O33)</f>
        <v>112</v>
      </c>
      <c r="K44" s="80">
        <f t="shared" si="9"/>
        <v>-112</v>
      </c>
      <c r="O44" s="242"/>
      <c r="P44" s="241"/>
    </row>
  </sheetData>
  <autoFilter ref="A4:L44">
    <filterColumn colId="0">
      <filters>
        <filter val="20043"/>
        <filter val="20228"/>
        <filter val="20449"/>
        <filter val="20955"/>
        <filter val="21025"/>
        <filter val="21122"/>
        <filter val="21167"/>
        <filter val="22057"/>
        <filter val="30038"/>
        <filter val="30104"/>
        <filter val="30279"/>
        <filter val="30527"/>
        <filter val="30528"/>
        <filter val="30761"/>
        <filter val="30763"/>
        <filter val="30828"/>
        <filter val="30920"/>
        <filter val="31039"/>
        <filter val="31656"/>
        <filter val="31673"/>
        <filter val="34529"/>
        <filter val="34555"/>
        <filter val="34561"/>
        <filter val="34562"/>
        <filter val="34563"/>
        <filter val="34576"/>
        <filter val="34579"/>
        <filter val="34590"/>
        <filter val="34592"/>
      </filters>
    </filterColumn>
    <filterColumn colId="1">
      <filters>
        <filter val="Barry Berendhuysen"/>
        <filter val="Bas Boermans"/>
        <filter val="Bastiaan Franssen"/>
        <filter val="Bjorn Haagen"/>
        <filter val="Dave Creusen"/>
        <filter val="Davy Smeets"/>
        <filter val="Dominique Daemen"/>
        <filter val="Erwin Deckers"/>
        <filter val="Fred Boekwijt"/>
        <filter val="Frido Meijer"/>
        <filter val="Jean Pierre Knubben"/>
        <filter val="Joop Kiefte"/>
        <filter val="Kevin Ploum"/>
        <filter val="Loode Evers"/>
        <filter val="Marc Linssen"/>
        <filter val="Marco Smeekes"/>
        <filter val="Mark Meijer"/>
        <filter val="Marvin Machelesen"/>
        <filter val="Michael Callemeijn"/>
        <filter val="Niels Lievaart"/>
        <filter val="Patrick Janssen"/>
        <filter val="Patrick Ziesen"/>
        <filter val="Robin Nieuwenhuis"/>
        <filter val="Tiemen Schumacher"/>
      </filters>
    </filterColumn>
    <sortState ref="A5:L36">
      <sortCondition descending="1" ref="H4:H44"/>
    </sortState>
  </autoFilter>
  <sortState ref="H2:H46">
    <sortCondition descending="1" ref="H1"/>
  </sortState>
  <customSheetViews>
    <customSheetView guid="{98CBC5BF-8C89-48A4-860E-9C56014CD200}" scale="85" showGridLines="0" fitToPage="1" filter="1" showAutoFilter="1" hiddenColumns="1">
      <selection activeCell="B19" sqref="B19:H19"/>
      <pageMargins left="0.70866141732283472" right="0.70866141732283472" top="0.74803149606299213" bottom="0.74803149606299213" header="0.31496062992125984" footer="0.31496062992125984"/>
      <pageSetup paperSize="9" scale="59" orientation="portrait" horizontalDpi="1200" r:id="rId1"/>
      <autoFilter ref="A4:L44">
        <filterColumn colId="0">
          <filters>
            <filter val="20043"/>
            <filter val="20228"/>
            <filter val="20449"/>
            <filter val="20955"/>
            <filter val="21025"/>
            <filter val="21122"/>
            <filter val="21167"/>
            <filter val="22057"/>
            <filter val="30038"/>
            <filter val="30104"/>
            <filter val="30279"/>
            <filter val="30527"/>
            <filter val="30528"/>
            <filter val="30761"/>
            <filter val="30763"/>
            <filter val="30828"/>
            <filter val="30920"/>
            <filter val="31039"/>
            <filter val="31656"/>
            <filter val="31673"/>
            <filter val="34529"/>
            <filter val="34555"/>
            <filter val="34561"/>
            <filter val="34562"/>
            <filter val="34563"/>
            <filter val="34576"/>
            <filter val="34579"/>
            <filter val="34590"/>
            <filter val="34592"/>
          </filters>
        </filterColumn>
        <filterColumn colId="1">
          <filters>
            <filter val="Barry Berendhuysen"/>
            <filter val="Bas Boermans"/>
            <filter val="Bastiaan Franssen"/>
            <filter val="Bjorn Haagen"/>
            <filter val="Dave Creusen"/>
            <filter val="Davy Smeets"/>
            <filter val="Dominique Daemen"/>
            <filter val="Erwin Deckers"/>
            <filter val="Fred Boekwijt"/>
            <filter val="Frido Meijer"/>
            <filter val="Jean Pierre Knubben"/>
            <filter val="Joop Kiefte"/>
            <filter val="Kevin Ploum"/>
            <filter val="Loode Evers"/>
            <filter val="Marc Linssen"/>
            <filter val="Marco Smeekes"/>
            <filter val="Mark Meijer"/>
            <filter val="Marvin Machelesen"/>
            <filter val="Michael Callemeijn"/>
            <filter val="Niels Lievaart"/>
            <filter val="Patrick Janssen"/>
            <filter val="Patrick Ziesen"/>
            <filter val="Robin Nieuwenhuis"/>
            <filter val="Tiemen Schumacher"/>
          </filters>
        </filterColumn>
        <sortState ref="A5:L36">
          <sortCondition descending="1" ref="H4:H44"/>
        </sortState>
      </autoFilter>
    </customSheetView>
    <customSheetView guid="{1BC25061-32D5-45DE-83F9-EFA3A1092E03}" showPageBreaks="1" showGridLines="0" fitToPage="1" showAutoFilter="1" hiddenColumns="1" view="pageLayout" topLeftCell="A7">
      <selection activeCell="A16" sqref="A16:XFD16"/>
      <pageMargins left="0.70866141732283472" right="0.70866141732283472" top="0.74803149606299213" bottom="0.74803149606299213" header="0.31496062992125984" footer="0.31496062992125984"/>
      <pageSetup paperSize="9" scale="60" orientation="landscape" horizontalDpi="1200" r:id="rId2"/>
      <autoFilter ref="A4:L44"/>
    </customSheetView>
    <customSheetView guid="{CF917189-7AB9-4E55-816F-ACFC7FA45C05}" showPageBreaks="1" showGridLines="0" fitToPage="1" showAutoFilter="1" hiddenColumns="1" view="pageLayout" topLeftCell="A7">
      <selection activeCell="A16" sqref="A16:XFD16"/>
      <pageMargins left="0.70866141732283472" right="0.70866141732283472" top="0.74803149606299213" bottom="0.74803149606299213" header="0.31496062992125984" footer="0.31496062992125984"/>
      <pageSetup paperSize="9" scale="59" orientation="landscape" horizontalDpi="1200" r:id="rId3"/>
      <autoFilter ref="A4:L44"/>
    </customSheetView>
    <customSheetView guid="{4155806E-C0D0-4CC9-9B31-04245B7DD4C8}" scale="90" showGridLines="0" fitToPage="1" filter="1" showAutoFilter="1" hiddenColumns="1" topLeftCell="A7">
      <selection activeCell="I48" sqref="I48"/>
      <pageMargins left="0.70866141732283472" right="0.70866141732283472" top="0.74803149606299213" bottom="0.74803149606299213" header="0.31496062992125984" footer="0.31496062992125984"/>
      <pageSetup paperSize="9" scale="57" orientation="landscape" horizontalDpi="1200" r:id="rId4"/>
      <autoFilter ref="A4:K44">
        <filterColumn colId="1">
          <filters>
            <filter val="Barry Berendhuysen"/>
            <filter val="Bjorn Haagen"/>
            <filter val="Dave Creusen"/>
            <filter val="Dominique Daemen"/>
            <filter val="Erwin Deckers"/>
            <filter val="Fred Boekwijt"/>
            <filter val="Frido Meijer"/>
            <filter val="Gerardus de Haas"/>
            <filter val="Jean Pierre Knubben"/>
            <filter val="Joost Dirksen"/>
            <filter val="Lars de Winter"/>
            <filter val="Loode Evers"/>
            <filter val="Marc Linssen"/>
            <filter val="Marco Smeekes"/>
            <filter val="Mark Meijer"/>
            <filter val="Marvin Machelesen"/>
            <filter val="Michael Callemeijn"/>
            <filter val="Patrick Janssen"/>
            <filter val="Patrick Ziesen"/>
            <filter val="Rudi Spees"/>
            <filter val="Tiemen Schumacher"/>
            <filter val="Wantoo Jacobs"/>
          </filters>
        </filterColumn>
      </autoFilter>
    </customSheetView>
    <customSheetView guid="{1587CBCC-2CC7-4525-8A49-E261AB2E1606}" scale="85" showPageBreaks="1" showGridLines="0" fitToPage="1" filter="1" showAutoFilter="1" hiddenColumns="1" topLeftCell="A2">
      <selection activeCell="H20" sqref="H20"/>
      <pageMargins left="0.70866141732283472" right="0.70866141732283472" top="0.74803149606299213" bottom="0.74803149606299213" header="0.31496062992125984" footer="0.31496062992125984"/>
      <pageSetup paperSize="9" scale="69" orientation="landscape" horizontalDpi="1200" r:id="rId5"/>
      <autoFilter ref="A4:L44">
        <filterColumn colId="0">
          <filters>
            <filter val="20043"/>
            <filter val="20228"/>
            <filter val="20449"/>
            <filter val="20955"/>
            <filter val="21025"/>
            <filter val="21122"/>
            <filter val="21167"/>
            <filter val="22057"/>
            <filter val="30038"/>
            <filter val="30104"/>
            <filter val="30279"/>
            <filter val="30527"/>
            <filter val="30528"/>
            <filter val="30680"/>
            <filter val="30761"/>
            <filter val="30763"/>
            <filter val="30828"/>
            <filter val="30920"/>
            <filter val="31039"/>
            <filter val="31656"/>
            <filter val="31673"/>
            <filter val="34529"/>
            <filter val="34555"/>
            <filter val="34561"/>
            <filter val="34562"/>
            <filter val="34563"/>
            <filter val="34576"/>
            <filter val="34579"/>
            <filter val="34590"/>
            <filter val="34592"/>
            <filter val="40296"/>
            <filter val="40325"/>
          </filters>
        </filterColumn>
        <sortState ref="A5:L36">
          <sortCondition descending="1" ref="H4:H44"/>
        </sortState>
      </autoFilter>
    </customSheetView>
    <customSheetView guid="{C5D9000A-81ED-4920-B6AF-4B234775AEC9}" showPageBreaks="1" showGridLines="0" fitToPage="1" showAutoFilter="1" hiddenColumns="1" view="pageLayout" topLeftCell="A7">
      <selection activeCell="B35" sqref="B35"/>
      <pageMargins left="0.70866141732283472" right="0.70866141732283472" top="0.74803149606299213" bottom="0.74803149606299213" header="0.31496062992125984" footer="0.31496062992125984"/>
      <pageSetup paperSize="9" scale="59" orientation="landscape" horizontalDpi="1200" r:id="rId6"/>
      <autoFilter ref="A4:L44">
        <sortState ref="A5:L36">
          <sortCondition descending="1" ref="H4:H44"/>
        </sortState>
      </autoFilter>
    </customSheetView>
  </customSheetViews>
  <conditionalFormatting sqref="F5:G44 I5:I32">
    <cfRule type="cellIs" priority="56" operator="greaterThanOrEqual">
      <formula>0</formula>
    </cfRule>
    <cfRule type="cellIs" dxfId="102" priority="57" operator="lessThan">
      <formula>0</formula>
    </cfRule>
  </conditionalFormatting>
  <conditionalFormatting sqref="C5:C44 F5:G44">
    <cfRule type="cellIs" dxfId="101" priority="47" operator="lessThan">
      <formula>0</formula>
    </cfRule>
  </conditionalFormatting>
  <conditionalFormatting sqref="A5:A44">
    <cfRule type="cellIs" dxfId="100" priority="46" operator="greaterThan">
      <formula>3000</formula>
    </cfRule>
  </conditionalFormatting>
  <conditionalFormatting sqref="F33:G37 I33:I36">
    <cfRule type="cellIs" priority="43" operator="greaterThanOrEqual">
      <formula>0</formula>
    </cfRule>
    <cfRule type="cellIs" dxfId="99" priority="44" operator="lessThan">
      <formula>0</formula>
    </cfRule>
  </conditionalFormatting>
  <conditionalFormatting sqref="G33:G37">
    <cfRule type="cellIs" priority="41" operator="greaterThanOrEqual">
      <formula>0</formula>
    </cfRule>
    <cfRule type="cellIs" dxfId="98" priority="42" operator="lessThan">
      <formula>0</formula>
    </cfRule>
  </conditionalFormatting>
  <conditionalFormatting sqref="G33:G37">
    <cfRule type="cellIs" priority="39" operator="greaterThanOrEqual">
      <formula>0</formula>
    </cfRule>
    <cfRule type="cellIs" dxfId="97" priority="40" operator="lessThan">
      <formula>0</formula>
    </cfRule>
  </conditionalFormatting>
  <conditionalFormatting sqref="I33:I36">
    <cfRule type="cellIs" priority="37" operator="greaterThanOrEqual">
      <formula>0</formula>
    </cfRule>
    <cfRule type="cellIs" dxfId="96" priority="38" operator="lessThan">
      <formula>0</formula>
    </cfRule>
  </conditionalFormatting>
  <conditionalFormatting sqref="I33:I36">
    <cfRule type="cellIs" priority="35" operator="greaterThanOrEqual">
      <formula>0</formula>
    </cfRule>
    <cfRule type="cellIs" dxfId="95" priority="36" operator="lessThan">
      <formula>0</formula>
    </cfRule>
  </conditionalFormatting>
  <conditionalFormatting sqref="C33:C36">
    <cfRule type="cellIs" dxfId="94" priority="34" operator="lessThan">
      <formula>0</formula>
    </cfRule>
  </conditionalFormatting>
  <conditionalFormatting sqref="A33:A36">
    <cfRule type="cellIs" dxfId="93" priority="33" operator="greaterThan">
      <formula>3000</formula>
    </cfRule>
  </conditionalFormatting>
  <conditionalFormatting sqref="F33:G37">
    <cfRule type="cellIs" dxfId="92" priority="32" operator="lessThan">
      <formula>0</formula>
    </cfRule>
  </conditionalFormatting>
  <conditionalFormatting sqref="F37:G40 I37:I40">
    <cfRule type="cellIs" priority="30" operator="greaterThanOrEqual">
      <formula>0</formula>
    </cfRule>
    <cfRule type="cellIs" dxfId="91" priority="31" operator="lessThan">
      <formula>0</formula>
    </cfRule>
  </conditionalFormatting>
  <conditionalFormatting sqref="G37:G40">
    <cfRule type="cellIs" priority="28" operator="greaterThanOrEqual">
      <formula>0</formula>
    </cfRule>
    <cfRule type="cellIs" dxfId="90" priority="29" operator="lessThan">
      <formula>0</formula>
    </cfRule>
  </conditionalFormatting>
  <conditionalFormatting sqref="G37:G40">
    <cfRule type="cellIs" priority="26" operator="greaterThanOrEqual">
      <formula>0</formula>
    </cfRule>
    <cfRule type="cellIs" dxfId="89" priority="27" operator="lessThan">
      <formula>0</formula>
    </cfRule>
  </conditionalFormatting>
  <conditionalFormatting sqref="I37:I40">
    <cfRule type="cellIs" priority="24" operator="greaterThanOrEqual">
      <formula>0</formula>
    </cfRule>
    <cfRule type="cellIs" dxfId="88" priority="25" operator="lessThan">
      <formula>0</formula>
    </cfRule>
  </conditionalFormatting>
  <conditionalFormatting sqref="I37:I40">
    <cfRule type="cellIs" priority="22" operator="greaterThanOrEqual">
      <formula>0</formula>
    </cfRule>
    <cfRule type="cellIs" dxfId="87" priority="23" operator="lessThan">
      <formula>0</formula>
    </cfRule>
  </conditionalFormatting>
  <conditionalFormatting sqref="C37:C40">
    <cfRule type="cellIs" dxfId="86" priority="21" operator="lessThan">
      <formula>0</formula>
    </cfRule>
  </conditionalFormatting>
  <conditionalFormatting sqref="A37:A40">
    <cfRule type="cellIs" dxfId="85" priority="20" operator="greaterThan">
      <formula>3000</formula>
    </cfRule>
  </conditionalFormatting>
  <conditionalFormatting sqref="F37:G40">
    <cfRule type="cellIs" dxfId="84" priority="19" operator="lessThan">
      <formula>0</formula>
    </cfRule>
  </conditionalFormatting>
  <conditionalFormatting sqref="F41:G44 I41:I44">
    <cfRule type="cellIs" priority="17" operator="greaterThanOrEqual">
      <formula>0</formula>
    </cfRule>
    <cfRule type="cellIs" dxfId="83" priority="18" operator="lessThan">
      <formula>0</formula>
    </cfRule>
  </conditionalFormatting>
  <conditionalFormatting sqref="G41:G44">
    <cfRule type="cellIs" priority="15" operator="greaterThanOrEqual">
      <formula>0</formula>
    </cfRule>
    <cfRule type="cellIs" dxfId="82" priority="16" operator="lessThan">
      <formula>0</formula>
    </cfRule>
  </conditionalFormatting>
  <conditionalFormatting sqref="G41:G44">
    <cfRule type="cellIs" priority="13" operator="greaterThanOrEqual">
      <formula>0</formula>
    </cfRule>
    <cfRule type="cellIs" dxfId="81" priority="14" operator="lessThan">
      <formula>0</formula>
    </cfRule>
  </conditionalFormatting>
  <conditionalFormatting sqref="I41:I44">
    <cfRule type="cellIs" priority="11" operator="greaterThanOrEqual">
      <formula>0</formula>
    </cfRule>
    <cfRule type="cellIs" dxfId="80" priority="12" operator="lessThan">
      <formula>0</formula>
    </cfRule>
  </conditionalFormatting>
  <conditionalFormatting sqref="I41:I44">
    <cfRule type="cellIs" priority="9" operator="greaterThanOrEqual">
      <formula>0</formula>
    </cfRule>
    <cfRule type="cellIs" dxfId="79" priority="10" operator="lessThan">
      <formula>0</formula>
    </cfRule>
  </conditionalFormatting>
  <conditionalFormatting sqref="C41:C44">
    <cfRule type="cellIs" dxfId="78" priority="8" operator="lessThan">
      <formula>0</formula>
    </cfRule>
  </conditionalFormatting>
  <conditionalFormatting sqref="A41:A44">
    <cfRule type="cellIs" dxfId="77" priority="7" operator="greaterThan">
      <formula>3000</formula>
    </cfRule>
  </conditionalFormatting>
  <conditionalFormatting sqref="F41:G44">
    <cfRule type="cellIs" dxfId="76" priority="6" operator="lessThan">
      <formula>0</formula>
    </cfRule>
  </conditionalFormatting>
  <conditionalFormatting sqref="H5:H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{ADA137B6-9760-47DE-9759-BEB314B8519C}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59" orientation="portrait" horizontalDpi="1200" r:id="rId7"/>
  <legacy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A137B6-9760-47DE-9759-BEB314B85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H5:H44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CC"/>
  </sheetPr>
  <dimension ref="B2:S47"/>
  <sheetViews>
    <sheetView showGridLines="0" zoomScale="80" zoomScaleNormal="80" workbookViewId="0">
      <selection activeCell="U20" sqref="U20"/>
    </sheetView>
  </sheetViews>
  <sheetFormatPr defaultRowHeight="15" x14ac:dyDescent="0.25"/>
  <cols>
    <col min="2" max="2" width="19.5703125" bestFit="1" customWidth="1"/>
    <col min="3" max="3" width="1.7109375" customWidth="1"/>
    <col min="4" max="15" width="9.140625" customWidth="1"/>
    <col min="16" max="16" width="5.5703125" bestFit="1" customWidth="1"/>
    <col min="17" max="24" width="3.85546875" customWidth="1"/>
    <col min="25" max="25" width="4.42578125" bestFit="1" customWidth="1"/>
    <col min="26" max="26" width="3.42578125" customWidth="1"/>
  </cols>
  <sheetData>
    <row r="2" spans="2:19" ht="15.75" x14ac:dyDescent="0.25">
      <c r="D2" s="274" t="s">
        <v>19</v>
      </c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</row>
    <row r="3" spans="2:19" x14ac:dyDescent="0.25">
      <c r="D3" s="18" t="s">
        <v>26</v>
      </c>
      <c r="E3" s="18" t="s">
        <v>25</v>
      </c>
      <c r="F3" s="18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24</v>
      </c>
      <c r="L3" s="18" t="s">
        <v>20</v>
      </c>
      <c r="M3" s="18" t="s">
        <v>21</v>
      </c>
      <c r="N3" s="18" t="s">
        <v>22</v>
      </c>
      <c r="O3" s="18" t="s">
        <v>23</v>
      </c>
    </row>
    <row r="4" spans="2:19" x14ac:dyDescent="0.25">
      <c r="B4" s="193" t="str">
        <f>'Employee List'!B4</f>
        <v>Barry Berendhuysen</v>
      </c>
      <c r="D4" s="34">
        <v>176</v>
      </c>
      <c r="E4" s="34">
        <v>160</v>
      </c>
      <c r="F4" s="34">
        <v>168</v>
      </c>
      <c r="G4" s="34">
        <v>160</v>
      </c>
      <c r="H4" s="34">
        <v>168</v>
      </c>
      <c r="I4" s="34">
        <v>160</v>
      </c>
      <c r="J4" s="34">
        <v>184</v>
      </c>
      <c r="K4" s="34">
        <v>176</v>
      </c>
      <c r="L4" s="34">
        <v>168</v>
      </c>
      <c r="M4" s="34">
        <v>184</v>
      </c>
      <c r="N4" s="34">
        <v>168</v>
      </c>
      <c r="O4" s="34">
        <v>160</v>
      </c>
      <c r="R4" s="36" t="s">
        <v>89</v>
      </c>
    </row>
    <row r="5" spans="2:19" x14ac:dyDescent="0.25">
      <c r="B5" s="193" t="str">
        <f>'Employee List'!B5</f>
        <v>Bas Boermans</v>
      </c>
      <c r="D5" s="34">
        <v>176</v>
      </c>
      <c r="E5" s="34">
        <v>160</v>
      </c>
      <c r="F5" s="34">
        <v>168</v>
      </c>
      <c r="G5" s="34">
        <v>160</v>
      </c>
      <c r="H5" s="247">
        <v>16</v>
      </c>
      <c r="I5" s="200"/>
      <c r="J5" s="200"/>
      <c r="K5" s="200"/>
      <c r="L5" s="200"/>
      <c r="M5" s="200"/>
      <c r="N5" s="200"/>
      <c r="O5" s="200"/>
    </row>
    <row r="6" spans="2:19" x14ac:dyDescent="0.25">
      <c r="B6" s="193" t="str">
        <f>'Employee List'!B6</f>
        <v>Bastiaan Franssen</v>
      </c>
      <c r="D6" s="34">
        <v>176</v>
      </c>
      <c r="E6" s="34">
        <v>160</v>
      </c>
      <c r="F6" s="34">
        <v>168</v>
      </c>
      <c r="G6" s="200"/>
      <c r="H6" s="200"/>
      <c r="I6" s="200"/>
      <c r="J6" s="200"/>
      <c r="K6" s="200"/>
      <c r="L6" s="200"/>
      <c r="M6" s="200"/>
      <c r="N6" s="200"/>
      <c r="O6" s="200"/>
      <c r="R6" s="208"/>
      <c r="S6" s="209" t="s">
        <v>176</v>
      </c>
    </row>
    <row r="7" spans="2:19" x14ac:dyDescent="0.25">
      <c r="B7" s="193" t="str">
        <f>'Employee List'!B7</f>
        <v>Bjorn Haagen</v>
      </c>
      <c r="D7" s="34">
        <v>176</v>
      </c>
      <c r="E7" s="34">
        <v>160</v>
      </c>
      <c r="F7" s="34">
        <v>168</v>
      </c>
      <c r="G7" s="34">
        <v>160</v>
      </c>
      <c r="H7" s="34">
        <v>168</v>
      </c>
      <c r="I7" s="34">
        <v>160</v>
      </c>
      <c r="J7" s="34">
        <v>184</v>
      </c>
      <c r="K7" s="34">
        <v>176</v>
      </c>
      <c r="L7" s="34">
        <v>168</v>
      </c>
      <c r="M7" s="34">
        <v>184</v>
      </c>
      <c r="N7" s="34">
        <v>168</v>
      </c>
      <c r="O7" s="34">
        <v>160</v>
      </c>
      <c r="R7" s="211"/>
      <c r="S7" t="s">
        <v>178</v>
      </c>
    </row>
    <row r="8" spans="2:19" x14ac:dyDescent="0.25">
      <c r="B8" s="193" t="str">
        <f>'Employee List'!B8</f>
        <v>Dave Creusen</v>
      </c>
      <c r="D8" s="34">
        <v>176</v>
      </c>
      <c r="E8" s="34">
        <v>160</v>
      </c>
      <c r="F8" s="34">
        <v>168</v>
      </c>
      <c r="G8" s="34">
        <v>160</v>
      </c>
      <c r="H8" s="34">
        <v>168</v>
      </c>
      <c r="I8" s="34">
        <v>160</v>
      </c>
      <c r="J8" s="34">
        <v>184</v>
      </c>
      <c r="K8" s="34">
        <v>176</v>
      </c>
      <c r="L8" s="34">
        <v>168</v>
      </c>
      <c r="M8" s="34">
        <v>184</v>
      </c>
      <c r="N8" s="34">
        <v>168</v>
      </c>
      <c r="O8" s="34">
        <v>160</v>
      </c>
      <c r="R8" s="217"/>
      <c r="S8" t="s">
        <v>179</v>
      </c>
    </row>
    <row r="9" spans="2:19" x14ac:dyDescent="0.25">
      <c r="B9" s="193" t="str">
        <f>'Employee List'!B9</f>
        <v>Davy Smeets</v>
      </c>
      <c r="D9" s="34">
        <v>176</v>
      </c>
      <c r="E9" s="34">
        <v>160</v>
      </c>
      <c r="F9" s="34">
        <v>168</v>
      </c>
      <c r="G9" s="34">
        <v>160</v>
      </c>
      <c r="H9" s="34">
        <v>168</v>
      </c>
      <c r="I9" s="34">
        <v>160</v>
      </c>
      <c r="J9" s="34">
        <v>184</v>
      </c>
      <c r="K9" s="34">
        <v>176</v>
      </c>
      <c r="L9" s="34">
        <v>168</v>
      </c>
      <c r="M9" s="34">
        <v>184</v>
      </c>
      <c r="N9" s="34">
        <v>168</v>
      </c>
      <c r="O9" s="34">
        <v>160</v>
      </c>
    </row>
    <row r="10" spans="2:19" x14ac:dyDescent="0.25">
      <c r="B10" s="193" t="str">
        <f>'Employee List'!B10</f>
        <v>Dennis van 't Hul</v>
      </c>
      <c r="D10" s="34">
        <v>16</v>
      </c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</row>
    <row r="11" spans="2:19" x14ac:dyDescent="0.25">
      <c r="B11" s="193" t="str">
        <f>'Employee List'!B11</f>
        <v>Dominique Daemen</v>
      </c>
      <c r="D11" s="34">
        <v>176</v>
      </c>
      <c r="E11" s="34">
        <v>160</v>
      </c>
      <c r="F11" s="34">
        <v>168</v>
      </c>
      <c r="G11" s="34">
        <v>160</v>
      </c>
      <c r="H11" s="34">
        <v>168</v>
      </c>
      <c r="I11" s="34">
        <v>160</v>
      </c>
      <c r="J11" s="34">
        <v>184</v>
      </c>
      <c r="K11" s="34">
        <v>176</v>
      </c>
      <c r="L11" s="34">
        <v>168</v>
      </c>
      <c r="M11" s="34">
        <v>184</v>
      </c>
      <c r="N11" s="34">
        <v>168</v>
      </c>
      <c r="O11" s="34">
        <v>160</v>
      </c>
    </row>
    <row r="12" spans="2:19" x14ac:dyDescent="0.25">
      <c r="B12" s="193" t="str">
        <f>'Employee List'!B12</f>
        <v>Erwin Deckers</v>
      </c>
      <c r="D12" s="34">
        <v>176</v>
      </c>
      <c r="E12" s="34">
        <v>160</v>
      </c>
      <c r="F12" s="34">
        <v>168</v>
      </c>
      <c r="G12" s="34">
        <v>160</v>
      </c>
      <c r="H12" s="34">
        <v>168</v>
      </c>
      <c r="I12" s="34">
        <v>160</v>
      </c>
      <c r="J12" s="34">
        <v>184</v>
      </c>
      <c r="K12" s="34">
        <v>176</v>
      </c>
      <c r="L12" s="34">
        <v>168</v>
      </c>
      <c r="M12" s="34">
        <v>184</v>
      </c>
      <c r="N12" s="34">
        <v>168</v>
      </c>
      <c r="O12" s="34">
        <v>160</v>
      </c>
    </row>
    <row r="13" spans="2:19" x14ac:dyDescent="0.25">
      <c r="B13" s="193" t="str">
        <f>'Employee List'!B13</f>
        <v>Fred Boekwijt</v>
      </c>
      <c r="D13" s="34">
        <v>176</v>
      </c>
      <c r="E13" s="34">
        <v>160</v>
      </c>
      <c r="F13" s="34">
        <v>168</v>
      </c>
      <c r="G13" s="34">
        <v>160</v>
      </c>
      <c r="H13" s="34">
        <v>168</v>
      </c>
      <c r="I13" s="34">
        <v>160</v>
      </c>
      <c r="J13" s="34">
        <v>184</v>
      </c>
      <c r="K13" s="34">
        <v>176</v>
      </c>
      <c r="L13" s="34">
        <v>168</v>
      </c>
      <c r="M13" s="34">
        <v>184</v>
      </c>
      <c r="N13" s="34">
        <v>168</v>
      </c>
      <c r="O13" s="34">
        <v>160</v>
      </c>
    </row>
    <row r="14" spans="2:19" x14ac:dyDescent="0.25">
      <c r="B14" s="193" t="str">
        <f>'Employee List'!B14</f>
        <v>Frido Meijer</v>
      </c>
      <c r="D14" s="34">
        <v>176</v>
      </c>
      <c r="E14" s="34">
        <v>160</v>
      </c>
      <c r="F14" s="34">
        <v>168</v>
      </c>
      <c r="G14" s="34">
        <v>160</v>
      </c>
      <c r="H14" s="34">
        <v>168</v>
      </c>
      <c r="I14" s="34">
        <v>160</v>
      </c>
      <c r="J14" s="34">
        <v>184</v>
      </c>
      <c r="K14" s="34">
        <v>176</v>
      </c>
      <c r="L14" s="34">
        <v>168</v>
      </c>
      <c r="M14" s="34">
        <v>184</v>
      </c>
      <c r="N14" s="34">
        <v>168</v>
      </c>
      <c r="O14" s="34">
        <v>160</v>
      </c>
    </row>
    <row r="15" spans="2:19" x14ac:dyDescent="0.25">
      <c r="B15" s="193" t="str">
        <f>'Employee List'!B15</f>
        <v>Jean Pierre Knubben</v>
      </c>
      <c r="D15" s="247">
        <f>176-(5*8)</f>
        <v>136</v>
      </c>
      <c r="E15" s="247">
        <f>16*8</f>
        <v>128</v>
      </c>
      <c r="F15" s="247">
        <f>17*8</f>
        <v>136</v>
      </c>
      <c r="G15" s="247">
        <f>16*8</f>
        <v>128</v>
      </c>
      <c r="H15" s="247">
        <f>16*8</f>
        <v>128</v>
      </c>
      <c r="I15" s="247">
        <f>16*8</f>
        <v>128</v>
      </c>
      <c r="J15" s="247">
        <f>18*8</f>
        <v>144</v>
      </c>
      <c r="K15" s="247">
        <f>18*8</f>
        <v>144</v>
      </c>
      <c r="L15" s="247">
        <f>17*8</f>
        <v>136</v>
      </c>
      <c r="M15" s="247">
        <f>18*8</f>
        <v>144</v>
      </c>
      <c r="N15" s="247">
        <f>17*8</f>
        <v>136</v>
      </c>
      <c r="O15" s="247">
        <f>17*8</f>
        <v>136</v>
      </c>
    </row>
    <row r="16" spans="2:19" x14ac:dyDescent="0.25">
      <c r="B16" s="193" t="str">
        <f>'Employee List'!B16</f>
        <v>Jim van der Weijden</v>
      </c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</row>
    <row r="17" spans="2:15" x14ac:dyDescent="0.25">
      <c r="B17" s="193" t="str">
        <f>'Employee List'!B17</f>
        <v>Joop Kiefte</v>
      </c>
      <c r="D17" s="34">
        <v>176</v>
      </c>
      <c r="E17" s="34">
        <v>160</v>
      </c>
      <c r="F17" s="34">
        <v>168</v>
      </c>
      <c r="G17" s="34">
        <v>160</v>
      </c>
      <c r="H17" s="34">
        <v>168</v>
      </c>
      <c r="I17" s="34">
        <v>160</v>
      </c>
      <c r="J17" s="34">
        <v>184</v>
      </c>
      <c r="K17" s="34">
        <v>176</v>
      </c>
      <c r="L17" s="34">
        <v>168</v>
      </c>
      <c r="M17" s="34">
        <v>184</v>
      </c>
      <c r="N17" s="34">
        <v>168</v>
      </c>
      <c r="O17" s="34">
        <v>160</v>
      </c>
    </row>
    <row r="18" spans="2:15" x14ac:dyDescent="0.25">
      <c r="B18" s="193" t="str">
        <f>'Employee List'!B18</f>
        <v>Kevin Ploum</v>
      </c>
      <c r="D18" s="34">
        <v>176</v>
      </c>
      <c r="E18" s="34">
        <v>160</v>
      </c>
      <c r="F18" s="34">
        <v>168</v>
      </c>
      <c r="G18" s="34">
        <v>160</v>
      </c>
      <c r="H18" s="34">
        <v>168</v>
      </c>
      <c r="I18" s="200"/>
      <c r="J18" s="200"/>
      <c r="K18" s="200"/>
      <c r="L18" s="200"/>
      <c r="M18" s="200"/>
      <c r="N18" s="200"/>
      <c r="O18" s="200"/>
    </row>
    <row r="19" spans="2:15" x14ac:dyDescent="0.25">
      <c r="B19" s="193" t="str">
        <f>'Employee List'!B19</f>
        <v>Loek Moling</v>
      </c>
      <c r="D19" s="34">
        <v>176</v>
      </c>
      <c r="E19" s="34">
        <v>160</v>
      </c>
      <c r="F19" s="200"/>
      <c r="G19" s="200"/>
      <c r="H19" s="200"/>
      <c r="I19" s="200"/>
      <c r="J19" s="200"/>
      <c r="K19" s="200"/>
      <c r="L19" s="200"/>
      <c r="M19" s="200"/>
      <c r="N19" s="200"/>
      <c r="O19" s="200"/>
    </row>
    <row r="20" spans="2:15" x14ac:dyDescent="0.25">
      <c r="B20" s="193" t="str">
        <f>'Employee List'!B20</f>
        <v>Loode Evers</v>
      </c>
      <c r="D20" s="34">
        <v>176</v>
      </c>
      <c r="E20" s="34">
        <v>160</v>
      </c>
      <c r="F20" s="34">
        <v>168</v>
      </c>
      <c r="G20" s="34">
        <v>160</v>
      </c>
      <c r="H20" s="34">
        <v>168</v>
      </c>
      <c r="I20" s="34">
        <v>160</v>
      </c>
      <c r="J20" s="34">
        <v>184</v>
      </c>
      <c r="K20" s="34">
        <v>176</v>
      </c>
      <c r="L20" s="34">
        <v>168</v>
      </c>
      <c r="M20" s="34">
        <v>184</v>
      </c>
      <c r="N20" s="34">
        <v>168</v>
      </c>
      <c r="O20" s="34">
        <v>160</v>
      </c>
    </row>
    <row r="21" spans="2:15" x14ac:dyDescent="0.25">
      <c r="B21" s="193" t="str">
        <f>'Employee List'!B21</f>
        <v>Manuel Sperti</v>
      </c>
      <c r="D21" s="34">
        <v>176</v>
      </c>
      <c r="E21" s="34">
        <v>160</v>
      </c>
      <c r="F21" s="200"/>
      <c r="G21" s="200"/>
      <c r="H21" s="200"/>
      <c r="I21" s="200"/>
      <c r="J21" s="200"/>
      <c r="K21" s="200"/>
      <c r="L21" s="200"/>
      <c r="M21" s="200"/>
      <c r="N21" s="200"/>
      <c r="O21" s="200"/>
    </row>
    <row r="22" spans="2:15" x14ac:dyDescent="0.25">
      <c r="B22" s="193" t="str">
        <f>'Employee List'!B22</f>
        <v xml:space="preserve">Marc Linssen </v>
      </c>
      <c r="D22" s="34">
        <v>176</v>
      </c>
      <c r="E22" s="34">
        <v>160</v>
      </c>
      <c r="F22" s="34">
        <v>168</v>
      </c>
      <c r="G22" s="34">
        <v>160</v>
      </c>
      <c r="H22" s="34">
        <v>168</v>
      </c>
      <c r="I22" s="34">
        <v>160</v>
      </c>
      <c r="J22" s="34">
        <v>184</v>
      </c>
      <c r="K22" s="34">
        <v>176</v>
      </c>
      <c r="L22" s="34">
        <v>168</v>
      </c>
      <c r="M22" s="34">
        <v>184</v>
      </c>
      <c r="N22" s="34">
        <v>168</v>
      </c>
      <c r="O22" s="34">
        <v>160</v>
      </c>
    </row>
    <row r="23" spans="2:15" x14ac:dyDescent="0.25">
      <c r="B23" s="193" t="str">
        <f>'Employee List'!B23</f>
        <v>Marco Smeekes</v>
      </c>
      <c r="D23" s="34">
        <v>176</v>
      </c>
      <c r="E23" s="34">
        <v>160</v>
      </c>
      <c r="F23" s="34">
        <v>168</v>
      </c>
      <c r="G23" s="34">
        <v>160</v>
      </c>
      <c r="H23" s="34">
        <v>168</v>
      </c>
      <c r="I23" s="34">
        <v>160</v>
      </c>
      <c r="J23" s="34">
        <v>184</v>
      </c>
      <c r="K23" s="34">
        <v>176</v>
      </c>
      <c r="L23" s="34">
        <v>168</v>
      </c>
      <c r="M23" s="34">
        <v>184</v>
      </c>
      <c r="N23" s="34">
        <v>168</v>
      </c>
      <c r="O23" s="34">
        <v>160</v>
      </c>
    </row>
    <row r="24" spans="2:15" x14ac:dyDescent="0.25">
      <c r="B24" s="193" t="str">
        <f>'Employee List'!B24</f>
        <v>Mark Meijer</v>
      </c>
      <c r="D24" s="34">
        <v>176</v>
      </c>
      <c r="E24" s="34">
        <v>160</v>
      </c>
      <c r="F24" s="34">
        <v>168</v>
      </c>
      <c r="G24" s="34">
        <v>160</v>
      </c>
      <c r="H24" s="34">
        <v>168</v>
      </c>
      <c r="I24" s="34">
        <v>160</v>
      </c>
      <c r="J24" s="34">
        <v>184</v>
      </c>
      <c r="K24" s="34">
        <v>176</v>
      </c>
      <c r="L24" s="34">
        <v>168</v>
      </c>
      <c r="M24" s="34">
        <v>184</v>
      </c>
      <c r="N24" s="34">
        <v>168</v>
      </c>
      <c r="O24" s="34">
        <v>160</v>
      </c>
    </row>
    <row r="25" spans="2:15" x14ac:dyDescent="0.25">
      <c r="B25" s="193" t="str">
        <f>'Employee List'!B25</f>
        <v>Marvin Machelesen</v>
      </c>
      <c r="D25" s="34">
        <v>176</v>
      </c>
      <c r="E25" s="34">
        <v>160</v>
      </c>
      <c r="F25" s="34">
        <v>168</v>
      </c>
      <c r="G25" s="34">
        <v>160</v>
      </c>
      <c r="H25" s="34">
        <v>168</v>
      </c>
      <c r="I25" s="34">
        <v>160</v>
      </c>
      <c r="J25" s="34">
        <v>184</v>
      </c>
      <c r="K25" s="34">
        <v>176</v>
      </c>
      <c r="L25" s="34">
        <v>168</v>
      </c>
      <c r="M25" s="34">
        <v>184</v>
      </c>
      <c r="N25" s="34">
        <v>168</v>
      </c>
      <c r="O25" s="34">
        <v>160</v>
      </c>
    </row>
    <row r="26" spans="2:15" x14ac:dyDescent="0.25">
      <c r="B26" s="193" t="str">
        <f>'Employee List'!B26</f>
        <v>Michael Callemeijn</v>
      </c>
      <c r="D26" s="34">
        <v>176</v>
      </c>
      <c r="E26" s="34">
        <v>160</v>
      </c>
      <c r="F26" s="34">
        <v>168</v>
      </c>
      <c r="G26" s="34">
        <v>160</v>
      </c>
      <c r="H26" s="34">
        <v>168</v>
      </c>
      <c r="I26" s="34">
        <v>160</v>
      </c>
      <c r="J26" s="34">
        <v>184</v>
      </c>
      <c r="K26" s="34">
        <v>176</v>
      </c>
      <c r="L26" s="34">
        <v>168</v>
      </c>
      <c r="M26" s="34">
        <v>184</v>
      </c>
      <c r="N26" s="34">
        <v>168</v>
      </c>
      <c r="O26" s="34">
        <v>160</v>
      </c>
    </row>
    <row r="27" spans="2:15" x14ac:dyDescent="0.25">
      <c r="B27" s="193" t="str">
        <f>'Employee List'!B27</f>
        <v>Niels Lievaart</v>
      </c>
      <c r="D27" s="34">
        <v>176</v>
      </c>
      <c r="E27" s="34">
        <v>160</v>
      </c>
      <c r="F27" s="34">
        <v>168</v>
      </c>
      <c r="G27" s="34">
        <v>160</v>
      </c>
      <c r="H27" s="34">
        <v>168</v>
      </c>
      <c r="I27" s="34">
        <v>160</v>
      </c>
      <c r="J27" s="34">
        <v>184</v>
      </c>
      <c r="K27" s="34">
        <v>176</v>
      </c>
      <c r="L27" s="34">
        <v>168</v>
      </c>
      <c r="M27" s="34">
        <v>184</v>
      </c>
      <c r="N27" s="34">
        <v>168</v>
      </c>
      <c r="O27" s="34">
        <v>160</v>
      </c>
    </row>
    <row r="28" spans="2:15" x14ac:dyDescent="0.25">
      <c r="B28" s="193" t="str">
        <f>'Employee List'!B28</f>
        <v>Patrick Janssen</v>
      </c>
      <c r="D28" s="34">
        <v>176</v>
      </c>
      <c r="E28" s="34">
        <v>160</v>
      </c>
      <c r="F28" s="34">
        <v>168</v>
      </c>
      <c r="G28" s="34">
        <v>160</v>
      </c>
      <c r="H28" s="34">
        <v>168</v>
      </c>
      <c r="I28" s="34">
        <v>160</v>
      </c>
      <c r="J28" s="34">
        <v>184</v>
      </c>
      <c r="K28" s="34">
        <v>176</v>
      </c>
      <c r="L28" s="34">
        <v>168</v>
      </c>
      <c r="M28" s="34">
        <v>184</v>
      </c>
      <c r="N28" s="34">
        <v>168</v>
      </c>
      <c r="O28" s="34">
        <v>160</v>
      </c>
    </row>
    <row r="29" spans="2:15" x14ac:dyDescent="0.25">
      <c r="B29" s="193" t="str">
        <f>'Employee List'!B29</f>
        <v>Patrick Ziesen</v>
      </c>
      <c r="D29" s="34">
        <v>176</v>
      </c>
      <c r="E29" s="34">
        <v>160</v>
      </c>
      <c r="F29" s="34">
        <v>168</v>
      </c>
      <c r="G29" s="34">
        <v>160</v>
      </c>
      <c r="H29" s="247">
        <f>168-(3*8)</f>
        <v>144</v>
      </c>
      <c r="I29" s="247">
        <f>160-(4*8)</f>
        <v>128</v>
      </c>
      <c r="J29" s="247">
        <f>184-(4*8)</f>
        <v>152</v>
      </c>
      <c r="K29" s="247">
        <f>176-(5*8)</f>
        <v>136</v>
      </c>
      <c r="L29" s="247">
        <f>168-(4*8)</f>
        <v>136</v>
      </c>
      <c r="M29" s="247">
        <f>184-(4*8)</f>
        <v>152</v>
      </c>
      <c r="N29" s="247">
        <f>168-(5*8)</f>
        <v>128</v>
      </c>
      <c r="O29" s="247">
        <f>160-(4*8)</f>
        <v>128</v>
      </c>
    </row>
    <row r="30" spans="2:15" x14ac:dyDescent="0.25">
      <c r="B30" s="193" t="str">
        <f>'Employee List'!B30</f>
        <v>Robin Nieuwenhuis</v>
      </c>
      <c r="D30" s="34">
        <v>176</v>
      </c>
      <c r="E30" s="34">
        <v>160</v>
      </c>
      <c r="F30" s="34">
        <v>168</v>
      </c>
      <c r="G30" s="34">
        <v>160</v>
      </c>
      <c r="H30" s="34">
        <v>168</v>
      </c>
      <c r="I30" s="34">
        <v>160</v>
      </c>
      <c r="J30" s="34">
        <v>184</v>
      </c>
      <c r="K30" s="34">
        <v>176</v>
      </c>
      <c r="L30" s="34">
        <v>168</v>
      </c>
      <c r="M30" s="34">
        <v>184</v>
      </c>
      <c r="N30" s="34">
        <v>168</v>
      </c>
      <c r="O30" s="34">
        <v>160</v>
      </c>
    </row>
    <row r="31" spans="2:15" x14ac:dyDescent="0.25">
      <c r="B31" s="193" t="str">
        <f>'Employee List'!B31</f>
        <v>Thom van Bodegraven</v>
      </c>
      <c r="D31" s="247">
        <f>176-(9*8)</f>
        <v>104</v>
      </c>
      <c r="E31" s="247">
        <v>128</v>
      </c>
      <c r="F31" s="247">
        <v>136</v>
      </c>
      <c r="G31" s="247">
        <v>12</v>
      </c>
      <c r="H31" s="200"/>
      <c r="I31" s="200"/>
      <c r="J31" s="200"/>
      <c r="K31" s="200"/>
      <c r="L31" s="200"/>
      <c r="M31" s="200"/>
      <c r="N31" s="200"/>
      <c r="O31" s="200"/>
    </row>
    <row r="32" spans="2:15" x14ac:dyDescent="0.25">
      <c r="B32" s="193" t="str">
        <f>'Employee List'!B32</f>
        <v>Tiemen Schumacher</v>
      </c>
      <c r="D32" s="34">
        <v>176</v>
      </c>
      <c r="E32" s="34">
        <v>160</v>
      </c>
      <c r="F32" s="34">
        <v>168</v>
      </c>
      <c r="G32" s="34">
        <v>160</v>
      </c>
      <c r="H32" s="34">
        <v>168</v>
      </c>
      <c r="I32" s="34">
        <v>160</v>
      </c>
      <c r="J32" s="34">
        <v>184</v>
      </c>
      <c r="K32" s="34">
        <v>176</v>
      </c>
      <c r="L32" s="34">
        <v>168</v>
      </c>
      <c r="M32" s="34">
        <v>184</v>
      </c>
      <c r="N32" s="34">
        <v>168</v>
      </c>
      <c r="O32" s="34">
        <v>160</v>
      </c>
    </row>
    <row r="33" spans="2:15" x14ac:dyDescent="0.25">
      <c r="B33" s="193" t="str">
        <f>'Employee List'!B33</f>
        <v>Erik Jaspers</v>
      </c>
      <c r="D33" s="217"/>
      <c r="E33" s="217"/>
      <c r="F33" s="247">
        <f>20*8</f>
        <v>160</v>
      </c>
      <c r="G33" s="34">
        <v>160</v>
      </c>
      <c r="H33" s="34">
        <v>168</v>
      </c>
      <c r="I33" s="34">
        <v>160</v>
      </c>
      <c r="J33" s="34">
        <v>184</v>
      </c>
      <c r="K33" s="34">
        <v>176</v>
      </c>
      <c r="L33" s="34">
        <v>168</v>
      </c>
      <c r="M33" s="34">
        <v>184</v>
      </c>
      <c r="N33" s="34">
        <v>168</v>
      </c>
      <c r="O33" s="34">
        <v>160</v>
      </c>
    </row>
    <row r="34" spans="2:15" x14ac:dyDescent="0.25">
      <c r="B34" s="193" t="str">
        <f>'Employee List'!B34</f>
        <v>Leo Wijnands</v>
      </c>
      <c r="D34" s="217"/>
      <c r="E34" s="217"/>
      <c r="F34" s="247">
        <f>15*8</f>
        <v>120</v>
      </c>
      <c r="G34" s="34">
        <v>160</v>
      </c>
      <c r="H34" s="34">
        <v>168</v>
      </c>
      <c r="I34" s="34">
        <v>160</v>
      </c>
      <c r="J34" s="34">
        <v>184</v>
      </c>
      <c r="K34" s="34">
        <v>176</v>
      </c>
      <c r="L34" s="34">
        <v>168</v>
      </c>
      <c r="M34" s="34">
        <v>184</v>
      </c>
      <c r="N34" s="34">
        <v>168</v>
      </c>
      <c r="O34" s="34">
        <v>160</v>
      </c>
    </row>
    <row r="35" spans="2:15" x14ac:dyDescent="0.25">
      <c r="B35" s="193" t="str">
        <f>'Employee List'!B35</f>
        <v>Danny Ummels</v>
      </c>
      <c r="D35" s="217"/>
      <c r="E35" s="217"/>
      <c r="F35" s="247">
        <f>15*8</f>
        <v>120</v>
      </c>
      <c r="G35" s="34">
        <v>160</v>
      </c>
      <c r="H35" s="34">
        <v>168</v>
      </c>
      <c r="I35" s="34">
        <v>160</v>
      </c>
      <c r="J35" s="34">
        <v>184</v>
      </c>
      <c r="K35" s="34">
        <v>176</v>
      </c>
      <c r="L35" s="34">
        <v>168</v>
      </c>
      <c r="M35" s="34">
        <v>184</v>
      </c>
      <c r="N35" s="34">
        <v>168</v>
      </c>
      <c r="O35" s="34">
        <v>160</v>
      </c>
    </row>
    <row r="36" spans="2:15" x14ac:dyDescent="0.25">
      <c r="B36" s="193">
        <f>'Employee List'!B36</f>
        <v>0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2:15" x14ac:dyDescent="0.25">
      <c r="B37" s="193">
        <f>'Employee List'!B37</f>
        <v>0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2:15" x14ac:dyDescent="0.25">
      <c r="B38" s="193">
        <f>'Employee List'!B38</f>
        <v>0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2:15" x14ac:dyDescent="0.25">
      <c r="B39" s="193">
        <f>'Employee List'!B39</f>
        <v>0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2:15" x14ac:dyDescent="0.25">
      <c r="B40" s="193">
        <f>'Employee List'!B40</f>
        <v>0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2:15" x14ac:dyDescent="0.25">
      <c r="B41" s="193">
        <f>'Employee List'!B41</f>
        <v>0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2:15" x14ac:dyDescent="0.25">
      <c r="D42" s="19"/>
      <c r="E42" s="19"/>
      <c r="F42" s="19"/>
      <c r="G42" s="19"/>
      <c r="H42" s="19"/>
    </row>
    <row r="43" spans="2:15" x14ac:dyDescent="0.25">
      <c r="B43" s="33" t="s">
        <v>36</v>
      </c>
      <c r="D43" s="16">
        <f t="shared" ref="D43:O43" si="0">SUM(D4:D41)</f>
        <v>4656</v>
      </c>
      <c r="E43" s="16">
        <f t="shared" si="0"/>
        <v>4256</v>
      </c>
      <c r="F43" s="16">
        <f t="shared" si="0"/>
        <v>4536</v>
      </c>
      <c r="G43" s="16">
        <f t="shared" si="0"/>
        <v>4140</v>
      </c>
      <c r="H43" s="16">
        <f t="shared" si="0"/>
        <v>4152</v>
      </c>
      <c r="I43" s="16">
        <f t="shared" si="0"/>
        <v>3776</v>
      </c>
      <c r="J43" s="16">
        <f t="shared" si="0"/>
        <v>4344</v>
      </c>
      <c r="K43" s="16">
        <f t="shared" si="0"/>
        <v>4152</v>
      </c>
      <c r="L43" s="16">
        <f t="shared" si="0"/>
        <v>3968</v>
      </c>
      <c r="M43" s="16">
        <f t="shared" si="0"/>
        <v>4344</v>
      </c>
      <c r="N43" s="16">
        <f t="shared" si="0"/>
        <v>3960</v>
      </c>
      <c r="O43" s="16">
        <f t="shared" si="0"/>
        <v>3784</v>
      </c>
    </row>
    <row r="44" spans="2:15" x14ac:dyDescent="0.25">
      <c r="B44" s="33" t="s">
        <v>165</v>
      </c>
      <c r="D44" s="93">
        <f>COUNT(D4:D41)-3</f>
        <v>25</v>
      </c>
      <c r="E44" s="93">
        <f t="shared" ref="E44:O44" si="1">COUNT(E4:E41)-3</f>
        <v>24</v>
      </c>
      <c r="F44" s="93">
        <f t="shared" si="1"/>
        <v>25</v>
      </c>
      <c r="G44" s="93">
        <f t="shared" si="1"/>
        <v>24</v>
      </c>
      <c r="H44" s="93">
        <f t="shared" si="1"/>
        <v>23</v>
      </c>
      <c r="I44" s="93">
        <f t="shared" si="1"/>
        <v>21</v>
      </c>
      <c r="J44" s="93">
        <f t="shared" si="1"/>
        <v>21</v>
      </c>
      <c r="K44" s="93">
        <f t="shared" si="1"/>
        <v>21</v>
      </c>
      <c r="L44" s="93">
        <f t="shared" si="1"/>
        <v>21</v>
      </c>
      <c r="M44" s="93">
        <f t="shared" si="1"/>
        <v>21</v>
      </c>
      <c r="N44" s="93">
        <f t="shared" si="1"/>
        <v>21</v>
      </c>
      <c r="O44" s="93">
        <f t="shared" si="1"/>
        <v>21</v>
      </c>
    </row>
    <row r="46" spans="2:15" x14ac:dyDescent="0.25">
      <c r="B46" s="33" t="s">
        <v>191</v>
      </c>
      <c r="D46" s="86">
        <f>SUM(D4:D13,D15:D27,D30:D32)</f>
        <v>4128</v>
      </c>
      <c r="E46" s="86">
        <f t="shared" ref="E46:O46" si="2">SUM(E4:E13,E15:E27,E30:E32)</f>
        <v>3776</v>
      </c>
      <c r="F46" s="86">
        <f t="shared" si="2"/>
        <v>3632</v>
      </c>
      <c r="G46" s="86">
        <f t="shared" si="2"/>
        <v>3180</v>
      </c>
      <c r="H46" s="86">
        <f t="shared" si="2"/>
        <v>3168</v>
      </c>
      <c r="I46" s="86">
        <f t="shared" si="2"/>
        <v>2848</v>
      </c>
      <c r="J46" s="86">
        <f t="shared" si="2"/>
        <v>3272</v>
      </c>
      <c r="K46" s="86">
        <f t="shared" si="2"/>
        <v>3136</v>
      </c>
      <c r="L46" s="86">
        <f t="shared" si="2"/>
        <v>2992</v>
      </c>
      <c r="M46" s="86">
        <f t="shared" si="2"/>
        <v>3272</v>
      </c>
      <c r="N46" s="86">
        <f t="shared" si="2"/>
        <v>2992</v>
      </c>
      <c r="O46" s="86">
        <f t="shared" si="2"/>
        <v>2856</v>
      </c>
    </row>
    <row r="47" spans="2:15" x14ac:dyDescent="0.25">
      <c r="B47" s="33" t="s">
        <v>192</v>
      </c>
      <c r="D47" s="86">
        <f>SUM(D14,D28,D29)</f>
        <v>528</v>
      </c>
      <c r="E47" s="86">
        <f t="shared" ref="E47:O47" si="3">SUM(E14,E28,E29)</f>
        <v>480</v>
      </c>
      <c r="F47" s="86">
        <f t="shared" si="3"/>
        <v>504</v>
      </c>
      <c r="G47" s="86">
        <f t="shared" si="3"/>
        <v>480</v>
      </c>
      <c r="H47" s="86">
        <f t="shared" si="3"/>
        <v>480</v>
      </c>
      <c r="I47" s="86">
        <f t="shared" si="3"/>
        <v>448</v>
      </c>
      <c r="J47" s="86">
        <f t="shared" si="3"/>
        <v>520</v>
      </c>
      <c r="K47" s="86">
        <f t="shared" si="3"/>
        <v>488</v>
      </c>
      <c r="L47" s="86">
        <f t="shared" si="3"/>
        <v>472</v>
      </c>
      <c r="M47" s="86">
        <f t="shared" si="3"/>
        <v>520</v>
      </c>
      <c r="N47" s="86">
        <f t="shared" si="3"/>
        <v>464</v>
      </c>
      <c r="O47" s="86">
        <f t="shared" si="3"/>
        <v>448</v>
      </c>
    </row>
  </sheetData>
  <customSheetViews>
    <customSheetView guid="{98CBC5BF-8C89-48A4-860E-9C56014CD200}" scale="80" showGridLines="0">
      <selection activeCell="U20" sqref="U20"/>
      <pageMargins left="0.7" right="0.7" top="0.75" bottom="0.75" header="0.3" footer="0.3"/>
      <pageSetup paperSize="9" orientation="portrait" r:id="rId1"/>
    </customSheetView>
    <customSheetView guid="{1BC25061-32D5-45DE-83F9-EFA3A1092E03}" scale="80" showGridLines="0">
      <selection activeCell="B15" sqref="B15"/>
      <pageMargins left="0.7" right="0.7" top="0.75" bottom="0.75" header="0.3" footer="0.3"/>
      <pageSetup paperSize="9" orientation="portrait" r:id="rId2"/>
    </customSheetView>
    <customSheetView guid="{CF917189-7AB9-4E55-816F-ACFC7FA45C05}" scale="80" showGridLines="0">
      <selection activeCell="B15" sqref="B15"/>
      <pageMargins left="0.7" right="0.7" top="0.75" bottom="0.75" header="0.3" footer="0.3"/>
      <pageSetup paperSize="9" orientation="portrait" r:id="rId3"/>
    </customSheetView>
    <customSheetView guid="{4155806E-C0D0-4CC9-9B31-04245B7DD4C8}" scale="80" showGridLines="0">
      <selection activeCell="U7" sqref="U7"/>
      <pageMargins left="0.7" right="0.7" top="0.75" bottom="0.75" header="0.3" footer="0.3"/>
      <pageSetup paperSize="9" orientation="portrait" r:id="rId4"/>
    </customSheetView>
    <customSheetView guid="{1587CBCC-2CC7-4525-8A49-E261AB2E1606}" scale="80" showGridLines="0">
      <selection activeCell="T19" sqref="T19"/>
      <pageMargins left="0.7" right="0.7" top="0.75" bottom="0.75" header="0.3" footer="0.3"/>
      <pageSetup paperSize="9" orientation="portrait" r:id="rId5"/>
    </customSheetView>
    <customSheetView guid="{C5D9000A-81ED-4920-B6AF-4B234775AEC9}" scale="80" showGridLines="0">
      <selection activeCell="B15" sqref="B15"/>
      <pageMargins left="0.7" right="0.7" top="0.75" bottom="0.75" header="0.3" footer="0.3"/>
      <pageSetup paperSize="9" orientation="portrait" r:id="rId6"/>
    </customSheetView>
  </customSheetViews>
  <mergeCells count="1">
    <mergeCell ref="D2:O2"/>
  </mergeCell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CCCFF"/>
  </sheetPr>
  <dimension ref="B2:P47"/>
  <sheetViews>
    <sheetView showGridLines="0" topLeftCell="A13" workbookViewId="0">
      <selection activeCell="G28" sqref="G28"/>
    </sheetView>
  </sheetViews>
  <sheetFormatPr defaultRowHeight="15" x14ac:dyDescent="0.25"/>
  <cols>
    <col min="2" max="2" width="19.5703125" customWidth="1"/>
    <col min="15" max="15" width="2" customWidth="1"/>
    <col min="16" max="16" width="11.7109375" bestFit="1" customWidth="1"/>
  </cols>
  <sheetData>
    <row r="2" spans="2:16" ht="18.75" x14ac:dyDescent="0.3">
      <c r="B2" s="20" t="s">
        <v>48</v>
      </c>
      <c r="G2" s="36" t="s">
        <v>49</v>
      </c>
    </row>
    <row r="5" spans="2:16" ht="15.75" x14ac:dyDescent="0.25">
      <c r="B5" s="47" t="s">
        <v>71</v>
      </c>
      <c r="C5" s="15" t="s">
        <v>26</v>
      </c>
      <c r="D5" s="15" t="s">
        <v>25</v>
      </c>
      <c r="E5" s="15" t="s">
        <v>34</v>
      </c>
      <c r="F5" s="15" t="s">
        <v>10</v>
      </c>
      <c r="G5" s="15" t="s">
        <v>11</v>
      </c>
      <c r="H5" s="15" t="s">
        <v>12</v>
      </c>
      <c r="I5" s="15" t="s">
        <v>13</v>
      </c>
      <c r="J5" s="15" t="s">
        <v>24</v>
      </c>
      <c r="K5" s="15" t="s">
        <v>20</v>
      </c>
      <c r="L5" s="15" t="s">
        <v>21</v>
      </c>
      <c r="M5" s="15" t="s">
        <v>22</v>
      </c>
      <c r="N5" s="15" t="s">
        <v>23</v>
      </c>
      <c r="P5" s="14" t="s">
        <v>47</v>
      </c>
    </row>
    <row r="6" spans="2:16" x14ac:dyDescent="0.25">
      <c r="B6" s="33" t="s">
        <v>42</v>
      </c>
      <c r="C6" s="22">
        <f>'Employee Overview'!D206</f>
        <v>341.5</v>
      </c>
      <c r="D6" s="22">
        <f>'Employee Overview'!E206</f>
        <v>290.75</v>
      </c>
      <c r="E6" s="22">
        <f>'Employee Overview'!F206</f>
        <v>533.5</v>
      </c>
      <c r="F6" s="22">
        <f>'Employee Overview'!G206</f>
        <v>421.75</v>
      </c>
      <c r="G6" s="22">
        <f>'Employee Overview'!H206</f>
        <v>526.25</v>
      </c>
      <c r="H6" s="22">
        <f>'Employee Overview'!I206</f>
        <v>376.5</v>
      </c>
      <c r="I6" s="22">
        <f>'Employee Overview'!J206</f>
        <v>480</v>
      </c>
      <c r="J6" s="22">
        <f>'Employee Overview'!K206</f>
        <v>662</v>
      </c>
      <c r="K6" s="22">
        <f>'Employee Overview'!L206</f>
        <v>192</v>
      </c>
      <c r="L6" s="22">
        <f>'Employee Overview'!M206</f>
        <v>72</v>
      </c>
      <c r="M6" s="22">
        <f>'Employee Overview'!N206</f>
        <v>0</v>
      </c>
      <c r="N6" s="22">
        <f>'Employee Overview'!O206</f>
        <v>176</v>
      </c>
      <c r="P6" s="22">
        <f>SUM(C6:N6)</f>
        <v>4072.25</v>
      </c>
    </row>
    <row r="7" spans="2:16" x14ac:dyDescent="0.25">
      <c r="B7" s="33" t="s">
        <v>43</v>
      </c>
      <c r="C7" s="23">
        <f>'Employee Overview'!D207</f>
        <v>300</v>
      </c>
      <c r="D7" s="23">
        <f>'Employee Overview'!E207</f>
        <v>375.5</v>
      </c>
      <c r="E7" s="23">
        <f>'Employee Overview'!F207</f>
        <v>332</v>
      </c>
      <c r="F7" s="23">
        <f>'Employee Overview'!G207</f>
        <v>113.25</v>
      </c>
      <c r="G7" s="23">
        <f>'Employee Overview'!H207</f>
        <v>119.5</v>
      </c>
      <c r="H7" s="23">
        <f>'Employee Overview'!I207</f>
        <v>80</v>
      </c>
      <c r="I7" s="23">
        <f>'Employee Overview'!J207</f>
        <v>24</v>
      </c>
      <c r="J7" s="23">
        <f>'Employee Overview'!K207</f>
        <v>0</v>
      </c>
      <c r="K7" s="23">
        <f>'Employee Overview'!L207</f>
        <v>0</v>
      </c>
      <c r="L7" s="23">
        <f>'Employee Overview'!M207</f>
        <v>0</v>
      </c>
      <c r="M7" s="23">
        <f>'Employee Overview'!N207</f>
        <v>0</v>
      </c>
      <c r="N7" s="23">
        <f>'Employee Overview'!O207</f>
        <v>0</v>
      </c>
      <c r="P7" s="23">
        <f t="shared" ref="P7:P10" si="0">SUM(C7:N7)</f>
        <v>1344.25</v>
      </c>
    </row>
    <row r="8" spans="2:16" x14ac:dyDescent="0.25">
      <c r="B8" s="33" t="s">
        <v>44</v>
      </c>
      <c r="C8" s="24">
        <f>'Employee Overview'!D208</f>
        <v>17</v>
      </c>
      <c r="D8" s="24">
        <f>'Employee Overview'!E208</f>
        <v>17</v>
      </c>
      <c r="E8" s="24">
        <f>'Employee Overview'!F208</f>
        <v>15.5</v>
      </c>
      <c r="F8" s="24">
        <f>'Employee Overview'!G208</f>
        <v>10</v>
      </c>
      <c r="G8" s="24">
        <f>'Employee Overview'!H208</f>
        <v>0</v>
      </c>
      <c r="H8" s="24">
        <f>'Employee Overview'!I208</f>
        <v>0</v>
      </c>
      <c r="I8" s="24">
        <f>'Employee Overview'!J208</f>
        <v>0</v>
      </c>
      <c r="J8" s="24">
        <f>'Employee Overview'!K208</f>
        <v>0</v>
      </c>
      <c r="K8" s="24">
        <f>'Employee Overview'!L208</f>
        <v>0</v>
      </c>
      <c r="L8" s="24">
        <f>'Employee Overview'!M208</f>
        <v>0</v>
      </c>
      <c r="M8" s="24">
        <f>'Employee Overview'!N208</f>
        <v>0</v>
      </c>
      <c r="N8" s="24">
        <f>'Employee Overview'!O208</f>
        <v>0</v>
      </c>
      <c r="P8" s="24">
        <f t="shared" si="0"/>
        <v>59.5</v>
      </c>
    </row>
    <row r="9" spans="2:16" x14ac:dyDescent="0.25">
      <c r="B9" s="33" t="s">
        <v>75</v>
      </c>
      <c r="C9" s="25">
        <f>'Employee Overview'!D209</f>
        <v>18.5</v>
      </c>
      <c r="D9" s="25">
        <f>'Employee Overview'!E209</f>
        <v>23</v>
      </c>
      <c r="E9" s="25">
        <f>'Employee Overview'!F209</f>
        <v>11</v>
      </c>
      <c r="F9" s="25">
        <f>'Employee Overview'!G209</f>
        <v>26</v>
      </c>
      <c r="G9" s="25">
        <f>'Employee Overview'!H209</f>
        <v>12.75</v>
      </c>
      <c r="H9" s="25">
        <f>'Employee Overview'!I209</f>
        <v>4.5</v>
      </c>
      <c r="I9" s="25">
        <f>'Employee Overview'!J209</f>
        <v>12</v>
      </c>
      <c r="J9" s="25">
        <f>'Employee Overview'!K209</f>
        <v>12</v>
      </c>
      <c r="K9" s="25">
        <f>'Employee Overview'!L209</f>
        <v>0</v>
      </c>
      <c r="L9" s="25">
        <f>'Employee Overview'!M209</f>
        <v>0</v>
      </c>
      <c r="M9" s="25">
        <f>'Employee Overview'!N209</f>
        <v>0</v>
      </c>
      <c r="N9" s="25">
        <f>'Employee Overview'!O209</f>
        <v>0</v>
      </c>
      <c r="P9" s="25">
        <f t="shared" si="0"/>
        <v>119.75</v>
      </c>
    </row>
    <row r="10" spans="2:16" x14ac:dyDescent="0.25">
      <c r="B10" s="33" t="s">
        <v>46</v>
      </c>
      <c r="C10" s="27">
        <f>'Employee Overview'!D210</f>
        <v>1.3666666666666667</v>
      </c>
      <c r="D10" s="27">
        <f>'Employee Overview'!E210</f>
        <v>0.5</v>
      </c>
      <c r="E10" s="27">
        <f>'Employee Overview'!F210</f>
        <v>2</v>
      </c>
      <c r="F10" s="27">
        <f>'Employee Overview'!G210</f>
        <v>0.8833333333333333</v>
      </c>
      <c r="G10" s="27">
        <f>'Employee Overview'!H210</f>
        <v>4.9800000000000004</v>
      </c>
      <c r="H10" s="27">
        <f>'Employee Overview'!I210</f>
        <v>1.4</v>
      </c>
      <c r="I10" s="27">
        <f>'Employee Overview'!J210</f>
        <v>0</v>
      </c>
      <c r="J10" s="27">
        <f>'Employee Overview'!K210</f>
        <v>0</v>
      </c>
      <c r="K10" s="27">
        <f>'Employee Overview'!L210</f>
        <v>0</v>
      </c>
      <c r="L10" s="27">
        <f>'Employee Overview'!M210</f>
        <v>0</v>
      </c>
      <c r="M10" s="27">
        <f>'Employee Overview'!N210</f>
        <v>0</v>
      </c>
      <c r="N10" s="27">
        <f>'Employee Overview'!O210</f>
        <v>0</v>
      </c>
      <c r="P10" s="27">
        <f t="shared" si="0"/>
        <v>11.13</v>
      </c>
    </row>
    <row r="11" spans="2:16" x14ac:dyDescent="0.25">
      <c r="B11" s="33"/>
    </row>
    <row r="12" spans="2:16" x14ac:dyDescent="0.25">
      <c r="B12" s="33" t="s">
        <v>35</v>
      </c>
      <c r="C12" s="37">
        <f>'Hours Scheduled'!D43</f>
        <v>4656</v>
      </c>
      <c r="D12" s="37">
        <f>'Hours Scheduled'!E43</f>
        <v>4256</v>
      </c>
      <c r="E12" s="37">
        <f>'Hours Scheduled'!F43</f>
        <v>4536</v>
      </c>
      <c r="F12" s="37">
        <f>'Hours Scheduled'!G43</f>
        <v>4140</v>
      </c>
      <c r="G12" s="37">
        <f>'Hours Scheduled'!H43</f>
        <v>4152</v>
      </c>
      <c r="H12" s="37">
        <f>'Hours Scheduled'!I43</f>
        <v>3776</v>
      </c>
      <c r="I12" s="37">
        <f>'Hours Scheduled'!J43</f>
        <v>4344</v>
      </c>
      <c r="J12" s="37">
        <f>'Hours Scheduled'!K43</f>
        <v>4152</v>
      </c>
      <c r="K12" s="37">
        <f>'Hours Scheduled'!L43</f>
        <v>3968</v>
      </c>
      <c r="L12" s="37">
        <f>'Hours Scheduled'!M43</f>
        <v>4344</v>
      </c>
      <c r="M12" s="37">
        <f>'Hours Scheduled'!N43</f>
        <v>3960</v>
      </c>
      <c r="N12" s="37">
        <f>'Hours Scheduled'!O43</f>
        <v>3784</v>
      </c>
      <c r="P12" s="37">
        <f>SUM(C12:N12)</f>
        <v>50068</v>
      </c>
    </row>
    <row r="13" spans="2:16" x14ac:dyDescent="0.25">
      <c r="B13" s="33"/>
    </row>
    <row r="14" spans="2:16" x14ac:dyDescent="0.25">
      <c r="B14" s="33" t="s">
        <v>37</v>
      </c>
      <c r="C14" s="28">
        <f>IF(C6=0,"",C6/C12)</f>
        <v>7.3346219931271481E-2</v>
      </c>
      <c r="D14" s="28">
        <f>IF(D6=0,"",D6/D12)</f>
        <v>6.8315319548872183E-2</v>
      </c>
      <c r="E14" s="28">
        <f t="shared" ref="E14:P14" si="1">IF(E6=0,"",E6/E12)</f>
        <v>0.11761463844797178</v>
      </c>
      <c r="F14" s="28">
        <f>IF(F6=0,"",F6/F12)</f>
        <v>0.10187198067632851</v>
      </c>
      <c r="G14" s="28">
        <f t="shared" si="1"/>
        <v>0.12674614643545279</v>
      </c>
      <c r="H14" s="28">
        <f t="shared" si="1"/>
        <v>9.9708686440677971E-2</v>
      </c>
      <c r="I14" s="28">
        <f>IF(I6=0,"",I6/I12)</f>
        <v>0.11049723756906077</v>
      </c>
      <c r="J14" s="28">
        <f t="shared" si="1"/>
        <v>0.15944123314065511</v>
      </c>
      <c r="K14" s="28">
        <f t="shared" si="1"/>
        <v>4.8387096774193547E-2</v>
      </c>
      <c r="L14" s="28">
        <f t="shared" si="1"/>
        <v>1.6574585635359115E-2</v>
      </c>
      <c r="M14" s="28" t="str">
        <f t="shared" si="1"/>
        <v/>
      </c>
      <c r="N14" s="28">
        <f t="shared" si="1"/>
        <v>4.6511627906976744E-2</v>
      </c>
      <c r="P14" s="28">
        <f t="shared" si="1"/>
        <v>8.1334385236078929E-2</v>
      </c>
    </row>
    <row r="15" spans="2:16" x14ac:dyDescent="0.25">
      <c r="B15" s="33" t="s">
        <v>38</v>
      </c>
      <c r="C15" s="29">
        <f>IF(C7=0,"",C7/C12)</f>
        <v>6.4432989690721643E-2</v>
      </c>
      <c r="D15" s="29">
        <f t="shared" ref="D15:P15" si="2">IF(D7=0,"",D7/D12)</f>
        <v>8.8228383458646614E-2</v>
      </c>
      <c r="E15" s="29">
        <f t="shared" si="2"/>
        <v>7.3192239858906522E-2</v>
      </c>
      <c r="F15" s="29">
        <f t="shared" si="2"/>
        <v>2.7355072463768115E-2</v>
      </c>
      <c r="G15" s="29">
        <f t="shared" si="2"/>
        <v>2.8781310211946048E-2</v>
      </c>
      <c r="H15" s="29">
        <f t="shared" si="2"/>
        <v>2.1186440677966101E-2</v>
      </c>
      <c r="I15" s="29">
        <f t="shared" si="2"/>
        <v>5.5248618784530384E-3</v>
      </c>
      <c r="J15" s="29" t="str">
        <f t="shared" si="2"/>
        <v/>
      </c>
      <c r="K15" s="29" t="str">
        <f t="shared" si="2"/>
        <v/>
      </c>
      <c r="L15" s="29" t="str">
        <f t="shared" si="2"/>
        <v/>
      </c>
      <c r="M15" s="29" t="str">
        <f t="shared" si="2"/>
        <v/>
      </c>
      <c r="N15" s="29" t="str">
        <f>IF(N7=0,"",N7/N12)</f>
        <v/>
      </c>
      <c r="P15" s="29">
        <f t="shared" si="2"/>
        <v>2.6848486058959814E-2</v>
      </c>
    </row>
    <row r="16" spans="2:16" x14ac:dyDescent="0.25">
      <c r="B16" s="33" t="s">
        <v>39</v>
      </c>
      <c r="C16" s="30">
        <f>IF(C8=0,"",C8/C12)</f>
        <v>3.6512027491408935E-3</v>
      </c>
      <c r="D16" s="30">
        <f t="shared" ref="D16:P16" si="3">IF(D8=0,"",D8/D12)</f>
        <v>3.9943609022556389E-3</v>
      </c>
      <c r="E16" s="30">
        <f t="shared" si="3"/>
        <v>3.4171075837742503E-3</v>
      </c>
      <c r="F16" s="30">
        <f t="shared" si="3"/>
        <v>2.4154589371980675E-3</v>
      </c>
      <c r="G16" s="30" t="str">
        <f t="shared" si="3"/>
        <v/>
      </c>
      <c r="H16" s="30" t="str">
        <f t="shared" si="3"/>
        <v/>
      </c>
      <c r="I16" s="30" t="str">
        <f t="shared" si="3"/>
        <v/>
      </c>
      <c r="J16" s="30" t="str">
        <f t="shared" si="3"/>
        <v/>
      </c>
      <c r="K16" s="30" t="str">
        <f t="shared" si="3"/>
        <v/>
      </c>
      <c r="L16" s="30" t="str">
        <f t="shared" si="3"/>
        <v/>
      </c>
      <c r="M16" s="30" t="str">
        <f t="shared" si="3"/>
        <v/>
      </c>
      <c r="N16" s="30" t="str">
        <f t="shared" si="3"/>
        <v/>
      </c>
      <c r="P16" s="30">
        <f t="shared" si="3"/>
        <v>1.1883837980346727E-3</v>
      </c>
    </row>
    <row r="17" spans="2:16" x14ac:dyDescent="0.25">
      <c r="B17" s="33" t="s">
        <v>87</v>
      </c>
      <c r="C17" s="31">
        <f>IF(C9=0,"",C9/C12)</f>
        <v>3.9733676975945015E-3</v>
      </c>
      <c r="D17" s="31">
        <f t="shared" ref="D17:P17" si="4">IF(D9=0,"",D9/D12)</f>
        <v>5.4041353383458644E-3</v>
      </c>
      <c r="E17" s="31">
        <f t="shared" si="4"/>
        <v>2.4250440917107582E-3</v>
      </c>
      <c r="F17" s="31">
        <f t="shared" si="4"/>
        <v>6.2801932367149756E-3</v>
      </c>
      <c r="G17" s="31">
        <f t="shared" si="4"/>
        <v>3.0708092485549135E-3</v>
      </c>
      <c r="H17" s="31">
        <f t="shared" si="4"/>
        <v>1.1917372881355933E-3</v>
      </c>
      <c r="I17" s="31">
        <f t="shared" si="4"/>
        <v>2.7624309392265192E-3</v>
      </c>
      <c r="J17" s="31">
        <f t="shared" si="4"/>
        <v>2.8901734104046241E-3</v>
      </c>
      <c r="K17" s="31" t="str">
        <f t="shared" si="4"/>
        <v/>
      </c>
      <c r="L17" s="31" t="str">
        <f t="shared" si="4"/>
        <v/>
      </c>
      <c r="M17" s="31" t="str">
        <f t="shared" si="4"/>
        <v/>
      </c>
      <c r="N17" s="31" t="str">
        <f t="shared" si="4"/>
        <v/>
      </c>
      <c r="P17" s="31">
        <f t="shared" si="4"/>
        <v>2.3917472237756652E-3</v>
      </c>
    </row>
    <row r="18" spans="2:16" x14ac:dyDescent="0.25">
      <c r="B18" s="33" t="s">
        <v>41</v>
      </c>
      <c r="C18" s="32">
        <f>IF(C10=0,"",C10/C12)</f>
        <v>2.9352806414662083E-4</v>
      </c>
      <c r="D18" s="32">
        <f t="shared" ref="D18:P18" si="5">IF(D10=0,"",D10/D12)</f>
        <v>1.1748120300751879E-4</v>
      </c>
      <c r="E18" s="32">
        <f t="shared" si="5"/>
        <v>4.4091710758377423E-4</v>
      </c>
      <c r="F18" s="32">
        <f t="shared" si="5"/>
        <v>2.1336553945249597E-4</v>
      </c>
      <c r="G18" s="32">
        <f t="shared" si="5"/>
        <v>1.1994219653179191E-3</v>
      </c>
      <c r="H18" s="32">
        <f t="shared" si="5"/>
        <v>3.7076271186440674E-4</v>
      </c>
      <c r="I18" s="32" t="str">
        <f t="shared" si="5"/>
        <v/>
      </c>
      <c r="J18" s="32" t="str">
        <f t="shared" si="5"/>
        <v/>
      </c>
      <c r="K18" s="32" t="str">
        <f t="shared" si="5"/>
        <v/>
      </c>
      <c r="L18" s="32" t="str">
        <f t="shared" si="5"/>
        <v/>
      </c>
      <c r="M18" s="32" t="str">
        <f t="shared" si="5"/>
        <v/>
      </c>
      <c r="N18" s="32" t="str">
        <f t="shared" si="5"/>
        <v/>
      </c>
      <c r="P18" s="32">
        <f t="shared" si="5"/>
        <v>2.2229767516177999E-4</v>
      </c>
    </row>
    <row r="19" spans="2:16" x14ac:dyDescent="0.25">
      <c r="B19" s="222" t="s">
        <v>202</v>
      </c>
      <c r="C19" s="225">
        <f t="shared" ref="C19:K19" si="6">IF(C6=0,"",(C6+C8+C9)/C12)</f>
        <v>8.0970790378006877E-2</v>
      </c>
      <c r="D19" s="225">
        <f t="shared" si="6"/>
        <v>7.7713815789473686E-2</v>
      </c>
      <c r="E19" s="225">
        <f t="shared" si="6"/>
        <v>0.12345679012345678</v>
      </c>
      <c r="F19" s="225">
        <f t="shared" si="6"/>
        <v>0.11056763285024154</v>
      </c>
      <c r="G19" s="225">
        <f t="shared" si="6"/>
        <v>0.1298169556840077</v>
      </c>
      <c r="H19" s="225">
        <f t="shared" si="6"/>
        <v>0.10090042372881355</v>
      </c>
      <c r="I19" s="225">
        <f t="shared" si="6"/>
        <v>0.1132596685082873</v>
      </c>
      <c r="J19" s="225">
        <f t="shared" si="6"/>
        <v>0.16233140655105974</v>
      </c>
      <c r="K19" s="225">
        <f t="shared" si="6"/>
        <v>4.8387096774193547E-2</v>
      </c>
      <c r="L19" s="225">
        <f>IF(L6=0,"",(L6+L8+L9)/L12)</f>
        <v>1.6574585635359115E-2</v>
      </c>
      <c r="M19" s="225" t="str">
        <f t="shared" ref="M19:P19" si="7">IF(M6=0,"",(M6+M8+M9)/M12)</f>
        <v/>
      </c>
      <c r="N19" s="225">
        <f t="shared" si="7"/>
        <v>4.6511627906976744E-2</v>
      </c>
      <c r="O19" s="134"/>
      <c r="P19" s="225">
        <f t="shared" si="7"/>
        <v>8.4914516257889275E-2</v>
      </c>
    </row>
    <row r="20" spans="2:16" s="134" customFormat="1" ht="15.75" x14ac:dyDescent="0.25">
      <c r="B20" s="47" t="s">
        <v>193</v>
      </c>
      <c r="C20" s="15" t="s">
        <v>26</v>
      </c>
      <c r="D20" s="15" t="s">
        <v>25</v>
      </c>
      <c r="E20" s="15" t="s">
        <v>34</v>
      </c>
      <c r="F20" s="15" t="s">
        <v>10</v>
      </c>
      <c r="G20" s="15" t="s">
        <v>11</v>
      </c>
      <c r="H20" s="15" t="s">
        <v>12</v>
      </c>
      <c r="I20" s="15" t="s">
        <v>13</v>
      </c>
      <c r="J20" s="15" t="s">
        <v>24</v>
      </c>
      <c r="K20" s="15" t="s">
        <v>20</v>
      </c>
      <c r="L20" s="15" t="s">
        <v>21</v>
      </c>
      <c r="M20" s="15" t="s">
        <v>22</v>
      </c>
      <c r="N20" s="15" t="s">
        <v>23</v>
      </c>
      <c r="P20" s="220"/>
    </row>
    <row r="21" spans="2:16" s="134" customFormat="1" x14ac:dyDescent="0.25">
      <c r="B21" s="33" t="s">
        <v>42</v>
      </c>
      <c r="C21" s="22">
        <f>'Employee Overview'!D212</f>
        <v>42</v>
      </c>
      <c r="D21" s="22">
        <f>'Employee Overview'!E212</f>
        <v>104</v>
      </c>
      <c r="E21" s="22">
        <f>'Employee Overview'!F212</f>
        <v>27</v>
      </c>
      <c r="F21" s="22">
        <f>'Employee Overview'!G212</f>
        <v>58.5</v>
      </c>
      <c r="G21" s="22">
        <f>'Employee Overview'!H212</f>
        <v>74</v>
      </c>
      <c r="H21" s="22">
        <f>'Employee Overview'!I212</f>
        <v>18</v>
      </c>
      <c r="I21" s="22">
        <f>'Employee Overview'!J212</f>
        <v>104</v>
      </c>
      <c r="J21" s="22">
        <f>'Employee Overview'!K212</f>
        <v>96</v>
      </c>
      <c r="K21" s="22">
        <f>'Employee Overview'!L212</f>
        <v>0</v>
      </c>
      <c r="L21" s="22">
        <f>'Employee Overview'!M212</f>
        <v>0</v>
      </c>
      <c r="M21" s="22">
        <f>'Employee Overview'!N212</f>
        <v>0</v>
      </c>
      <c r="N21" s="22">
        <f>'Employee Overview'!O212</f>
        <v>80</v>
      </c>
      <c r="P21" s="22">
        <f>SUM(C21:N21)</f>
        <v>603.5</v>
      </c>
    </row>
    <row r="22" spans="2:16" s="134" customFormat="1" x14ac:dyDescent="0.25">
      <c r="B22" s="33" t="s">
        <v>43</v>
      </c>
      <c r="C22" s="23">
        <f>'Employee Overview'!D213</f>
        <v>0</v>
      </c>
      <c r="D22" s="23">
        <f>'Employee Overview'!E213</f>
        <v>0</v>
      </c>
      <c r="E22" s="23">
        <f>'Employee Overview'!F213</f>
        <v>0</v>
      </c>
      <c r="F22" s="23">
        <f>'Employee Overview'!G213</f>
        <v>0</v>
      </c>
      <c r="G22" s="23">
        <f>'Employee Overview'!H213</f>
        <v>0</v>
      </c>
      <c r="H22" s="23">
        <f>'Employee Overview'!I213</f>
        <v>0</v>
      </c>
      <c r="I22" s="23">
        <f>'Employee Overview'!J213</f>
        <v>0</v>
      </c>
      <c r="J22" s="23">
        <f>'Employee Overview'!K213</f>
        <v>0</v>
      </c>
      <c r="K22" s="23">
        <f>'Employee Overview'!L213</f>
        <v>0</v>
      </c>
      <c r="L22" s="23">
        <f>'Employee Overview'!M213</f>
        <v>0</v>
      </c>
      <c r="M22" s="23">
        <f>'Employee Overview'!N213</f>
        <v>0</v>
      </c>
      <c r="N22" s="23">
        <f>'Employee Overview'!O213</f>
        <v>0</v>
      </c>
      <c r="P22" s="23">
        <f t="shared" ref="P22:P25" si="8">SUM(C22:N22)</f>
        <v>0</v>
      </c>
    </row>
    <row r="23" spans="2:16" s="134" customFormat="1" x14ac:dyDescent="0.25">
      <c r="B23" s="33" t="s">
        <v>44</v>
      </c>
      <c r="C23" s="24">
        <f>'Employee Overview'!D214</f>
        <v>0</v>
      </c>
      <c r="D23" s="24">
        <f>'Employee Overview'!E214</f>
        <v>0</v>
      </c>
      <c r="E23" s="24">
        <f>'Employee Overview'!F214</f>
        <v>0</v>
      </c>
      <c r="F23" s="24">
        <f>'Employee Overview'!G214</f>
        <v>0</v>
      </c>
      <c r="G23" s="24">
        <f>'Employee Overview'!H214</f>
        <v>0</v>
      </c>
      <c r="H23" s="24">
        <f>'Employee Overview'!I214</f>
        <v>0</v>
      </c>
      <c r="I23" s="24">
        <f>'Employee Overview'!J214</f>
        <v>0</v>
      </c>
      <c r="J23" s="24">
        <f>'Employee Overview'!K214</f>
        <v>0</v>
      </c>
      <c r="K23" s="24">
        <f>'Employee Overview'!L214</f>
        <v>0</v>
      </c>
      <c r="L23" s="24">
        <f>'Employee Overview'!M214</f>
        <v>0</v>
      </c>
      <c r="M23" s="24">
        <f>'Employee Overview'!N214</f>
        <v>0</v>
      </c>
      <c r="N23" s="24">
        <f>'Employee Overview'!O214</f>
        <v>0</v>
      </c>
      <c r="P23" s="24">
        <f t="shared" si="8"/>
        <v>0</v>
      </c>
    </row>
    <row r="24" spans="2:16" s="134" customFormat="1" x14ac:dyDescent="0.25">
      <c r="B24" s="33" t="s">
        <v>75</v>
      </c>
      <c r="C24" s="25">
        <f>'Employee Overview'!D215</f>
        <v>16</v>
      </c>
      <c r="D24" s="25">
        <f>'Employee Overview'!E215</f>
        <v>2</v>
      </c>
      <c r="E24" s="25">
        <f>'Employee Overview'!F215</f>
        <v>4</v>
      </c>
      <c r="F24" s="25">
        <f>'Employee Overview'!G215</f>
        <v>0</v>
      </c>
      <c r="G24" s="25">
        <f>'Employee Overview'!H215</f>
        <v>0</v>
      </c>
      <c r="H24" s="25">
        <f>'Employee Overview'!I215</f>
        <v>0</v>
      </c>
      <c r="I24" s="25">
        <f>'Employee Overview'!J215</f>
        <v>8</v>
      </c>
      <c r="J24" s="25">
        <f>'Employee Overview'!K215</f>
        <v>0</v>
      </c>
      <c r="K24" s="25">
        <f>'Employee Overview'!L215</f>
        <v>0</v>
      </c>
      <c r="L24" s="25">
        <f>'Employee Overview'!M215</f>
        <v>0</v>
      </c>
      <c r="M24" s="25">
        <f>'Employee Overview'!N215</f>
        <v>0</v>
      </c>
      <c r="N24" s="25">
        <f>'Employee Overview'!O215</f>
        <v>0</v>
      </c>
      <c r="P24" s="25">
        <f t="shared" si="8"/>
        <v>30</v>
      </c>
    </row>
    <row r="25" spans="2:16" s="134" customFormat="1" x14ac:dyDescent="0.25">
      <c r="B25" s="33" t="s">
        <v>46</v>
      </c>
      <c r="C25" s="27">
        <f>'Employee Overview'!D216</f>
        <v>0.35</v>
      </c>
      <c r="D25" s="27">
        <f>'Employee Overview'!E216</f>
        <v>0</v>
      </c>
      <c r="E25" s="27">
        <f>'Employee Overview'!F216</f>
        <v>0.5</v>
      </c>
      <c r="F25" s="27">
        <f>'Employee Overview'!G216</f>
        <v>0</v>
      </c>
      <c r="G25" s="27">
        <f>'Employee Overview'!H216</f>
        <v>0</v>
      </c>
      <c r="H25" s="27">
        <f>'Employee Overview'!I216</f>
        <v>0</v>
      </c>
      <c r="I25" s="27">
        <f>'Employee Overview'!J216</f>
        <v>0</v>
      </c>
      <c r="J25" s="27">
        <f>'Employee Overview'!K216</f>
        <v>0</v>
      </c>
      <c r="K25" s="27">
        <f>'Employee Overview'!L216</f>
        <v>0</v>
      </c>
      <c r="L25" s="27">
        <f>'Employee Overview'!M216</f>
        <v>0</v>
      </c>
      <c r="M25" s="27">
        <f>'Employee Overview'!N216</f>
        <v>0</v>
      </c>
      <c r="N25" s="27">
        <f>'Employee Overview'!O216</f>
        <v>0</v>
      </c>
      <c r="P25" s="27">
        <f t="shared" si="8"/>
        <v>0.85</v>
      </c>
    </row>
    <row r="26" spans="2:16" s="134" customFormat="1" x14ac:dyDescent="0.25">
      <c r="B26" s="33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P26" s="220"/>
    </row>
    <row r="27" spans="2:16" s="134" customFormat="1" x14ac:dyDescent="0.25">
      <c r="B27" s="33" t="s">
        <v>194</v>
      </c>
      <c r="C27" s="221">
        <f>'Hours Scheduled'!D46</f>
        <v>4128</v>
      </c>
      <c r="D27" s="221">
        <f>'Hours Scheduled'!E46</f>
        <v>3776</v>
      </c>
      <c r="E27" s="221">
        <f>'Hours Scheduled'!F46</f>
        <v>3632</v>
      </c>
      <c r="F27" s="221">
        <f>'Hours Scheduled'!G46</f>
        <v>3180</v>
      </c>
      <c r="G27" s="221">
        <f>'Hours Scheduled'!H46</f>
        <v>3168</v>
      </c>
      <c r="H27" s="221">
        <f>'Hours Scheduled'!I46</f>
        <v>2848</v>
      </c>
      <c r="I27" s="221">
        <f>'Hours Scheduled'!J46</f>
        <v>3272</v>
      </c>
      <c r="J27" s="221">
        <f>'Hours Scheduled'!K46</f>
        <v>3136</v>
      </c>
      <c r="K27" s="221">
        <f>'Hours Scheduled'!L46</f>
        <v>2992</v>
      </c>
      <c r="L27" s="221">
        <f>'Hours Scheduled'!M46</f>
        <v>3272</v>
      </c>
      <c r="M27" s="221">
        <f>'Hours Scheduled'!N46</f>
        <v>2992</v>
      </c>
      <c r="N27" s="221">
        <f>'Hours Scheduled'!O46</f>
        <v>2856</v>
      </c>
      <c r="P27" s="221">
        <f>SUM(C27:N27)</f>
        <v>39252</v>
      </c>
    </row>
    <row r="28" spans="2:16" s="134" customFormat="1" x14ac:dyDescent="0.25">
      <c r="B28" s="33" t="s">
        <v>195</v>
      </c>
      <c r="C28" s="221">
        <f>'Hours Scheduled'!D47</f>
        <v>528</v>
      </c>
      <c r="D28" s="221">
        <f>'Hours Scheduled'!E47</f>
        <v>480</v>
      </c>
      <c r="E28" s="221">
        <f>'Hours Scheduled'!F47</f>
        <v>504</v>
      </c>
      <c r="F28" s="221">
        <f>'Hours Scheduled'!G47</f>
        <v>480</v>
      </c>
      <c r="G28" s="221">
        <f>'Hours Scheduled'!H47</f>
        <v>480</v>
      </c>
      <c r="H28" s="221">
        <f>'Hours Scheduled'!I47</f>
        <v>448</v>
      </c>
      <c r="I28" s="221">
        <f>'Hours Scheduled'!J47</f>
        <v>520</v>
      </c>
      <c r="J28" s="221">
        <f>'Hours Scheduled'!K47</f>
        <v>488</v>
      </c>
      <c r="K28" s="221">
        <f>'Hours Scheduled'!L47</f>
        <v>472</v>
      </c>
      <c r="L28" s="221">
        <f>'Hours Scheduled'!M47</f>
        <v>520</v>
      </c>
      <c r="M28" s="221">
        <f>'Hours Scheduled'!N47</f>
        <v>464</v>
      </c>
      <c r="N28" s="221">
        <f>'Hours Scheduled'!O47</f>
        <v>448</v>
      </c>
      <c r="P28" s="221">
        <f>SUM(C28:N28)</f>
        <v>5832</v>
      </c>
    </row>
    <row r="29" spans="2:16" s="134" customFormat="1" x14ac:dyDescent="0.25">
      <c r="B29" s="222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P29" s="220"/>
    </row>
    <row r="30" spans="2:16" s="134" customFormat="1" x14ac:dyDescent="0.25">
      <c r="B30" s="222" t="s">
        <v>196</v>
      </c>
      <c r="C30" s="223">
        <f>C27-C6-C7-C8-C9</f>
        <v>3451</v>
      </c>
      <c r="D30" s="223">
        <f t="shared" ref="D30:N30" si="9">D27-D6-D7-D8-D9</f>
        <v>3069.75</v>
      </c>
      <c r="E30" s="223">
        <f t="shared" si="9"/>
        <v>2740</v>
      </c>
      <c r="F30" s="223">
        <f t="shared" si="9"/>
        <v>2609</v>
      </c>
      <c r="G30" s="223">
        <f t="shared" si="9"/>
        <v>2509.5</v>
      </c>
      <c r="H30" s="223">
        <f t="shared" si="9"/>
        <v>2387</v>
      </c>
      <c r="I30" s="223">
        <f t="shared" si="9"/>
        <v>2756</v>
      </c>
      <c r="J30" s="223">
        <f t="shared" si="9"/>
        <v>2462</v>
      </c>
      <c r="K30" s="223">
        <f t="shared" si="9"/>
        <v>2800</v>
      </c>
      <c r="L30" s="223">
        <f t="shared" si="9"/>
        <v>3200</v>
      </c>
      <c r="M30" s="223">
        <f t="shared" si="9"/>
        <v>2992</v>
      </c>
      <c r="N30" s="223">
        <f t="shared" si="9"/>
        <v>2680</v>
      </c>
      <c r="P30" s="221">
        <f>SUM(C30:N30)</f>
        <v>33656.25</v>
      </c>
    </row>
    <row r="31" spans="2:16" s="134" customFormat="1" x14ac:dyDescent="0.25">
      <c r="B31" s="222" t="s">
        <v>197</v>
      </c>
      <c r="C31" s="221">
        <f>C28-C21-C23-C24</f>
        <v>470</v>
      </c>
      <c r="D31" s="221">
        <f t="shared" ref="D31:N31" si="10">D28-D21-D23-D24</f>
        <v>374</v>
      </c>
      <c r="E31" s="221">
        <f t="shared" si="10"/>
        <v>473</v>
      </c>
      <c r="F31" s="221">
        <f t="shared" si="10"/>
        <v>421.5</v>
      </c>
      <c r="G31" s="221">
        <f t="shared" si="10"/>
        <v>406</v>
      </c>
      <c r="H31" s="221">
        <f t="shared" si="10"/>
        <v>430</v>
      </c>
      <c r="I31" s="221">
        <f t="shared" si="10"/>
        <v>408</v>
      </c>
      <c r="J31" s="221">
        <f t="shared" si="10"/>
        <v>392</v>
      </c>
      <c r="K31" s="221">
        <f t="shared" si="10"/>
        <v>472</v>
      </c>
      <c r="L31" s="221">
        <f t="shared" si="10"/>
        <v>520</v>
      </c>
      <c r="M31" s="221">
        <f t="shared" si="10"/>
        <v>464</v>
      </c>
      <c r="N31" s="221">
        <f t="shared" si="10"/>
        <v>368</v>
      </c>
      <c r="P31" s="221">
        <f>SUM(C31:N31)</f>
        <v>5198.5</v>
      </c>
    </row>
    <row r="32" spans="2:16" s="134" customFormat="1" x14ac:dyDescent="0.25">
      <c r="B32" s="222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P32" s="220"/>
    </row>
    <row r="33" spans="2:16" s="134" customFormat="1" x14ac:dyDescent="0.25">
      <c r="B33" s="222" t="s">
        <v>198</v>
      </c>
      <c r="C33" s="220">
        <f>(C27-C30)/C27</f>
        <v>0.16400193798449614</v>
      </c>
      <c r="D33" s="220">
        <f>(D27-D30)/D27</f>
        <v>0.1870365466101695</v>
      </c>
      <c r="E33" s="220">
        <f>(E27-E30)/E27</f>
        <v>0.24559471365638766</v>
      </c>
      <c r="F33" s="220">
        <f>(F27-F30)/F27</f>
        <v>0.17955974842767294</v>
      </c>
      <c r="G33" s="220">
        <f t="shared" ref="G33:P33" si="11">(G27-G30)/G27</f>
        <v>0.20785984848484848</v>
      </c>
      <c r="H33" s="220">
        <f t="shared" si="11"/>
        <v>0.1618679775280899</v>
      </c>
      <c r="I33" s="220">
        <f t="shared" si="11"/>
        <v>0.15770171149144255</v>
      </c>
      <c r="J33" s="220">
        <f t="shared" si="11"/>
        <v>0.21492346938775511</v>
      </c>
      <c r="K33" s="220">
        <f t="shared" si="11"/>
        <v>6.4171122994652413E-2</v>
      </c>
      <c r="L33" s="220">
        <f t="shared" si="11"/>
        <v>2.2004889975550123E-2</v>
      </c>
      <c r="M33" s="220">
        <f t="shared" si="11"/>
        <v>0</v>
      </c>
      <c r="N33" s="220">
        <f t="shared" si="11"/>
        <v>6.1624649859943981E-2</v>
      </c>
      <c r="P33" s="220">
        <f t="shared" si="11"/>
        <v>0.14255961479669826</v>
      </c>
    </row>
    <row r="34" spans="2:16" x14ac:dyDescent="0.25">
      <c r="B34" s="222" t="s">
        <v>199</v>
      </c>
      <c r="C34" s="220">
        <f>(C28-C31)/C28</f>
        <v>0.10984848484848485</v>
      </c>
      <c r="D34" s="220">
        <f t="shared" ref="D34:P34" si="12">(D28-D31)/D28</f>
        <v>0.22083333333333333</v>
      </c>
      <c r="E34" s="220">
        <f t="shared" si="12"/>
        <v>6.1507936507936505E-2</v>
      </c>
      <c r="F34" s="220">
        <f t="shared" si="12"/>
        <v>0.121875</v>
      </c>
      <c r="G34" s="220">
        <f t="shared" si="12"/>
        <v>0.15416666666666667</v>
      </c>
      <c r="H34" s="220">
        <f t="shared" si="12"/>
        <v>4.0178571428571432E-2</v>
      </c>
      <c r="I34" s="220">
        <f t="shared" si="12"/>
        <v>0.2153846153846154</v>
      </c>
      <c r="J34" s="220">
        <f t="shared" si="12"/>
        <v>0.19672131147540983</v>
      </c>
      <c r="K34" s="220">
        <f t="shared" si="12"/>
        <v>0</v>
      </c>
      <c r="L34" s="220">
        <f t="shared" si="12"/>
        <v>0</v>
      </c>
      <c r="M34" s="220">
        <f t="shared" si="12"/>
        <v>0</v>
      </c>
      <c r="N34" s="220">
        <f t="shared" si="12"/>
        <v>0.17857142857142858</v>
      </c>
      <c r="P34" s="220">
        <f t="shared" si="12"/>
        <v>0.10862482853223594</v>
      </c>
    </row>
    <row r="35" spans="2:16" x14ac:dyDescent="0.25">
      <c r="B35" s="222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</row>
    <row r="36" spans="2:16" ht="15.75" x14ac:dyDescent="0.25">
      <c r="B36" s="47" t="s">
        <v>67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2:16" x14ac:dyDescent="0.25">
      <c r="B37" s="45" t="s">
        <v>68</v>
      </c>
      <c r="C37" s="48">
        <f>Attrition!D45</f>
        <v>28</v>
      </c>
      <c r="D37" s="48">
        <f>Attrition!H45</f>
        <v>27</v>
      </c>
      <c r="E37" s="48">
        <f>Attrition!L45</f>
        <v>28</v>
      </c>
      <c r="F37" s="48">
        <f>Attrition!P45</f>
        <v>26</v>
      </c>
      <c r="G37" s="48">
        <f>Attrition!T45</f>
        <v>25</v>
      </c>
      <c r="H37" s="48">
        <f>Attrition!X45</f>
        <v>24</v>
      </c>
      <c r="I37" s="48">
        <f>Attrition!AB45</f>
        <v>24</v>
      </c>
      <c r="J37" s="48">
        <f>Attrition!AF45</f>
        <v>0</v>
      </c>
      <c r="K37" s="48">
        <f>Attrition!AJ45</f>
        <v>0</v>
      </c>
      <c r="L37" s="48">
        <f>Attrition!AN45</f>
        <v>0</v>
      </c>
      <c r="M37" s="48">
        <f>Attrition!AR45</f>
        <v>0</v>
      </c>
      <c r="N37" s="48">
        <f>Attrition!AV45</f>
        <v>0</v>
      </c>
      <c r="P37" s="48">
        <f>SUM(C37:N37)</f>
        <v>182</v>
      </c>
    </row>
    <row r="38" spans="2:16" x14ac:dyDescent="0.25">
      <c r="B38" s="45" t="s">
        <v>62</v>
      </c>
      <c r="C38" s="48">
        <f>Attrition!E45</f>
        <v>0</v>
      </c>
      <c r="D38" s="48">
        <f>Attrition!I45</f>
        <v>2</v>
      </c>
      <c r="E38" s="48">
        <f>Attrition!M45</f>
        <v>0</v>
      </c>
      <c r="F38" s="48">
        <f>Attrition!Q45</f>
        <v>0</v>
      </c>
      <c r="G38" s="48">
        <f>Attrition!U45</f>
        <v>0</v>
      </c>
      <c r="H38" s="48">
        <f>Attrition!Y45</f>
        <v>0</v>
      </c>
      <c r="I38" s="48">
        <f>Attrition!AC45</f>
        <v>0</v>
      </c>
      <c r="J38" s="48">
        <f>Attrition!AG45</f>
        <v>0</v>
      </c>
      <c r="K38" s="48">
        <f>Attrition!AK45</f>
        <v>0</v>
      </c>
      <c r="L38" s="48">
        <f>Attrition!AO45</f>
        <v>0</v>
      </c>
      <c r="M38" s="48">
        <f>Attrition!AS45</f>
        <v>0</v>
      </c>
      <c r="N38" s="48">
        <f>Attrition!AW45</f>
        <v>0</v>
      </c>
      <c r="P38" s="48">
        <f>SUM(C38:N38)</f>
        <v>2</v>
      </c>
    </row>
    <row r="39" spans="2:16" x14ac:dyDescent="0.25">
      <c r="B39" s="45" t="s">
        <v>63</v>
      </c>
      <c r="C39" s="51">
        <f>Attrition!F45</f>
        <v>0</v>
      </c>
      <c r="D39" s="51">
        <f>Attrition!J45</f>
        <v>0</v>
      </c>
      <c r="E39" s="51">
        <f>Attrition!N45</f>
        <v>1</v>
      </c>
      <c r="F39" s="51">
        <f>Attrition!R45</f>
        <v>0</v>
      </c>
      <c r="G39" s="51">
        <f>Attrition!V45</f>
        <v>0</v>
      </c>
      <c r="H39" s="51">
        <f>Attrition!Z45</f>
        <v>0</v>
      </c>
      <c r="I39" s="51">
        <f>Attrition!AD45</f>
        <v>0</v>
      </c>
      <c r="J39" s="51">
        <f>Attrition!AH45</f>
        <v>0</v>
      </c>
      <c r="K39" s="51">
        <f>Attrition!AL45</f>
        <v>0</v>
      </c>
      <c r="L39" s="51">
        <f>Attrition!AP45</f>
        <v>0</v>
      </c>
      <c r="M39" s="51">
        <f>Attrition!AT45</f>
        <v>0</v>
      </c>
      <c r="N39" s="51">
        <f>Attrition!AX45</f>
        <v>0</v>
      </c>
      <c r="P39" s="48">
        <f>SUM(C39:N39)</f>
        <v>1</v>
      </c>
    </row>
    <row r="40" spans="2:16" ht="15.75" thickBot="1" x14ac:dyDescent="0.3">
      <c r="B40" s="45" t="s">
        <v>73</v>
      </c>
      <c r="C40" s="49">
        <f>Attrition!G45</f>
        <v>1</v>
      </c>
      <c r="D40" s="49">
        <f>Attrition!K45</f>
        <v>0</v>
      </c>
      <c r="E40" s="49">
        <f>Attrition!O45</f>
        <v>0</v>
      </c>
      <c r="F40" s="49">
        <f>Attrition!S45</f>
        <v>0</v>
      </c>
      <c r="G40" s="49">
        <f>Attrition!W45</f>
        <v>0</v>
      </c>
      <c r="H40" s="49">
        <f>Attrition!AA45</f>
        <v>0</v>
      </c>
      <c r="I40" s="49">
        <f>Attrition!AE45</f>
        <v>0</v>
      </c>
      <c r="J40" s="49">
        <f>Attrition!AI45</f>
        <v>0</v>
      </c>
      <c r="K40" s="49">
        <f>Attrition!AM45</f>
        <v>0</v>
      </c>
      <c r="L40" s="49">
        <f>Attrition!AQ45</f>
        <v>0</v>
      </c>
      <c r="M40" s="49">
        <f>Attrition!AU45</f>
        <v>0</v>
      </c>
      <c r="N40" s="49">
        <f>Attrition!AY45</f>
        <v>0</v>
      </c>
      <c r="P40" s="49">
        <f>SUM(C40:N40)</f>
        <v>1</v>
      </c>
    </row>
    <row r="41" spans="2:16" x14ac:dyDescent="0.25">
      <c r="B41" s="45" t="s">
        <v>66</v>
      </c>
      <c r="C41" s="50">
        <f>SUM(C37:C40)</f>
        <v>29</v>
      </c>
      <c r="D41" s="50">
        <f t="shared" ref="D41:N41" si="13">SUM(D37:D40)</f>
        <v>29</v>
      </c>
      <c r="E41" s="50">
        <f t="shared" si="13"/>
        <v>29</v>
      </c>
      <c r="F41" s="50">
        <f t="shared" si="13"/>
        <v>26</v>
      </c>
      <c r="G41" s="50">
        <f t="shared" si="13"/>
        <v>25</v>
      </c>
      <c r="H41" s="50">
        <f t="shared" si="13"/>
        <v>24</v>
      </c>
      <c r="I41" s="50">
        <f t="shared" si="13"/>
        <v>24</v>
      </c>
      <c r="J41" s="50">
        <f t="shared" si="13"/>
        <v>0</v>
      </c>
      <c r="K41" s="50">
        <f t="shared" si="13"/>
        <v>0</v>
      </c>
      <c r="L41" s="50">
        <f t="shared" si="13"/>
        <v>0</v>
      </c>
      <c r="M41" s="50">
        <f t="shared" si="13"/>
        <v>0</v>
      </c>
      <c r="N41" s="50">
        <f t="shared" si="13"/>
        <v>0</v>
      </c>
      <c r="P41" s="50">
        <f>SUM(P37:P40)</f>
        <v>186</v>
      </c>
    </row>
    <row r="42" spans="2:16" ht="15.75" thickBot="1" x14ac:dyDescent="0.3"/>
    <row r="43" spans="2:16" ht="15.75" thickBot="1" x14ac:dyDescent="0.3">
      <c r="B43" s="45" t="s">
        <v>69</v>
      </c>
      <c r="C43" s="53">
        <f>IF(C38+C39&gt;0,(C38+C39)/C41,0%)</f>
        <v>0</v>
      </c>
      <c r="D43" s="53">
        <f t="shared" ref="D43:P43" si="14">IF(D38+D39&gt;0,(D38+D39)/D41,0%)</f>
        <v>6.8965517241379309E-2</v>
      </c>
      <c r="E43" s="53">
        <f t="shared" si="14"/>
        <v>3.4482758620689655E-2</v>
      </c>
      <c r="F43" s="53">
        <f t="shared" si="14"/>
        <v>0</v>
      </c>
      <c r="G43" s="53">
        <f t="shared" si="14"/>
        <v>0</v>
      </c>
      <c r="H43" s="53">
        <f t="shared" si="14"/>
        <v>0</v>
      </c>
      <c r="I43" s="53">
        <f t="shared" si="14"/>
        <v>0</v>
      </c>
      <c r="J43" s="53">
        <f t="shared" si="14"/>
        <v>0</v>
      </c>
      <c r="K43" s="53">
        <f t="shared" si="14"/>
        <v>0</v>
      </c>
      <c r="L43" s="53">
        <f t="shared" si="14"/>
        <v>0</v>
      </c>
      <c r="M43" s="53">
        <f t="shared" si="14"/>
        <v>0</v>
      </c>
      <c r="N43" s="53">
        <f t="shared" si="14"/>
        <v>0</v>
      </c>
      <c r="O43" s="52"/>
      <c r="P43" s="53">
        <f t="shared" si="14"/>
        <v>1.6129032258064516E-2</v>
      </c>
    </row>
    <row r="44" spans="2:16" ht="15.75" thickBot="1" x14ac:dyDescent="0.3">
      <c r="B44" s="45" t="s">
        <v>70</v>
      </c>
      <c r="C44" s="53">
        <f>C43*12</f>
        <v>0</v>
      </c>
      <c r="D44" s="53">
        <f t="shared" ref="D44:P44" si="15">D43*12</f>
        <v>0.82758620689655171</v>
      </c>
      <c r="E44" s="53">
        <f t="shared" si="15"/>
        <v>0.41379310344827586</v>
      </c>
      <c r="F44" s="53">
        <f t="shared" si="15"/>
        <v>0</v>
      </c>
      <c r="G44" s="53">
        <f t="shared" si="15"/>
        <v>0</v>
      </c>
      <c r="H44" s="53">
        <f t="shared" si="15"/>
        <v>0</v>
      </c>
      <c r="I44" s="53">
        <f t="shared" si="15"/>
        <v>0</v>
      </c>
      <c r="J44" s="53">
        <f t="shared" si="15"/>
        <v>0</v>
      </c>
      <c r="K44" s="53">
        <f t="shared" si="15"/>
        <v>0</v>
      </c>
      <c r="L44" s="53">
        <f t="shared" si="15"/>
        <v>0</v>
      </c>
      <c r="M44" s="53">
        <f t="shared" si="15"/>
        <v>0</v>
      </c>
      <c r="N44" s="53">
        <f t="shared" si="15"/>
        <v>0</v>
      </c>
      <c r="O44" s="52"/>
      <c r="P44" s="53">
        <f t="shared" si="15"/>
        <v>0.19354838709677419</v>
      </c>
    </row>
    <row r="46" spans="2:16" ht="15.75" x14ac:dyDescent="0.25">
      <c r="B46" s="47" t="s">
        <v>40</v>
      </c>
    </row>
    <row r="47" spans="2:16" x14ac:dyDescent="0.25">
      <c r="B47" s="45" t="s">
        <v>88</v>
      </c>
      <c r="C47" s="58">
        <f>'Time for Time'!C45</f>
        <v>14.25</v>
      </c>
      <c r="D47" s="58">
        <f>'Time for Time'!D45</f>
        <v>25.85</v>
      </c>
      <c r="E47" s="58">
        <f>'Time for Time'!E45</f>
        <v>72.699999999999989</v>
      </c>
      <c r="F47" s="58">
        <f>'Time for Time'!F45</f>
        <v>30.549999999999997</v>
      </c>
      <c r="G47" s="58">
        <f>'Time for Time'!G45</f>
        <v>-19.629999999999995</v>
      </c>
      <c r="H47" s="58">
        <f>'Time for Time'!H45</f>
        <v>14.82</v>
      </c>
      <c r="I47" s="58">
        <f>'Time for Time'!I45</f>
        <v>-52.96</v>
      </c>
      <c r="J47" s="58">
        <f>'Time for Time'!J45</f>
        <v>0</v>
      </c>
      <c r="K47" s="58">
        <f>'Time for Time'!K45</f>
        <v>0</v>
      </c>
      <c r="L47" s="58">
        <f>'Time for Time'!L45</f>
        <v>0</v>
      </c>
      <c r="M47" s="58">
        <f>'Time for Time'!M45</f>
        <v>0</v>
      </c>
      <c r="N47" s="58">
        <f>'Time for Time'!N45</f>
        <v>0</v>
      </c>
      <c r="O47" s="57"/>
      <c r="P47" s="58">
        <f>SUM(C47:N47)</f>
        <v>85.579999999999956</v>
      </c>
    </row>
  </sheetData>
  <customSheetViews>
    <customSheetView guid="{98CBC5BF-8C89-48A4-860E-9C56014CD200}" showGridLines="0" topLeftCell="A13">
      <selection activeCell="G28" sqref="G28"/>
      <pageMargins left="0.7" right="0.7" top="0.75" bottom="0.75" header="0.3" footer="0.3"/>
      <pageSetup orientation="portrait" r:id="rId1"/>
    </customSheetView>
    <customSheetView guid="{1BC25061-32D5-45DE-83F9-EFA3A1092E03}" showGridLines="0">
      <selection activeCell="C19" sqref="C19"/>
      <pageMargins left="0.7" right="0.7" top="0.75" bottom="0.75" header="0.3" footer="0.3"/>
      <pageSetup orientation="portrait" r:id="rId2"/>
    </customSheetView>
    <customSheetView guid="{CF917189-7AB9-4E55-816F-ACFC7FA45C05}" showGridLines="0">
      <selection activeCell="C19" sqref="C19"/>
      <pageMargins left="0.7" right="0.7" top="0.75" bottom="0.75" header="0.3" footer="0.3"/>
      <pageSetup orientation="portrait" r:id="rId3"/>
    </customSheetView>
    <customSheetView guid="{4155806E-C0D0-4CC9-9B31-04245B7DD4C8}" showGridLines="0">
      <selection activeCell="F22" sqref="F22"/>
      <pageMargins left="0.7" right="0.7" top="0.75" bottom="0.75" header="0.3" footer="0.3"/>
      <pageSetup orientation="portrait" r:id="rId4"/>
    </customSheetView>
    <customSheetView guid="{1587CBCC-2CC7-4525-8A49-E261AB2E1606}" showGridLines="0">
      <selection activeCell="C19" sqref="C19"/>
      <pageMargins left="0.7" right="0.7" top="0.75" bottom="0.75" header="0.3" footer="0.3"/>
      <pageSetup orientation="portrait" r:id="rId5"/>
    </customSheetView>
    <customSheetView guid="{C5D9000A-81ED-4920-B6AF-4B234775AEC9}" showGridLines="0">
      <selection activeCell="C19" sqref="C19"/>
      <pageMargins left="0.7" right="0.7" top="0.75" bottom="0.75" header="0.3" footer="0.3"/>
      <pageSetup orientation="portrait" r:id="rId6"/>
    </customSheetView>
  </customSheetViews>
  <pageMargins left="0.7" right="0.7" top="0.75" bottom="0.75" header="0.3" footer="0.3"/>
  <pageSetup orientation="portrait" r:id="rId7"/>
</worksheet>
</file>

<file path=xl/worksheets/wsSortMap1.xml><?xml version="1.0" encoding="utf-8"?>
<worksheetSortMap xmlns="http://schemas.microsoft.com/office/excel/2006/main">
  <rowSortMap ref="A5:XFD34" count="21">
    <row newVal="4" oldVal="6"/>
    <row newVal="5" oldVal="4"/>
    <row newVal="6" oldVal="5"/>
    <row newVal="12" oldVal="15"/>
    <row newVal="14" oldVal="12"/>
    <row newVal="15" oldVal="14"/>
    <row newVal="16" oldVal="19"/>
    <row newVal="17" oldVal="16"/>
    <row newVal="18" oldVal="17"/>
    <row newVal="19" oldVal="18"/>
    <row newVal="20" oldVal="26"/>
    <row newVal="23" oldVal="31"/>
    <row newVal="25" oldVal="20"/>
    <row newVal="26" oldVal="28"/>
    <row newVal="27" oldVal="23"/>
    <row newVal="28" oldVal="25"/>
    <row newVal="29" oldVal="27"/>
    <row newVal="30" oldVal="29"/>
    <row newVal="31" oldVal="32"/>
    <row newVal="32" oldVal="33"/>
    <row newVal="33" oldVal="30"/>
  </rowSortMap>
</worksheetSortMap>
</file>

<file path=xl/worksheets/wsSortMap2.xml><?xml version="1.0" encoding="utf-8"?>
<worksheetSortMap xmlns="http://schemas.microsoft.com/office/excel/2006/main">
  <rowSortMap ref="A5:XFD36" count="31">
    <row newVal="4" oldVal="6"/>
    <row newVal="5" oldVal="4"/>
    <row newVal="6" oldVal="10"/>
    <row newVal="7" oldVal="12"/>
    <row newVal="8" oldVal="17"/>
    <row newVal="9" oldVal="5"/>
    <row newVal="10" oldVal="34"/>
    <row newVal="11" oldVal="35"/>
    <row newVal="12" oldVal="7"/>
    <row newVal="13" oldVal="16"/>
    <row newVal="14" oldVal="8"/>
    <row newVal="15" oldVal="9"/>
    <row newVal="16" oldVal="11"/>
    <row newVal="17" oldVal="13"/>
    <row newVal="18" oldVal="15"/>
    <row newVal="19" oldVal="14"/>
    <row newVal="20" oldVal="18"/>
    <row newVal="21" oldVal="33"/>
    <row newVal="22" oldVal="19"/>
    <row newVal="23" oldVal="21"/>
    <row newVal="24" oldVal="22"/>
    <row newVal="25" oldVal="23"/>
    <row newVal="26" oldVal="20"/>
    <row newVal="27" oldVal="24"/>
    <row newVal="29" oldVal="25"/>
    <row newVal="30" oldVal="26"/>
    <row newVal="31" oldVal="27"/>
    <row newVal="32" oldVal="29"/>
    <row newVal="33" oldVal="30"/>
    <row newVal="34" oldVal="31"/>
    <row newVal="35" oldVal="32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Title</vt:lpstr>
      <vt:lpstr>Employee List</vt:lpstr>
      <vt:lpstr>Overview</vt:lpstr>
      <vt:lpstr>Productivity</vt:lpstr>
      <vt:lpstr>Attrition</vt:lpstr>
      <vt:lpstr>Time for Time</vt:lpstr>
      <vt:lpstr>Holiday Entitlement</vt:lpstr>
      <vt:lpstr>Hours Scheduled</vt:lpstr>
      <vt:lpstr>Team Overview</vt:lpstr>
      <vt:lpstr>Employee Overview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Wishlist</vt:lpstr>
      <vt:lpstr>Requests for next year!</vt:lpstr>
      <vt:lpstr>Training Hours Overview year</vt:lpstr>
    </vt:vector>
  </TitlesOfParts>
  <Company>tptec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Sören van Rooijen;Patrick Janssen</dc:creator>
  <cp:lastModifiedBy>Patrick Ziesen</cp:lastModifiedBy>
  <cp:lastPrinted>2013-04-17T07:56:13Z</cp:lastPrinted>
  <dcterms:created xsi:type="dcterms:W3CDTF">2008-12-05T12:22:42Z</dcterms:created>
  <dcterms:modified xsi:type="dcterms:W3CDTF">2013-07-09T09:01:43Z</dcterms:modified>
</cp:coreProperties>
</file>