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h\Desktop\"/>
    </mc:Choice>
  </mc:AlternateContent>
  <xr:revisionPtr revIDLastSave="0" documentId="13_ncr:1_{D5CC7BAE-7BEA-4F88-BE1E-7EC50738058C}" xr6:coauthVersionLast="47" xr6:coauthVersionMax="47" xr10:uidLastSave="{00000000-0000-0000-0000-000000000000}"/>
  <bookViews>
    <workbookView xWindow="-120" yWindow="-120" windowWidth="19440" windowHeight="11640" xr2:uid="{1DD8E776-26EA-4E59-B41A-6D87498E70C5}"/>
  </bookViews>
  <sheets>
    <sheet name="1.MyMix_complete_Portfolio" sheetId="1" r:id="rId1"/>
    <sheet name="1.Risky_portfolio" sheetId="5" r:id="rId2"/>
    <sheet name="2.Frontiers" sheetId="6" r:id="rId3"/>
    <sheet name="3.MyMix2" sheetId="10" r:id="rId4"/>
    <sheet name="4.Portfolio_with_GEF_assets" sheetId="7" r:id="rId5"/>
    <sheet name="4.Portfolio_with_GEF_results" sheetId="9" r:id="rId6"/>
    <sheet name="4.Comparison" sheetId="14" r:id="rId7"/>
    <sheet name="5.P_precious_metals" sheetId="11" r:id="rId8"/>
    <sheet name="5.P_w_precious_metals_results" sheetId="12" r:id="rId9"/>
    <sheet name="5.Comparison" sheetId="15" r:id="rId10"/>
    <sheet name="Monthly_Returns" sheetId="3" r:id="rId11"/>
    <sheet name="Monthly_Prices" sheetId="2" r:id="rId12"/>
  </sheets>
  <definedNames>
    <definedName name="all_assets">Monthly_Prices!$B$1:$F$1</definedName>
    <definedName name="all_assets_ret_vector">'1.MyMix_complete_Portfolio'!$B$9:$F$9</definedName>
    <definedName name="all_assets_std_vec">'1.MyMix_complete_Portfolio'!$B$10:$F$10</definedName>
    <definedName name="B_0">'1.MyMix_complete_Portfolio'!$B$11:$F$11</definedName>
    <definedName name="mymix_weights">'1.MyMix_complete_Portfolio'!$B$35:$F$35</definedName>
    <definedName name="ret_vec_pm">'5.P_precious_metals'!$B$9:$G$9</definedName>
    <definedName name="returns_vector_3">'4.Portfolio_with_GEF_assets'!$B$9:$F$9</definedName>
    <definedName name="rf">'1.MyMix_complete_Portfolio'!$F$9</definedName>
    <definedName name="risky_assets">Monthly_Returns!$B$1:$E$1</definedName>
    <definedName name="risky_assets_gef">'4.Portfolio_with_GEF_assets'!$B$4:$F$4</definedName>
    <definedName name="solver_adj" localSheetId="2" hidden="1">'2.Frontiers'!$F$33:$I$33</definedName>
    <definedName name="solver_adj" localSheetId="5" hidden="1">'4.Portfolio_with_GEF_results'!$F$24:$J$24</definedName>
    <definedName name="solver_adj" localSheetId="8" hidden="1">'5.P_w_precious_metals_results'!$F$10:$K$10</definedName>
    <definedName name="solver_cvg" localSheetId="2" hidden="1">0.0001</definedName>
    <definedName name="solver_cvg" localSheetId="5" hidden="1">0.0001</definedName>
    <definedName name="solver_cvg" localSheetId="8" hidden="1">0.0001</definedName>
    <definedName name="solver_drv" localSheetId="2" hidden="1">2</definedName>
    <definedName name="solver_drv" localSheetId="5" hidden="1">2</definedName>
    <definedName name="solver_drv" localSheetId="8" hidden="1">1</definedName>
    <definedName name="solver_eng" localSheetId="2" hidden="1">1</definedName>
    <definedName name="solver_eng" localSheetId="5" hidden="1">1</definedName>
    <definedName name="solver_eng" localSheetId="8" hidden="1">1</definedName>
    <definedName name="solver_eng" localSheetId="10" hidden="1">1</definedName>
    <definedName name="solver_est" localSheetId="2" hidden="1">1</definedName>
    <definedName name="solver_est" localSheetId="5" hidden="1">1</definedName>
    <definedName name="solver_est" localSheetId="8" hidden="1">1</definedName>
    <definedName name="solver_itr" localSheetId="2" hidden="1">2147483647</definedName>
    <definedName name="solver_itr" localSheetId="5" hidden="1">2147483647</definedName>
    <definedName name="solver_itr" localSheetId="8" hidden="1">2147483647</definedName>
    <definedName name="solver_lhs1" localSheetId="2" hidden="1">'2.Frontiers'!$D$33</definedName>
    <definedName name="solver_lhs1" localSheetId="5" hidden="1">'4.Portfolio_with_GEF_results'!$F$24:$J$24</definedName>
    <definedName name="solver_lhs1" localSheetId="8" hidden="1">'5.P_w_precious_metals_results'!$L$10</definedName>
    <definedName name="solver_lhs2" localSheetId="2" hidden="1">'2.Frontiers'!$J$33</definedName>
    <definedName name="solver_lhs2" localSheetId="5" hidden="1">'4.Portfolio_with_GEF_results'!$K$24</definedName>
    <definedName name="solver_lhs2" localSheetId="8" hidden="1">'5.P_w_precious_metals_results'!$L$11</definedName>
    <definedName name="solver_lhs3" localSheetId="2" hidden="1">'2.Frontiers'!$F$33:$I$33</definedName>
    <definedName name="solver_lhs3" localSheetId="5" hidden="1">'4.Portfolio_with_GEF_results'!$K$20</definedName>
    <definedName name="solver_mip" localSheetId="2" hidden="1">2147483647</definedName>
    <definedName name="solver_mip" localSheetId="5" hidden="1">2147483647</definedName>
    <definedName name="solver_mip" localSheetId="8" hidden="1">2147483647</definedName>
    <definedName name="solver_mni" localSheetId="2" hidden="1">30</definedName>
    <definedName name="solver_mni" localSheetId="5" hidden="1">30</definedName>
    <definedName name="solver_mni" localSheetId="8" hidden="1">30</definedName>
    <definedName name="solver_mrt" localSheetId="2" hidden="1">0.075</definedName>
    <definedName name="solver_mrt" localSheetId="5" hidden="1">0.075</definedName>
    <definedName name="solver_mrt" localSheetId="8" hidden="1">0.075</definedName>
    <definedName name="solver_msl" localSheetId="2" hidden="1">2</definedName>
    <definedName name="solver_msl" localSheetId="5" hidden="1">2</definedName>
    <definedName name="solver_msl" localSheetId="8" hidden="1">2</definedName>
    <definedName name="solver_neg" localSheetId="2" hidden="1">2</definedName>
    <definedName name="solver_neg" localSheetId="5" hidden="1">2</definedName>
    <definedName name="solver_neg" localSheetId="8" hidden="1">2</definedName>
    <definedName name="solver_neg" localSheetId="10" hidden="1">1</definedName>
    <definedName name="solver_nod" localSheetId="2" hidden="1">2147483647</definedName>
    <definedName name="solver_nod" localSheetId="5" hidden="1">2147483647</definedName>
    <definedName name="solver_nod" localSheetId="8" hidden="1">2147483647</definedName>
    <definedName name="solver_num" localSheetId="2" hidden="1">3</definedName>
    <definedName name="solver_num" localSheetId="5" hidden="1">2</definedName>
    <definedName name="solver_num" localSheetId="8" hidden="1">1</definedName>
    <definedName name="solver_num" localSheetId="10" hidden="1">0</definedName>
    <definedName name="solver_nwt" localSheetId="2" hidden="1">1</definedName>
    <definedName name="solver_nwt" localSheetId="5" hidden="1">1</definedName>
    <definedName name="solver_nwt" localSheetId="8" hidden="1">1</definedName>
    <definedName name="solver_opt" localSheetId="2" hidden="1">'2.Frontiers'!$C$33</definedName>
    <definedName name="solver_opt" localSheetId="5" hidden="1">'4.Portfolio_with_GEF_results'!$E$24</definedName>
    <definedName name="solver_opt" localSheetId="8" hidden="1">'5.P_w_precious_metals_results'!$E$10</definedName>
    <definedName name="solver_opt" localSheetId="10" hidden="1">Monthly_Returns!$H$62</definedName>
    <definedName name="solver_pre" localSheetId="2" hidden="1">0.000001</definedName>
    <definedName name="solver_pre" localSheetId="5" hidden="1">0.000001</definedName>
    <definedName name="solver_pre" localSheetId="8" hidden="1">0.000001</definedName>
    <definedName name="solver_rbv" localSheetId="2" hidden="1">2</definedName>
    <definedName name="solver_rbv" localSheetId="5" hidden="1">2</definedName>
    <definedName name="solver_rbv" localSheetId="8" hidden="1">1</definedName>
    <definedName name="solver_rel1" localSheetId="2" hidden="1">2</definedName>
    <definedName name="solver_rel1" localSheetId="5" hidden="1">3</definedName>
    <definedName name="solver_rel1" localSheetId="8" hidden="1">2</definedName>
    <definedName name="solver_rel2" localSheetId="2" hidden="1">2</definedName>
    <definedName name="solver_rel2" localSheetId="5" hidden="1">2</definedName>
    <definedName name="solver_rel2" localSheetId="8" hidden="1">2</definedName>
    <definedName name="solver_rel3" localSheetId="2" hidden="1">3</definedName>
    <definedName name="solver_rel3" localSheetId="5" hidden="1">2</definedName>
    <definedName name="solver_rhs1" localSheetId="2" hidden="1">0.11</definedName>
    <definedName name="solver_rhs1" localSheetId="5" hidden="1">0</definedName>
    <definedName name="solver_rhs1" localSheetId="8" hidden="1">1</definedName>
    <definedName name="solver_rhs2" localSheetId="2" hidden="1">1</definedName>
    <definedName name="solver_rhs2" localSheetId="5" hidden="1">1</definedName>
    <definedName name="solver_rhs2" localSheetId="8" hidden="1">1</definedName>
    <definedName name="solver_rhs3" localSheetId="2" hidden="1">0</definedName>
    <definedName name="solver_rhs3" localSheetId="5" hidden="1">1</definedName>
    <definedName name="solver_rlx" localSheetId="2" hidden="1">2</definedName>
    <definedName name="solver_rlx" localSheetId="5" hidden="1">2</definedName>
    <definedName name="solver_rlx" localSheetId="8" hidden="1">2</definedName>
    <definedName name="solver_rsd" localSheetId="2" hidden="1">0</definedName>
    <definedName name="solver_rsd" localSheetId="5" hidden="1">0</definedName>
    <definedName name="solver_rsd" localSheetId="8" hidden="1">0</definedName>
    <definedName name="solver_scl" localSheetId="2" hidden="1">2</definedName>
    <definedName name="solver_scl" localSheetId="5" hidden="1">2</definedName>
    <definedName name="solver_scl" localSheetId="8" hidden="1">1</definedName>
    <definedName name="solver_sho" localSheetId="2" hidden="1">2</definedName>
    <definedName name="solver_sho" localSheetId="5" hidden="1">2</definedName>
    <definedName name="solver_sho" localSheetId="8" hidden="1">2</definedName>
    <definedName name="solver_ssz" localSheetId="2" hidden="1">100</definedName>
    <definedName name="solver_ssz" localSheetId="5" hidden="1">100</definedName>
    <definedName name="solver_ssz" localSheetId="8" hidden="1">100</definedName>
    <definedName name="solver_tim" localSheetId="2" hidden="1">2147483647</definedName>
    <definedName name="solver_tim" localSheetId="5" hidden="1">2147483647</definedName>
    <definedName name="solver_tim" localSheetId="8" hidden="1">2147483647</definedName>
    <definedName name="solver_tol" localSheetId="2" hidden="1">0.01</definedName>
    <definedName name="solver_tol" localSheetId="5" hidden="1">0.01</definedName>
    <definedName name="solver_tol" localSheetId="8" hidden="1">0.01</definedName>
    <definedName name="solver_typ" localSheetId="2" hidden="1">2</definedName>
    <definedName name="solver_typ" localSheetId="5" hidden="1">1</definedName>
    <definedName name="solver_typ" localSheetId="8" hidden="1">1</definedName>
    <definedName name="solver_typ" localSheetId="10" hidden="1">1</definedName>
    <definedName name="solver_val" localSheetId="2" hidden="1">0</definedName>
    <definedName name="solver_val" localSheetId="5" hidden="1">0</definedName>
    <definedName name="solver_val" localSheetId="8" hidden="1">0</definedName>
    <definedName name="solver_val" localSheetId="10" hidden="1">0</definedName>
    <definedName name="solver_ver" localSheetId="2" hidden="1">3</definedName>
    <definedName name="solver_ver" localSheetId="5" hidden="1">3</definedName>
    <definedName name="solver_ver" localSheetId="8" hidden="1">3</definedName>
    <definedName name="solver_ver" localSheetId="10" hidden="1">3</definedName>
    <definedName name="vcov_all_assets">'1.MyMix_complete_Portfolio'!$B$25:$F$29</definedName>
    <definedName name="vcov1">'1.MyMix_complete_Portfolio'!$B$25:$E$28</definedName>
    <definedName name="vcov2">'4.Portfolio_with_GEF_assets'!$C$25:$G$29</definedName>
    <definedName name="vcov5">'5.P_precious_metals'!$C$25:$H$30</definedName>
    <definedName name="vector_returns_risky_assets1">'1.Risky_portfolio'!$B$9:$E$9</definedName>
    <definedName name="weights_maxsharpe">'2.Frontiers'!$F$11:$I$11</definedName>
    <definedName name="weights_maxsharpe_noshort">'2.Frontiers'!$F$31:$I$31</definedName>
    <definedName name="weights_mvp">'2.Frontiers'!$F$7:$I$7</definedName>
    <definedName name="weights_mvp_noshort">'2.Frontiers'!$F$27:$I$27</definedName>
    <definedName name="weights_mymix2">'3.MyMix2'!$B$13:$F$13</definedName>
    <definedName name="weights_rp1">'1.Risky_portfolio'!$B$25:$E$25</definedName>
    <definedName name="weights_t1">'2.Frontiers'!$F$4:$I$4</definedName>
    <definedName name="weights_t1_noshort">'2.Frontiers'!$F$24:$I$24</definedName>
    <definedName name="weights_t10">'2.Frontiers'!$F$12:$I$12</definedName>
    <definedName name="weights_t10_noshort">'2.Frontiers'!$F$32:$I$32</definedName>
    <definedName name="weights_t11">'2.Frontiers'!$F$13:$I$13</definedName>
    <definedName name="weights_t11_noshort">'2.Frontiers'!$F$33:$I$33</definedName>
    <definedName name="weights_t2">'2.Frontiers'!$F$5:$I$5</definedName>
    <definedName name="weights_t3">'2.Frontiers'!$F$6:$I$6</definedName>
    <definedName name="weights_t3_noshort">'2.Frontiers'!$F$25:$I$25</definedName>
    <definedName name="weights_t4">'2.Frontiers'!$F$8:$I$8</definedName>
    <definedName name="weights_t4_noshort">'2.Frontiers'!$F$26:$I$26</definedName>
    <definedName name="weights_t5">'2.Frontiers'!$F$9:$I$9</definedName>
    <definedName name="weights_t5_noshort">'2.Frontiers'!$F$28:$I$28</definedName>
    <definedName name="weights_t6">'2.Frontiers'!$F$10:$I$10</definedName>
    <definedName name="weights_t65_noshort">'2.Frontiers'!$F$29:$I$29</definedName>
    <definedName name="weights_t8_noshort">'2.Frontiers'!$F$30:$I$30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8" i="15" l="1" a="1"/>
  <c r="O38" i="15" s="1"/>
  <c r="U41" i="15"/>
  <c r="O41" i="15"/>
  <c r="P41" i="15"/>
  <c r="Q41" i="15"/>
  <c r="R41" i="15"/>
  <c r="S41" i="15"/>
  <c r="T41" i="15"/>
  <c r="U40" i="15"/>
  <c r="O40" i="15"/>
  <c r="P40" i="15"/>
  <c r="Q40" i="15"/>
  <c r="R40" i="15"/>
  <c r="S40" i="15"/>
  <c r="U39" i="15"/>
  <c r="M39" i="15"/>
  <c r="N39" i="15"/>
  <c r="O39" i="15"/>
  <c r="P39" i="15"/>
  <c r="Q39" i="15"/>
  <c r="R39" i="15"/>
  <c r="L39" i="15"/>
  <c r="AP12" i="15"/>
  <c r="AP11" i="15"/>
  <c r="AP10" i="15"/>
  <c r="AP9" i="15"/>
  <c r="AP8" i="15"/>
  <c r="AP7" i="15"/>
  <c r="AP6" i="15"/>
  <c r="AP5" i="15"/>
  <c r="AJ4" i="15" a="1"/>
  <c r="AJ4" i="15" s="1"/>
  <c r="P53" i="14"/>
  <c r="P52" i="14"/>
  <c r="P50" i="14"/>
  <c r="P51" i="14"/>
  <c r="P49" i="14"/>
  <c r="N53" i="14"/>
  <c r="N51" i="14"/>
  <c r="N52" i="14"/>
  <c r="N50" i="14"/>
  <c r="N49" i="14"/>
  <c r="L53" i="14"/>
  <c r="L51" i="14"/>
  <c r="L52" i="14"/>
  <c r="L50" i="14"/>
  <c r="L49" i="14"/>
  <c r="Y12" i="14"/>
  <c r="Y11" i="14"/>
  <c r="Y10" i="14"/>
  <c r="Y9" i="14"/>
  <c r="Y8" i="14"/>
  <c r="Y7" i="14"/>
  <c r="Y6" i="14"/>
  <c r="Y5" i="14"/>
  <c r="T4" i="14" a="1"/>
  <c r="T4" i="14" s="1"/>
  <c r="D42" i="6"/>
  <c r="E42" i="6"/>
  <c r="F42" i="6"/>
  <c r="G42" i="6"/>
  <c r="H42" i="6"/>
  <c r="I42" i="6"/>
  <c r="J42" i="6"/>
  <c r="C42" i="6"/>
  <c r="F38" i="6" a="1"/>
  <c r="F38" i="6" s="1"/>
  <c r="F41" i="6"/>
  <c r="G41" i="6"/>
  <c r="H41" i="6"/>
  <c r="I41" i="6"/>
  <c r="F40" i="6"/>
  <c r="G40" i="6"/>
  <c r="H40" i="6"/>
  <c r="I40" i="6"/>
  <c r="F39" i="6"/>
  <c r="G39" i="6"/>
  <c r="H39" i="6"/>
  <c r="I39" i="6"/>
  <c r="J14" i="15"/>
  <c r="D14" i="15" a="1"/>
  <c r="D14" i="15" s="1"/>
  <c r="C14" i="15" a="1"/>
  <c r="C14" i="15" s="1"/>
  <c r="J13" i="15"/>
  <c r="D13" i="15" a="1"/>
  <c r="D13" i="15" s="1"/>
  <c r="C13" i="15" a="1"/>
  <c r="C13" i="15" s="1"/>
  <c r="Y12" i="15"/>
  <c r="J12" i="15"/>
  <c r="D12" i="15" a="1"/>
  <c r="D12" i="15" s="1"/>
  <c r="C12" i="15" a="1"/>
  <c r="C12" i="15" s="1"/>
  <c r="Y11" i="15"/>
  <c r="J11" i="15"/>
  <c r="D11" i="15" a="1"/>
  <c r="D11" i="15" s="1"/>
  <c r="C11" i="15" a="1"/>
  <c r="C11" i="15" s="1"/>
  <c r="Y10" i="15"/>
  <c r="J10" i="15"/>
  <c r="D10" i="15" a="1"/>
  <c r="D10" i="15" s="1"/>
  <c r="C10" i="15" a="1"/>
  <c r="C10" i="15" s="1"/>
  <c r="Y9" i="15"/>
  <c r="J9" i="15"/>
  <c r="D9" i="15" a="1"/>
  <c r="D9" i="15" s="1"/>
  <c r="C9" i="15" a="1"/>
  <c r="C9" i="15" s="1"/>
  <c r="Y8" i="15"/>
  <c r="J8" i="15"/>
  <c r="D8" i="15" a="1"/>
  <c r="D8" i="15" s="1"/>
  <c r="C8" i="15" a="1"/>
  <c r="C8" i="15" s="1"/>
  <c r="Y7" i="15"/>
  <c r="J7" i="15"/>
  <c r="D7" i="15" a="1"/>
  <c r="D7" i="15" s="1"/>
  <c r="C7" i="15" a="1"/>
  <c r="C7" i="15" s="1"/>
  <c r="Y6" i="15"/>
  <c r="J6" i="15"/>
  <c r="D6" i="15" a="1"/>
  <c r="D6" i="15" s="1"/>
  <c r="C6" i="15" a="1"/>
  <c r="C6" i="15" s="1"/>
  <c r="Y5" i="15"/>
  <c r="J5" i="15"/>
  <c r="D5" i="15" a="1"/>
  <c r="D5" i="15" s="1"/>
  <c r="C5" i="15" a="1"/>
  <c r="C5" i="15" s="1"/>
  <c r="T4" i="15" a="1"/>
  <c r="T4" i="15" s="1"/>
  <c r="F4" i="15" a="1"/>
  <c r="F4" i="15" s="1"/>
  <c r="J14" i="14"/>
  <c r="D14" i="14" a="1"/>
  <c r="D14" i="14" s="1"/>
  <c r="C14" i="14" a="1"/>
  <c r="C14" i="14" s="1"/>
  <c r="J13" i="14"/>
  <c r="D13" i="14" a="1"/>
  <c r="D13" i="14" s="1"/>
  <c r="C13" i="14" a="1"/>
  <c r="C13" i="14" s="1"/>
  <c r="J12" i="14"/>
  <c r="D12" i="14" a="1"/>
  <c r="D12" i="14" s="1"/>
  <c r="C12" i="14" a="1"/>
  <c r="C12" i="14" s="1"/>
  <c r="J11" i="14"/>
  <c r="D11" i="14" a="1"/>
  <c r="D11" i="14" s="1"/>
  <c r="C11" i="14" a="1"/>
  <c r="C11" i="14" s="1"/>
  <c r="J10" i="14"/>
  <c r="D10" i="14" a="1"/>
  <c r="D10" i="14" s="1"/>
  <c r="C10" i="14" a="1"/>
  <c r="C10" i="14" s="1"/>
  <c r="J9" i="14"/>
  <c r="D9" i="14" a="1"/>
  <c r="D9" i="14" s="1"/>
  <c r="C9" i="14" a="1"/>
  <c r="C9" i="14" s="1"/>
  <c r="J8" i="14"/>
  <c r="D8" i="14" a="1"/>
  <c r="D8" i="14" s="1"/>
  <c r="C8" i="14" a="1"/>
  <c r="C8" i="14" s="1"/>
  <c r="J7" i="14"/>
  <c r="D7" i="14" a="1"/>
  <c r="D7" i="14" s="1"/>
  <c r="C7" i="14" a="1"/>
  <c r="C7" i="14" s="1"/>
  <c r="J6" i="14"/>
  <c r="D6" i="14" a="1"/>
  <c r="D6" i="14" s="1"/>
  <c r="C6" i="14" a="1"/>
  <c r="C6" i="14" s="1"/>
  <c r="J5" i="14"/>
  <c r="D5" i="14" a="1"/>
  <c r="D5" i="14" s="1"/>
  <c r="C5" i="14" a="1"/>
  <c r="C5" i="14" s="1"/>
  <c r="F4" i="14" a="1"/>
  <c r="F4" i="14" s="1"/>
  <c r="B40" i="1"/>
  <c r="B39" i="1" a="1"/>
  <c r="B39" i="1" s="1"/>
  <c r="D11" i="1"/>
  <c r="E11" i="1"/>
  <c r="C11" i="1"/>
  <c r="L5" i="12"/>
  <c r="L6" i="12"/>
  <c r="L7" i="12"/>
  <c r="L8" i="12"/>
  <c r="L9" i="12"/>
  <c r="L10" i="12"/>
  <c r="L11" i="12"/>
  <c r="L4" i="12"/>
  <c r="F3" i="12" a="1"/>
  <c r="F3" i="12" s="1"/>
  <c r="D28" i="11"/>
  <c r="E28" i="11"/>
  <c r="F28" i="11"/>
  <c r="C28" i="11"/>
  <c r="D27" i="11"/>
  <c r="E27" i="11"/>
  <c r="F27" i="11"/>
  <c r="C27" i="11"/>
  <c r="D26" i="11"/>
  <c r="E26" i="11"/>
  <c r="F26" i="11"/>
  <c r="C26" i="11"/>
  <c r="D25" i="11"/>
  <c r="E25" i="11"/>
  <c r="F25" i="11"/>
  <c r="C25" i="11"/>
  <c r="H18" i="11"/>
  <c r="H17" i="11"/>
  <c r="G17" i="11"/>
  <c r="H16" i="11"/>
  <c r="G16" i="11"/>
  <c r="F16" i="11"/>
  <c r="H15" i="11"/>
  <c r="G15" i="11"/>
  <c r="F15" i="11"/>
  <c r="E15" i="11"/>
  <c r="H14" i="11"/>
  <c r="G14" i="11"/>
  <c r="F14" i="11"/>
  <c r="E14" i="11"/>
  <c r="D14" i="11"/>
  <c r="E5" i="15" l="1"/>
  <c r="E8" i="14"/>
  <c r="E12" i="14"/>
  <c r="E6" i="15"/>
  <c r="E8" i="15"/>
  <c r="E10" i="15"/>
  <c r="E12" i="15"/>
  <c r="E14" i="15"/>
  <c r="E7" i="15"/>
  <c r="E9" i="15"/>
  <c r="E11" i="15"/>
  <c r="E13" i="15"/>
  <c r="E7" i="14"/>
  <c r="E6" i="14"/>
  <c r="E10" i="14"/>
  <c r="E14" i="14"/>
  <c r="E11" i="14"/>
  <c r="E5" i="14"/>
  <c r="E9" i="14"/>
  <c r="E13" i="14"/>
  <c r="C7" i="5"/>
  <c r="D7" i="5"/>
  <c r="E7" i="5"/>
  <c r="B7" i="5"/>
  <c r="C10" i="11"/>
  <c r="D9" i="11"/>
  <c r="E7" i="11"/>
  <c r="E10" i="11" s="1"/>
  <c r="D7" i="11"/>
  <c r="D10" i="11" s="1"/>
  <c r="C7" i="11"/>
  <c r="B7" i="11"/>
  <c r="B10" i="11" s="1"/>
  <c r="E6" i="11"/>
  <c r="E9" i="11" s="1"/>
  <c r="D6" i="11"/>
  <c r="C6" i="11"/>
  <c r="C9" i="11" s="1"/>
  <c r="B6" i="11"/>
  <c r="B9" i="11" s="1"/>
  <c r="B4" i="11" a="1"/>
  <c r="B4" i="11" s="1"/>
  <c r="K19" i="9"/>
  <c r="K20" i="9"/>
  <c r="K21" i="9"/>
  <c r="K22" i="9"/>
  <c r="K23" i="9"/>
  <c r="K24" i="9"/>
  <c r="K25" i="9"/>
  <c r="K18" i="9"/>
  <c r="F17" i="9" a="1"/>
  <c r="F17" i="9" s="1"/>
  <c r="C4" i="6" a="1"/>
  <c r="C4" i="6" s="1"/>
  <c r="C13" i="10"/>
  <c r="D13" i="10"/>
  <c r="E13" i="10"/>
  <c r="B13" i="10"/>
  <c r="F10" i="10"/>
  <c r="B10" i="10"/>
  <c r="C9" i="10"/>
  <c r="F7" i="10"/>
  <c r="E7" i="10"/>
  <c r="E10" i="10" s="1"/>
  <c r="D7" i="10"/>
  <c r="D10" i="10" s="1"/>
  <c r="C7" i="10"/>
  <c r="C10" i="10" s="1"/>
  <c r="B7" i="10"/>
  <c r="F6" i="10"/>
  <c r="F9" i="10" s="1"/>
  <c r="E6" i="10"/>
  <c r="E9" i="10" s="1"/>
  <c r="D6" i="10"/>
  <c r="D9" i="10" s="1"/>
  <c r="C6" i="10"/>
  <c r="B6" i="10"/>
  <c r="B9" i="10" s="1"/>
  <c r="B4" i="10" a="1"/>
  <c r="B4" i="10" s="1"/>
  <c r="D4" i="6" a="1"/>
  <c r="D4" i="6" s="1"/>
  <c r="K5" i="9"/>
  <c r="K6" i="9"/>
  <c r="K7" i="9"/>
  <c r="K8" i="9"/>
  <c r="K9" i="9"/>
  <c r="K10" i="9"/>
  <c r="K11" i="9"/>
  <c r="K4" i="9"/>
  <c r="F3" i="9" a="1"/>
  <c r="F3" i="9" s="1"/>
  <c r="D28" i="7"/>
  <c r="E28" i="7"/>
  <c r="F28" i="7"/>
  <c r="C28" i="7"/>
  <c r="D27" i="7"/>
  <c r="E27" i="7"/>
  <c r="F27" i="7"/>
  <c r="C27" i="7"/>
  <c r="D26" i="7"/>
  <c r="E26" i="7"/>
  <c r="F26" i="7"/>
  <c r="C26" i="7"/>
  <c r="D25" i="7"/>
  <c r="E25" i="7"/>
  <c r="F25" i="7"/>
  <c r="C25" i="7"/>
  <c r="C24" i="7" a="1"/>
  <c r="C24" i="7" s="1"/>
  <c r="B25" i="7" a="1"/>
  <c r="B25" i="7" s="1"/>
  <c r="G19" i="7"/>
  <c r="G18" i="7"/>
  <c r="F18" i="7"/>
  <c r="G17" i="7"/>
  <c r="F17" i="7"/>
  <c r="E17" i="7"/>
  <c r="G16" i="7"/>
  <c r="F16" i="7"/>
  <c r="E16" i="7"/>
  <c r="D16" i="7"/>
  <c r="O5" i="3"/>
  <c r="P5" i="3"/>
  <c r="Q5" i="3"/>
  <c r="R5" i="3"/>
  <c r="O6" i="3"/>
  <c r="P6" i="3"/>
  <c r="Q6" i="3"/>
  <c r="R6" i="3"/>
  <c r="O7" i="3"/>
  <c r="P7" i="3"/>
  <c r="Q7" i="3"/>
  <c r="R7" i="3"/>
  <c r="O8" i="3"/>
  <c r="P8" i="3"/>
  <c r="Q8" i="3"/>
  <c r="R8" i="3"/>
  <c r="O9" i="3"/>
  <c r="P9" i="3"/>
  <c r="Q9" i="3"/>
  <c r="R9" i="3"/>
  <c r="O10" i="3"/>
  <c r="P10" i="3"/>
  <c r="Q10" i="3"/>
  <c r="R10" i="3"/>
  <c r="O11" i="3"/>
  <c r="P11" i="3"/>
  <c r="Q11" i="3"/>
  <c r="R11" i="3"/>
  <c r="O12" i="3"/>
  <c r="P12" i="3"/>
  <c r="Q12" i="3"/>
  <c r="R12" i="3"/>
  <c r="O13" i="3"/>
  <c r="P13" i="3"/>
  <c r="Q13" i="3"/>
  <c r="R13" i="3"/>
  <c r="O14" i="3"/>
  <c r="P14" i="3"/>
  <c r="Q14" i="3"/>
  <c r="R14" i="3"/>
  <c r="O15" i="3"/>
  <c r="P15" i="3"/>
  <c r="Q15" i="3"/>
  <c r="R15" i="3"/>
  <c r="O16" i="3"/>
  <c r="P16" i="3"/>
  <c r="Q16" i="3"/>
  <c r="R16" i="3"/>
  <c r="O17" i="3"/>
  <c r="P17" i="3"/>
  <c r="Q17" i="3"/>
  <c r="R17" i="3"/>
  <c r="O18" i="3"/>
  <c r="P18" i="3"/>
  <c r="Q18" i="3"/>
  <c r="R18" i="3"/>
  <c r="O19" i="3"/>
  <c r="P19" i="3"/>
  <c r="Q19" i="3"/>
  <c r="R19" i="3"/>
  <c r="O20" i="3"/>
  <c r="P20" i="3"/>
  <c r="Q20" i="3"/>
  <c r="R20" i="3"/>
  <c r="O21" i="3"/>
  <c r="P21" i="3"/>
  <c r="Q21" i="3"/>
  <c r="R21" i="3"/>
  <c r="O22" i="3"/>
  <c r="P22" i="3"/>
  <c r="Q22" i="3"/>
  <c r="R22" i="3"/>
  <c r="O23" i="3"/>
  <c r="P23" i="3"/>
  <c r="Q23" i="3"/>
  <c r="R23" i="3"/>
  <c r="O24" i="3"/>
  <c r="P24" i="3"/>
  <c r="Q24" i="3"/>
  <c r="R24" i="3"/>
  <c r="O25" i="3"/>
  <c r="P25" i="3"/>
  <c r="Q25" i="3"/>
  <c r="R25" i="3"/>
  <c r="O26" i="3"/>
  <c r="P26" i="3"/>
  <c r="Q26" i="3"/>
  <c r="R26" i="3"/>
  <c r="O27" i="3"/>
  <c r="P27" i="3"/>
  <c r="Q27" i="3"/>
  <c r="R27" i="3"/>
  <c r="O28" i="3"/>
  <c r="P28" i="3"/>
  <c r="Q28" i="3"/>
  <c r="R28" i="3"/>
  <c r="O29" i="3"/>
  <c r="P29" i="3"/>
  <c r="Q29" i="3"/>
  <c r="R29" i="3"/>
  <c r="O30" i="3"/>
  <c r="P30" i="3"/>
  <c r="Q30" i="3"/>
  <c r="R30" i="3"/>
  <c r="O31" i="3"/>
  <c r="P31" i="3"/>
  <c r="Q31" i="3"/>
  <c r="R31" i="3"/>
  <c r="O32" i="3"/>
  <c r="P32" i="3"/>
  <c r="Q32" i="3"/>
  <c r="R32" i="3"/>
  <c r="O33" i="3"/>
  <c r="P33" i="3"/>
  <c r="Q33" i="3"/>
  <c r="R33" i="3"/>
  <c r="O34" i="3"/>
  <c r="P34" i="3"/>
  <c r="Q34" i="3"/>
  <c r="R34" i="3"/>
  <c r="O35" i="3"/>
  <c r="P35" i="3"/>
  <c r="Q35" i="3"/>
  <c r="R35" i="3"/>
  <c r="O36" i="3"/>
  <c r="P36" i="3"/>
  <c r="Q36" i="3"/>
  <c r="R36" i="3"/>
  <c r="O37" i="3"/>
  <c r="P37" i="3"/>
  <c r="Q37" i="3"/>
  <c r="R37" i="3"/>
  <c r="O38" i="3"/>
  <c r="P38" i="3"/>
  <c r="Q38" i="3"/>
  <c r="R38" i="3"/>
  <c r="O39" i="3"/>
  <c r="P39" i="3"/>
  <c r="Q39" i="3"/>
  <c r="R39" i="3"/>
  <c r="O40" i="3"/>
  <c r="P40" i="3"/>
  <c r="Q40" i="3"/>
  <c r="R40" i="3"/>
  <c r="O41" i="3"/>
  <c r="P41" i="3"/>
  <c r="Q41" i="3"/>
  <c r="R41" i="3"/>
  <c r="O42" i="3"/>
  <c r="P42" i="3"/>
  <c r="Q42" i="3"/>
  <c r="R42" i="3"/>
  <c r="O43" i="3"/>
  <c r="P43" i="3"/>
  <c r="Q43" i="3"/>
  <c r="R43" i="3"/>
  <c r="O44" i="3"/>
  <c r="P44" i="3"/>
  <c r="Q44" i="3"/>
  <c r="R44" i="3"/>
  <c r="O45" i="3"/>
  <c r="P45" i="3"/>
  <c r="Q45" i="3"/>
  <c r="R45" i="3"/>
  <c r="O46" i="3"/>
  <c r="P46" i="3"/>
  <c r="Q46" i="3"/>
  <c r="R46" i="3"/>
  <c r="O47" i="3"/>
  <c r="P47" i="3"/>
  <c r="Q47" i="3"/>
  <c r="R47" i="3"/>
  <c r="O48" i="3"/>
  <c r="P48" i="3"/>
  <c r="Q48" i="3"/>
  <c r="R48" i="3"/>
  <c r="O49" i="3"/>
  <c r="P49" i="3"/>
  <c r="Q49" i="3"/>
  <c r="R49" i="3"/>
  <c r="O50" i="3"/>
  <c r="P50" i="3"/>
  <c r="Q50" i="3"/>
  <c r="R50" i="3"/>
  <c r="O51" i="3"/>
  <c r="P51" i="3"/>
  <c r="Q51" i="3"/>
  <c r="R51" i="3"/>
  <c r="O52" i="3"/>
  <c r="P52" i="3"/>
  <c r="Q52" i="3"/>
  <c r="R52" i="3"/>
  <c r="O53" i="3"/>
  <c r="P53" i="3"/>
  <c r="Q53" i="3"/>
  <c r="R53" i="3"/>
  <c r="O54" i="3"/>
  <c r="P54" i="3"/>
  <c r="Q54" i="3"/>
  <c r="R54" i="3"/>
  <c r="O55" i="3"/>
  <c r="P55" i="3"/>
  <c r="Q55" i="3"/>
  <c r="R55" i="3"/>
  <c r="O56" i="3"/>
  <c r="P56" i="3"/>
  <c r="Q56" i="3"/>
  <c r="R56" i="3"/>
  <c r="O57" i="3"/>
  <c r="P57" i="3"/>
  <c r="Q57" i="3"/>
  <c r="R57" i="3"/>
  <c r="O58" i="3"/>
  <c r="P58" i="3"/>
  <c r="Q58" i="3"/>
  <c r="R58" i="3"/>
  <c r="O59" i="3"/>
  <c r="P59" i="3"/>
  <c r="Q59" i="3"/>
  <c r="R59" i="3"/>
  <c r="O60" i="3"/>
  <c r="P60" i="3"/>
  <c r="Q60" i="3"/>
  <c r="R60" i="3"/>
  <c r="O61" i="3"/>
  <c r="P61" i="3"/>
  <c r="Q61" i="3"/>
  <c r="R61" i="3"/>
  <c r="O62" i="3"/>
  <c r="P62" i="3"/>
  <c r="Q62" i="3"/>
  <c r="R62" i="3"/>
  <c r="P4" i="3"/>
  <c r="Q4" i="3"/>
  <c r="R4" i="3"/>
  <c r="O4" i="3"/>
  <c r="O3" i="3" a="1"/>
  <c r="O3" i="3" s="1"/>
  <c r="H3" i="2" a="1"/>
  <c r="H13" i="10" l="1"/>
  <c r="B16" i="10" a="1"/>
  <c r="B16" i="10" s="1"/>
  <c r="B17" i="10" a="1"/>
  <c r="B17" i="10" s="1"/>
  <c r="T5" i="3"/>
  <c r="T9" i="3"/>
  <c r="T13" i="3"/>
  <c r="T17" i="3"/>
  <c r="T21" i="3"/>
  <c r="T25" i="3"/>
  <c r="T29" i="3"/>
  <c r="T33" i="3"/>
  <c r="T37" i="3"/>
  <c r="T41" i="3"/>
  <c r="T45" i="3"/>
  <c r="T49" i="3"/>
  <c r="T53" i="3"/>
  <c r="T57" i="3"/>
  <c r="T61" i="3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H58" i="3"/>
  <c r="H62" i="3"/>
  <c r="T12" i="3"/>
  <c r="T20" i="3"/>
  <c r="T32" i="3"/>
  <c r="T48" i="3"/>
  <c r="T60" i="3"/>
  <c r="H13" i="3"/>
  <c r="H21" i="3"/>
  <c r="H33" i="3"/>
  <c r="H45" i="3"/>
  <c r="H53" i="3"/>
  <c r="T6" i="3"/>
  <c r="T10" i="3"/>
  <c r="T14" i="3"/>
  <c r="T18" i="3"/>
  <c r="T22" i="3"/>
  <c r="T26" i="3"/>
  <c r="T30" i="3"/>
  <c r="T34" i="3"/>
  <c r="T38" i="3"/>
  <c r="T42" i="3"/>
  <c r="T46" i="3"/>
  <c r="T50" i="3"/>
  <c r="T54" i="3"/>
  <c r="T58" i="3"/>
  <c r="T62" i="3"/>
  <c r="H7" i="3"/>
  <c r="H11" i="3"/>
  <c r="H15" i="3"/>
  <c r="H19" i="3"/>
  <c r="H23" i="3"/>
  <c r="H27" i="3"/>
  <c r="H31" i="3"/>
  <c r="H35" i="3"/>
  <c r="H39" i="3"/>
  <c r="H43" i="3"/>
  <c r="H47" i="3"/>
  <c r="H51" i="3"/>
  <c r="H55" i="3"/>
  <c r="H59" i="3"/>
  <c r="T16" i="3"/>
  <c r="T28" i="3"/>
  <c r="T40" i="3"/>
  <c r="T52" i="3"/>
  <c r="H9" i="3"/>
  <c r="H25" i="3"/>
  <c r="H37" i="3"/>
  <c r="H57" i="3"/>
  <c r="T7" i="3"/>
  <c r="T11" i="3"/>
  <c r="T15" i="3"/>
  <c r="T19" i="3"/>
  <c r="T23" i="3"/>
  <c r="T27" i="3"/>
  <c r="T31" i="3"/>
  <c r="T35" i="3"/>
  <c r="T39" i="3"/>
  <c r="T43" i="3"/>
  <c r="T47" i="3"/>
  <c r="T51" i="3"/>
  <c r="T55" i="3"/>
  <c r="T59" i="3"/>
  <c r="H8" i="3"/>
  <c r="H12" i="3"/>
  <c r="H16" i="3"/>
  <c r="H20" i="3"/>
  <c r="H24" i="3"/>
  <c r="H28" i="3"/>
  <c r="H32" i="3"/>
  <c r="H36" i="3"/>
  <c r="H40" i="3"/>
  <c r="H44" i="3"/>
  <c r="H48" i="3"/>
  <c r="H52" i="3"/>
  <c r="H56" i="3"/>
  <c r="H60" i="3"/>
  <c r="T8" i="3"/>
  <c r="T24" i="3"/>
  <c r="T36" i="3"/>
  <c r="T44" i="3"/>
  <c r="T56" i="3"/>
  <c r="H5" i="3"/>
  <c r="H17" i="3"/>
  <c r="H29" i="3"/>
  <c r="H41" i="3"/>
  <c r="H49" i="3"/>
  <c r="H61" i="3"/>
  <c r="H3" i="2"/>
  <c r="T4" i="3" s="1"/>
  <c r="E7" i="7"/>
  <c r="D7" i="7"/>
  <c r="C7" i="7"/>
  <c r="B7" i="7"/>
  <c r="B10" i="7" s="1"/>
  <c r="C7" i="1"/>
  <c r="D7" i="1"/>
  <c r="E7" i="1"/>
  <c r="B7" i="1"/>
  <c r="E10" i="7"/>
  <c r="D10" i="7"/>
  <c r="C10" i="7"/>
  <c r="E6" i="7"/>
  <c r="E9" i="7" s="1"/>
  <c r="D6" i="7"/>
  <c r="D9" i="7" s="1"/>
  <c r="C6" i="7"/>
  <c r="C9" i="7" s="1"/>
  <c r="B6" i="7"/>
  <c r="B9" i="7" s="1"/>
  <c r="B4" i="7" a="1"/>
  <c r="B4" i="7" s="1"/>
  <c r="D33" i="6" a="1"/>
  <c r="D33" i="6" s="1"/>
  <c r="D32" i="6" a="1"/>
  <c r="D32" i="6" s="1"/>
  <c r="D31" i="6" a="1"/>
  <c r="D31" i="6" s="1"/>
  <c r="D30" i="6" a="1"/>
  <c r="D30" i="6" s="1"/>
  <c r="D29" i="6" a="1"/>
  <c r="D29" i="6" s="1"/>
  <c r="D28" i="6" a="1"/>
  <c r="D28" i="6" s="1"/>
  <c r="D27" i="6" a="1"/>
  <c r="D27" i="6" s="1"/>
  <c r="D41" i="6" s="1"/>
  <c r="D26" i="6" a="1"/>
  <c r="D26" i="6" s="1"/>
  <c r="D25" i="6" a="1"/>
  <c r="D25" i="6" s="1"/>
  <c r="D24" i="6" a="1"/>
  <c r="D24" i="6" s="1"/>
  <c r="J25" i="6"/>
  <c r="J26" i="6"/>
  <c r="J27" i="6"/>
  <c r="J41" i="6" s="1"/>
  <c r="J28" i="6"/>
  <c r="J29" i="6"/>
  <c r="J30" i="6"/>
  <c r="J31" i="6"/>
  <c r="J32" i="6"/>
  <c r="J33" i="6"/>
  <c r="J24" i="6"/>
  <c r="J13" i="6"/>
  <c r="D13" i="6" a="1"/>
  <c r="D13" i="6" s="1"/>
  <c r="J12" i="6"/>
  <c r="D12" i="6" a="1"/>
  <c r="D12" i="6" s="1"/>
  <c r="D11" i="6" a="1"/>
  <c r="D11" i="6" s="1"/>
  <c r="D40" i="6" s="1"/>
  <c r="J11" i="6"/>
  <c r="J40" i="6" s="1"/>
  <c r="J10" i="6"/>
  <c r="J9" i="6"/>
  <c r="J8" i="6"/>
  <c r="D10" i="6" a="1"/>
  <c r="D10" i="6" s="1"/>
  <c r="D9" i="6" a="1"/>
  <c r="D9" i="6" s="1"/>
  <c r="D8" i="6" a="1"/>
  <c r="D8" i="6" s="1"/>
  <c r="D6" i="6" a="1"/>
  <c r="D6" i="6" s="1"/>
  <c r="D5" i="6" a="1"/>
  <c r="D5" i="6" s="1"/>
  <c r="J6" i="6"/>
  <c r="J5" i="6"/>
  <c r="J4" i="6"/>
  <c r="J7" i="6"/>
  <c r="J39" i="6" s="1"/>
  <c r="D7" i="6" a="1"/>
  <c r="D7" i="6" s="1"/>
  <c r="D39" i="6" s="1"/>
  <c r="B27" i="5" a="1"/>
  <c r="B27" i="5" s="1"/>
  <c r="F23" i="6" a="1"/>
  <c r="F23" i="6" s="1"/>
  <c r="F3" i="6" a="1"/>
  <c r="F3" i="6" s="1"/>
  <c r="B4" i="5" a="1"/>
  <c r="B4" i="5" s="1"/>
  <c r="B37" i="1" a="1"/>
  <c r="B37" i="1" s="1"/>
  <c r="C25" i="5"/>
  <c r="D25" i="5"/>
  <c r="E25" i="5"/>
  <c r="B25" i="5"/>
  <c r="B24" i="5" a="1"/>
  <c r="B24" i="5" s="1"/>
  <c r="A16" i="5" a="1"/>
  <c r="A16" i="5" s="1"/>
  <c r="B15" i="5" a="1"/>
  <c r="B15" i="5" s="1"/>
  <c r="D9" i="5"/>
  <c r="E10" i="5"/>
  <c r="D10" i="5"/>
  <c r="C10" i="5"/>
  <c r="B10" i="5"/>
  <c r="E6" i="5"/>
  <c r="E9" i="5" s="1"/>
  <c r="D6" i="5"/>
  <c r="C6" i="5"/>
  <c r="C9" i="5" s="1"/>
  <c r="B6" i="5"/>
  <c r="B9" i="5" s="1"/>
  <c r="G3" i="2" a="1"/>
  <c r="G6" i="11" l="1"/>
  <c r="G9" i="11" s="1"/>
  <c r="H4" i="3"/>
  <c r="G7" i="11" s="1"/>
  <c r="G10" i="11" s="1"/>
  <c r="S6" i="3"/>
  <c r="S10" i="3"/>
  <c r="S14" i="3"/>
  <c r="S18" i="3"/>
  <c r="S22" i="3"/>
  <c r="S26" i="3"/>
  <c r="S30" i="3"/>
  <c r="S34" i="3"/>
  <c r="S38" i="3"/>
  <c r="S42" i="3"/>
  <c r="S46" i="3"/>
  <c r="S50" i="3"/>
  <c r="S54" i="3"/>
  <c r="S58" i="3"/>
  <c r="S62" i="3"/>
  <c r="S20" i="3"/>
  <c r="S32" i="3"/>
  <c r="S40" i="3"/>
  <c r="S48" i="3"/>
  <c r="S52" i="3"/>
  <c r="S9" i="3"/>
  <c r="S17" i="3"/>
  <c r="S25" i="3"/>
  <c r="S37" i="3"/>
  <c r="S41" i="3"/>
  <c r="S49" i="3"/>
  <c r="S57" i="3"/>
  <c r="S7" i="3"/>
  <c r="S11" i="3"/>
  <c r="S15" i="3"/>
  <c r="S19" i="3"/>
  <c r="S23" i="3"/>
  <c r="S27" i="3"/>
  <c r="S31" i="3"/>
  <c r="S35" i="3"/>
  <c r="S39" i="3"/>
  <c r="S43" i="3"/>
  <c r="S47" i="3"/>
  <c r="S51" i="3"/>
  <c r="S55" i="3"/>
  <c r="S59" i="3"/>
  <c r="S8" i="3"/>
  <c r="S12" i="3"/>
  <c r="S16" i="3"/>
  <c r="S24" i="3"/>
  <c r="S28" i="3"/>
  <c r="S36" i="3"/>
  <c r="S44" i="3"/>
  <c r="S56" i="3"/>
  <c r="S60" i="3"/>
  <c r="S5" i="3"/>
  <c r="S13" i="3"/>
  <c r="S21" i="3"/>
  <c r="S29" i="3"/>
  <c r="S33" i="3"/>
  <c r="S45" i="3"/>
  <c r="S53" i="3"/>
  <c r="S61" i="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18" i="3"/>
  <c r="G26" i="3"/>
  <c r="G34" i="3"/>
  <c r="G38" i="3"/>
  <c r="G46" i="3"/>
  <c r="G54" i="3"/>
  <c r="G58" i="3"/>
  <c r="G6" i="3"/>
  <c r="G10" i="3"/>
  <c r="G14" i="3"/>
  <c r="G22" i="3"/>
  <c r="G30" i="3"/>
  <c r="G42" i="3"/>
  <c r="G50" i="3"/>
  <c r="G62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8" i="3"/>
  <c r="G12" i="3"/>
  <c r="G16" i="3"/>
  <c r="G20" i="3"/>
  <c r="G24" i="3"/>
  <c r="G28" i="3"/>
  <c r="G32" i="3"/>
  <c r="G36" i="3"/>
  <c r="G40" i="3"/>
  <c r="G44" i="3"/>
  <c r="G48" i="3"/>
  <c r="G52" i="3"/>
  <c r="G56" i="3"/>
  <c r="G60" i="3"/>
  <c r="G3" i="2"/>
  <c r="G4" i="3" s="1"/>
  <c r="H35" i="1"/>
  <c r="B34" i="1" a="1"/>
  <c r="B34" i="1" s="1"/>
  <c r="F29" i="1"/>
  <c r="A25" i="1" a="1"/>
  <c r="A25" i="1" s="1"/>
  <c r="B24" i="1" a="1"/>
  <c r="B24" i="1" s="1"/>
  <c r="F19" i="1"/>
  <c r="F18" i="1"/>
  <c r="E18" i="1"/>
  <c r="F17" i="1"/>
  <c r="E17" i="1"/>
  <c r="D17" i="1"/>
  <c r="F16" i="1"/>
  <c r="E16" i="1"/>
  <c r="D16" i="1"/>
  <c r="C16" i="1"/>
  <c r="F30" i="11" l="1"/>
  <c r="C30" i="11"/>
  <c r="D30" i="11"/>
  <c r="H30" i="11"/>
  <c r="E30" i="11"/>
  <c r="H28" i="11"/>
  <c r="H27" i="11"/>
  <c r="H25" i="11"/>
  <c r="H26" i="11"/>
  <c r="F7" i="11"/>
  <c r="F10" i="11" s="1"/>
  <c r="F6" i="11"/>
  <c r="F9" i="11" s="1"/>
  <c r="S4" i="3"/>
  <c r="F7" i="7"/>
  <c r="F10" i="7" s="1"/>
  <c r="F6" i="7"/>
  <c r="F9" i="7" s="1"/>
  <c r="A16" i="1" a="1"/>
  <c r="A16" i="1" s="1"/>
  <c r="B15" i="1" a="1"/>
  <c r="B15" i="1" s="1"/>
  <c r="C10" i="1"/>
  <c r="D10" i="1"/>
  <c r="E10" i="1"/>
  <c r="F10" i="1"/>
  <c r="B10" i="1"/>
  <c r="C9" i="1"/>
  <c r="D9" i="1"/>
  <c r="E9" i="1"/>
  <c r="F9" i="1"/>
  <c r="B9" i="1"/>
  <c r="F7" i="1"/>
  <c r="C64" i="3"/>
  <c r="D64" i="3"/>
  <c r="E64" i="3"/>
  <c r="B64" i="3"/>
  <c r="F6" i="1"/>
  <c r="C6" i="1"/>
  <c r="D6" i="1"/>
  <c r="E6" i="1"/>
  <c r="B6" i="1"/>
  <c r="B4" i="1" a="1"/>
  <c r="B4" i="1" s="1"/>
  <c r="F3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B58" i="3"/>
  <c r="C58" i="3"/>
  <c r="D58" i="3"/>
  <c r="E58" i="3"/>
  <c r="B59" i="3"/>
  <c r="C59" i="3"/>
  <c r="D59" i="3"/>
  <c r="E59" i="3"/>
  <c r="B60" i="3"/>
  <c r="C60" i="3"/>
  <c r="D60" i="3"/>
  <c r="E60" i="3"/>
  <c r="B61" i="3"/>
  <c r="C61" i="3"/>
  <c r="D61" i="3"/>
  <c r="E61" i="3"/>
  <c r="B62" i="3"/>
  <c r="C62" i="3"/>
  <c r="D62" i="3"/>
  <c r="E62" i="3"/>
  <c r="C4" i="3"/>
  <c r="D4" i="3"/>
  <c r="E4" i="3"/>
  <c r="B4" i="3"/>
  <c r="AH10" i="15" l="1" a="1"/>
  <c r="AH10" i="15" s="1"/>
  <c r="AH6" i="15" a="1"/>
  <c r="AH6" i="15" s="1"/>
  <c r="AH9" i="15" a="1"/>
  <c r="AH9" i="15" s="1"/>
  <c r="AH5" i="15" a="1"/>
  <c r="AH5" i="15" s="1"/>
  <c r="AH11" i="15" a="1"/>
  <c r="AH11" i="15" s="1"/>
  <c r="M41" i="15" s="1"/>
  <c r="AH7" i="15" a="1"/>
  <c r="AH7" i="15" s="1"/>
  <c r="AH12" i="15" a="1"/>
  <c r="AH12" i="15" s="1"/>
  <c r="AH8" i="15" a="1"/>
  <c r="AH8" i="15" s="1"/>
  <c r="R11" i="14" a="1"/>
  <c r="R11" i="14" s="1"/>
  <c r="O53" i="14" s="1"/>
  <c r="R7" i="14" a="1"/>
  <c r="R7" i="14" s="1"/>
  <c r="O51" i="14" s="1"/>
  <c r="R10" i="14" a="1"/>
  <c r="R10" i="14" s="1"/>
  <c r="R6" i="14" a="1"/>
  <c r="R6" i="14" s="1"/>
  <c r="O50" i="14" s="1"/>
  <c r="R12" i="14" a="1"/>
  <c r="R12" i="14" s="1"/>
  <c r="R8" i="14" a="1"/>
  <c r="R8" i="14" s="1"/>
  <c r="R9" i="14" a="1"/>
  <c r="R9" i="14" s="1"/>
  <c r="O52" i="14" s="1"/>
  <c r="R5" i="14" a="1"/>
  <c r="R5" i="14" s="1"/>
  <c r="O49" i="14" s="1"/>
  <c r="R12" i="15" a="1"/>
  <c r="R12" i="15" s="1"/>
  <c r="R10" i="15" a="1"/>
  <c r="R10" i="15" s="1"/>
  <c r="R8" i="15" a="1"/>
  <c r="R8" i="15" s="1"/>
  <c r="R6" i="15" a="1"/>
  <c r="R6" i="15" s="1"/>
  <c r="R11" i="15" a="1"/>
  <c r="R11" i="15" s="1"/>
  <c r="M40" i="15" s="1"/>
  <c r="R9" i="15" a="1"/>
  <c r="R9" i="15" s="1"/>
  <c r="R7" i="15" a="1"/>
  <c r="R7" i="15" s="1"/>
  <c r="R5" i="15" a="1"/>
  <c r="R5" i="15" s="1"/>
  <c r="D4" i="9" a="1"/>
  <c r="D4" i="9" s="1"/>
  <c r="D9" i="12" a="1"/>
  <c r="D9" i="12" s="1"/>
  <c r="D7" i="12" a="1"/>
  <c r="D7" i="12" s="1"/>
  <c r="D10" i="12" a="1"/>
  <c r="D10" i="12" s="1"/>
  <c r="D11" i="12" a="1"/>
  <c r="D11" i="12" s="1"/>
  <c r="D5" i="12" a="1"/>
  <c r="D5" i="12" s="1"/>
  <c r="D8" i="12" a="1"/>
  <c r="D8" i="12" s="1"/>
  <c r="D6" i="12" a="1"/>
  <c r="D6" i="12" s="1"/>
  <c r="D4" i="12" a="1"/>
  <c r="D4" i="12" s="1"/>
  <c r="E29" i="11"/>
  <c r="F29" i="11"/>
  <c r="G29" i="11"/>
  <c r="D29" i="11"/>
  <c r="G30" i="11"/>
  <c r="H29" i="11"/>
  <c r="G27" i="11"/>
  <c r="G25" i="11"/>
  <c r="G28" i="11"/>
  <c r="G26" i="11"/>
  <c r="C29" i="11"/>
  <c r="D19" i="9" a="1"/>
  <c r="D19" i="9" s="1"/>
  <c r="D24" i="9" a="1"/>
  <c r="D24" i="9" s="1"/>
  <c r="D18" i="9" a="1"/>
  <c r="D18" i="9" s="1"/>
  <c r="D22" i="9" a="1"/>
  <c r="D22" i="9" s="1"/>
  <c r="D25" i="9" a="1"/>
  <c r="D25" i="9" s="1"/>
  <c r="D21" i="9" a="1"/>
  <c r="D21" i="9" s="1"/>
  <c r="D20" i="9" a="1"/>
  <c r="D20" i="9" s="1"/>
  <c r="D23" i="9" a="1"/>
  <c r="D23" i="9" s="1"/>
  <c r="D6" i="9" a="1"/>
  <c r="D6" i="9" s="1"/>
  <c r="D9" i="9" a="1"/>
  <c r="D9" i="9" s="1"/>
  <c r="D8" i="9" a="1"/>
  <c r="D8" i="9" s="1"/>
  <c r="D7" i="9" a="1"/>
  <c r="D7" i="9" s="1"/>
  <c r="D5" i="9" a="1"/>
  <c r="D5" i="9" s="1"/>
  <c r="D10" i="9" a="1"/>
  <c r="D10" i="9" s="1"/>
  <c r="D11" i="9" a="1"/>
  <c r="D11" i="9" s="1"/>
  <c r="D29" i="7"/>
  <c r="C29" i="7"/>
  <c r="G28" i="7"/>
  <c r="E29" i="7"/>
  <c r="G27" i="7"/>
  <c r="F29" i="7"/>
  <c r="G29" i="7"/>
  <c r="G25" i="7"/>
  <c r="G26" i="7"/>
  <c r="E26" i="1"/>
  <c r="F26" i="1"/>
  <c r="C29" i="1"/>
  <c r="C26" i="1"/>
  <c r="D26" i="1"/>
  <c r="E27" i="1"/>
  <c r="F27" i="1"/>
  <c r="D27" i="1"/>
  <c r="C27" i="1"/>
  <c r="D29" i="1"/>
  <c r="E29" i="1"/>
  <c r="E28" i="1"/>
  <c r="D28" i="1"/>
  <c r="F28" i="1"/>
  <c r="C28" i="1"/>
  <c r="B26" i="1"/>
  <c r="F25" i="1"/>
  <c r="B29" i="1"/>
  <c r="C25" i="1"/>
  <c r="B25" i="1"/>
  <c r="B27" i="1"/>
  <c r="B28" i="1"/>
  <c r="D25" i="1"/>
  <c r="E25" i="1"/>
  <c r="AG9" i="15" l="1" a="1"/>
  <c r="AG9" i="15" s="1"/>
  <c r="AI9" i="15" s="1"/>
  <c r="AG5" i="15" a="1"/>
  <c r="AG5" i="15" s="1"/>
  <c r="AI5" i="15" s="1"/>
  <c r="AG10" i="15" a="1"/>
  <c r="AG10" i="15" s="1"/>
  <c r="AI10" i="15" s="1"/>
  <c r="AG6" i="15" a="1"/>
  <c r="AG6" i="15" s="1"/>
  <c r="AI6" i="15" s="1"/>
  <c r="AG8" i="15" a="1"/>
  <c r="AG8" i="15" s="1"/>
  <c r="AI8" i="15" s="1"/>
  <c r="AG11" i="15" a="1"/>
  <c r="AG11" i="15" s="1"/>
  <c r="AG7" i="15" a="1"/>
  <c r="AG7" i="15" s="1"/>
  <c r="AI7" i="15" s="1"/>
  <c r="AG12" i="15" a="1"/>
  <c r="AG12" i="15" s="1"/>
  <c r="AI12" i="15" s="1"/>
  <c r="Q10" i="14" a="1"/>
  <c r="Q10" i="14" s="1"/>
  <c r="S10" i="14" s="1"/>
  <c r="Q6" i="14" a="1"/>
  <c r="Q6" i="14" s="1"/>
  <c r="Q8" i="14" a="1"/>
  <c r="Q8" i="14" s="1"/>
  <c r="S8" i="14" s="1"/>
  <c r="Q5" i="14" a="1"/>
  <c r="Q5" i="14" s="1"/>
  <c r="Q11" i="14" a="1"/>
  <c r="Q11" i="14" s="1"/>
  <c r="Q7" i="14" a="1"/>
  <c r="Q7" i="14" s="1"/>
  <c r="Q9" i="14" a="1"/>
  <c r="Q9" i="14" s="1"/>
  <c r="Q12" i="14" a="1"/>
  <c r="Q12" i="14" s="1"/>
  <c r="S12" i="14" s="1"/>
  <c r="Q7" i="15" a="1"/>
  <c r="Q7" i="15" s="1"/>
  <c r="Q12" i="15" a="1"/>
  <c r="Q12" i="15" s="1"/>
  <c r="S12" i="15" s="1"/>
  <c r="Q10" i="15" a="1"/>
  <c r="Q10" i="15" s="1"/>
  <c r="S10" i="15" s="1"/>
  <c r="Q8" i="15" a="1"/>
  <c r="Q8" i="15" s="1"/>
  <c r="S8" i="15" s="1"/>
  <c r="Q6" i="15" a="1"/>
  <c r="Q6" i="15" s="1"/>
  <c r="S6" i="15" s="1"/>
  <c r="Q9" i="15" a="1"/>
  <c r="Q9" i="15" s="1"/>
  <c r="S9" i="15" s="1"/>
  <c r="Q11" i="15" a="1"/>
  <c r="Q11" i="15" s="1"/>
  <c r="Q5" i="15" a="1"/>
  <c r="Q5" i="15" s="1"/>
  <c r="S5" i="15" s="1"/>
  <c r="S7" i="15"/>
  <c r="C4" i="12" a="1"/>
  <c r="C4" i="12" s="1"/>
  <c r="E4" i="12" s="1"/>
  <c r="C5" i="12" a="1"/>
  <c r="C5" i="12" s="1"/>
  <c r="E5" i="12" s="1"/>
  <c r="C8" i="12" a="1"/>
  <c r="C8" i="12" s="1"/>
  <c r="E8" i="12" s="1"/>
  <c r="C11" i="12" a="1"/>
  <c r="C11" i="12" s="1"/>
  <c r="E11" i="12" s="1"/>
  <c r="C6" i="12" a="1"/>
  <c r="C6" i="12" s="1"/>
  <c r="E6" i="12" s="1"/>
  <c r="C10" i="12" a="1"/>
  <c r="C10" i="12" s="1"/>
  <c r="E10" i="12" s="1"/>
  <c r="C9" i="12" a="1"/>
  <c r="C9" i="12" s="1"/>
  <c r="E9" i="12" s="1"/>
  <c r="C7" i="12" a="1"/>
  <c r="C7" i="12" s="1"/>
  <c r="E7" i="12" s="1"/>
  <c r="C4" i="9" a="1"/>
  <c r="C4" i="9" s="1"/>
  <c r="E4" i="9" s="1"/>
  <c r="C19" i="9" a="1"/>
  <c r="C19" i="9" s="1"/>
  <c r="E19" i="9" s="1"/>
  <c r="C24" i="9" a="1"/>
  <c r="C24" i="9" s="1"/>
  <c r="E24" i="9" s="1"/>
  <c r="C21" i="9" a="1"/>
  <c r="C21" i="9" s="1"/>
  <c r="E21" i="9" s="1"/>
  <c r="C22" i="9" a="1"/>
  <c r="C22" i="9" s="1"/>
  <c r="E22" i="9" s="1"/>
  <c r="C25" i="9" a="1"/>
  <c r="C25" i="9" s="1"/>
  <c r="E25" i="9" s="1"/>
  <c r="C20" i="9" a="1"/>
  <c r="C20" i="9" s="1"/>
  <c r="E20" i="9" s="1"/>
  <c r="C23" i="9" a="1"/>
  <c r="C23" i="9" s="1"/>
  <c r="E23" i="9" s="1"/>
  <c r="C18" i="9" a="1"/>
  <c r="C18" i="9" s="1"/>
  <c r="E18" i="9" s="1"/>
  <c r="C10" i="9" a="1"/>
  <c r="C10" i="9" s="1"/>
  <c r="E10" i="9" s="1"/>
  <c r="C6" i="9" a="1"/>
  <c r="C6" i="9" s="1"/>
  <c r="E6" i="9" s="1"/>
  <c r="C7" i="9" a="1"/>
  <c r="C7" i="9" s="1"/>
  <c r="E7" i="9" s="1"/>
  <c r="C8" i="9" a="1"/>
  <c r="C8" i="9" s="1"/>
  <c r="E8" i="9" s="1"/>
  <c r="C11" i="9" a="1"/>
  <c r="C11" i="9" s="1"/>
  <c r="E11" i="9" s="1"/>
  <c r="C9" i="9" a="1"/>
  <c r="C9" i="9" s="1"/>
  <c r="E9" i="9" s="1"/>
  <c r="C5" i="9" a="1"/>
  <c r="C5" i="9" s="1"/>
  <c r="E5" i="9" s="1"/>
  <c r="C25" i="6" a="1"/>
  <c r="C25" i="6" s="1"/>
  <c r="E25" i="6" s="1"/>
  <c r="B16" i="5" a="1"/>
  <c r="B16" i="5" s="1"/>
  <c r="C29" i="6" a="1"/>
  <c r="C29" i="6" s="1"/>
  <c r="E29" i="6" s="1"/>
  <c r="C12" i="6" a="1"/>
  <c r="C12" i="6" s="1"/>
  <c r="E12" i="6" s="1"/>
  <c r="C9" i="6" a="1"/>
  <c r="C9" i="6" s="1"/>
  <c r="E9" i="6" s="1"/>
  <c r="C13" i="6" a="1"/>
  <c r="C13" i="6" s="1"/>
  <c r="E13" i="6" s="1"/>
  <c r="C31" i="6" a="1"/>
  <c r="C31" i="6" s="1"/>
  <c r="E31" i="6" s="1"/>
  <c r="B38" i="1" a="1"/>
  <c r="B38" i="1" s="1"/>
  <c r="C30" i="6" a="1"/>
  <c r="C30" i="6" s="1"/>
  <c r="E30" i="6" s="1"/>
  <c r="C32" i="6" a="1"/>
  <c r="C32" i="6" s="1"/>
  <c r="E32" i="6" s="1"/>
  <c r="C28" i="6" a="1"/>
  <c r="C28" i="6" s="1"/>
  <c r="E28" i="6" s="1"/>
  <c r="C26" i="6" a="1"/>
  <c r="C26" i="6" s="1"/>
  <c r="E26" i="6" s="1"/>
  <c r="C24" i="6" a="1"/>
  <c r="C24" i="6" s="1"/>
  <c r="E24" i="6" s="1"/>
  <c r="C11" i="6" a="1"/>
  <c r="C11" i="6" s="1"/>
  <c r="C10" i="6" a="1"/>
  <c r="C10" i="6" s="1"/>
  <c r="E10" i="6" s="1"/>
  <c r="C8" i="6" a="1"/>
  <c r="C8" i="6" s="1"/>
  <c r="E8" i="6" s="1"/>
  <c r="B28" i="5" a="1"/>
  <c r="B28" i="5" s="1"/>
  <c r="B29" i="5" s="1"/>
  <c r="C33" i="6" a="1"/>
  <c r="C33" i="6" s="1"/>
  <c r="E33" i="6" s="1"/>
  <c r="C27" i="6" a="1"/>
  <c r="C27" i="6" s="1"/>
  <c r="E4" i="6"/>
  <c r="C6" i="6" a="1"/>
  <c r="C6" i="6" s="1"/>
  <c r="E6" i="6" s="1"/>
  <c r="C7" i="6" a="1"/>
  <c r="C7" i="6" s="1"/>
  <c r="C5" i="6" a="1"/>
  <c r="C5" i="6" s="1"/>
  <c r="E5" i="6" s="1"/>
  <c r="S11" i="15" l="1"/>
  <c r="N40" i="15" s="1"/>
  <c r="L40" i="15"/>
  <c r="AI11" i="15"/>
  <c r="N41" i="15" s="1"/>
  <c r="L41" i="15"/>
  <c r="S5" i="14"/>
  <c r="Q49" i="14" s="1"/>
  <c r="M49" i="14"/>
  <c r="S9" i="14"/>
  <c r="Q52" i="14" s="1"/>
  <c r="M52" i="14"/>
  <c r="S7" i="14"/>
  <c r="Q51" i="14" s="1"/>
  <c r="M51" i="14"/>
  <c r="S6" i="14"/>
  <c r="Q50" i="14" s="1"/>
  <c r="M50" i="14"/>
  <c r="S11" i="14"/>
  <c r="Q53" i="14" s="1"/>
  <c r="M53" i="14"/>
  <c r="E27" i="6"/>
  <c r="E41" i="6" s="1"/>
  <c r="C41" i="6"/>
  <c r="E7" i="6"/>
  <c r="E39" i="6" s="1"/>
  <c r="C39" i="6"/>
  <c r="E11" i="6"/>
  <c r="E40" i="6" s="1"/>
  <c r="C4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A13" authorId="0" shapeId="0" xr:uid="{409BBFBC-0E3C-4C66-8114-7EBB7F4E9ADE}">
      <text>
        <r>
          <rPr>
            <sz val="9"/>
            <color indexed="81"/>
            <rFont val="Tahoma"/>
            <family val="2"/>
          </rPr>
          <t xml:space="preserve">
From Excel instruments: Dati&gt;Analisi Dati&gt;Correlazione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F2" authorId="0" shapeId="0" xr:uid="{BDDB3776-46C9-4551-A38E-490C4127FB65}">
      <text>
        <r>
          <rPr>
            <sz val="9"/>
            <color indexed="81"/>
            <rFont val="Tahoma"/>
            <family val="2"/>
          </rPr>
          <t>weights found through Excel solver(Dati&gt;Risolutore)</t>
        </r>
      </text>
    </comment>
    <comment ref="F22" authorId="0" shapeId="0" xr:uid="{7486EFE8-ED81-4604-85A7-84A7E6896584}">
      <text>
        <r>
          <rPr>
            <sz val="9"/>
            <color indexed="81"/>
            <rFont val="Tahoma"/>
            <family val="2"/>
          </rPr>
          <t>weights found through Excel solver(Dati&gt;Risolutore)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A13" authorId="0" shapeId="0" xr:uid="{76B94B0A-23B7-44AC-9002-38EF919F3ABD}">
      <text>
        <r>
          <rPr>
            <sz val="9"/>
            <color indexed="81"/>
            <rFont val="Tahoma"/>
            <family val="2"/>
          </rPr>
          <t xml:space="preserve">weights risky assets in the complete portfolio = weights in the risky portfolio / weight of the risky portfolio on the complete one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B16" authorId="0" shapeId="0" xr:uid="{1D66F165-6872-4DEF-88B4-B4F5C4D94E20}">
      <text>
        <r>
          <rPr>
            <b/>
            <sz val="9"/>
            <color indexed="81"/>
            <rFont val="Tahoma"/>
            <family val="2"/>
          </rPr>
          <t>Some problems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A1" authorId="0" shapeId="0" xr:uid="{B9904999-4CA8-4D91-8248-8DF0955CD4F4}">
      <text>
        <r>
          <rPr>
            <sz val="9"/>
            <color indexed="81"/>
            <rFont val="Tahoma"/>
            <family val="2"/>
          </rPr>
          <t xml:space="preserve">
Data from Yahoo!Finance (^GSPC,^RUT,LQD,HYG</t>
        </r>
      </text>
    </comment>
    <comment ref="G1" authorId="0" shapeId="0" xr:uid="{61F05D52-A138-467F-8BF1-242E89E50622}">
      <text>
        <r>
          <rPr>
            <sz val="9"/>
            <color indexed="81"/>
            <rFont val="Tahoma"/>
            <family val="2"/>
          </rPr>
          <t xml:space="preserve">
Prices data from Excel ( taken from Refinitiv) due to a huge lack on YahooFinance
</t>
        </r>
      </text>
    </comment>
    <comment ref="H1" authorId="0" shapeId="0" xr:uid="{742431DC-F810-491A-8B58-865928151072}">
      <text>
        <r>
          <rPr>
            <sz val="9"/>
            <color indexed="81"/>
            <rFont val="Tahoma"/>
            <family val="2"/>
          </rPr>
          <t xml:space="preserve">
Prices data from Excel ( taken from Refinitiv) due to a huge lack on YahooFinance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</author>
  </authors>
  <commentList>
    <comment ref="A1" authorId="0" shapeId="0" xr:uid="{823AC70A-C3E7-4D8D-884F-7511B5F47543}">
      <text>
        <r>
          <rPr>
            <sz val="9"/>
            <color indexed="81"/>
            <rFont val="Tahoma"/>
            <family val="2"/>
          </rPr>
          <t xml:space="preserve">Data from Yahoo!Finance (^GSPC,^RUT,LQD,HYG)
</t>
        </r>
      </text>
    </comment>
    <comment ref="G1" authorId="0" shapeId="0" xr:uid="{CD569C3B-DE10-484C-86DF-CE26D25F3A3C}">
      <text>
        <r>
          <rPr>
            <sz val="9"/>
            <color indexed="81"/>
            <rFont val="Tahoma"/>
            <family val="2"/>
          </rPr>
          <t xml:space="preserve">
Prices data from Excel ( taken from Refinitiv) due to a huge lack on YahooFinance</t>
        </r>
      </text>
    </comment>
    <comment ref="H1" authorId="0" shapeId="0" xr:uid="{B0E155C7-3310-4220-B969-ACC5125B042E}">
      <text>
        <r>
          <rPr>
            <sz val="9"/>
            <color indexed="81"/>
            <rFont val="Tahoma"/>
            <family val="2"/>
          </rPr>
          <t xml:space="preserve">
Prices data from Excel ( taken from Refinitiv) due to a huge lack on YahooFinance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</futureMetadata>
  <cellMetadata count="1">
    <bk>
      <rc t="1" v="0"/>
    </bk>
  </cellMetadata>
  <valueMetadata count="1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</valueMetadata>
</metadata>
</file>

<file path=xl/sharedStrings.xml><?xml version="1.0" encoding="utf-8"?>
<sst xmlns="http://schemas.openxmlformats.org/spreadsheetml/2006/main" count="317" uniqueCount="82">
  <si>
    <t>SP500</t>
  </si>
  <si>
    <t>LQD</t>
  </si>
  <si>
    <t>HYG</t>
  </si>
  <si>
    <t>Dates</t>
  </si>
  <si>
    <t>S&amp;P 500 (^GSPC)</t>
  </si>
  <si>
    <t>Russell 2000 (^RUT)</t>
  </si>
  <si>
    <t>iShares iBoxx $ Investment Grade Corporate Bond ETF (LQD)</t>
  </si>
  <si>
    <t>iShares iBoxx $ High Yield Corporate Bond ETF (HYG)</t>
  </si>
  <si>
    <t>13 Week Treasury Bill (^IRX)</t>
  </si>
  <si>
    <t>RUS2000</t>
  </si>
  <si>
    <t>T-BILL</t>
  </si>
  <si>
    <t>MyMix</t>
  </si>
  <si>
    <t>Composition</t>
  </si>
  <si>
    <t>Monthly Return</t>
  </si>
  <si>
    <t>Monthly Standard Deviation</t>
  </si>
  <si>
    <t>Mean Return</t>
  </si>
  <si>
    <t>Standard Deviation</t>
  </si>
  <si>
    <t>Assets</t>
  </si>
  <si>
    <t>StD</t>
  </si>
  <si>
    <t>Correlation matrix</t>
  </si>
  <si>
    <t>Covariance Matrix annualized</t>
  </si>
  <si>
    <t>Weights</t>
  </si>
  <si>
    <t>E(Return)</t>
  </si>
  <si>
    <t>Volatility(StD)</t>
  </si>
  <si>
    <t>Complete Portfolio</t>
  </si>
  <si>
    <t>Covariance matrix annualized</t>
  </si>
  <si>
    <t>Risky Portfolio</t>
  </si>
  <si>
    <t>Sharpe Ratio</t>
  </si>
  <si>
    <t>N</t>
  </si>
  <si>
    <t>Notes</t>
  </si>
  <si>
    <t>Target Return 1%</t>
  </si>
  <si>
    <t>Target Return 2%</t>
  </si>
  <si>
    <t>Target Return 3%</t>
  </si>
  <si>
    <t>Target Return 4%</t>
  </si>
  <si>
    <t>Target Return 5%</t>
  </si>
  <si>
    <t>Target Return 6%</t>
  </si>
  <si>
    <t>Target Return 8%</t>
  </si>
  <si>
    <t>Target Return 10%</t>
  </si>
  <si>
    <t>Minimum Variance Portfolio</t>
  </si>
  <si>
    <t>Max Sharpe Ratio</t>
  </si>
  <si>
    <t>Target Return 11%</t>
  </si>
  <si>
    <t>Minimum Return (without short-selling)</t>
  </si>
  <si>
    <t>Target Return 6.5%</t>
  </si>
  <si>
    <t>Short-Selling allowed</t>
  </si>
  <si>
    <t>No Short-Selling</t>
  </si>
  <si>
    <t>INRG</t>
  </si>
  <si>
    <t>Expected(Return)</t>
  </si>
  <si>
    <t>Volatility(Standard Deviation)</t>
  </si>
  <si>
    <t>Target Return 7%</t>
  </si>
  <si>
    <t>Target Return 13%</t>
  </si>
  <si>
    <t>Target Return 18%</t>
  </si>
  <si>
    <t>PHPM</t>
  </si>
  <si>
    <t>Target Return</t>
  </si>
  <si>
    <t>Minimum Variance</t>
  </si>
  <si>
    <t>Beta</t>
  </si>
  <si>
    <t>Treynor Ratio</t>
  </si>
  <si>
    <t>Beta Portfolio</t>
  </si>
  <si>
    <t>Summary</t>
  </si>
  <si>
    <t xml:space="preserve">Minimum Variance Portfolio </t>
  </si>
  <si>
    <t>Optimal Risky Portfolio</t>
  </si>
  <si>
    <t>Minimum Variance Portfolio No Short-Selling</t>
  </si>
  <si>
    <t>Optimal Risky Portfolio No Short-Selling</t>
  </si>
  <si>
    <t>Portfolio</t>
  </si>
  <si>
    <t>W</t>
  </si>
  <si>
    <t>MyMix Risky</t>
  </si>
  <si>
    <t>Correlation Matrix</t>
  </si>
  <si>
    <t>Covariance Matrix</t>
  </si>
  <si>
    <t xml:space="preserve">Portfolio </t>
  </si>
  <si>
    <t>E(Ret)</t>
  </si>
  <si>
    <t xml:space="preserve">StD </t>
  </si>
  <si>
    <t>with INRG</t>
  </si>
  <si>
    <t>MVP</t>
  </si>
  <si>
    <t>Optimal Risky</t>
  </si>
  <si>
    <t>Target Return 2.5%</t>
  </si>
  <si>
    <t>Target Return 3.5%</t>
  </si>
  <si>
    <t>Target Return 14%</t>
  </si>
  <si>
    <t>Optimal "basic"</t>
  </si>
  <si>
    <t>Optimal with INRG</t>
  </si>
  <si>
    <t>Optimal with PHPM</t>
  </si>
  <si>
    <t>SP500 Index</t>
  </si>
  <si>
    <t>RUSSELL2000</t>
  </si>
  <si>
    <t>T-Bill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</si>
</sst>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"/>
    <numFmt numFmtId="166" formatCode="0.0%"/>
    <numFmt numFmtId="167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32A31"/>
      <name val="Arial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8">
    <xf numFmtId="0" fontId="0" fillId="0" borderId="0" xfId="0"/>
    <xf numFmtId="0" fontId="3" fillId="0" borderId="0" xfId="0" applyFont="1"/>
    <xf numFmtId="0" fontId="2" fillId="0" borderId="0" xfId="0" applyFont="1"/>
    <xf numFmtId="10" fontId="0" fillId="0" borderId="0" xfId="1" applyNumberFormat="1" applyFont="1"/>
    <xf numFmtId="164" fontId="0" fillId="0" borderId="0" xfId="1" applyNumberFormat="1" applyFont="1"/>
    <xf numFmtId="10" fontId="0" fillId="0" borderId="0" xfId="0" applyNumberFormat="1"/>
    <xf numFmtId="0" fontId="4" fillId="0" borderId="0" xfId="0" applyFont="1" applyAlignment="1">
      <alignment horizontal="center"/>
    </xf>
    <xf numFmtId="164" fontId="0" fillId="0" borderId="0" xfId="1" applyNumberFormat="1" applyFont="1" applyFill="1" applyBorder="1" applyAlignment="1"/>
    <xf numFmtId="2" fontId="0" fillId="0" borderId="0" xfId="0" applyNumberFormat="1"/>
    <xf numFmtId="165" fontId="0" fillId="0" borderId="0" xfId="0" applyNumberFormat="1"/>
    <xf numFmtId="10" fontId="0" fillId="2" borderId="0" xfId="1" applyNumberFormat="1" applyFont="1" applyFill="1"/>
    <xf numFmtId="165" fontId="0" fillId="3" borderId="0" xfId="0" applyNumberFormat="1" applyFill="1"/>
    <xf numFmtId="10" fontId="0" fillId="0" borderId="0" xfId="1" applyNumberFormat="1" applyFont="1" applyFill="1"/>
    <xf numFmtId="166" fontId="0" fillId="0" borderId="0" xfId="1" applyNumberFormat="1" applyFont="1"/>
    <xf numFmtId="0" fontId="0" fillId="0" borderId="0" xfId="0" applyAlignment="1">
      <alignment horizontal="center"/>
    </xf>
    <xf numFmtId="9" fontId="0" fillId="0" borderId="0" xfId="1" applyFont="1"/>
    <xf numFmtId="0" fontId="0" fillId="0" borderId="1" xfId="0" applyBorder="1"/>
    <xf numFmtId="0" fontId="0" fillId="0" borderId="2" xfId="0" applyBorder="1"/>
    <xf numFmtId="10" fontId="0" fillId="0" borderId="2" xfId="1" applyNumberFormat="1" applyFont="1" applyBorder="1"/>
    <xf numFmtId="165" fontId="0" fillId="3" borderId="2" xfId="0" applyNumberFormat="1" applyFill="1" applyBorder="1"/>
    <xf numFmtId="165" fontId="0" fillId="0" borderId="2" xfId="0" applyNumberFormat="1" applyBorder="1"/>
    <xf numFmtId="0" fontId="0" fillId="0" borderId="3" xfId="0" applyBorder="1"/>
    <xf numFmtId="10" fontId="0" fillId="0" borderId="0" xfId="1" applyNumberFormat="1" applyFont="1" applyFill="1" applyBorder="1" applyAlignment="1"/>
    <xf numFmtId="2" fontId="0" fillId="0" borderId="2" xfId="0" applyNumberFormat="1" applyBorder="1"/>
    <xf numFmtId="0" fontId="0" fillId="0" borderId="5" xfId="0" applyBorder="1"/>
    <xf numFmtId="0" fontId="0" fillId="0" borderId="6" xfId="0" applyBorder="1"/>
    <xf numFmtId="10" fontId="0" fillId="0" borderId="6" xfId="1" applyNumberFormat="1" applyFont="1" applyBorder="1"/>
    <xf numFmtId="165" fontId="0" fillId="0" borderId="3" xfId="0" applyNumberFormat="1" applyBorder="1"/>
    <xf numFmtId="167" fontId="0" fillId="0" borderId="0" xfId="0" applyNumberFormat="1"/>
    <xf numFmtId="167" fontId="0" fillId="3" borderId="2" xfId="0" applyNumberFormat="1" applyFill="1" applyBorder="1"/>
    <xf numFmtId="0" fontId="8" fillId="0" borderId="0" xfId="0" applyFont="1"/>
    <xf numFmtId="0" fontId="7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2" xfId="0" applyNumberFormat="1" applyBorder="1"/>
    <xf numFmtId="0" fontId="0" fillId="0" borderId="13" xfId="0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10" fontId="0" fillId="0" borderId="17" xfId="0" applyNumberFormat="1" applyBorder="1"/>
    <xf numFmtId="0" fontId="0" fillId="0" borderId="18" xfId="0" applyBorder="1"/>
    <xf numFmtId="2" fontId="0" fillId="0" borderId="19" xfId="0" applyNumberFormat="1" applyBorder="1"/>
    <xf numFmtId="10" fontId="0" fillId="0" borderId="19" xfId="0" applyNumberFormat="1" applyBorder="1"/>
    <xf numFmtId="0" fontId="0" fillId="0" borderId="7" xfId="0" applyBorder="1"/>
    <xf numFmtId="2" fontId="0" fillId="0" borderId="22" xfId="0" applyNumberFormat="1" applyBorder="1"/>
    <xf numFmtId="2" fontId="0" fillId="0" borderId="20" xfId="0" applyNumberFormat="1" applyBorder="1"/>
    <xf numFmtId="0" fontId="0" fillId="0" borderId="23" xfId="0" applyBorder="1"/>
    <xf numFmtId="0" fontId="2" fillId="0" borderId="24" xfId="0" applyFont="1" applyBorder="1"/>
    <xf numFmtId="0" fontId="2" fillId="0" borderId="6" xfId="0" applyFont="1" applyBorder="1"/>
    <xf numFmtId="0" fontId="2" fillId="0" borderId="7" xfId="0" applyFont="1" applyBorder="1"/>
    <xf numFmtId="165" fontId="0" fillId="0" borderId="19" xfId="0" applyNumberFormat="1" applyBorder="1"/>
    <xf numFmtId="14" fontId="0" fillId="0" borderId="0" xfId="0" applyNumberFormat="1"/>
    <xf numFmtId="0" fontId="2" fillId="0" borderId="22" xfId="0" applyFont="1" applyBorder="1"/>
    <xf numFmtId="10" fontId="0" fillId="0" borderId="25" xfId="0" applyNumberFormat="1" applyBorder="1"/>
    <xf numFmtId="10" fontId="0" fillId="0" borderId="26" xfId="0" applyNumberFormat="1" applyBorder="1"/>
    <xf numFmtId="10" fontId="0" fillId="0" borderId="21" xfId="0" applyNumberFormat="1" applyBorder="1"/>
    <xf numFmtId="165" fontId="0" fillId="0" borderId="25" xfId="0" applyNumberFormat="1" applyBorder="1"/>
    <xf numFmtId="165" fontId="0" fillId="0" borderId="26" xfId="0" applyNumberFormat="1" applyBorder="1"/>
    <xf numFmtId="165" fontId="0" fillId="0" borderId="21" xfId="0" applyNumberFormat="1" applyBorder="1"/>
    <xf numFmtId="0" fontId="2" fillId="0" borderId="16" xfId="0" applyFont="1" applyBorder="1"/>
    <xf numFmtId="0" fontId="2" fillId="0" borderId="25" xfId="0" applyFont="1" applyBorder="1"/>
    <xf numFmtId="0" fontId="0" fillId="0" borderId="25" xfId="0" applyBorder="1"/>
    <xf numFmtId="0" fontId="0" fillId="0" borderId="26" xfId="0" applyBorder="1"/>
    <xf numFmtId="0" fontId="2" fillId="0" borderId="4" xfId="0" applyFont="1" applyBorder="1"/>
    <xf numFmtId="0" fontId="2" fillId="0" borderId="5" xfId="0" applyFont="1" applyBorder="1"/>
    <xf numFmtId="0" fontId="9" fillId="0" borderId="4" xfId="0" applyFont="1" applyBorder="1"/>
    <xf numFmtId="0" fontId="0" fillId="0" borderId="16" xfId="0" applyBorder="1"/>
    <xf numFmtId="0" fontId="0" fillId="0" borderId="22" xfId="0" applyBorder="1"/>
    <xf numFmtId="0" fontId="0" fillId="0" borderId="19" xfId="0" applyBorder="1"/>
    <xf numFmtId="165" fontId="0" fillId="0" borderId="17" xfId="0" applyNumberFormat="1" applyBorder="1"/>
    <xf numFmtId="0" fontId="2" fillId="0" borderId="27" xfId="0" applyFont="1" applyBorder="1"/>
    <xf numFmtId="165" fontId="0" fillId="0" borderId="27" xfId="0" applyNumberFormat="1" applyBorder="1"/>
    <xf numFmtId="165" fontId="0" fillId="0" borderId="28" xfId="0" applyNumberFormat="1" applyBorder="1"/>
    <xf numFmtId="165" fontId="0" fillId="0" borderId="29" xfId="0" applyNumberFormat="1" applyBorder="1"/>
    <xf numFmtId="10" fontId="0" fillId="3" borderId="6" xfId="1" applyNumberFormat="1" applyFont="1" applyFill="1" applyBorder="1"/>
    <xf numFmtId="2" fontId="0" fillId="0" borderId="6" xfId="0" applyNumberFormat="1" applyBorder="1"/>
    <xf numFmtId="0" fontId="10" fillId="0" borderId="0" xfId="2"/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 b="1"/>
              <a:t>Frontiers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6108218767860173E-2"/>
          <c:y val="0.13463383734769482"/>
          <c:w val="0.62274315911818756"/>
          <c:h val="0.71413450001635892"/>
        </c:manualLayout>
      </c:layout>
      <c:scatterChart>
        <c:scatterStyle val="smoothMarker"/>
        <c:varyColors val="0"/>
        <c:ser>
          <c:idx val="0"/>
          <c:order val="0"/>
          <c:tx>
            <c:v>Minimum Variance Frontier lower part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xVal>
            <c:numRef>
              <c:f>'2.Frontiers'!$C$4:$C$7</c:f>
              <c:numCache>
                <c:formatCode>0.00%</c:formatCode>
                <c:ptCount val="4"/>
                <c:pt idx="0">
                  <c:v>6.6144570042579107E-2</c:v>
                </c:pt>
                <c:pt idx="1">
                  <c:v>5.9162242398370424E-2</c:v>
                </c:pt>
                <c:pt idx="2">
                  <c:v>5.5293667876082447E-2</c:v>
                </c:pt>
                <c:pt idx="3">
                  <c:v>5.4753278189324558E-2</c:v>
                </c:pt>
              </c:numCache>
            </c:numRef>
          </c:xVal>
          <c:yVal>
            <c:numRef>
              <c:f>'2.Frontiers'!$D$4:$D$7</c:f>
              <c:numCache>
                <c:formatCode>0.00%</c:formatCode>
                <c:ptCount val="4"/>
                <c:pt idx="0">
                  <c:v>1.0000000705466035E-2</c:v>
                </c:pt>
                <c:pt idx="1">
                  <c:v>2.0000001257573875E-2</c:v>
                </c:pt>
                <c:pt idx="2">
                  <c:v>3.0000001092576528E-2</c:v>
                </c:pt>
                <c:pt idx="3">
                  <c:v>3.5240908031090548E-2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C-40F0-9022-FAC2B5F6D413}"/>
            </c:ext>
          </c:extLst>
        </c:ser>
        <c:ser>
          <c:idx val="1"/>
          <c:order val="1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'2.Frontiers'!$C$7:$C$13</c:f>
              <c:numCache>
                <c:formatCode>0.00%</c:formatCode>
                <c:ptCount val="7"/>
                <c:pt idx="0">
                  <c:v>5.4753278189324558E-2</c:v>
                </c:pt>
                <c:pt idx="1">
                  <c:v>5.5197378270279929E-2</c:v>
                </c:pt>
                <c:pt idx="2">
                  <c:v>5.8891879827607733E-2</c:v>
                </c:pt>
                <c:pt idx="3">
                  <c:v>6.5741147935046609E-2</c:v>
                </c:pt>
                <c:pt idx="4">
                  <c:v>9.8433093217883488E-2</c:v>
                </c:pt>
                <c:pt idx="5">
                  <c:v>0.1098084670059081</c:v>
                </c:pt>
                <c:pt idx="6">
                  <c:v>0.12276911196468381</c:v>
                </c:pt>
              </c:numCache>
            </c:numRef>
          </c:xVal>
          <c:yVal>
            <c:numRef>
              <c:f>'2.Frontiers'!$D$7:$D$13</c:f>
              <c:numCache>
                <c:formatCode>0.00%</c:formatCode>
                <c:ptCount val="7"/>
                <c:pt idx="0">
                  <c:v>3.5240908031090548E-2</c:v>
                </c:pt>
                <c:pt idx="1">
                  <c:v>4.0000000927579993E-2</c:v>
                </c:pt>
                <c:pt idx="2">
                  <c:v>5.000000076258429E-2</c:v>
                </c:pt>
                <c:pt idx="3">
                  <c:v>6.0000000597588261E-2</c:v>
                </c:pt>
                <c:pt idx="4">
                  <c:v>9.0894531191502717E-2</c:v>
                </c:pt>
                <c:pt idx="5">
                  <c:v>9.9999999933960887E-2</c:v>
                </c:pt>
                <c:pt idx="6">
                  <c:v>0.10999999977254724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1C-40F0-9022-FAC2B5F6D413}"/>
            </c:ext>
          </c:extLst>
        </c:ser>
        <c:ser>
          <c:idx val="2"/>
          <c:order val="2"/>
          <c:tx>
            <c:v>No Short MVF lower part</c:v>
          </c:tx>
          <c:spPr>
            <a:ln w="19050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ash"/>
              </a:ln>
              <a:effectLst/>
            </c:spPr>
          </c:marker>
          <c:xVal>
            <c:numRef>
              <c:f>'2.Frontiers'!$C$24:$C$27</c:f>
              <c:numCache>
                <c:formatCode>0.00%</c:formatCode>
                <c:ptCount val="4"/>
                <c:pt idx="0">
                  <c:v>7.5312695227459314E-2</c:v>
                </c:pt>
                <c:pt idx="1">
                  <c:v>6.7551101575454103E-2</c:v>
                </c:pt>
                <c:pt idx="2">
                  <c:v>6.2602758786023546E-2</c:v>
                </c:pt>
                <c:pt idx="3">
                  <c:v>6.1824215933730199E-2</c:v>
                </c:pt>
              </c:numCache>
            </c:numRef>
          </c:xVal>
          <c:yVal>
            <c:numRef>
              <c:f>'2.Frontiers'!$D$24:$D$27</c:f>
              <c:numCache>
                <c:formatCode>0.00%</c:formatCode>
                <c:ptCount val="4"/>
                <c:pt idx="0">
                  <c:v>2.9599341529670468E-2</c:v>
                </c:pt>
                <c:pt idx="1">
                  <c:v>2.9999999818935759E-2</c:v>
                </c:pt>
                <c:pt idx="2">
                  <c:v>4.0000000127160575E-2</c:v>
                </c:pt>
                <c:pt idx="3">
                  <c:v>4.5658307274393309E-2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1C-40F0-9022-FAC2B5F6D413}"/>
            </c:ext>
          </c:extLst>
        </c:ser>
        <c:ser>
          <c:idx val="3"/>
          <c:order val="3"/>
          <c:tx>
            <c:v>No Short Efficient Frontier</c:v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'2.Frontiers'!$C$27:$C$33</c:f>
              <c:numCache>
                <c:formatCode>0.00%</c:formatCode>
                <c:ptCount val="7"/>
                <c:pt idx="0">
                  <c:v>6.1824215933730199E-2</c:v>
                </c:pt>
                <c:pt idx="1">
                  <c:v>6.228171013107512E-2</c:v>
                </c:pt>
                <c:pt idx="2">
                  <c:v>7.0365334148201356E-2</c:v>
                </c:pt>
                <c:pt idx="3">
                  <c:v>8.5589805574414812E-2</c:v>
                </c:pt>
                <c:pt idx="4">
                  <c:v>9.8432911454974181E-2</c:v>
                </c:pt>
                <c:pt idx="5">
                  <c:v>0.10980846700565375</c:v>
                </c:pt>
                <c:pt idx="6">
                  <c:v>0.12280237407691402</c:v>
                </c:pt>
              </c:numCache>
            </c:numRef>
          </c:xVal>
          <c:yVal>
            <c:numRef>
              <c:f>'2.Frontiers'!$D$27:$D$33</c:f>
              <c:numCache>
                <c:formatCode>0.00%</c:formatCode>
                <c:ptCount val="7"/>
                <c:pt idx="0">
                  <c:v>4.5658307274393309E-2</c:v>
                </c:pt>
                <c:pt idx="1">
                  <c:v>5.0000000240684316E-2</c:v>
                </c:pt>
                <c:pt idx="2">
                  <c:v>6.5000000351051593E-2</c:v>
                </c:pt>
                <c:pt idx="3">
                  <c:v>8.0000000267535107E-2</c:v>
                </c:pt>
                <c:pt idx="4">
                  <c:v>9.0894382377679439E-2</c:v>
                </c:pt>
                <c:pt idx="5">
                  <c:v>9.9999999933960956E-2</c:v>
                </c:pt>
                <c:pt idx="6">
                  <c:v>0.1099999998872752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1C-40F0-9022-FAC2B5F6D413}"/>
            </c:ext>
          </c:extLst>
        </c:ser>
        <c:ser>
          <c:idx val="4"/>
          <c:order val="4"/>
          <c:tx>
            <c:v>MV Portfolio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'2.Frontiers'!$C$7</c:f>
              <c:numCache>
                <c:formatCode>0.00%</c:formatCode>
                <c:ptCount val="1"/>
                <c:pt idx="0">
                  <c:v>5.4753278189324558E-2</c:v>
                </c:pt>
              </c:numCache>
            </c:numRef>
          </c:xVal>
          <c:yVal>
            <c:numRef>
              <c:f>'2.Frontiers'!$D$7</c:f>
              <c:numCache>
                <c:formatCode>0.00%</c:formatCode>
                <c:ptCount val="1"/>
                <c:pt idx="0">
                  <c:v>3.5240908031090548E-2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1C-40F0-9022-FAC2B5F6D413}"/>
            </c:ext>
          </c:extLst>
        </c:ser>
        <c:ser>
          <c:idx val="5"/>
          <c:order val="5"/>
          <c:tx>
            <c:v>MV Portfolio No Short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'2.Frontiers'!$C$27</c:f>
              <c:numCache>
                <c:formatCode>0.00%</c:formatCode>
                <c:ptCount val="1"/>
                <c:pt idx="0">
                  <c:v>6.1824215933730199E-2</c:v>
                </c:pt>
              </c:numCache>
            </c:numRef>
          </c:xVal>
          <c:yVal>
            <c:numRef>
              <c:f>'2.Frontiers'!$D$27</c:f>
              <c:numCache>
                <c:formatCode>0.00%</c:formatCode>
                <c:ptCount val="1"/>
                <c:pt idx="0">
                  <c:v>4.5658307274393309E-2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1C-40F0-9022-FAC2B5F6D413}"/>
            </c:ext>
          </c:extLst>
        </c:ser>
        <c:ser>
          <c:idx val="6"/>
          <c:order val="6"/>
          <c:tx>
            <c:v>Optimal P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'2.Frontiers'!$C$11</c:f>
              <c:numCache>
                <c:formatCode>0.00%</c:formatCode>
                <c:ptCount val="1"/>
                <c:pt idx="0">
                  <c:v>9.8433093217883488E-2</c:v>
                </c:pt>
              </c:numCache>
            </c:numRef>
          </c:xVal>
          <c:yVal>
            <c:numRef>
              <c:f>'2.Frontiers'!$D$11</c:f>
              <c:numCache>
                <c:formatCode>0.00%</c:formatCode>
                <c:ptCount val="1"/>
                <c:pt idx="0">
                  <c:v>9.0894531191502717E-2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1C-40F0-9022-FAC2B5F6D413}"/>
            </c:ext>
          </c:extLst>
        </c:ser>
        <c:ser>
          <c:idx val="7"/>
          <c:order val="7"/>
          <c:tx>
            <c:v>Optimal P No Short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'2.Frontiers'!$C$31</c:f>
              <c:numCache>
                <c:formatCode>0.00%</c:formatCode>
                <c:ptCount val="1"/>
                <c:pt idx="0">
                  <c:v>9.8432911454974181E-2</c:v>
                </c:pt>
              </c:numCache>
            </c:numRef>
          </c:xVal>
          <c:yVal>
            <c:numRef>
              <c:f>'2.Frontiers'!$D$31</c:f>
              <c:numCache>
                <c:formatCode>0.00%</c:formatCode>
                <c:ptCount val="1"/>
                <c:pt idx="0">
                  <c:v>9.0894382377679439E-2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1C-40F0-9022-FAC2B5F6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89256"/>
        <c:axId val="690087616"/>
      </c:scatterChart>
      <c:valAx>
        <c:axId val="69008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0087616"/>
        <c:crosses val="autoZero"/>
        <c:crossBetween val="midCat"/>
      </c:valAx>
      <c:valAx>
        <c:axId val="690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90089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65801142762654"/>
          <c:y val="0.31868704178379353"/>
          <c:w val="0.27349408519578056"/>
          <c:h val="0.47102469751057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 Variance Frontier</a:t>
            </a:r>
          </a:p>
        </c:rich>
      </c:tx>
      <c:layout>
        <c:manualLayout>
          <c:xMode val="edge"/>
          <c:yMode val="edge"/>
          <c:x val="0.31451065485901913"/>
          <c:y val="4.0287769784172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'4.Portfolio_with_GEF_results'!$D$3</c:f>
              <c:strCache>
                <c:ptCount val="1"/>
                <c:pt idx="0">
                  <c:v>E(Return)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'4.Portfolio_with_GEF_results'!$C$4:$C$11</c:f>
              <c:numCache>
                <c:formatCode>0.00%</c:formatCode>
                <c:ptCount val="8"/>
                <c:pt idx="0">
                  <c:v>5.6699084262854596E-2</c:v>
                </c:pt>
                <c:pt idx="1">
                  <c:v>5.5006059534714095E-2</c:v>
                </c:pt>
                <c:pt idx="2">
                  <c:v>5.4751611935102168E-2</c:v>
                </c:pt>
                <c:pt idx="3">
                  <c:v>6.3673749376876393E-2</c:v>
                </c:pt>
                <c:pt idx="4">
                  <c:v>8.185625614283526E-2</c:v>
                </c:pt>
                <c:pt idx="5">
                  <c:v>0.10465750918976512</c:v>
                </c:pt>
                <c:pt idx="6">
                  <c:v>0.13719480918450483</c:v>
                </c:pt>
                <c:pt idx="7">
                  <c:v>0.14700852989617896</c:v>
                </c:pt>
              </c:numCache>
            </c:numRef>
          </c:xVal>
          <c:yVal>
            <c:numRef>
              <c:f>'4.Portfolio_with_GEF_results'!$D$4:$D$11</c:f>
              <c:numCache>
                <c:formatCode>0.00%</c:formatCode>
                <c:ptCount val="8"/>
                <c:pt idx="0">
                  <c:v>1.9585269039527779E-2</c:v>
                </c:pt>
                <c:pt idx="1">
                  <c:v>2.9862103471121459E-2</c:v>
                </c:pt>
                <c:pt idx="2">
                  <c:v>3.5642037432253533E-2</c:v>
                </c:pt>
                <c:pt idx="3">
                  <c:v>7.0967631466062636E-2</c:v>
                </c:pt>
                <c:pt idx="4">
                  <c:v>0.10180036191001055</c:v>
                </c:pt>
                <c:pt idx="5">
                  <c:v>0.13262948333609659</c:v>
                </c:pt>
                <c:pt idx="6">
                  <c:v>0.17244606150747624</c:v>
                </c:pt>
                <c:pt idx="7">
                  <c:v>0.18401555706783748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AA-4346-9AF8-7ACD12D28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89040"/>
        <c:axId val="633895600"/>
      </c:scatterChart>
      <c:valAx>
        <c:axId val="6338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895600"/>
        <c:crosses val="autoZero"/>
        <c:crossBetween val="midCat"/>
      </c:valAx>
      <c:valAx>
        <c:axId val="6338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38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/>
              <a:t>Frontiers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'4.Comparison'!$C$8:$C$14</c:f>
              <c:numCache>
                <c:formatCode>0.00%</c:formatCode>
                <c:ptCount val="7"/>
                <c:pt idx="0">
                  <c:v>5.4753278189324558E-2</c:v>
                </c:pt>
                <c:pt idx="1">
                  <c:v>5.5197378270279929E-2</c:v>
                </c:pt>
                <c:pt idx="2">
                  <c:v>5.8891879827607733E-2</c:v>
                </c:pt>
                <c:pt idx="3">
                  <c:v>6.5741147935046609E-2</c:v>
                </c:pt>
                <c:pt idx="4">
                  <c:v>9.8433093217883488E-2</c:v>
                </c:pt>
                <c:pt idx="5">
                  <c:v>0.1098084670059081</c:v>
                </c:pt>
                <c:pt idx="6">
                  <c:v>0.12276911196468381</c:v>
                </c:pt>
              </c:numCache>
            </c:numRef>
          </c:xVal>
          <c:yVal>
            <c:numRef>
              <c:f>'4.Comparison'!$D$8:$D$14</c:f>
              <c:numCache>
                <c:formatCode>0.00%</c:formatCode>
                <c:ptCount val="7"/>
                <c:pt idx="0">
                  <c:v>3.5240908031090548E-2</c:v>
                </c:pt>
                <c:pt idx="1">
                  <c:v>4.0000000927579993E-2</c:v>
                </c:pt>
                <c:pt idx="2">
                  <c:v>5.000000076258429E-2</c:v>
                </c:pt>
                <c:pt idx="3">
                  <c:v>6.0000000597588261E-2</c:v>
                </c:pt>
                <c:pt idx="4">
                  <c:v>9.0894531191502717E-2</c:v>
                </c:pt>
                <c:pt idx="5">
                  <c:v>9.9999999933960887E-2</c:v>
                </c:pt>
                <c:pt idx="6">
                  <c:v>0.10999999977254724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1B-4D07-9E82-2F95B9CCEFB3}"/>
            </c:ext>
          </c:extLst>
        </c:ser>
        <c:ser>
          <c:idx val="1"/>
          <c:order val="1"/>
          <c:tx>
            <c:v>EF with INRG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'4.Comparison'!$Q$7:$Q$12</c:f>
              <c:numCache>
                <c:formatCode>0.00%</c:formatCode>
                <c:ptCount val="6"/>
                <c:pt idx="0">
                  <c:v>5.4751611935102168E-2</c:v>
                </c:pt>
                <c:pt idx="1">
                  <c:v>6.3673749376876393E-2</c:v>
                </c:pt>
                <c:pt idx="2">
                  <c:v>8.185625614283526E-2</c:v>
                </c:pt>
                <c:pt idx="3">
                  <c:v>0.10465750918976512</c:v>
                </c:pt>
                <c:pt idx="4">
                  <c:v>0.13719480918450483</c:v>
                </c:pt>
                <c:pt idx="5">
                  <c:v>0.14700852989617896</c:v>
                </c:pt>
              </c:numCache>
            </c:numRef>
          </c:xVal>
          <c:yVal>
            <c:numRef>
              <c:f>'4.Comparison'!$R$7:$R$12</c:f>
              <c:numCache>
                <c:formatCode>0.00%</c:formatCode>
                <c:ptCount val="6"/>
                <c:pt idx="0">
                  <c:v>3.5642037432253533E-2</c:v>
                </c:pt>
                <c:pt idx="1">
                  <c:v>7.0967631466062636E-2</c:v>
                </c:pt>
                <c:pt idx="2">
                  <c:v>0.10180036191001055</c:v>
                </c:pt>
                <c:pt idx="3">
                  <c:v>0.13262948333609659</c:v>
                </c:pt>
                <c:pt idx="4">
                  <c:v>0.17244606150747624</c:v>
                </c:pt>
                <c:pt idx="5">
                  <c:v>0.18401555706783748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1B-4D07-9E82-2F95B9CCEFB3}"/>
            </c:ext>
          </c:extLst>
        </c:ser>
        <c:ser>
          <c:idx val="2"/>
          <c:order val="2"/>
          <c:tx>
            <c:v>Max Sharpe Ratio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Optimal Risky Portfolio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61B-4D07-9E82-2F95B9CCEF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'4.Comparison'!$C$12</c:f>
              <c:numCache>
                <c:formatCode>0.00%</c:formatCode>
                <c:ptCount val="1"/>
                <c:pt idx="0">
                  <c:v>9.8433093217883488E-2</c:v>
                </c:pt>
              </c:numCache>
            </c:numRef>
          </c:xVal>
          <c:yVal>
            <c:numRef>
              <c:f>'4.Comparison'!$D$12</c:f>
              <c:numCache>
                <c:formatCode>0.00%</c:formatCode>
                <c:ptCount val="1"/>
                <c:pt idx="0">
                  <c:v>9.0894531191502717E-2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1B-4D07-9E82-2F95B9CCEFB3}"/>
            </c:ext>
          </c:extLst>
        </c:ser>
        <c:ser>
          <c:idx val="3"/>
          <c:order val="3"/>
          <c:tx>
            <c:v>Max Sharpe Ratio with INRG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Optimal Risky Portfolio including INRG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61B-4D07-9E82-2F95B9CCEF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'4.Comparison'!$Q$11</c:f>
              <c:numCache>
                <c:formatCode>0.00%</c:formatCode>
                <c:ptCount val="1"/>
                <c:pt idx="0">
                  <c:v>0.13719480918450483</c:v>
                </c:pt>
              </c:numCache>
            </c:numRef>
          </c:xVal>
          <c:yVal>
            <c:numRef>
              <c:f>'4.Comparison'!$R$11</c:f>
              <c:numCache>
                <c:formatCode>0.00%</c:formatCode>
                <c:ptCount val="1"/>
                <c:pt idx="0">
                  <c:v>0.17244606150747624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1B-4D07-9E82-2F95B9CCEFB3}"/>
            </c:ext>
          </c:extLst>
        </c:ser>
        <c:ser>
          <c:idx val="4"/>
          <c:order val="4"/>
          <c:tx>
            <c:v>Lower part MVF</c:v>
          </c:tx>
          <c:spPr>
            <a:ln w="9525" cap="rnd">
              <a:solidFill>
                <a:schemeClr val="accent5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prstDash val="sysDash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'4.Comparison'!$C$5:$C$8</c:f>
              <c:numCache>
                <c:formatCode>0.00%</c:formatCode>
                <c:ptCount val="4"/>
                <c:pt idx="0">
                  <c:v>6.6144570042579107E-2</c:v>
                </c:pt>
                <c:pt idx="1">
                  <c:v>5.9162242398370424E-2</c:v>
                </c:pt>
                <c:pt idx="2">
                  <c:v>5.5293667876082447E-2</c:v>
                </c:pt>
                <c:pt idx="3">
                  <c:v>5.4753278189324558E-2</c:v>
                </c:pt>
              </c:numCache>
            </c:numRef>
          </c:xVal>
          <c:yVal>
            <c:numRef>
              <c:f>'4.Comparison'!$D$5:$D$8</c:f>
              <c:numCache>
                <c:formatCode>0.00%</c:formatCode>
                <c:ptCount val="4"/>
                <c:pt idx="0">
                  <c:v>1.0000000705466035E-2</c:v>
                </c:pt>
                <c:pt idx="1">
                  <c:v>2.0000001257573875E-2</c:v>
                </c:pt>
                <c:pt idx="2">
                  <c:v>3.0000001092576528E-2</c:v>
                </c:pt>
                <c:pt idx="3">
                  <c:v>3.5240908031090548E-2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1B-4D07-9E82-2F95B9CCEFB3}"/>
            </c:ext>
          </c:extLst>
        </c:ser>
        <c:ser>
          <c:idx val="5"/>
          <c:order val="5"/>
          <c:tx>
            <c:v>Lower part MVF with INRG</c:v>
          </c:tx>
          <c:spPr>
            <a:ln w="9525" cap="rnd">
              <a:solidFill>
                <a:schemeClr val="accent6"/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prstDash val="sysDot"/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'4.Comparison'!$Q$5:$Q$7</c:f>
              <c:numCache>
                <c:formatCode>0.00%</c:formatCode>
                <c:ptCount val="3"/>
                <c:pt idx="0">
                  <c:v>5.6699084262854596E-2</c:v>
                </c:pt>
                <c:pt idx="1">
                  <c:v>5.5006059534714095E-2</c:v>
                </c:pt>
                <c:pt idx="2">
                  <c:v>5.4751611935102168E-2</c:v>
                </c:pt>
              </c:numCache>
            </c:numRef>
          </c:xVal>
          <c:yVal>
            <c:numRef>
              <c:f>'4.Comparison'!$R$5:$R$7</c:f>
              <c:numCache>
                <c:formatCode>0.00%</c:formatCode>
                <c:ptCount val="3"/>
                <c:pt idx="0">
                  <c:v>1.9585269039527779E-2</c:v>
                </c:pt>
                <c:pt idx="1">
                  <c:v>2.9862103471121459E-2</c:v>
                </c:pt>
                <c:pt idx="2">
                  <c:v>3.5642037432253533E-2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1B-4D07-9E82-2F95B9CCE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08080"/>
        <c:axId val="570711360"/>
      </c:scatterChart>
      <c:valAx>
        <c:axId val="5707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0711360"/>
        <c:crosses val="autoZero"/>
        <c:crossBetween val="midCat"/>
      </c:valAx>
      <c:valAx>
        <c:axId val="5707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070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Minimum Variance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'5.P_w_precious_metals_results'!$D$3</c:f>
              <c:strCache>
                <c:ptCount val="1"/>
                <c:pt idx="0">
                  <c:v>E(Return)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'5.P_w_precious_metals_results'!$C$4:$C$11</c:f>
              <c:numCache>
                <c:formatCode>0.00%</c:formatCode>
                <c:ptCount val="8"/>
                <c:pt idx="0">
                  <c:v>5.525053174701057E-2</c:v>
                </c:pt>
                <c:pt idx="1">
                  <c:v>5.3368745460486144E-2</c:v>
                </c:pt>
                <c:pt idx="2">
                  <c:v>5.2520076345305568E-2</c:v>
                </c:pt>
                <c:pt idx="3">
                  <c:v>5.8190328692631126E-2</c:v>
                </c:pt>
                <c:pt idx="4">
                  <c:v>7.1202612230938558E-2</c:v>
                </c:pt>
                <c:pt idx="5">
                  <c:v>8.8393748894558033E-2</c:v>
                </c:pt>
                <c:pt idx="6">
                  <c:v>0.11056014753398671</c:v>
                </c:pt>
                <c:pt idx="7">
                  <c:v>0.11454615819544456</c:v>
                </c:pt>
              </c:numCache>
            </c:numRef>
          </c:xVal>
          <c:yVal>
            <c:numRef>
              <c:f>'5.P_w_precious_metals_results'!$D$4:$D$11</c:f>
              <c:numCache>
                <c:formatCode>0.00%</c:formatCode>
                <c:ptCount val="8"/>
                <c:pt idx="0">
                  <c:v>2.4201252137191275E-2</c:v>
                </c:pt>
                <c:pt idx="1">
                  <c:v>3.404741808240893E-2</c:v>
                </c:pt>
                <c:pt idx="2">
                  <c:v>4.6121971782467061E-2</c:v>
                </c:pt>
                <c:pt idx="3">
                  <c:v>7.8371031095027938E-2</c:v>
                </c:pt>
                <c:pt idx="4">
                  <c:v>0.1079125192161989</c:v>
                </c:pt>
                <c:pt idx="5">
                  <c:v>0.13745210374857506</c:v>
                </c:pt>
                <c:pt idx="6">
                  <c:v>0.17106032019999906</c:v>
                </c:pt>
                <c:pt idx="7">
                  <c:v>0.17684389336209175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99-4471-B98B-388FB084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185416"/>
        <c:axId val="636184432"/>
      </c:scatterChart>
      <c:valAx>
        <c:axId val="63618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184432"/>
        <c:crosses val="autoZero"/>
        <c:crossBetween val="midCat"/>
      </c:valAx>
      <c:valAx>
        <c:axId val="6361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185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Efficient Frontiers</a:t>
            </a:r>
          </a:p>
        </c:rich>
      </c:tx>
      <c:layout>
        <c:manualLayout>
          <c:xMode val="edge"/>
          <c:yMode val="edge"/>
          <c:x val="0.4045563795357432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9355707686768325E-2"/>
          <c:y val="8.6320519838455317E-2"/>
          <c:w val="0.75632245144922716"/>
          <c:h val="0.80681686619959736"/>
        </c:manualLayout>
      </c:layout>
      <c:scatterChart>
        <c:scatterStyle val="smoothMarker"/>
        <c:varyColors val="0"/>
        <c:ser>
          <c:idx val="0"/>
          <c:order val="0"/>
          <c:tx>
            <c:v>EF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'5.Comparison'!$C$8:$C$14</c:f>
              <c:numCache>
                <c:formatCode>0.00%</c:formatCode>
                <c:ptCount val="7"/>
                <c:pt idx="0">
                  <c:v>5.4753278189324558E-2</c:v>
                </c:pt>
                <c:pt idx="1">
                  <c:v>5.5197378270279929E-2</c:v>
                </c:pt>
                <c:pt idx="2">
                  <c:v>5.8891879827607733E-2</c:v>
                </c:pt>
                <c:pt idx="3">
                  <c:v>6.5741147935046609E-2</c:v>
                </c:pt>
                <c:pt idx="4">
                  <c:v>9.8433093217883488E-2</c:v>
                </c:pt>
                <c:pt idx="5">
                  <c:v>0.1098084670059081</c:v>
                </c:pt>
                <c:pt idx="6">
                  <c:v>0.12276911196468381</c:v>
                </c:pt>
              </c:numCache>
            </c:numRef>
          </c:xVal>
          <c:yVal>
            <c:numRef>
              <c:f>'5.Comparison'!$D$8:$D$14</c:f>
              <c:numCache>
                <c:formatCode>0.00%</c:formatCode>
                <c:ptCount val="7"/>
                <c:pt idx="0">
                  <c:v>3.5240908031090548E-2</c:v>
                </c:pt>
                <c:pt idx="1">
                  <c:v>4.0000000927579993E-2</c:v>
                </c:pt>
                <c:pt idx="2">
                  <c:v>5.000000076258429E-2</c:v>
                </c:pt>
                <c:pt idx="3">
                  <c:v>6.0000000597588261E-2</c:v>
                </c:pt>
                <c:pt idx="4">
                  <c:v>9.0894531191502717E-2</c:v>
                </c:pt>
                <c:pt idx="5">
                  <c:v>9.9999999933960887E-2</c:v>
                </c:pt>
                <c:pt idx="6">
                  <c:v>0.10999999977254724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E1-4A06-BB1D-40D5A8CE9714}"/>
            </c:ext>
          </c:extLst>
        </c:ser>
        <c:ser>
          <c:idx val="1"/>
          <c:order val="1"/>
          <c:tx>
            <c:v>EF with INRG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'5.Comparison'!$Q$7:$Q$12</c:f>
              <c:numCache>
                <c:formatCode>0.00%</c:formatCode>
                <c:ptCount val="6"/>
                <c:pt idx="0">
                  <c:v>5.4751611935102168E-2</c:v>
                </c:pt>
                <c:pt idx="1">
                  <c:v>6.3905624645799533E-2</c:v>
                </c:pt>
                <c:pt idx="2">
                  <c:v>8.2480669284716229E-2</c:v>
                </c:pt>
                <c:pt idx="3">
                  <c:v>0.10570244243064562</c:v>
                </c:pt>
                <c:pt idx="4">
                  <c:v>0.13570308576169168</c:v>
                </c:pt>
                <c:pt idx="5">
                  <c:v>0.14874381376093684</c:v>
                </c:pt>
              </c:numCache>
            </c:numRef>
          </c:xVal>
          <c:yVal>
            <c:numRef>
              <c:f>'5.Comparison'!$R$7:$R$12</c:f>
              <c:numCache>
                <c:formatCode>0.00%</c:formatCode>
                <c:ptCount val="6"/>
                <c:pt idx="0">
                  <c:v>3.5642037432253533E-2</c:v>
                </c:pt>
                <c:pt idx="1">
                  <c:v>7.144987838230922E-2</c:v>
                </c:pt>
                <c:pt idx="2">
                  <c:v>0.10269174233483302</c:v>
                </c:pt>
                <c:pt idx="3">
                  <c:v>0.13393363255400639</c:v>
                </c:pt>
                <c:pt idx="4">
                  <c:v>0.17063511403906731</c:v>
                </c:pt>
                <c:pt idx="5">
                  <c:v>0.18600338623324122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CE1-4A06-BB1D-40D5A8CE9714}"/>
            </c:ext>
          </c:extLst>
        </c:ser>
        <c:ser>
          <c:idx val="2"/>
          <c:order val="2"/>
          <c:tx>
            <c:v>EF with INRG and PHPM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'5.Comparison'!$AG$7:$AG$12</c:f>
              <c:numCache>
                <c:formatCode>0.00%</c:formatCode>
                <c:ptCount val="6"/>
                <c:pt idx="0">
                  <c:v>5.2520076345305568E-2</c:v>
                </c:pt>
                <c:pt idx="1">
                  <c:v>5.8190328692631126E-2</c:v>
                </c:pt>
                <c:pt idx="2">
                  <c:v>7.1202612230938558E-2</c:v>
                </c:pt>
                <c:pt idx="3">
                  <c:v>8.8393748894558033E-2</c:v>
                </c:pt>
                <c:pt idx="4">
                  <c:v>0.11056014753398671</c:v>
                </c:pt>
                <c:pt idx="5">
                  <c:v>0.11454615819544456</c:v>
                </c:pt>
              </c:numCache>
            </c:numRef>
          </c:xVal>
          <c:yVal>
            <c:numRef>
              <c:f>'5.Comparison'!$AH$7:$AH$12</c:f>
              <c:numCache>
                <c:formatCode>0.00%</c:formatCode>
                <c:ptCount val="6"/>
                <c:pt idx="0">
                  <c:v>4.6121971782467061E-2</c:v>
                </c:pt>
                <c:pt idx="1">
                  <c:v>7.8371031095027938E-2</c:v>
                </c:pt>
                <c:pt idx="2">
                  <c:v>0.1079125192161989</c:v>
                </c:pt>
                <c:pt idx="3">
                  <c:v>0.13745210374857506</c:v>
                </c:pt>
                <c:pt idx="4">
                  <c:v>0.17106032019999906</c:v>
                </c:pt>
                <c:pt idx="5">
                  <c:v>0.17684389336209175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CE1-4A06-BB1D-40D5A8CE9714}"/>
            </c:ext>
          </c:extLst>
        </c:ser>
        <c:ser>
          <c:idx val="3"/>
          <c:order val="3"/>
          <c:tx>
            <c:v>Optimal risky portfolio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'5.Comparison'!$C$12</c:f>
              <c:numCache>
                <c:formatCode>0.00%</c:formatCode>
                <c:ptCount val="1"/>
                <c:pt idx="0">
                  <c:v>9.8433093217883488E-2</c:v>
                </c:pt>
              </c:numCache>
            </c:numRef>
          </c:xVal>
          <c:yVal>
            <c:numRef>
              <c:f>'5.Comparison'!$D$12</c:f>
              <c:numCache>
                <c:formatCode>0.00%</c:formatCode>
                <c:ptCount val="1"/>
                <c:pt idx="0">
                  <c:v>9.0894531191502717E-2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E1-4A06-BB1D-40D5A8CE9714}"/>
            </c:ext>
          </c:extLst>
        </c:ser>
        <c:ser>
          <c:idx val="4"/>
          <c:order val="4"/>
          <c:tx>
            <c:v>Optimal risky portfolio with INRG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'5.Comparison'!$Q$11</c:f>
              <c:numCache>
                <c:formatCode>0.00%</c:formatCode>
                <c:ptCount val="1"/>
                <c:pt idx="0">
                  <c:v>0.13570308576169168</c:v>
                </c:pt>
              </c:numCache>
            </c:numRef>
          </c:xVal>
          <c:yVal>
            <c:numRef>
              <c:f>'5.Comparison'!$R$11</c:f>
              <c:numCache>
                <c:formatCode>0.00%</c:formatCode>
                <c:ptCount val="1"/>
                <c:pt idx="0">
                  <c:v>0.17063511403906731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CE1-4A06-BB1D-40D5A8CE9714}"/>
            </c:ext>
          </c:extLst>
        </c:ser>
        <c:ser>
          <c:idx val="5"/>
          <c:order val="5"/>
          <c:tx>
            <c:v>Optimal risky portfolio with INRG and PHPM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'5.Comparison'!$AG$11</c:f>
              <c:numCache>
                <c:formatCode>0.00%</c:formatCode>
                <c:ptCount val="1"/>
                <c:pt idx="0">
                  <c:v>0.11056014753398671</c:v>
                </c:pt>
              </c:numCache>
            </c:numRef>
          </c:xVal>
          <c:yVal>
            <c:numRef>
              <c:f>'5.Comparison'!$AH$11</c:f>
              <c:numCache>
                <c:formatCode>0.00%</c:formatCode>
                <c:ptCount val="1"/>
                <c:pt idx="0">
                  <c:v>0.17106032019999906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CE1-4A06-BB1D-40D5A8CE9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241768"/>
        <c:axId val="685238816"/>
      </c:scatterChart>
      <c:valAx>
        <c:axId val="68524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238816"/>
        <c:crosses val="autoZero"/>
        <c:crossBetween val="midCat"/>
      </c:valAx>
      <c:valAx>
        <c:axId val="6852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E(r)</a:t>
                </a:r>
              </a:p>
            </c:rich>
          </c:tx>
          <c:layout>
            <c:manualLayout>
              <c:xMode val="edge"/>
              <c:yMode val="edge"/>
              <c:x val="7.408930445407751E-4"/>
              <c:y val="0.466291092899430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241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3643607065785996"/>
          <c:y val="0.15064853256979244"/>
          <c:w val="0.14569779596588395"/>
          <c:h val="0.74545536353410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227099</xdr:colOff>
      <xdr:row>8</xdr:row>
      <xdr:rowOff>7055</xdr:rowOff>
    </xdr:from>
    <xdr:to>
      <xdr:col>24</xdr:col>
      <xdr:colOff>603250</xdr:colOff>
      <xdr:row>27</xdr:row>
      <xdr:rowOff>148167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6325E35-D65F-44A2-B176-D1C286C22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9523</xdr:colOff>
      <xdr:row>1</xdr:row>
      <xdr:rowOff>163512</xdr:rowOff>
    </xdr:from>
    <xdr:to>
      <xdr:col>22</xdr:col>
      <xdr:colOff>611186</xdr:colOff>
      <xdr:row>19</xdr:row>
      <xdr:rowOff>7937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77A87CD-69E4-408D-9319-EF0523C89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14112</xdr:colOff>
      <xdr:row>16</xdr:row>
      <xdr:rowOff>126999</xdr:rowOff>
    </xdr:from>
    <xdr:to>
      <xdr:col>19</xdr:col>
      <xdr:colOff>399142</xdr:colOff>
      <xdr:row>41</xdr:row>
      <xdr:rowOff>176387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434BE8C-A06B-4627-90AE-337FCFC82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2</xdr:row>
      <xdr:rowOff>0</xdr:rowOff>
    </xdr:from>
    <xdr:to>
      <xdr:col>24</xdr:col>
      <xdr:colOff>603250</xdr:colOff>
      <xdr:row>19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714EAC9-ADF8-4652-8E6E-83455DF3F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14</xdr:row>
      <xdr:rowOff>-1</xdr:rowOff>
    </xdr:from>
    <xdr:to>
      <xdr:col>23</xdr:col>
      <xdr:colOff>603250</xdr:colOff>
      <xdr:row>34</xdr:row>
      <xdr:rowOff>15874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A7CE121-36FF-4D61-AD78-D94D12C8A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3">
  <a r="1" c="60">
    <v t="i">0</v>
    <v t="i">30</v>
    <v t="i">61</v>
    <v t="i">91</v>
    <v t="i">122</v>
    <v t="i">153</v>
    <v t="i">183</v>
    <v t="i">214</v>
    <v t="i">244</v>
    <v t="i">275</v>
    <v t="i">306</v>
    <v t="i">334</v>
    <v t="i">365</v>
    <v t="i">395</v>
    <v t="i">426</v>
    <v t="i">456</v>
    <v t="i">487</v>
    <v t="i">518</v>
    <v t="i">548</v>
    <v t="i">579</v>
    <v t="i">609</v>
    <v t="i">640</v>
    <v t="i">671</v>
    <v t="i">699</v>
    <v t="i">730</v>
    <v t="i">760</v>
    <v t="i">791</v>
    <v t="i">821</v>
    <v t="i">852</v>
    <v t="i">883</v>
    <v t="i">913</v>
    <v t="i">944</v>
    <v t="i">974</v>
    <v t="i">1005</v>
    <v t="i">1036</v>
    <v t="i">1065</v>
    <v t="i">1096</v>
    <v t="i">1126</v>
    <v t="i">1157</v>
    <v t="i">1187</v>
    <v t="i">1218</v>
    <v t="i">1249</v>
    <v t="i">1279</v>
    <v t="i">1310</v>
    <v t="i">1340</v>
    <v t="i">1371</v>
    <v t="i">1402</v>
    <v t="i">1430</v>
    <v t="i">1461</v>
    <v t="i">1491</v>
    <v t="i">1522</v>
    <v t="i">1552</v>
    <v t="i">1583</v>
    <v t="i">1614</v>
    <v t="i">1644</v>
    <v t="i">1675</v>
    <v t="i">1705</v>
    <v t="i">1736</v>
    <v t="i">1767</v>
    <v t="i">1795</v>
  </a>
  <a r="1" c="60">
    <v>382.5</v>
    <v>386.3</v>
    <v>384.9</v>
    <v>398.1</v>
    <v>411.85</v>
    <v>391.9</v>
    <v>409.5</v>
    <v>379</v>
    <v>400</v>
    <v>391.95</v>
    <v>394.65</v>
    <v>392.55</v>
    <v>417.65</v>
    <v>420</v>
    <v>386.65</v>
    <v>405.25</v>
    <v>389.05</v>
    <v>384.15</v>
    <v>369.25</v>
    <v>400.65</v>
    <v>376.1</v>
    <v>416.45</v>
    <v>422.95</v>
    <v>434.05</v>
    <v>449.45</v>
    <v>455.5</v>
    <v>484.5</v>
    <v>511.375</v>
    <v>515.625</v>
    <v>513.125</v>
    <v>477.85</v>
    <v>487.55</v>
    <v>511.875</v>
    <v>533.5</v>
    <v>551.75</v>
    <v>450.95</v>
    <v>495.25</v>
    <v>547.375</v>
    <v>577.75</v>
    <v>629.5</v>
    <v>740.5</v>
    <v>824.25</v>
    <v>867</v>
    <v>1012</v>
    <v>1191.5</v>
    <v>1259</v>
    <v>1066.5</v>
    <v>1000.5</v>
    <v>960.75</v>
    <v>921.75</v>
    <v>970.25</v>
    <v>934.75</v>
    <v>970</v>
    <v>915.25</v>
    <v>1051</v>
    <v>1008</v>
    <v>900.25</v>
    <v>788.5</v>
    <v>889</v>
    <v>942.75</v>
  </a>
  <a r="1" c="60">
    <v>85.67</v>
    <v>82.9</v>
    <v>80.239999999999995</v>
    <v>79.66</v>
    <v>82.45</v>
    <v>80.45</v>
    <v>81.7</v>
    <v>80.5</v>
    <v>81.89</v>
    <v>80.760000000000005</v>
    <v>80.59</v>
    <v>78.13</v>
    <v>79.27</v>
    <v>82.37</v>
    <v>79.16</v>
    <v>76.930000000000007</v>
    <v>76.12</v>
    <v>77.900000000000006</v>
    <v>80.489999999999995</v>
    <v>81.45</v>
    <v>85.37</v>
    <v>89.36</v>
    <v>92.43</v>
    <v>89.78</v>
    <v>89.47</v>
    <v>88.65</v>
    <v>94.99</v>
    <v>98.98</v>
    <v>106.31</v>
    <v>105.26</v>
    <v>107.9</v>
    <v>106.48</v>
    <v>109.98</v>
    <v>119.6</v>
    <v>123.67</v>
    <v>118.57</v>
    <v>115.85</v>
    <v>116.62</v>
    <v>117.14</v>
    <v>127.67</v>
    <v>131.83000000000001</v>
    <v>128.91</v>
    <v>126.51</v>
    <v>121.55</v>
    <v>127.38</v>
    <v>125.45</v>
    <v>123.64</v>
    <v>129.33000000000001</v>
    <v>135.36000000000001</v>
    <v>136.94</v>
    <v>132.65</v>
    <v>132.31</v>
    <v>127.7</v>
    <v>117.41</v>
    <v>120.94</v>
    <v>118.85</v>
    <v>122.29</v>
    <v>130.69999999999999</v>
    <v>137.66999999999999</v>
    <v>137.53</v>
  </a>
</arrayData>
</file>

<file path=xl/richData/rdrichvalue.xml><?xml version="1.0" encoding="utf-8"?>
<rvData xmlns="http://schemas.microsoft.com/office/spreadsheetml/2017/richdata" count="128">
  <rv s="0">
    <v>https://www.bing.com/financeapi/forcetrigger?t=aoaekr&amp;q=XLON%3aINRG&amp;form=skydnc</v>
    <v>Learn more on Bing</v>
  </rv>
  <rv s="1">
    <v>it-IT</v>
    <v>aoaekr</v>
    <v>268435456</v>
    <v>1</v>
    <v>Con tecnologia Refinitiv</v>
    <v>0</v>
    <v>1</v>
    <v>iShs Glbl Clean Engy ETF USD D (XLON:INRG)</v>
    <v>3</v>
    <v>4</v>
    <v>Finance</v>
    <v>5</v>
    <v>927.75</v>
    <v>5546073648.3800001</v>
    <v>921.75</v>
    <v>6.5000000000000006E-3</v>
    <v>London Stock Exchange</v>
    <v>0</v>
    <v>939.5</v>
    <v>1150</v>
    <v>927.75</v>
    <v>766.5</v>
    <v>iShs Glbl Clean Engy ETF USD D</v>
    <v>44988.691002407031</v>
    <v>938.5</v>
    <v>XLON</v>
    <v>INRG</v>
    <v>ETF</v>
    <v>iShs Glbl Clean Engy ETF USD D (XLON:INRG)</v>
    <v>GBp</v>
    <v>16.75</v>
    <v>1.8172000000000001E-2</v>
    <v>290510</v>
  </rv>
  <rv s="2">
    <v>1</v>
  </rv>
  <rv s="0">
    <v>https://www.bing.com/financeapi/forcetrigger?t=alohrw&amp;q=XAMS%3aPHPM&amp;form=skydnc</v>
    <v>Learn more on Bing</v>
  </rv>
  <rv s="1">
    <v>it-IT</v>
    <v>alohrw</v>
    <v>268435456</v>
    <v>1</v>
    <v>Con tecnologia Refinitiv</v>
    <v>0</v>
    <v>1</v>
    <v>WT Physical Precious Metals (XAMS:PHPM)</v>
    <v>3</v>
    <v>6</v>
    <v>Finance</v>
    <v>7</v>
    <v>121.1</v>
    <v>149259360.88</v>
    <v>119.55</v>
    <v>4.4000000000000003E-3</v>
    <v>Euronext Amsterdam</v>
    <v>3</v>
    <v>121.45</v>
    <v>165.31</v>
    <v>120.15</v>
    <v>118.52</v>
    <v>WT Physical Precious Metals</v>
    <v>44988.729166666664</v>
    <v>121.45</v>
    <v>XAMS</v>
    <v>PHPM</v>
    <v>ETF</v>
    <v>WT Physical Precious Metals (XAMS:PHPM)</v>
    <v>EUR</v>
    <v>1.9</v>
    <v>1.5893000000000001E-2</v>
    <v>190</v>
  </rv>
  <rv s="2">
    <v>4</v>
  </rv>
  <rv s="3">
    <fb>382.5</fb>
    <v>8</v>
  </rv>
  <rv s="3">
    <fb>85.67</fb>
    <v>9</v>
  </rv>
  <rv s="3">
    <fb>386.3</fb>
    <v>8</v>
  </rv>
  <rv s="3">
    <fb>82.9</fb>
    <v>9</v>
  </rv>
  <rv s="3">
    <fb>384.9</fb>
    <v>8</v>
  </rv>
  <rv s="3">
    <fb>80.239999999999995</fb>
    <v>9</v>
  </rv>
  <rv s="3">
    <fb>398.1</fb>
    <v>8</v>
  </rv>
  <rv s="3">
    <fb>79.66</fb>
    <v>9</v>
  </rv>
  <rv s="3">
    <fb>411.85</fb>
    <v>8</v>
  </rv>
  <rv s="3">
    <fb>82.45</fb>
    <v>9</v>
  </rv>
  <rv s="3">
    <fb>391.9</fb>
    <v>8</v>
  </rv>
  <rv s="3">
    <fb>80.45</fb>
    <v>9</v>
  </rv>
  <rv s="3">
    <fb>409.5</fb>
    <v>8</v>
  </rv>
  <rv s="3">
    <fb>81.7</fb>
    <v>9</v>
  </rv>
  <rv s="3">
    <fb>379</fb>
    <v>8</v>
  </rv>
  <rv s="3">
    <fb>80.5</fb>
    <v>9</v>
  </rv>
  <rv s="3">
    <fb>400</fb>
    <v>8</v>
  </rv>
  <rv s="3">
    <fb>81.89</fb>
    <v>9</v>
  </rv>
  <rv s="3">
    <fb>391.95</fb>
    <v>8</v>
  </rv>
  <rv s="3">
    <fb>80.760000000000005</fb>
    <v>9</v>
  </rv>
  <rv s="3">
    <fb>394.65</fb>
    <v>8</v>
  </rv>
  <rv s="3">
    <fb>80.59</fb>
    <v>9</v>
  </rv>
  <rv s="3">
    <fb>392.55</fb>
    <v>8</v>
  </rv>
  <rv s="3">
    <fb>78.13</fb>
    <v>9</v>
  </rv>
  <rv s="3">
    <fb>417.65</fb>
    <v>8</v>
  </rv>
  <rv s="3">
    <fb>79.27</fb>
    <v>9</v>
  </rv>
  <rv s="3">
    <fb>420</fb>
    <v>8</v>
  </rv>
  <rv s="3">
    <fb>82.37</fb>
    <v>9</v>
  </rv>
  <rv s="3">
    <fb>386.65</fb>
    <v>8</v>
  </rv>
  <rv s="3">
    <fb>79.16</fb>
    <v>9</v>
  </rv>
  <rv s="3">
    <fb>405.25</fb>
    <v>8</v>
  </rv>
  <rv s="3">
    <fb>76.930000000000007</fb>
    <v>9</v>
  </rv>
  <rv s="3">
    <fb>389.05</fb>
    <v>8</v>
  </rv>
  <rv s="3">
    <fb>76.12</fb>
    <v>9</v>
  </rv>
  <rv s="3">
    <fb>384.15</fb>
    <v>8</v>
  </rv>
  <rv s="3">
    <fb>77.900000000000006</fb>
    <v>9</v>
  </rv>
  <rv s="3">
    <fb>369.25</fb>
    <v>8</v>
  </rv>
  <rv s="3">
    <fb>80.489999999999995</fb>
    <v>9</v>
  </rv>
  <rv s="3">
    <fb>400.65</fb>
    <v>8</v>
  </rv>
  <rv s="3">
    <fb>81.45</fb>
    <v>9</v>
  </rv>
  <rv s="3">
    <fb>376.1</fb>
    <v>8</v>
  </rv>
  <rv s="3">
    <fb>85.37</fb>
    <v>9</v>
  </rv>
  <rv s="3">
    <fb>416.45</fb>
    <v>8</v>
  </rv>
  <rv s="3">
    <fb>89.36</fb>
    <v>9</v>
  </rv>
  <rv s="3">
    <fb>422.95</fb>
    <v>8</v>
  </rv>
  <rv s="3">
    <fb>92.43</fb>
    <v>9</v>
  </rv>
  <rv s="3">
    <fb>434.05</fb>
    <v>8</v>
  </rv>
  <rv s="3">
    <fb>89.78</fb>
    <v>9</v>
  </rv>
  <rv s="3">
    <fb>449.45</fb>
    <v>8</v>
  </rv>
  <rv s="3">
    <fb>89.47</fb>
    <v>9</v>
  </rv>
  <rv s="3">
    <fb>455.5</fb>
    <v>8</v>
  </rv>
  <rv s="3">
    <fb>88.65</fb>
    <v>9</v>
  </rv>
  <rv s="3">
    <fb>484.5</fb>
    <v>8</v>
  </rv>
  <rv s="3">
    <fb>94.99</fb>
    <v>9</v>
  </rv>
  <rv s="3">
    <fb>511.375</fb>
    <v>8</v>
  </rv>
  <rv s="3">
    <fb>98.98</fb>
    <v>9</v>
  </rv>
  <rv s="3">
    <fb>515.625</fb>
    <v>8</v>
  </rv>
  <rv s="3">
    <fb>106.31</fb>
    <v>9</v>
  </rv>
  <rv s="3">
    <fb>513.125</fb>
    <v>8</v>
  </rv>
  <rv s="3">
    <fb>105.26</fb>
    <v>9</v>
  </rv>
  <rv s="3">
    <fb>477.85</fb>
    <v>8</v>
  </rv>
  <rv s="3">
    <fb>107.9</fb>
    <v>9</v>
  </rv>
  <rv s="3">
    <fb>487.55</fb>
    <v>8</v>
  </rv>
  <rv s="3">
    <fb>106.48</fb>
    <v>9</v>
  </rv>
  <rv s="3">
    <fb>511.875</fb>
    <v>8</v>
  </rv>
  <rv s="3">
    <fb>109.98</fb>
    <v>9</v>
  </rv>
  <rv s="3">
    <fb>533.5</fb>
    <v>8</v>
  </rv>
  <rv s="3">
    <fb>119.6</fb>
    <v>9</v>
  </rv>
  <rv s="3">
    <fb>551.75</fb>
    <v>8</v>
  </rv>
  <rv s="3">
    <fb>123.67</fb>
    <v>9</v>
  </rv>
  <rv s="3">
    <fb>450.95</fb>
    <v>8</v>
  </rv>
  <rv s="3">
    <fb>118.57</fb>
    <v>9</v>
  </rv>
  <rv s="3">
    <fb>495.25</fb>
    <v>8</v>
  </rv>
  <rv s="3">
    <fb>115.85</fb>
    <v>9</v>
  </rv>
  <rv s="3">
    <fb>547.375</fb>
    <v>8</v>
  </rv>
  <rv s="3">
    <fb>116.62</fb>
    <v>9</v>
  </rv>
  <rv s="3">
    <fb>577.75</fb>
    <v>8</v>
  </rv>
  <rv s="3">
    <fb>117.14</fb>
    <v>9</v>
  </rv>
  <rv s="3">
    <fb>629.5</fb>
    <v>8</v>
  </rv>
  <rv s="3">
    <fb>127.67</fb>
    <v>9</v>
  </rv>
  <rv s="3">
    <fb>740.5</fb>
    <v>8</v>
  </rv>
  <rv s="3">
    <fb>131.83000000000001</fb>
    <v>9</v>
  </rv>
  <rv s="3">
    <fb>824.25</fb>
    <v>8</v>
  </rv>
  <rv s="3">
    <fb>128.91</fb>
    <v>9</v>
  </rv>
  <rv s="3">
    <fb>867</fb>
    <v>8</v>
  </rv>
  <rv s="3">
    <fb>126.51</fb>
    <v>9</v>
  </rv>
  <rv s="3">
    <fb>1012</fb>
    <v>8</v>
  </rv>
  <rv s="3">
    <fb>121.55</fb>
    <v>9</v>
  </rv>
  <rv s="3">
    <fb>1191.5</fb>
    <v>8</v>
  </rv>
  <rv s="3">
    <fb>127.38</fb>
    <v>9</v>
  </rv>
  <rv s="3">
    <fb>1259</fb>
    <v>8</v>
  </rv>
  <rv s="3">
    <fb>125.45</fb>
    <v>9</v>
  </rv>
  <rv s="3">
    <fb>1066.5</fb>
    <v>8</v>
  </rv>
  <rv s="3">
    <fb>123.64</fb>
    <v>9</v>
  </rv>
  <rv s="3">
    <fb>1000.5</fb>
    <v>8</v>
  </rv>
  <rv s="3">
    <fb>129.33000000000001</fb>
    <v>9</v>
  </rv>
  <rv s="3">
    <fb>960.75</fb>
    <v>8</v>
  </rv>
  <rv s="3">
    <fb>135.36000000000001</fb>
    <v>9</v>
  </rv>
  <rv s="3">
    <fb>921.75</fb>
    <v>8</v>
  </rv>
  <rv s="3">
    <fb>136.94</fb>
    <v>9</v>
  </rv>
  <rv s="3">
    <fb>970.25</fb>
    <v>8</v>
  </rv>
  <rv s="3">
    <fb>132.65</fb>
    <v>9</v>
  </rv>
  <rv s="3">
    <fb>934.75</fb>
    <v>8</v>
  </rv>
  <rv s="3">
    <fb>132.31</fb>
    <v>9</v>
  </rv>
  <rv s="3">
    <fb>970</fb>
    <v>8</v>
  </rv>
  <rv s="3">
    <fb>127.7</fb>
    <v>9</v>
  </rv>
  <rv s="3">
    <fb>915.25</fb>
    <v>8</v>
  </rv>
  <rv s="3">
    <fb>117.41</fb>
    <v>9</v>
  </rv>
  <rv s="3">
    <fb>1051</fb>
    <v>8</v>
  </rv>
  <rv s="3">
    <fb>120.94</fb>
    <v>9</v>
  </rv>
  <rv s="3">
    <fb>1008</fb>
    <v>8</v>
  </rv>
  <rv s="3">
    <fb>118.85</fb>
    <v>9</v>
  </rv>
  <rv s="3">
    <fb>900.25</fb>
    <v>8</v>
  </rv>
  <rv s="3">
    <fb>122.29</fb>
    <v>9</v>
  </rv>
  <rv s="3">
    <fb>788.5</fb>
    <v>8</v>
  </rv>
  <rv s="3">
    <fb>130.69999999999999</fb>
    <v>9</v>
  </rv>
  <rv s="3">
    <fb>889</fb>
    <v>8</v>
  </rv>
  <rv s="3">
    <fb>137.66999999999999</fb>
    <v>9</v>
  </rv>
  <rv s="3">
    <fb>942.75</fb>
    <v>8</v>
  </rv>
  <rv s="3">
    <fb>137.53</fb>
    <v>9</v>
  </rv>
  <rv s="4">
    <v>10</v>
    <v>aoaekr</v>
    <v>Monthly</v>
    <v>42826</v>
    <v>44651</v>
    <v>0</v>
    <v>1</v>
    <v>637842816000000000,638136085767786955,0</v>
    <v>0</v>
    <v>aoaekr</v>
    <v>XLON:INRG</v>
    <v>1</v>
  </rv>
  <rv s="4">
    <v>11</v>
    <v>alohrw</v>
    <v>Monthly</v>
    <v>42826</v>
    <v>44651</v>
    <v>0</v>
    <v>1</v>
    <v>637842816000000000,638136085767657521,0</v>
    <v>0</v>
    <v>alohrw</v>
    <v>XAMS:PHPM</v>
    <v>2</v>
  </rv>
</rvData>
</file>

<file path=xl/richData/rdrichvaluestructure.xml><?xml version="1.0" encoding="utf-8"?>
<rvStructures xmlns="http://schemas.microsoft.com/office/spreadsheetml/2017/richdata" count="5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ri"/>
    <k n="Capitalizzazione di mercato"/>
    <k n="Chiusura precedente"/>
    <k n="Coefficiente di spesa"/>
    <k n="Exchange" t="s"/>
    <k n="LearnMoreOnLink" t="r"/>
    <k n="Massimo"/>
    <k n="Massimo in 52 settimane"/>
    <k n="Minimo"/>
    <k n="Minimo di 52 settimane"/>
    <k n="Nome" t="s"/>
    <k n="Orario ultima transazione"/>
    <k n="Prezzo"/>
    <k n="Simbolo azionario" t="s"/>
    <k n="Simbolo dell'azione" t="s"/>
    <k n="Tipo strumento" t="s"/>
    <k n="UniqueName" t="s"/>
    <k n="Valuta" t="s"/>
    <k n="Variazione"/>
    <k n="Variazione (%)"/>
    <k n="Volume"/>
  </s>
  <s t="_linkedentity">
    <k n="%cvi" t="r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1">
    <a count="3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Prezzo</v>
      <v t="s">Exchange</v>
      <v t="s">Orario ultima transazione</v>
      <v t="s">Simbolo dell'azione</v>
      <v t="s">Simbolo azionario</v>
      <v t="s">Variazione</v>
      <v t="s">Coefficiente di spesa</v>
      <v t="s">Variazione (%)</v>
      <v t="s">Valuta</v>
      <v t="s">Chiusura precedente</v>
      <v t="s">Apri</v>
      <v t="s">Massimo</v>
      <v t="s">Minimo</v>
      <v t="s">Massimo in 52 settimane</v>
      <v t="s">Minimo di 52 settimane</v>
      <v t="s">Volume</v>
      <v t="s">Capitalizzazione di mercato</v>
      <v t="s">Tipo strumento</v>
      <v t="s">_Flags</v>
      <v t="s">UniqueName</v>
      <v t="s">_DisplayString</v>
      <v t="s">LearnMoreOnLink</v>
      <v t="s">%ProviderInfo</v>
    </a>
  </spbArrays>
  <spbData count="12">
    <spb s="0">
      <v>Open</v>
      <v>Name</v>
      <v>Low</v>
      <v>Price</v>
      <v>Currency</v>
      <v>Volume</v>
      <v>High</v>
      <v>Exchange</v>
      <v>UniqueName</v>
      <v>Change</v>
      <v>%ProviderInfo</v>
      <v>Instrument type</v>
      <v>Change (%)</v>
      <v>LearnMoreOnLink</v>
      <v>Exchange abbreviation</v>
      <v>Previous close</v>
      <v>Ticker symbol</v>
      <v>Expense ratio</v>
      <v>52 week low</v>
      <v>52 week high</v>
      <v>Last trade time</v>
      <v>Market cap</v>
    </spb>
    <spb s="1">
      <v>0</v>
      <v>Name</v>
      <v>LearnMoreOnLink</v>
    </spb>
    <spb s="2">
      <v>0</v>
      <v>0</v>
      <v>0</v>
    </spb>
    <spb s="3">
      <v>2</v>
      <v>2</v>
      <v>2</v>
    </spb>
    <spb s="4">
      <v>1</v>
      <v>2</v>
      <v>1</v>
      <v>1</v>
      <v>3</v>
      <v>1</v>
      <v>1</v>
      <v>4</v>
      <v>5</v>
      <v>1</v>
      <v>4</v>
      <v>1</v>
      <v>1</v>
      <v>6</v>
      <v>7</v>
    </spb>
    <spb s="5">
      <v>Ritardato di 15 minuti</v>
      <v>LSE</v>
      <v xml:space="preserve">dalla chiusura precedente </v>
      <v xml:space="preserve">dalla chiusura precedente </v>
      <v>GMT</v>
    </spb>
    <spb s="4">
      <v>8</v>
      <v>2</v>
      <v>8</v>
      <v>8</v>
      <v>3</v>
      <v>8</v>
      <v>8</v>
      <v>4</v>
      <v>5</v>
      <v>8</v>
      <v>4</v>
      <v>8</v>
      <v>8</v>
      <v>6</v>
      <v>9</v>
    </spb>
    <spb s="6">
      <v>Ritardato di 15 minuti</v>
      <v xml:space="preserve">dalla chiusura precedente </v>
      <v xml:space="preserve">dalla chiusura precedente </v>
      <v>GMT</v>
    </spb>
    <spb s="7">
      <v>1</v>
    </spb>
    <spb s="7">
      <v>8</v>
    </spb>
    <spb s="8">
      <v>10</v>
      <v>1</v>
    </spb>
    <spb s="8">
      <v>10</v>
      <v>8</v>
    </spb>
  </spbData>
</supportingPropertyBags>
</file>

<file path=xl/richData/rdsupportingpropertybagstructure.xml><?xml version="1.0" encoding="utf-8"?>
<spbStructures xmlns="http://schemas.microsoft.com/office/spreadsheetml/2017/richdata2" count="9">
  <s>
    <k n="Apri" t="s"/>
    <k n="Nome" t="s"/>
    <k n="Minimo" t="s"/>
    <k n="Prezzo" t="s"/>
    <k n="Valuta" t="s"/>
    <k n="Volume" t="s"/>
    <k n="Massimo" t="s"/>
    <k n="Exchange" t="s"/>
    <k n="UniqueName" t="s"/>
    <k n="Variazione" t="s"/>
    <k n="%ProviderInfo" t="s"/>
    <k n="Tipo strumento" t="s"/>
    <k n="Variazione (%)" t="s"/>
    <k n="LearnMoreOnLink" t="s"/>
    <k n="Simbolo azionario" t="s"/>
    <k n="Chiusura precedente" t="s"/>
    <k n="Simbolo dell'azione" t="s"/>
    <k n="Coefficiente di spesa" t="s"/>
    <k n="Minimo di 52 settimane" t="s"/>
    <k n="Massimo in 52 settimane" t="s"/>
    <k n="Orario ultima transazione" t="s"/>
    <k n="Capitalizzazione di mercato" t="s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Apri" t="i"/>
    <k n="Nome" t="i"/>
    <k n="Minimo" t="i"/>
    <k n="Prezzo" t="i"/>
    <k n="Volume" t="i"/>
    <k n="Massimo" t="i"/>
    <k n="Variazione" t="i"/>
    <k n="Variazione (%)" t="i"/>
    <k n="`%EntityServiceId" t="i"/>
    <k n="Chiusura precedente" t="i"/>
    <k n="Coefficiente di spesa" t="i"/>
    <k n="Minimo di 52 settimane" t="i"/>
    <k n="Massimo in 52 settimane" t="i"/>
    <k n="Orario ultima transazione" t="i"/>
    <k n="Capitalizzazione di mercato" t="i"/>
  </s>
  <s>
    <k n="Prezzo" t="s"/>
    <k n="Exchange" t="s"/>
    <k n="Variazione" t="s"/>
    <k n="Variazione (%)" t="s"/>
    <k n="Orario ultima transazione" t="s"/>
  </s>
  <s>
    <k n="Prezzo" t="s"/>
    <k n="Variazione" t="s"/>
    <k n="Variazione (%)" t="s"/>
    <k n="Orario ultima transazione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19" formatCode="dd/mm/yyyy"/>
    </x:dxf>
    <x:dxf>
      <x:numFmt numFmtId="35" formatCode="_-* #,##0.00_-;\-* #,##0.00_-;_-* &quot;-&quot;??_-;_-@_-"/>
    </x:dxf>
    <x:dxf>
      <x:numFmt numFmtId="2" formatCode="0.00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33" formatCode="_-* #,##0_-;\-* #,##0_-;_-* &quot;-&quot;_-;_-@_-"/>
    </x:dxf>
    <x:dxf>
      <x:numFmt numFmtId="0" formatCode="General"/>
    </x:dxf>
  </dxfs>
  <richProperties>
    <rPr n="NumberFormat" t="s"/>
    <rPr n="IsTitleField" t="b"/>
  </richProperties>
  <richStyles>
    <rSty dxfid="1">
      <rpv i="0">_(* #,##0.00_);_(* (#,##0.00);_(* "-"??_);_(@_)</rpv>
    </rSty>
    <rSty>
      <rpv i="1">1</rpv>
    </rSty>
    <rSty dxfid="5">
      <rpv i="0">#,##0</rpv>
    </rSty>
    <rSty dxfid="4"/>
    <rSty dxfid="2">
      <rpv i="0">0.00</rpv>
    </rSty>
    <rSty dxfid="3"/>
    <rSty dxfid="6">
      <rpv i="0">_(* #,##0_);_(* (#,##0);_(* "-"_);_(@_)</rpv>
    </rSty>
    <rSty dxfid="7">
      <rpv i="0">_([$€-x-euro2] * #,##0.00_);_([$€-x-euro2] * (#,##0.00);_([$€-x-euro2] * "-"??_);_(@_)</rpv>
    </rSty>
    <rSty dxfid="7">
      <rpv i="0">_([$€-x-euro2] * #,##0_);_([$€-x-euro2] * (#,##0);_([$€-x-euro2] * "-"_);_(@_)</rpv>
    </rSty>
    <rSty dxfid="0"/>
  </richStyles>
</richStyleShee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finance.yahoo.com/quote/LQD?p=LQD&amp;.tsrc=fin-srch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it.finance.yahoo.com/quote/%5ERUT?p=%5ERUT&amp;.tsrc=fin-srch" TargetMode="External"/><Relationship Id="rId1" Type="http://schemas.openxmlformats.org/officeDocument/2006/relationships/hyperlink" Target="https://it.finance.yahoo.com/quote/%5EGSPC?p=%5EGSPC&amp;.tsrc=fin-srch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it.finance.yahoo.com/quote/%5EIRX?p=%5EIRX&amp;.tsrc=fin-srch" TargetMode="External"/><Relationship Id="rId4" Type="http://schemas.openxmlformats.org/officeDocument/2006/relationships/hyperlink" Target="https://it.finance.yahoo.com/quote/HYG?p=HYG&amp;.tsrc=fin-sr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D649-CCC4-43C1-9FA7-75DE9FA70E3A}">
  <dimension ref="A1:H40"/>
  <sheetViews>
    <sheetView tabSelected="1" workbookViewId="0">
      <selection activeCell="H13" sqref="H13"/>
    </sheetView>
  </sheetViews>
  <sheetFormatPr defaultRowHeight="15" x14ac:dyDescent="0.25"/>
  <cols>
    <col min="1" max="1" width="8.7109375" customWidth="1"/>
    <col min="2" max="2" width="10.85546875" customWidth="1"/>
    <col min="3" max="3" width="11.5703125" customWidth="1"/>
  </cols>
  <sheetData>
    <row r="1" spans="1:7" ht="15.75" x14ac:dyDescent="0.25">
      <c r="A1" s="30" t="s">
        <v>11</v>
      </c>
    </row>
    <row r="3" spans="1:7" x14ac:dyDescent="0.25">
      <c r="B3" s="77" t="s">
        <v>79</v>
      </c>
      <c r="C3" s="77" t="s">
        <v>80</v>
      </c>
      <c r="D3" s="77" t="s">
        <v>1</v>
      </c>
      <c r="E3" s="77" t="s">
        <v>2</v>
      </c>
      <c r="F3" s="77" t="s">
        <v>81</v>
      </c>
    </row>
    <row r="4" spans="1:7" x14ac:dyDescent="0.25">
      <c r="A4" s="2" t="s">
        <v>17</v>
      </c>
      <c r="B4" t="str" cm="1">
        <f t="array" ref="B4:F4">all_assets</f>
        <v>SP500</v>
      </c>
      <c r="C4" t="str">
        <v>RUS2000</v>
      </c>
      <c r="D4" t="str">
        <v>LQD</v>
      </c>
      <c r="E4" t="str">
        <v>HYG</v>
      </c>
      <c r="F4" t="str">
        <v>T-BILL</v>
      </c>
    </row>
    <row r="5" spans="1:7" x14ac:dyDescent="0.25">
      <c r="A5" s="2"/>
    </row>
    <row r="6" spans="1:7" x14ac:dyDescent="0.25">
      <c r="A6" s="2" t="s">
        <v>13</v>
      </c>
      <c r="B6" s="3">
        <f>(1+((Monthly_Prices!B62-Monthly_Prices!B3)/Monthly_Prices!B3))^(1/59)-1</f>
        <v>1.0140747788909499E-2</v>
      </c>
      <c r="C6" s="3">
        <f>(1+((Monthly_Prices!C62-Monthly_Prices!C3)/Monthly_Prices!C3))^(1/59)-1</f>
        <v>5.5542628251032955E-3</v>
      </c>
      <c r="D6" s="3">
        <f>(1+((Monthly_Prices!D62-Monthly_Prices!D3)/Monthly_Prices!D3))^(1/59)-1</f>
        <v>2.444444973567883E-3</v>
      </c>
      <c r="E6" s="3">
        <f>(1+((Monthly_Prices!E62-Monthly_Prices!E3)/Monthly_Prices!E3))^(1/59)-1</f>
        <v>2.4337682975312802E-3</v>
      </c>
      <c r="F6" s="3">
        <f>AVERAGE(Monthly_Returns!F3:F62)</f>
        <v>8.5638888888888885E-4</v>
      </c>
    </row>
    <row r="7" spans="1:7" x14ac:dyDescent="0.25">
      <c r="A7" s="2" t="s">
        <v>14</v>
      </c>
      <c r="B7" s="5">
        <f>_xlfn.STDEV.P(Monthly_Returns!B4:B62)</f>
        <v>4.5858281401587479E-2</v>
      </c>
      <c r="C7" s="5">
        <f>_xlfn.STDEV.P(Monthly_Returns!C4:C62)</f>
        <v>6.1651720642039338E-2</v>
      </c>
      <c r="D7" s="5">
        <f>_xlfn.STDEV.P(Monthly_Returns!D4:D62)</f>
        <v>2.0422273368534648E-2</v>
      </c>
      <c r="E7" s="5">
        <f>_xlfn.STDEV.P(Monthly_Returns!E4:E62)</f>
        <v>2.1740902431484944E-2</v>
      </c>
      <c r="F7" s="3">
        <f>_xlfn.STDEV.P(Monthly_Returns!F3:F62)</f>
        <v>7.3491443610468115E-4</v>
      </c>
    </row>
    <row r="8" spans="1:7" x14ac:dyDescent="0.25">
      <c r="A8" s="2"/>
      <c r="B8" s="3"/>
      <c r="C8" s="3"/>
      <c r="D8" s="3"/>
      <c r="E8" s="3"/>
    </row>
    <row r="9" spans="1:7" x14ac:dyDescent="0.25">
      <c r="A9" s="2" t="s">
        <v>15</v>
      </c>
      <c r="B9" s="3">
        <f>(1+B6)^12-1</f>
        <v>0.12871080928332268</v>
      </c>
      <c r="C9" s="3">
        <f t="shared" ref="C9:F9" si="0">(1+C6)^12-1</f>
        <v>6.8725414938495932E-2</v>
      </c>
      <c r="D9" s="3">
        <f t="shared" si="0"/>
        <v>2.9730941357176022E-2</v>
      </c>
      <c r="E9" s="3">
        <f t="shared" si="0"/>
        <v>2.9599341529670475E-2</v>
      </c>
      <c r="F9" s="3">
        <f t="shared" si="0"/>
        <v>1.0325209637593202E-2</v>
      </c>
    </row>
    <row r="10" spans="1:7" x14ac:dyDescent="0.25">
      <c r="A10" s="2" t="s">
        <v>16</v>
      </c>
      <c r="B10" s="3">
        <f>SQRT(12)*B7</f>
        <v>0.15885774667068084</v>
      </c>
      <c r="C10" s="3">
        <f t="shared" ref="C10:F10" si="1">SQRT(12)*C7</f>
        <v>0.21356782505211011</v>
      </c>
      <c r="D10" s="3">
        <f t="shared" si="1"/>
        <v>7.0744830160725622E-2</v>
      </c>
      <c r="E10" s="3">
        <f t="shared" si="1"/>
        <v>7.5312695227459328E-2</v>
      </c>
      <c r="F10" s="3">
        <f t="shared" si="1"/>
        <v>2.5458182850982779E-3</v>
      </c>
    </row>
    <row r="11" spans="1:7" x14ac:dyDescent="0.25">
      <c r="A11" s="2" t="s">
        <v>54</v>
      </c>
      <c r="B11">
        <v>1</v>
      </c>
      <c r="C11">
        <f>_xlfn.COVARIANCE.P(Monthly_Returns!$B$4:$B$62,Monthly_Returns!C4:C62)/('1.MyMix_complete_Portfolio'!$B$10^2)</f>
        <v>-5.8514992308488613E-3</v>
      </c>
      <c r="D11">
        <f>_xlfn.COVARIANCE.P(Monthly_Returns!$B$4:$B$62,Monthly_Returns!D4:D62)/('1.MyMix_complete_Portfolio'!$B$10^2)</f>
        <v>1.0588854656909566E-3</v>
      </c>
      <c r="E11">
        <f>_xlfn.COVARIANCE.P(Monthly_Returns!$B$4:$B$62,Monthly_Returns!E4:E62)/('1.MyMix_complete_Portfolio'!$B$10^2)</f>
        <v>-3.2991229740939598E-3</v>
      </c>
      <c r="F11">
        <v>0</v>
      </c>
    </row>
    <row r="13" spans="1:7" ht="15.75" x14ac:dyDescent="0.25">
      <c r="A13" s="30" t="s">
        <v>19</v>
      </c>
    </row>
    <row r="15" spans="1:7" x14ac:dyDescent="0.25">
      <c r="B15" t="str" cm="1">
        <f t="array" ref="B15:F15">all_assets</f>
        <v>SP500</v>
      </c>
      <c r="C15" t="str">
        <v>RUS2000</v>
      </c>
      <c r="D15" t="str">
        <v>LQD</v>
      </c>
      <c r="E15" t="str">
        <v>HYG</v>
      </c>
      <c r="F15" t="str">
        <v>T-BILL</v>
      </c>
    </row>
    <row r="16" spans="1:7" x14ac:dyDescent="0.25">
      <c r="A16" t="str" cm="1">
        <f t="array" ref="A16:A20">TRANSPOSE(all_assets)</f>
        <v>SP500</v>
      </c>
      <c r="B16">
        <v>1</v>
      </c>
      <c r="C16">
        <f>B17</f>
        <v>-5.2230113720419941E-2</v>
      </c>
      <c r="D16">
        <f>B18</f>
        <v>2.8532769167132786E-2</v>
      </c>
      <c r="E16">
        <f>B19</f>
        <v>-8.3506437803801542E-2</v>
      </c>
      <c r="F16">
        <f>B20</f>
        <v>-0.18420425030079013</v>
      </c>
      <c r="G16" s="6"/>
    </row>
    <row r="17" spans="1:6" x14ac:dyDescent="0.25">
      <c r="A17" t="str">
        <v>RUS2000</v>
      </c>
      <c r="B17">
        <v>-5.2230113720419941E-2</v>
      </c>
      <c r="C17">
        <v>1</v>
      </c>
      <c r="D17">
        <f>C18</f>
        <v>0.46805448196004673</v>
      </c>
      <c r="E17">
        <f>C19</f>
        <v>0.7911859394604317</v>
      </c>
      <c r="F17">
        <f>C20</f>
        <v>-0.10422825316605078</v>
      </c>
    </row>
    <row r="18" spans="1:6" x14ac:dyDescent="0.25">
      <c r="A18" t="str">
        <v>LQD</v>
      </c>
      <c r="B18">
        <v>2.8532769167132786E-2</v>
      </c>
      <c r="C18">
        <v>0.46805448196004673</v>
      </c>
      <c r="D18">
        <v>1</v>
      </c>
      <c r="E18">
        <f>D19</f>
        <v>0.73720788953296923</v>
      </c>
      <c r="F18">
        <f>D20</f>
        <v>0.19087892761874853</v>
      </c>
    </row>
    <row r="19" spans="1:6" x14ac:dyDescent="0.25">
      <c r="A19" t="str">
        <v>HYG</v>
      </c>
      <c r="B19">
        <v>-8.3506437803801542E-2</v>
      </c>
      <c r="C19">
        <v>0.7911859394604317</v>
      </c>
      <c r="D19">
        <v>0.73720788953296923</v>
      </c>
      <c r="E19">
        <v>1</v>
      </c>
      <c r="F19">
        <f>E20</f>
        <v>5.7292153830777494E-2</v>
      </c>
    </row>
    <row r="20" spans="1:6" x14ac:dyDescent="0.25">
      <c r="A20" t="str">
        <v>T-BILL</v>
      </c>
      <c r="B20">
        <v>-0.18420425030079013</v>
      </c>
      <c r="C20">
        <v>-0.10422825316605078</v>
      </c>
      <c r="D20">
        <v>0.19087892761874853</v>
      </c>
      <c r="E20">
        <v>5.7292153830777494E-2</v>
      </c>
      <c r="F20">
        <v>1</v>
      </c>
    </row>
    <row r="22" spans="1:6" ht="15.75" x14ac:dyDescent="0.25">
      <c r="A22" s="30" t="s">
        <v>20</v>
      </c>
    </row>
    <row r="24" spans="1:6" x14ac:dyDescent="0.25">
      <c r="B24" t="str" cm="1">
        <f t="array" ref="B24:F24">all_assets</f>
        <v>SP500</v>
      </c>
      <c r="C24" t="str">
        <v>RUS2000</v>
      </c>
      <c r="D24" t="str">
        <v>LQD</v>
      </c>
      <c r="E24" t="str">
        <v>HYG</v>
      </c>
      <c r="F24" t="str">
        <v>T-BILL</v>
      </c>
    </row>
    <row r="25" spans="1:6" x14ac:dyDescent="0.25">
      <c r="A25" t="str" cm="1">
        <f t="array" ref="A25:A29">TRANSPOSE(all_assets)</f>
        <v>SP500</v>
      </c>
      <c r="B25" s="7">
        <f>B16*$B$10*B10</f>
        <v>2.5235783677286207E-2</v>
      </c>
      <c r="C25" s="7">
        <f t="shared" ref="C25:F25" si="2">C16*$B$10*C10</f>
        <v>-1.7720060253301015E-3</v>
      </c>
      <c r="D25" s="7">
        <f t="shared" si="2"/>
        <v>3.2066165461439321E-4</v>
      </c>
      <c r="E25" s="7">
        <f t="shared" si="2"/>
        <v>-9.9907144438800277E-4</v>
      </c>
      <c r="F25" s="7">
        <f t="shared" si="2"/>
        <v>-7.4496427451937249E-5</v>
      </c>
    </row>
    <row r="26" spans="1:6" x14ac:dyDescent="0.25">
      <c r="A26" t="str">
        <v>RUS2000</v>
      </c>
      <c r="B26" s="7">
        <f>B17*$C$10*B10</f>
        <v>-1.7720060253301015E-3</v>
      </c>
      <c r="C26" s="7">
        <f t="shared" ref="C26:F26" si="3">C17*$C$10*C10</f>
        <v>4.5611215897488712E-2</v>
      </c>
      <c r="D26" s="7">
        <f t="shared" si="3"/>
        <v>7.0717506892990769E-3</v>
      </c>
      <c r="E26" s="7">
        <f t="shared" si="3"/>
        <v>1.2725726216969591E-2</v>
      </c>
      <c r="F26" s="7">
        <f t="shared" si="3"/>
        <v>-5.6669409268055104E-5</v>
      </c>
    </row>
    <row r="27" spans="1:6" x14ac:dyDescent="0.25">
      <c r="A27" t="str">
        <v>LQD</v>
      </c>
      <c r="B27" s="7">
        <f>B18*$D$10*B10</f>
        <v>3.2066165461439321E-4</v>
      </c>
      <c r="C27" s="7">
        <f t="shared" ref="C27:F27" si="4">C18*$D$10*C10</f>
        <v>7.0717506892990769E-3</v>
      </c>
      <c r="D27" s="7">
        <f t="shared" si="4"/>
        <v>5.0048309944699136E-3</v>
      </c>
      <c r="E27" s="7">
        <f t="shared" si="4"/>
        <v>3.9278317168539266E-3</v>
      </c>
      <c r="F27" s="7">
        <f t="shared" si="4"/>
        <v>3.4377959542613802E-5</v>
      </c>
    </row>
    <row r="28" spans="1:6" x14ac:dyDescent="0.25">
      <c r="A28" t="str">
        <v>HYG</v>
      </c>
      <c r="B28" s="7">
        <f>B19*$E$10*B10</f>
        <v>-9.9907144438800299E-4</v>
      </c>
      <c r="C28" s="7">
        <f t="shared" ref="C28:F28" si="5">C19*$E$10*C10</f>
        <v>1.2725726216969591E-2</v>
      </c>
      <c r="D28" s="7">
        <f t="shared" si="5"/>
        <v>3.9278317168539266E-3</v>
      </c>
      <c r="E28" s="7">
        <f t="shared" si="5"/>
        <v>5.672002062424175E-3</v>
      </c>
      <c r="F28" s="7">
        <f t="shared" si="5"/>
        <v>1.098476425261563E-5</v>
      </c>
    </row>
    <row r="29" spans="1:6" x14ac:dyDescent="0.25">
      <c r="A29" t="str">
        <v>T-BILL</v>
      </c>
      <c r="B29" s="7">
        <f>B20*$F$10*B10</f>
        <v>-7.4496427451937249E-5</v>
      </c>
      <c r="C29" s="7">
        <f t="shared" ref="C29:F29" si="6">C20*$F$10*C10</f>
        <v>-5.6669409268055104E-5</v>
      </c>
      <c r="D29" s="7">
        <f t="shared" si="6"/>
        <v>3.4377959542613802E-5</v>
      </c>
      <c r="E29" s="7">
        <f t="shared" si="6"/>
        <v>1.0984764252615632E-5</v>
      </c>
      <c r="F29" s="7">
        <f t="shared" si="6"/>
        <v>6.4811907407407368E-6</v>
      </c>
    </row>
    <row r="32" spans="1:6" ht="15.75" x14ac:dyDescent="0.25">
      <c r="A32" s="30" t="s">
        <v>24</v>
      </c>
    </row>
    <row r="34" spans="1:8" x14ac:dyDescent="0.25">
      <c r="A34" s="2" t="s">
        <v>12</v>
      </c>
      <c r="B34" t="str" cm="1">
        <f t="array" ref="B34:F34">all_assets</f>
        <v>SP500</v>
      </c>
      <c r="C34" t="str">
        <v>RUS2000</v>
      </c>
      <c r="D34" t="str">
        <v>LQD</v>
      </c>
      <c r="E34" t="str">
        <v>HYG</v>
      </c>
      <c r="F34" t="str">
        <v>T-BILL</v>
      </c>
    </row>
    <row r="35" spans="1:8" x14ac:dyDescent="0.25">
      <c r="A35" s="2" t="s">
        <v>21</v>
      </c>
      <c r="B35">
        <v>0.3</v>
      </c>
      <c r="C35">
        <v>0.3</v>
      </c>
      <c r="D35">
        <v>0.15</v>
      </c>
      <c r="E35">
        <v>0.15</v>
      </c>
      <c r="F35">
        <v>0.1</v>
      </c>
      <c r="H35">
        <f>SUM(B35:F35)</f>
        <v>1</v>
      </c>
    </row>
    <row r="36" spans="1:8" x14ac:dyDescent="0.25">
      <c r="A36" s="2"/>
    </row>
    <row r="37" spans="1:8" x14ac:dyDescent="0.25">
      <c r="A37" s="2" t="s">
        <v>22</v>
      </c>
      <c r="B37" s="3" cm="1">
        <f t="array" ref="B37">MMULT(all_assets_ret_vector,TRANSPOSE(mymix_weights))</f>
        <v>6.9162930663331873E-2</v>
      </c>
    </row>
    <row r="38" spans="1:8" x14ac:dyDescent="0.25">
      <c r="A38" s="2" t="s">
        <v>23</v>
      </c>
      <c r="B38" s="3" cm="1">
        <f t="array" ref="B38">SQRT(MMULT(MMULT(mymix_weights,vcov_all_assets),TRANSPOSE(mymix_weights)))</f>
        <v>9.0490451607401587E-2</v>
      </c>
    </row>
    <row r="39" spans="1:8" x14ac:dyDescent="0.25">
      <c r="A39" s="2" t="s">
        <v>56</v>
      </c>
      <c r="B39" s="9" cm="1">
        <f t="array" ref="B39">MMULT(B_0,TRANSPOSE(mymix_weights))</f>
        <v>0.29790851460448486</v>
      </c>
    </row>
    <row r="40" spans="1:8" x14ac:dyDescent="0.25">
      <c r="A40" s="2" t="s">
        <v>55</v>
      </c>
      <c r="B40" s="9">
        <f>(B37-rf)/B39</f>
        <v>0.1975026497777479</v>
      </c>
    </row>
  </sheetData>
  <hyperlinks>
    <hyperlink ref="B3" r:id="rId1" xr:uid="{4E475F45-8EDF-4BFB-B73B-2B79D6354FD3}"/>
    <hyperlink ref="C3" r:id="rId2" xr:uid="{2A6A260F-330F-4F25-BB7E-A2B1BA5A5131}"/>
    <hyperlink ref="D3" r:id="rId3" xr:uid="{3C1476F4-4C37-498B-AF5A-D816563BF413}"/>
    <hyperlink ref="E3" r:id="rId4" xr:uid="{AC2FD1B5-C8D0-44B6-A2BB-F2DA13DAF91A}"/>
    <hyperlink ref="F3" r:id="rId5" xr:uid="{BA4700B5-B991-4186-8053-F0B521763383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327C-1E6D-4434-BD8E-CE021CFB85E8}">
  <dimension ref="A1:F29"/>
  <sheetViews>
    <sheetView workbookViewId="0">
      <selection activeCell="G21" sqref="G21"/>
    </sheetView>
  </sheetViews>
  <sheetFormatPr defaultRowHeight="15" x14ac:dyDescent="0.25"/>
  <cols>
    <col min="2" max="2" width="10.28515625" bestFit="1" customWidth="1"/>
  </cols>
  <sheetData>
    <row r="1" spans="1:6" ht="15.75" x14ac:dyDescent="0.25">
      <c r="A1" s="30" t="s">
        <v>64</v>
      </c>
    </row>
    <row r="4" spans="1:6" x14ac:dyDescent="0.25">
      <c r="A4" s="2" t="s">
        <v>17</v>
      </c>
      <c r="B4" t="str" cm="1">
        <f t="array" ref="B4:E4">risky_assets</f>
        <v>SP500</v>
      </c>
      <c r="C4" t="str">
        <v>RUS2000</v>
      </c>
      <c r="D4" t="str">
        <v>LQD</v>
      </c>
      <c r="E4" t="str">
        <v>HYG</v>
      </c>
    </row>
    <row r="5" spans="1:6" x14ac:dyDescent="0.25">
      <c r="A5" s="2"/>
    </row>
    <row r="6" spans="1:6" x14ac:dyDescent="0.25">
      <c r="A6" s="2" t="s">
        <v>13</v>
      </c>
      <c r="B6" s="3">
        <f>(1+((Monthly_Prices!B62-Monthly_Prices!B3)/Monthly_Prices!B3))^(1/59)-1</f>
        <v>1.0140747788909499E-2</v>
      </c>
      <c r="C6" s="3">
        <f>(1+((Monthly_Prices!C62-Monthly_Prices!C3)/Monthly_Prices!C3))^(1/59)-1</f>
        <v>5.5542628251032955E-3</v>
      </c>
      <c r="D6" s="3">
        <f>(1+((Monthly_Prices!D62-Monthly_Prices!D3)/Monthly_Prices!D3))^(1/59)-1</f>
        <v>2.444444973567883E-3</v>
      </c>
      <c r="E6" s="3">
        <f>(1+((Monthly_Prices!E62-Monthly_Prices!E3)/Monthly_Prices!E3))^(1/59)-1</f>
        <v>2.4337682975312802E-3</v>
      </c>
      <c r="F6" s="3"/>
    </row>
    <row r="7" spans="1:6" x14ac:dyDescent="0.25">
      <c r="A7" s="2" t="s">
        <v>14</v>
      </c>
      <c r="B7" s="5">
        <f>_xlfn.STDEV.P(Monthly_Returns!B4:B62)</f>
        <v>4.5858281401587479E-2</v>
      </c>
      <c r="C7" s="5">
        <f>_xlfn.STDEV.P(Monthly_Returns!C4:C62)</f>
        <v>6.1651720642039338E-2</v>
      </c>
      <c r="D7" s="5">
        <f>_xlfn.STDEV.P(Monthly_Returns!D4:D62)</f>
        <v>2.0422273368534648E-2</v>
      </c>
      <c r="E7" s="5">
        <f>_xlfn.STDEV.P(Monthly_Returns!E4:E62)</f>
        <v>2.1740902431484944E-2</v>
      </c>
      <c r="F7" s="3"/>
    </row>
    <row r="8" spans="1:6" x14ac:dyDescent="0.25">
      <c r="A8" s="2"/>
      <c r="B8" s="3"/>
      <c r="C8" s="3"/>
      <c r="D8" s="3"/>
      <c r="E8" s="3"/>
    </row>
    <row r="9" spans="1:6" x14ac:dyDescent="0.25">
      <c r="A9" s="2" t="s">
        <v>15</v>
      </c>
      <c r="B9" s="3">
        <f>(1+B6)^12-1</f>
        <v>0.12871080928332268</v>
      </c>
      <c r="C9" s="3">
        <f t="shared" ref="C9:E9" si="0">(1+C6)^12-1</f>
        <v>6.8725414938495932E-2</v>
      </c>
      <c r="D9" s="3">
        <f t="shared" si="0"/>
        <v>2.9730941357176022E-2</v>
      </c>
      <c r="E9" s="3">
        <f t="shared" si="0"/>
        <v>2.9599341529670475E-2</v>
      </c>
      <c r="F9" s="3"/>
    </row>
    <row r="10" spans="1:6" x14ac:dyDescent="0.25">
      <c r="A10" s="2" t="s">
        <v>16</v>
      </c>
      <c r="B10" s="3">
        <f>SQRT(12)*B7</f>
        <v>0.15885774667068084</v>
      </c>
      <c r="C10" s="3">
        <f t="shared" ref="C10:E10" si="1">SQRT(12)*C7</f>
        <v>0.21356782505211011</v>
      </c>
      <c r="D10" s="3">
        <f t="shared" si="1"/>
        <v>7.0744830160725622E-2</v>
      </c>
      <c r="E10" s="3">
        <f t="shared" si="1"/>
        <v>7.5312695227459328E-2</v>
      </c>
      <c r="F10" s="3"/>
    </row>
    <row r="13" spans="1:6" x14ac:dyDescent="0.25">
      <c r="A13" s="2" t="s">
        <v>25</v>
      </c>
    </row>
    <row r="15" spans="1:6" x14ac:dyDescent="0.25">
      <c r="B15" t="str" cm="1">
        <f t="array" ref="B15:E15">risky_assets</f>
        <v>SP500</v>
      </c>
      <c r="C15" t="str">
        <v>RUS2000</v>
      </c>
      <c r="D15" t="str">
        <v>LQD</v>
      </c>
      <c r="E15" t="str">
        <v>HYG</v>
      </c>
    </row>
    <row r="16" spans="1:6" x14ac:dyDescent="0.25">
      <c r="A16" t="str" cm="1">
        <f t="array" ref="A16:A19">TRANSPOSE(risky_assets)</f>
        <v>SP500</v>
      </c>
      <c r="B16" s="3" cm="1">
        <f t="array" ref="B16:E19">vcov1</f>
        <v>2.5235783677286207E-2</v>
      </c>
      <c r="C16" s="3">
        <v>-1.7720060253301015E-3</v>
      </c>
      <c r="D16" s="3">
        <v>3.2066165461439321E-4</v>
      </c>
      <c r="E16" s="3">
        <v>-9.9907144438800277E-4</v>
      </c>
    </row>
    <row r="17" spans="1:5" x14ac:dyDescent="0.25">
      <c r="A17" t="str">
        <v>RUS2000</v>
      </c>
      <c r="B17" s="3">
        <v>-1.7720060253301015E-3</v>
      </c>
      <c r="C17" s="3">
        <v>4.5611215897488712E-2</v>
      </c>
      <c r="D17" s="3">
        <v>7.0717506892990769E-3</v>
      </c>
      <c r="E17" s="3">
        <v>1.2725726216969591E-2</v>
      </c>
    </row>
    <row r="18" spans="1:5" x14ac:dyDescent="0.25">
      <c r="A18" t="str">
        <v>LQD</v>
      </c>
      <c r="B18" s="3">
        <v>3.2066165461439321E-4</v>
      </c>
      <c r="C18" s="3">
        <v>7.0717506892990769E-3</v>
      </c>
      <c r="D18" s="3">
        <v>5.0048309944699136E-3</v>
      </c>
      <c r="E18" s="3">
        <v>3.9278317168539266E-3</v>
      </c>
    </row>
    <row r="19" spans="1:5" x14ac:dyDescent="0.25">
      <c r="A19" t="str">
        <v>HYG</v>
      </c>
      <c r="B19" s="3">
        <v>-9.9907144438800299E-4</v>
      </c>
      <c r="C19" s="3">
        <v>1.2725726216969591E-2</v>
      </c>
      <c r="D19" s="3">
        <v>3.9278317168539266E-3</v>
      </c>
      <c r="E19" s="3">
        <v>5.672002062424175E-3</v>
      </c>
    </row>
    <row r="22" spans="1:5" x14ac:dyDescent="0.25">
      <c r="A22" s="2" t="s">
        <v>26</v>
      </c>
    </row>
    <row r="24" spans="1:5" x14ac:dyDescent="0.25">
      <c r="A24" s="2" t="s">
        <v>12</v>
      </c>
      <c r="B24" t="str" cm="1">
        <f t="array" ref="B24:E24">risky_assets</f>
        <v>SP500</v>
      </c>
      <c r="C24" t="str">
        <v>RUS2000</v>
      </c>
      <c r="D24" t="str">
        <v>LQD</v>
      </c>
      <c r="E24" t="str">
        <v>HYG</v>
      </c>
    </row>
    <row r="25" spans="1:5" x14ac:dyDescent="0.25">
      <c r="A25" s="2" t="s">
        <v>21</v>
      </c>
      <c r="B25">
        <f>'1.MyMix_complete_Portfolio'!B35/0.9</f>
        <v>0.33333333333333331</v>
      </c>
      <c r="C25">
        <f>'1.MyMix_complete_Portfolio'!C35/0.9</f>
        <v>0.33333333333333331</v>
      </c>
      <c r="D25">
        <f>'1.MyMix_complete_Portfolio'!D35/0.9</f>
        <v>0.16666666666666666</v>
      </c>
      <c r="E25">
        <f>'1.MyMix_complete_Portfolio'!E35/0.9</f>
        <v>0.16666666666666666</v>
      </c>
    </row>
    <row r="26" spans="1:5" x14ac:dyDescent="0.25">
      <c r="A26" s="2"/>
    </row>
    <row r="27" spans="1:5" x14ac:dyDescent="0.25">
      <c r="A27" s="2" t="s">
        <v>22</v>
      </c>
      <c r="B27" s="3" cm="1">
        <f t="array" ref="B27">MMULT(vector_returns_risky_assets1,TRANSPOSE(weights_rp1))</f>
        <v>7.5700455221747287E-2</v>
      </c>
    </row>
    <row r="28" spans="1:5" x14ac:dyDescent="0.25">
      <c r="A28" s="2" t="s">
        <v>23</v>
      </c>
      <c r="B28" s="3" cm="1">
        <f t="array" ref="B28">SQRT(MMULT(MMULT(weights_rp1,vcov1),TRANSPOSE(weights_rp1)))</f>
        <v>0.10058450220986678</v>
      </c>
    </row>
    <row r="29" spans="1:5" x14ac:dyDescent="0.25">
      <c r="A29" s="2" t="s">
        <v>27</v>
      </c>
      <c r="B29" s="8">
        <f>(B27-rf)/B28</f>
        <v>0.649953463484369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353-7674-49A2-A799-3B4871559441}">
  <dimension ref="A1:J42"/>
  <sheetViews>
    <sheetView topLeftCell="J7" zoomScaleNormal="100" workbookViewId="0">
      <selection activeCell="E34" sqref="E34"/>
    </sheetView>
  </sheetViews>
  <sheetFormatPr defaultRowHeight="15" x14ac:dyDescent="0.25"/>
  <cols>
    <col min="2" max="2" width="38.5703125" customWidth="1"/>
    <col min="3" max="4" width="10.85546875" customWidth="1"/>
    <col min="5" max="5" width="11.42578125" customWidth="1"/>
    <col min="6" max="6" width="11" customWidth="1"/>
    <col min="7" max="7" width="10.85546875" customWidth="1"/>
    <col min="8" max="9" width="11" customWidth="1"/>
    <col min="10" max="10" width="10.85546875" customWidth="1"/>
  </cols>
  <sheetData>
    <row r="1" spans="1:10" x14ac:dyDescent="0.25">
      <c r="B1" t="s">
        <v>43</v>
      </c>
    </row>
    <row r="2" spans="1:10" x14ac:dyDescent="0.25">
      <c r="F2" t="s">
        <v>21</v>
      </c>
    </row>
    <row r="3" spans="1:10" x14ac:dyDescent="0.25">
      <c r="A3" t="s">
        <v>28</v>
      </c>
      <c r="B3" t="s">
        <v>29</v>
      </c>
      <c r="C3" t="s">
        <v>18</v>
      </c>
      <c r="D3" t="s">
        <v>22</v>
      </c>
      <c r="E3" t="s">
        <v>27</v>
      </c>
      <c r="F3" t="str" cm="1">
        <f t="array" ref="F3:I3">risky_assets</f>
        <v>SP500</v>
      </c>
      <c r="G3" t="str">
        <v>RUS2000</v>
      </c>
      <c r="H3" t="str">
        <v>LQD</v>
      </c>
      <c r="I3" t="str">
        <v>HYG</v>
      </c>
    </row>
    <row r="4" spans="1:10" x14ac:dyDescent="0.25">
      <c r="A4">
        <v>1</v>
      </c>
      <c r="B4" t="s">
        <v>30</v>
      </c>
      <c r="C4" s="3" cm="1">
        <f t="array" ref="C4">SQRT(MMULT(MMULT(weights_t1,vcov1),TRANSPOSE(weights_t1)))</f>
        <v>6.6144570042579107E-2</v>
      </c>
      <c r="D4" s="3" cm="1">
        <f t="array" ref="D4">MMULT(vector_returns_risky_assets1,TRANSPOSE(weights_t1))</f>
        <v>1.0000000705466035E-2</v>
      </c>
      <c r="E4" s="9">
        <f t="shared" ref="E4:E13" si="0">(D4-rf)/C4</f>
        <v>-4.9166383864589561E-3</v>
      </c>
      <c r="F4" s="9">
        <v>-6.2612836133519062E-2</v>
      </c>
      <c r="G4" s="9">
        <v>-0.34302180957616674</v>
      </c>
      <c r="H4" s="9">
        <v>0.20802586667600956</v>
      </c>
      <c r="I4" s="9">
        <v>1.1976097790336762</v>
      </c>
      <c r="J4" s="9">
        <f>SUM(weights_t1)</f>
        <v>1.0000009999999999</v>
      </c>
    </row>
    <row r="5" spans="1:10" x14ac:dyDescent="0.25">
      <c r="A5">
        <v>2</v>
      </c>
      <c r="B5" t="s">
        <v>31</v>
      </c>
      <c r="C5" s="3" cm="1">
        <f t="array" ref="C5">SQRT(MMULT(MMULT(weights_t2,vcov1),TRANSPOSE(weights_t2)))</f>
        <v>5.9162242398370424E-2</v>
      </c>
      <c r="D5" s="3" cm="1">
        <f t="array" ref="D5">MMULT(vector_returns_risky_assets1,TRANSPOSE(weights_t2))</f>
        <v>2.0000001257573875E-2</v>
      </c>
      <c r="E5" s="9">
        <f t="shared" si="0"/>
        <v>0.16352983301131868</v>
      </c>
      <c r="F5" s="9">
        <v>1.6408318088164637E-2</v>
      </c>
      <c r="G5" s="9">
        <v>-0.28758122968948846</v>
      </c>
      <c r="H5" s="9">
        <v>0.20008797235479633</v>
      </c>
      <c r="I5" s="9">
        <v>1.0710849392465274</v>
      </c>
      <c r="J5" s="9">
        <f>SUM(weights_t2)</f>
        <v>0.99999999999999989</v>
      </c>
    </row>
    <row r="6" spans="1:10" x14ac:dyDescent="0.25">
      <c r="A6">
        <v>3</v>
      </c>
      <c r="B6" t="s">
        <v>32</v>
      </c>
      <c r="C6" s="3" cm="1">
        <f t="array" ref="C6">SQRT(MMULT(MMULT(weights_t3,vcov1),TRANSPOSE(weights_t3)))</f>
        <v>5.5293667876082447E-2</v>
      </c>
      <c r="D6" s="3" cm="1">
        <f t="array" ref="D6">MMULT(vector_returns_risky_assets1,TRANSPOSE(weights_t3))</f>
        <v>3.0000001092576528E-2</v>
      </c>
      <c r="E6" s="9">
        <f t="shared" si="0"/>
        <v>0.35582359085087489</v>
      </c>
      <c r="F6" s="9">
        <v>9.5429106716489076E-2</v>
      </c>
      <c r="G6" s="9">
        <v>-0.23214050505740993</v>
      </c>
      <c r="H6" s="9">
        <v>0.19215201366344292</v>
      </c>
      <c r="I6" s="9">
        <v>0.94455938467747791</v>
      </c>
      <c r="J6" s="9">
        <f>SUM(weights_t3)</f>
        <v>1</v>
      </c>
    </row>
    <row r="7" spans="1:10" x14ac:dyDescent="0.25">
      <c r="A7">
        <v>4</v>
      </c>
      <c r="B7" t="s">
        <v>38</v>
      </c>
      <c r="C7" s="10" cm="1">
        <f t="array" ref="C7">SQRT(MMULT(MMULT(weights_mvp,vcov1),TRANSPOSE(weights_mvp)))</f>
        <v>5.4753278189324558E-2</v>
      </c>
      <c r="D7" s="12" cm="1">
        <f t="array" ref="D7">MMULT(vector_returns_risky_assets1,TRANSPOSE(weights_mvp))</f>
        <v>3.5240908031090548E-2</v>
      </c>
      <c r="E7" s="9">
        <f t="shared" si="0"/>
        <v>0.45505400256299627</v>
      </c>
      <c r="F7" s="9">
        <v>0.13684321382682116</v>
      </c>
      <c r="G7" s="9">
        <v>-0.20308465432823428</v>
      </c>
      <c r="H7" s="9">
        <v>0.18799280240960234</v>
      </c>
      <c r="I7" s="9">
        <v>0.87824863809181086</v>
      </c>
      <c r="J7" s="9">
        <f>SUM(weights_mvp)</f>
        <v>1</v>
      </c>
    </row>
    <row r="8" spans="1:10" x14ac:dyDescent="0.25">
      <c r="A8">
        <v>5</v>
      </c>
      <c r="B8" t="s">
        <v>33</v>
      </c>
      <c r="C8" s="3" cm="1">
        <f t="array" ref="C8">SQRT(MMULT(MMULT(weights_t4,vcov1),TRANSPOSE(weights_t4)))</f>
        <v>5.5197378270279929E-2</v>
      </c>
      <c r="D8" s="3" cm="1">
        <f t="array" ref="D8">MMULT(vector_returns_risky_assets1,TRANSPOSE(weights_t4))</f>
        <v>4.0000000927579993E-2</v>
      </c>
      <c r="E8" s="9">
        <f t="shared" si="0"/>
        <v>0.53761233268509545</v>
      </c>
      <c r="F8" s="9">
        <v>0.17444999121627289</v>
      </c>
      <c r="G8" s="9">
        <v>-0.17670002231223456</v>
      </c>
      <c r="H8" s="9">
        <v>0.18421576716378427</v>
      </c>
      <c r="I8" s="9">
        <v>0.81803426393217749</v>
      </c>
      <c r="J8" s="9">
        <f>SUM(weights_t4)</f>
        <v>1</v>
      </c>
    </row>
    <row r="9" spans="1:10" x14ac:dyDescent="0.25">
      <c r="A9">
        <v>6</v>
      </c>
      <c r="B9" t="s">
        <v>34</v>
      </c>
      <c r="C9" s="3" cm="1">
        <f t="array" ref="C9">SQRT(MMULT(MMULT(weights_t5,vcov1),TRANSPOSE(weights_t5)))</f>
        <v>5.8891879827607733E-2</v>
      </c>
      <c r="D9" s="3" cm="1">
        <f t="array" ref="D9">MMULT(vector_returns_risky_assets1,TRANSPOSE(weights_t5))</f>
        <v>5.000000076258429E-2</v>
      </c>
      <c r="E9" s="9">
        <f t="shared" si="0"/>
        <v>0.67368865183332238</v>
      </c>
      <c r="F9" s="9">
        <v>0.25347088608844937</v>
      </c>
      <c r="G9" s="9">
        <v>-0.12125956414145583</v>
      </c>
      <c r="H9" s="9">
        <v>0.17627901517290778</v>
      </c>
      <c r="I9" s="9">
        <v>0.69150966288009841</v>
      </c>
      <c r="J9" s="9">
        <f>SUM(weights_t5)</f>
        <v>0.99999999999999978</v>
      </c>
    </row>
    <row r="10" spans="1:10" x14ac:dyDescent="0.25">
      <c r="A10">
        <v>7</v>
      </c>
      <c r="B10" t="s">
        <v>35</v>
      </c>
      <c r="C10" s="3" cm="1">
        <f t="array" ref="C10">SQRT(MMULT(MMULT(weights_t6,vcov1),TRANSPOSE(weights_t6)))</f>
        <v>6.5741147935046609E-2</v>
      </c>
      <c r="D10" s="3" cm="1">
        <f t="array" ref="D10">MMULT(vector_returns_risky_assets1,TRANSPOSE(weights_t6))</f>
        <v>6.0000000597588261E-2</v>
      </c>
      <c r="E10" s="9">
        <f t="shared" si="0"/>
        <v>0.75561185833071565</v>
      </c>
      <c r="F10" s="9">
        <v>0.33249178294490489</v>
      </c>
      <c r="G10" s="9">
        <v>-6.58191117220841E-2</v>
      </c>
      <c r="H10" s="9">
        <v>0.16834247872045979</v>
      </c>
      <c r="I10" s="9">
        <v>0.56498485005671939</v>
      </c>
      <c r="J10" s="9">
        <f>SUM(weights_t6)</f>
        <v>1</v>
      </c>
    </row>
    <row r="11" spans="1:10" x14ac:dyDescent="0.25">
      <c r="A11">
        <v>8</v>
      </c>
      <c r="B11" t="s">
        <v>39</v>
      </c>
      <c r="C11" s="3" cm="1">
        <f t="array" ref="C11">SQRT(MMULT(MMULT(weights_maxsharpe,vcov1),TRANSPOSE(weights_maxsharpe)))</f>
        <v>9.8433093217883488E-2</v>
      </c>
      <c r="D11" s="3" cm="1">
        <f t="array" ref="D11">MMULT(vector_returns_risky_assets1,TRANSPOSE(weights_maxsharpe))</f>
        <v>9.0894531191502717E-2</v>
      </c>
      <c r="E11" s="11">
        <f t="shared" si="0"/>
        <v>0.81851863961612803</v>
      </c>
      <c r="F11" s="9">
        <v>0.57662309264270617</v>
      </c>
      <c r="G11" s="9">
        <v>0.10546168561646181</v>
      </c>
      <c r="H11" s="9">
        <v>0.14382204349398253</v>
      </c>
      <c r="I11" s="9">
        <v>0.17409317824684939</v>
      </c>
      <c r="J11" s="9">
        <f>SUM(F11:I11)</f>
        <v>1</v>
      </c>
    </row>
    <row r="12" spans="1:10" x14ac:dyDescent="0.25">
      <c r="A12">
        <v>9</v>
      </c>
      <c r="B12" t="s">
        <v>37</v>
      </c>
      <c r="C12" s="3" cm="1">
        <f t="array" ref="C12">SQRT(MMULT(MMULT(weights_t10,vcov1),TRANSPOSE(weights_t10)))</f>
        <v>0.1098084670059081</v>
      </c>
      <c r="D12" s="3" cm="1">
        <f t="array" ref="D12">MMULT(vector_returns_risky_assets1,TRANSPOSE(weights_t10))</f>
        <v>9.9999999933960887E-2</v>
      </c>
      <c r="E12" s="9">
        <f t="shared" si="0"/>
        <v>0.81664732002444629</v>
      </c>
      <c r="F12" s="9">
        <v>0.6485753634101824</v>
      </c>
      <c r="G12" s="9">
        <v>0.15594271674948565</v>
      </c>
      <c r="H12" s="9">
        <v>0.13659595971777819</v>
      </c>
      <c r="I12" s="9">
        <v>5.8885960122553746E-2</v>
      </c>
      <c r="J12" s="9">
        <f>SUM(weights_t10)</f>
        <v>1</v>
      </c>
    </row>
    <row r="13" spans="1:10" x14ac:dyDescent="0.25">
      <c r="A13">
        <v>10</v>
      </c>
      <c r="B13" t="s">
        <v>40</v>
      </c>
      <c r="C13" s="3" cm="1">
        <f t="array" ref="C13">SQRT(MMULT(MMULT(weights_t11,vcov1),TRANSPOSE(weights_t11)))</f>
        <v>0.12276911196468381</v>
      </c>
      <c r="D13" s="3" cm="1">
        <f t="array" ref="D13">MMULT(vector_returns_risky_assets1,TRANSPOSE(weights_t11))</f>
        <v>0.10999999977254724</v>
      </c>
      <c r="E13" s="9">
        <f t="shared" si="0"/>
        <v>0.81188817398652224</v>
      </c>
      <c r="F13" s="9">
        <v>0.72759625613069034</v>
      </c>
      <c r="G13" s="9">
        <v>0.21138317991286165</v>
      </c>
      <c r="H13" s="9">
        <v>0.12865937107300918</v>
      </c>
      <c r="I13" s="9">
        <v>-6.7638807116561117E-2</v>
      </c>
      <c r="J13" s="9">
        <f>SUM(weights_t11)</f>
        <v>1</v>
      </c>
    </row>
    <row r="14" spans="1:10" x14ac:dyDescent="0.25">
      <c r="E14" s="9"/>
      <c r="F14" s="9"/>
      <c r="G14" s="9"/>
      <c r="H14" s="9"/>
      <c r="I14" s="9"/>
      <c r="J14" s="9"/>
    </row>
    <row r="15" spans="1:10" x14ac:dyDescent="0.25">
      <c r="E15" s="9"/>
      <c r="F15" s="9"/>
      <c r="G15" s="9"/>
      <c r="H15" s="9"/>
      <c r="I15" s="9"/>
      <c r="J15" s="9"/>
    </row>
    <row r="16" spans="1:10" x14ac:dyDescent="0.25">
      <c r="E16" s="9"/>
      <c r="F16" s="9"/>
      <c r="G16" s="9"/>
      <c r="H16" s="9"/>
      <c r="I16" s="9"/>
      <c r="J16" s="9"/>
    </row>
    <row r="17" spans="1:10" x14ac:dyDescent="0.25">
      <c r="E17" s="9"/>
      <c r="F17" s="9"/>
      <c r="G17" s="9"/>
      <c r="H17" s="9"/>
      <c r="I17" s="9"/>
      <c r="J17" s="9"/>
    </row>
    <row r="18" spans="1:10" x14ac:dyDescent="0.25">
      <c r="E18" s="9"/>
      <c r="F18" s="9"/>
      <c r="G18" s="9"/>
      <c r="H18" s="9"/>
      <c r="I18" s="9"/>
      <c r="J18" s="9"/>
    </row>
    <row r="19" spans="1:10" x14ac:dyDescent="0.25">
      <c r="E19" s="9"/>
      <c r="F19" s="9"/>
      <c r="G19" s="9"/>
      <c r="H19" s="9"/>
      <c r="I19" s="9"/>
      <c r="J19" s="9"/>
    </row>
    <row r="20" spans="1:10" x14ac:dyDescent="0.25">
      <c r="B20" t="s">
        <v>44</v>
      </c>
      <c r="E20" s="9"/>
      <c r="F20" s="9"/>
      <c r="G20" s="9"/>
      <c r="H20" s="9"/>
      <c r="I20" s="9"/>
      <c r="J20" s="9"/>
    </row>
    <row r="21" spans="1:10" x14ac:dyDescent="0.25">
      <c r="E21" s="9"/>
      <c r="F21" s="9"/>
      <c r="G21" s="9"/>
      <c r="H21" s="9"/>
      <c r="I21" s="9"/>
      <c r="J21" s="9"/>
    </row>
    <row r="22" spans="1:10" x14ac:dyDescent="0.25">
      <c r="E22" s="9"/>
      <c r="F22" s="9" t="s">
        <v>21</v>
      </c>
      <c r="G22" s="9"/>
      <c r="H22" s="9"/>
      <c r="I22" s="9"/>
      <c r="J22" s="9"/>
    </row>
    <row r="23" spans="1:10" x14ac:dyDescent="0.25">
      <c r="A23" t="s">
        <v>28</v>
      </c>
      <c r="B23" t="s">
        <v>29</v>
      </c>
      <c r="C23" t="s">
        <v>18</v>
      </c>
      <c r="D23" t="s">
        <v>22</v>
      </c>
      <c r="E23" s="9" t="s">
        <v>27</v>
      </c>
      <c r="F23" s="9" t="str" cm="1">
        <f t="array" ref="F23:I23">risky_assets</f>
        <v>SP500</v>
      </c>
      <c r="G23" s="9" t="str">
        <v>RUS2000</v>
      </c>
      <c r="H23" s="9" t="str">
        <v>LQD</v>
      </c>
      <c r="I23" s="9" t="str">
        <v>HYG</v>
      </c>
      <c r="J23" s="9"/>
    </row>
    <row r="24" spans="1:10" x14ac:dyDescent="0.25">
      <c r="A24">
        <v>1</v>
      </c>
      <c r="B24" t="s">
        <v>41</v>
      </c>
      <c r="C24" s="3" cm="1">
        <f t="array" ref="C24">SQRT(MMULT(MMULT(weights_t1_noshort,vcov1),TRANSPOSE(weights_t1_noshort)))</f>
        <v>7.5312695227459314E-2</v>
      </c>
      <c r="D24" s="3" cm="1">
        <f t="array" ref="D24">MMULT(vector_returns_risky_assets1,TRANSPOSE(weights_t1_noshort))</f>
        <v>2.9599341529670468E-2</v>
      </c>
      <c r="E24" s="9">
        <f t="shared" ref="E24:E33" si="1">(D24-rf)/C24</f>
        <v>0.25592141980665484</v>
      </c>
      <c r="F24" s="9">
        <v>0</v>
      </c>
      <c r="G24" s="9">
        <v>0</v>
      </c>
      <c r="H24" s="9">
        <v>0</v>
      </c>
      <c r="I24" s="9">
        <v>0.99999999999999978</v>
      </c>
      <c r="J24" s="9">
        <f>SUM(F24:I24)</f>
        <v>0.99999999999999978</v>
      </c>
    </row>
    <row r="25" spans="1:10" x14ac:dyDescent="0.25">
      <c r="A25">
        <v>2</v>
      </c>
      <c r="B25" t="s">
        <v>32</v>
      </c>
      <c r="C25" s="3" cm="1">
        <f t="array" ref="C25">SQRT(MMULT(MMULT(weights_t3_noshort,vcov1),TRANSPOSE(weights_t3_noshort)))</f>
        <v>6.7551101575454103E-2</v>
      </c>
      <c r="D25" s="3" cm="1">
        <f t="array" ref="D25">MMULT(vector_returns_risky_assets1,TRANSPOSE(weights_t3_noshort))</f>
        <v>2.9999999818935759E-2</v>
      </c>
      <c r="E25" s="9">
        <f t="shared" si="1"/>
        <v>0.29125787326156266</v>
      </c>
      <c r="F25" s="9">
        <v>3.2291653398015215E-3</v>
      </c>
      <c r="G25" s="9">
        <v>0</v>
      </c>
      <c r="H25" s="9">
        <v>0.61254618905136515</v>
      </c>
      <c r="I25" s="9">
        <v>0.38422464560883324</v>
      </c>
      <c r="J25" s="9">
        <f t="shared" ref="J25:J33" si="2">SUM(F25:I25)</f>
        <v>1</v>
      </c>
    </row>
    <row r="26" spans="1:10" x14ac:dyDescent="0.25">
      <c r="A26">
        <v>3</v>
      </c>
      <c r="B26" t="s">
        <v>33</v>
      </c>
      <c r="C26" s="3" cm="1">
        <f t="array" ref="C26">SQRT(MMULT(MMULT(weights_t4_noshort,vcov1),TRANSPOSE(weights_t4_noshort)))</f>
        <v>6.2602758786023546E-2</v>
      </c>
      <c r="D26" s="3" cm="1">
        <f t="array" ref="D26">MMULT(vector_returns_risky_assets1,TRANSPOSE(weights_t4_noshort))</f>
        <v>4.0000000127160575E-2</v>
      </c>
      <c r="E26" s="9">
        <f t="shared" si="1"/>
        <v>0.47401729676156784</v>
      </c>
      <c r="F26" s="9">
        <v>0.10426951488195303</v>
      </c>
      <c r="G26" s="9">
        <v>0</v>
      </c>
      <c r="H26" s="9">
        <v>0.50420989781053094</v>
      </c>
      <c r="I26" s="9">
        <v>0.39152058730751599</v>
      </c>
      <c r="J26" s="9">
        <f t="shared" si="2"/>
        <v>1</v>
      </c>
    </row>
    <row r="27" spans="1:10" x14ac:dyDescent="0.25">
      <c r="A27">
        <v>4</v>
      </c>
      <c r="B27" t="s">
        <v>38</v>
      </c>
      <c r="C27" s="10" cm="1">
        <f t="array" ref="C27">SQRT(MMULT(MMULT(weights_mvp_noshort,vcov1),TRANSPOSE(weights_mvp_noshort)))</f>
        <v>6.1824215933730199E-2</v>
      </c>
      <c r="D27" s="3" cm="1">
        <f t="array" ref="D27">MMULT(vector_returns_risky_assets1,TRANSPOSE(weights_mvp_noshort))</f>
        <v>4.5658307274393309E-2</v>
      </c>
      <c r="E27" s="9">
        <f t="shared" si="1"/>
        <v>0.57150902932070979</v>
      </c>
      <c r="F27" s="9">
        <v>0.16144124625753981</v>
      </c>
      <c r="G27" s="9">
        <v>0</v>
      </c>
      <c r="H27" s="9">
        <v>0.44290994345564444</v>
      </c>
      <c r="I27" s="9">
        <v>0.39564881028681576</v>
      </c>
      <c r="J27" s="9">
        <f t="shared" si="2"/>
        <v>1</v>
      </c>
    </row>
    <row r="28" spans="1:10" x14ac:dyDescent="0.25">
      <c r="A28">
        <v>5</v>
      </c>
      <c r="B28" t="s">
        <v>34</v>
      </c>
      <c r="C28" s="3" cm="1">
        <f t="array" ref="C28">SQRT(MMULT(MMULT(weights_t5_noshort,vcov1),TRANSPOSE(weights_t5_noshort)))</f>
        <v>6.228171013107512E-2</v>
      </c>
      <c r="D28" s="3" cm="1">
        <f t="array" ref="D28">MMULT(vector_returns_risky_assets1,TRANSPOSE(weights_t5_noshort))</f>
        <v>5.0000000240684316E-2</v>
      </c>
      <c r="E28" s="9">
        <f t="shared" si="1"/>
        <v>0.63702153520822469</v>
      </c>
      <c r="F28" s="9">
        <v>0.20530986245687768</v>
      </c>
      <c r="G28" s="9">
        <v>0</v>
      </c>
      <c r="H28" s="9">
        <v>0.39587360864926635</v>
      </c>
      <c r="I28" s="9">
        <v>0.39881652889385583</v>
      </c>
      <c r="J28" s="9">
        <f t="shared" si="2"/>
        <v>0.99999999999999978</v>
      </c>
    </row>
    <row r="29" spans="1:10" x14ac:dyDescent="0.25">
      <c r="A29">
        <v>6</v>
      </c>
      <c r="B29" t="s">
        <v>42</v>
      </c>
      <c r="C29" s="3" cm="1">
        <f t="array" ref="C29">SQRT(MMULT(MMULT(weights_t65_noshort,vcov1),TRANSPOSE(weights_t65_noshort)))</f>
        <v>7.0365334148201356E-2</v>
      </c>
      <c r="D29" s="3" cm="1">
        <f t="array" ref="D29">MMULT(vector_returns_risky_assets1,TRANSPOSE(weights_t65_noshort))</f>
        <v>6.5000000351051593E-2</v>
      </c>
      <c r="E29" s="9">
        <f t="shared" si="1"/>
        <v>0.77701316103045837</v>
      </c>
      <c r="F29" s="9">
        <v>0.35687038321374154</v>
      </c>
      <c r="G29" s="9">
        <v>0</v>
      </c>
      <c r="H29" s="9">
        <v>0.23336917563647361</v>
      </c>
      <c r="I29" s="9">
        <v>0.40976044114978483</v>
      </c>
      <c r="J29" s="9">
        <f t="shared" si="2"/>
        <v>1</v>
      </c>
    </row>
    <row r="30" spans="1:10" x14ac:dyDescent="0.25">
      <c r="A30">
        <v>7</v>
      </c>
      <c r="B30" t="s">
        <v>36</v>
      </c>
      <c r="C30" s="3" cm="1">
        <f t="array" ref="C30">SQRT(MMULT(MMULT(weights_t8_noshort,vcov1),TRANSPOSE(weights_t8_noshort)))</f>
        <v>8.5589805574414812E-2</v>
      </c>
      <c r="D30" s="3" cm="1">
        <f t="array" ref="D30">MMULT(vector_returns_risky_assets1,TRANSPOSE(weights_t8_noshort))</f>
        <v>8.0000000267535107E-2</v>
      </c>
      <c r="E30" s="9">
        <f t="shared" si="1"/>
        <v>0.81405478330435244</v>
      </c>
      <c r="F30" s="9">
        <v>0.4905335780495243</v>
      </c>
      <c r="G30" s="9">
        <v>4.506179055810338E-2</v>
      </c>
      <c r="H30" s="9">
        <v>0.15246911790421666</v>
      </c>
      <c r="I30" s="9">
        <v>0.31193551348815546</v>
      </c>
      <c r="J30" s="9">
        <f t="shared" si="2"/>
        <v>0.99999999999999978</v>
      </c>
    </row>
    <row r="31" spans="1:10" x14ac:dyDescent="0.25">
      <c r="A31">
        <v>8</v>
      </c>
      <c r="B31" t="s">
        <v>39</v>
      </c>
      <c r="C31" s="3" cm="1">
        <f t="array" ref="C31">SQRT(MMULT(MMULT(weights_maxsharpe_noshort,vcov1),TRANSPOSE(weights_maxsharpe_noshort)))</f>
        <v>9.8432911454974181E-2</v>
      </c>
      <c r="D31" s="12" cm="1">
        <f t="array" ref="D31">MMULT(vector_returns_risky_assets1,TRANSPOSE(weights_maxsharpe_noshort))</f>
        <v>9.0894382377679439E-2</v>
      </c>
      <c r="E31" s="11">
        <f t="shared" si="1"/>
        <v>0.81851863923521873</v>
      </c>
      <c r="F31" s="9">
        <v>0.57662222303996113</v>
      </c>
      <c r="G31" s="9">
        <v>0.10546008471466299</v>
      </c>
      <c r="H31" s="9">
        <v>0.14382212542763975</v>
      </c>
      <c r="I31" s="9">
        <v>0.17409556681773616</v>
      </c>
      <c r="J31" s="9">
        <f t="shared" si="2"/>
        <v>1</v>
      </c>
    </row>
    <row r="32" spans="1:10" x14ac:dyDescent="0.25">
      <c r="A32">
        <v>9</v>
      </c>
      <c r="B32" t="s">
        <v>37</v>
      </c>
      <c r="C32" s="3" cm="1">
        <f t="array" ref="C32">SQRT(MMULT(MMULT(weights_t10_noshort,vcov1),TRANSPOSE(weights_t10_noshort)))</f>
        <v>0.10980846700565375</v>
      </c>
      <c r="D32" s="3" cm="1">
        <f t="array" ref="D32">MMULT(vector_returns_risky_assets1,TRANSPOSE(weights_t10_noshort))</f>
        <v>9.9999999933960956E-2</v>
      </c>
      <c r="E32" s="9">
        <f t="shared" si="1"/>
        <v>0.81664732002633855</v>
      </c>
      <c r="F32" s="9">
        <v>0.64857536099268909</v>
      </c>
      <c r="G32" s="9">
        <v>0.15594272298058656</v>
      </c>
      <c r="H32" s="9">
        <v>0.13659592782455279</v>
      </c>
      <c r="I32" s="9">
        <v>5.8885988202171696E-2</v>
      </c>
      <c r="J32" s="9">
        <f t="shared" si="2"/>
        <v>1</v>
      </c>
    </row>
    <row r="33" spans="1:10" x14ac:dyDescent="0.25">
      <c r="A33">
        <v>10</v>
      </c>
      <c r="B33" t="s">
        <v>40</v>
      </c>
      <c r="C33" s="3" cm="1">
        <f t="array" ref="C33">SQRT(MMULT(MMULT(weights_t11_noshort,vcov1),TRANSPOSE(weights_t11_noshort)))</f>
        <v>0.12280237407691402</v>
      </c>
      <c r="D33" s="3" cm="1">
        <f t="array" ref="D33">MMULT(vector_returns_risky_assets1,TRANSPOSE(weights_t11_noshort))</f>
        <v>0.1099999998872752</v>
      </c>
      <c r="E33" s="9">
        <f t="shared" si="1"/>
        <v>0.81166826780769996</v>
      </c>
      <c r="F33" s="9">
        <v>0.73177377085076778</v>
      </c>
      <c r="G33" s="9">
        <v>0.20100764594567355</v>
      </c>
      <c r="H33" s="9">
        <v>6.7218583203558904E-2</v>
      </c>
      <c r="I33" s="9">
        <v>0</v>
      </c>
      <c r="J33" s="9">
        <f t="shared" si="2"/>
        <v>1.0000000000000002</v>
      </c>
    </row>
    <row r="36" spans="1:10" ht="15.75" thickBot="1" x14ac:dyDescent="0.3"/>
    <row r="37" spans="1:10" ht="23.25" x14ac:dyDescent="0.35">
      <c r="B37" s="31" t="s">
        <v>57</v>
      </c>
      <c r="C37" s="32"/>
      <c r="D37" s="32"/>
      <c r="E37" s="41"/>
      <c r="F37" s="32" t="s">
        <v>63</v>
      </c>
      <c r="G37" s="32"/>
      <c r="H37" s="32"/>
      <c r="I37" s="32"/>
      <c r="J37" s="33"/>
    </row>
    <row r="38" spans="1:10" ht="14.45" customHeight="1" x14ac:dyDescent="0.25">
      <c r="B38" s="48" t="s">
        <v>62</v>
      </c>
      <c r="C38" s="49" t="s">
        <v>18</v>
      </c>
      <c r="D38" s="49" t="s">
        <v>22</v>
      </c>
      <c r="E38" s="50" t="s">
        <v>27</v>
      </c>
      <c r="F38" s="24" t="str" cm="1">
        <f t="array" ref="F38:I38">risky_assets</f>
        <v>SP500</v>
      </c>
      <c r="G38" s="25" t="str">
        <v>RUS2000</v>
      </c>
      <c r="H38" s="25" t="str">
        <v>LQD</v>
      </c>
      <c r="I38" s="44" t="str">
        <v>HYG</v>
      </c>
      <c r="J38" s="47"/>
    </row>
    <row r="39" spans="1:10" x14ac:dyDescent="0.25">
      <c r="B39" s="34" t="s">
        <v>58</v>
      </c>
      <c r="C39" s="5">
        <f>C7</f>
        <v>5.4753278189324558E-2</v>
      </c>
      <c r="D39" s="5">
        <f t="shared" ref="D39:J39" si="3">D7</f>
        <v>3.5240908031090548E-2</v>
      </c>
      <c r="E39" s="42">
        <f t="shared" si="3"/>
        <v>0.45505400256299627</v>
      </c>
      <c r="F39" s="8">
        <f t="shared" si="3"/>
        <v>0.13684321382682116</v>
      </c>
      <c r="G39" s="8">
        <f t="shared" si="3"/>
        <v>-0.20308465432823428</v>
      </c>
      <c r="H39" s="8">
        <f t="shared" si="3"/>
        <v>0.18799280240960234</v>
      </c>
      <c r="I39" s="45">
        <f t="shared" si="3"/>
        <v>0.87824863809181086</v>
      </c>
      <c r="J39" s="35">
        <f t="shared" si="3"/>
        <v>1</v>
      </c>
    </row>
    <row r="40" spans="1:10" x14ac:dyDescent="0.25">
      <c r="B40" s="34" t="s">
        <v>59</v>
      </c>
      <c r="C40" s="5">
        <f>C11</f>
        <v>9.8433093217883488E-2</v>
      </c>
      <c r="D40" s="5">
        <f t="shared" ref="D40:J40" si="4">D11</f>
        <v>9.0894531191502717E-2</v>
      </c>
      <c r="E40" s="42">
        <f t="shared" si="4"/>
        <v>0.81851863961612803</v>
      </c>
      <c r="F40" s="8">
        <f t="shared" si="4"/>
        <v>0.57662309264270617</v>
      </c>
      <c r="G40" s="8">
        <f t="shared" si="4"/>
        <v>0.10546168561646181</v>
      </c>
      <c r="H40" s="8">
        <f t="shared" si="4"/>
        <v>0.14382204349398253</v>
      </c>
      <c r="I40" s="42">
        <f t="shared" si="4"/>
        <v>0.17409317824684939</v>
      </c>
      <c r="J40" s="35">
        <f t="shared" si="4"/>
        <v>1</v>
      </c>
    </row>
    <row r="41" spans="1:10" x14ac:dyDescent="0.25">
      <c r="B41" s="34" t="s">
        <v>60</v>
      </c>
      <c r="C41" s="5">
        <f>C27</f>
        <v>6.1824215933730199E-2</v>
      </c>
      <c r="D41" s="5">
        <f t="shared" ref="D41:J41" si="5">D27</f>
        <v>4.5658307274393309E-2</v>
      </c>
      <c r="E41" s="42">
        <f t="shared" si="5"/>
        <v>0.57150902932070979</v>
      </c>
      <c r="F41" s="8">
        <f t="shared" si="5"/>
        <v>0.16144124625753981</v>
      </c>
      <c r="G41" s="8">
        <f t="shared" si="5"/>
        <v>0</v>
      </c>
      <c r="H41" s="8">
        <f t="shared" si="5"/>
        <v>0.44290994345564444</v>
      </c>
      <c r="I41" s="42">
        <f t="shared" si="5"/>
        <v>0.39564881028681576</v>
      </c>
      <c r="J41" s="35">
        <f t="shared" si="5"/>
        <v>1</v>
      </c>
    </row>
    <row r="42" spans="1:10" ht="15.75" thickBot="1" x14ac:dyDescent="0.3">
      <c r="B42" s="36" t="s">
        <v>61</v>
      </c>
      <c r="C42" s="37">
        <f>C31</f>
        <v>9.8432911454974181E-2</v>
      </c>
      <c r="D42" s="37">
        <f t="shared" ref="D42:J42" si="6">D31</f>
        <v>9.0894382377679439E-2</v>
      </c>
      <c r="E42" s="46">
        <f t="shared" si="6"/>
        <v>0.81851863923521873</v>
      </c>
      <c r="F42" s="38">
        <f t="shared" si="6"/>
        <v>0.57662222303996113</v>
      </c>
      <c r="G42" s="38">
        <f t="shared" si="6"/>
        <v>0.10546008471466299</v>
      </c>
      <c r="H42" s="38">
        <f t="shared" si="6"/>
        <v>0.14382212542763975</v>
      </c>
      <c r="I42" s="46">
        <f t="shared" si="6"/>
        <v>0.17409556681773616</v>
      </c>
      <c r="J42" s="39">
        <f t="shared" si="6"/>
        <v>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374B-99D9-4426-B169-D413FE82D628}">
  <dimension ref="A4:H17"/>
  <sheetViews>
    <sheetView workbookViewId="0">
      <selection activeCell="L10" sqref="L10"/>
    </sheetView>
  </sheetViews>
  <sheetFormatPr defaultRowHeight="15" x14ac:dyDescent="0.25"/>
  <cols>
    <col min="1" max="1" width="25.5703125" customWidth="1"/>
    <col min="2" max="5" width="9.28515625" bestFit="1" customWidth="1"/>
  </cols>
  <sheetData>
    <row r="4" spans="1:8" x14ac:dyDescent="0.25">
      <c r="A4" t="s">
        <v>17</v>
      </c>
      <c r="B4" t="str" cm="1">
        <f t="array" ref="B4:F4">all_assets</f>
        <v>SP500</v>
      </c>
      <c r="C4" t="str">
        <v>RUS2000</v>
      </c>
      <c r="D4" t="str">
        <v>LQD</v>
      </c>
      <c r="E4" t="str">
        <v>HYG</v>
      </c>
      <c r="F4" t="str">
        <v>T-BILL</v>
      </c>
    </row>
    <row r="6" spans="1:8" x14ac:dyDescent="0.25">
      <c r="A6" t="s">
        <v>13</v>
      </c>
      <c r="B6" s="3">
        <f>(1+((Monthly_Prices!B62-Monthly_Prices!B3)/Monthly_Prices!B3))^(1/59)-1</f>
        <v>1.0140747788909499E-2</v>
      </c>
      <c r="C6" s="3">
        <f>(1+((Monthly_Prices!C62-Monthly_Prices!C3)/Monthly_Prices!C3))^(1/59)-1</f>
        <v>5.5542628251032955E-3</v>
      </c>
      <c r="D6" s="3">
        <f>(1+((Monthly_Prices!D62-Monthly_Prices!D3)/Monthly_Prices!D3))^(1/59)-1</f>
        <v>2.444444973567883E-3</v>
      </c>
      <c r="E6" s="3">
        <f>(1+((Monthly_Prices!E62-Monthly_Prices!E3)/Monthly_Prices!E3))^(1/59)-1</f>
        <v>2.4337682975312802E-3</v>
      </c>
      <c r="F6" s="3">
        <f>AVERAGE(Monthly_Returns!F3:F62)</f>
        <v>8.5638888888888885E-4</v>
      </c>
    </row>
    <row r="7" spans="1:8" x14ac:dyDescent="0.25">
      <c r="A7" t="s">
        <v>14</v>
      </c>
      <c r="B7" s="5">
        <f>_xlfn.STDEV.P(Monthly_Returns!B4:B62)</f>
        <v>4.5858281401587479E-2</v>
      </c>
      <c r="C7" s="5">
        <f>_xlfn.STDEV.P(Monthly_Returns!C4:C62)</f>
        <v>6.1651720642039338E-2</v>
      </c>
      <c r="D7" s="5">
        <f>_xlfn.STDEV.P(Monthly_Returns!D4:D62)</f>
        <v>2.0422273368534648E-2</v>
      </c>
      <c r="E7" s="5">
        <f>_xlfn.STDEV.P(Monthly_Returns!E4:E62)</f>
        <v>2.1740902431484944E-2</v>
      </c>
      <c r="F7" s="3">
        <f>_xlfn.STDEV.P(Monthly_Returns!F3:F62)</f>
        <v>7.3491443610468115E-4</v>
      </c>
    </row>
    <row r="8" spans="1:8" x14ac:dyDescent="0.25">
      <c r="B8" s="3"/>
      <c r="C8" s="3"/>
      <c r="D8" s="3"/>
      <c r="E8" s="3"/>
    </row>
    <row r="9" spans="1:8" x14ac:dyDescent="0.25">
      <c r="A9" t="s">
        <v>15</v>
      </c>
      <c r="B9" s="3">
        <f>(1+B6)^12-1</f>
        <v>0.12871080928332268</v>
      </c>
      <c r="C9" s="3">
        <f t="shared" ref="C9:F9" si="0">(1+C6)^12-1</f>
        <v>6.8725414938495932E-2</v>
      </c>
      <c r="D9" s="3">
        <f t="shared" si="0"/>
        <v>2.9730941357176022E-2</v>
      </c>
      <c r="E9" s="3">
        <f t="shared" si="0"/>
        <v>2.9599341529670475E-2</v>
      </c>
      <c r="F9" s="3">
        <f t="shared" si="0"/>
        <v>1.0325209637593202E-2</v>
      </c>
    </row>
    <row r="10" spans="1:8" x14ac:dyDescent="0.25">
      <c r="A10" t="s">
        <v>16</v>
      </c>
      <c r="B10" s="3">
        <f>SQRT(12)*B7</f>
        <v>0.15885774667068084</v>
      </c>
      <c r="C10" s="3">
        <f t="shared" ref="C10:F10" si="1">SQRT(12)*C7</f>
        <v>0.21356782505211011</v>
      </c>
      <c r="D10" s="3">
        <f t="shared" si="1"/>
        <v>7.0744830160725622E-2</v>
      </c>
      <c r="E10" s="3">
        <f t="shared" si="1"/>
        <v>7.5312695227459328E-2</v>
      </c>
      <c r="F10" s="3">
        <f t="shared" si="1"/>
        <v>2.5458182850982779E-3</v>
      </c>
    </row>
    <row r="13" spans="1:8" x14ac:dyDescent="0.25">
      <c r="A13" t="s">
        <v>21</v>
      </c>
      <c r="B13" s="9">
        <f>'2.Frontiers'!F11*0.9</f>
        <v>0.51896078337843554</v>
      </c>
      <c r="C13" s="9">
        <f>'2.Frontiers'!G11*0.9</f>
        <v>9.4915517054815629E-2</v>
      </c>
      <c r="D13" s="9">
        <f>'2.Frontiers'!H11*0.9</f>
        <v>0.12943983914458429</v>
      </c>
      <c r="E13" s="9">
        <f>'2.Frontiers'!I11*0.9</f>
        <v>0.15668386042216445</v>
      </c>
      <c r="F13">
        <v>0.1</v>
      </c>
      <c r="H13">
        <f>SUM(B13:F13)</f>
        <v>0.99999999999999978</v>
      </c>
    </row>
    <row r="16" spans="1:8" x14ac:dyDescent="0.25">
      <c r="A16" t="s">
        <v>46</v>
      </c>
      <c r="B16" s="3" cm="1">
        <f t="array" ref="B16">MMULT(B9:F9,TRANSPOSE(B13:F13))</f>
        <v>8.283759903611175E-2</v>
      </c>
    </row>
    <row r="17" spans="1:2" x14ac:dyDescent="0.25">
      <c r="A17" t="s">
        <v>47</v>
      </c>
      <c r="B17" s="3" cm="1">
        <f t="array" ref="B17">SQRT(MMULT(MMULT(B13:F13,vcov_all_assets),TRANSPOSE(B13:F13)))</f>
        <v>8.8547393632463584E-2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1003-AFAD-4C60-AA8F-822B7402F071}">
  <dimension ref="A4:H29"/>
  <sheetViews>
    <sheetView workbookViewId="0">
      <selection activeCell="K18" sqref="K18"/>
    </sheetView>
  </sheetViews>
  <sheetFormatPr defaultRowHeight="15" x14ac:dyDescent="0.25"/>
  <sheetData>
    <row r="4" spans="1:8" x14ac:dyDescent="0.25">
      <c r="A4" s="2" t="s">
        <v>17</v>
      </c>
      <c r="B4" t="str" cm="1">
        <f t="array" ref="B4:E4">risky_assets</f>
        <v>SP500</v>
      </c>
      <c r="C4" t="str">
        <v>RUS2000</v>
      </c>
      <c r="D4" t="str">
        <v>LQD</v>
      </c>
      <c r="E4" t="str">
        <v>HYG</v>
      </c>
      <c r="F4" t="s">
        <v>45</v>
      </c>
    </row>
    <row r="5" spans="1:8" x14ac:dyDescent="0.25">
      <c r="A5" s="2"/>
    </row>
    <row r="6" spans="1:8" x14ac:dyDescent="0.25">
      <c r="A6" s="2" t="s">
        <v>13</v>
      </c>
      <c r="B6" s="3">
        <f>(1+((Monthly_Prices!B62-Monthly_Prices!B3)/Monthly_Prices!B3))^(1/59)-1</f>
        <v>1.0140747788909499E-2</v>
      </c>
      <c r="C6" s="3">
        <f>(1+((Monthly_Prices!C62-Monthly_Prices!C3)/Monthly_Prices!C3))^(1/59)-1</f>
        <v>5.5542628251032955E-3</v>
      </c>
      <c r="D6" s="3">
        <f>(1+((Monthly_Prices!D62-Monthly_Prices!D3)/Monthly_Prices!D3))^(1/59)-1</f>
        <v>2.444444973567883E-3</v>
      </c>
      <c r="E6" s="3">
        <f>(1+((Monthly_Prices!E62-Monthly_Prices!E3)/Monthly_Prices!E3))^(1/59)-1</f>
        <v>2.4337682975312802E-3</v>
      </c>
      <c r="F6" s="3">
        <f ca="1">(1+((Monthly_Prices!G62-Monthly_Prices!G3)/Monthly_Prices!G3))^(1/59)-1</f>
        <v>1.5406844413397014E-2</v>
      </c>
    </row>
    <row r="7" spans="1:8" x14ac:dyDescent="0.25">
      <c r="A7" s="2" t="s">
        <v>14</v>
      </c>
      <c r="B7" s="5">
        <f>_xlfn.STDEV.P(Monthly_Returns!B4:B62)</f>
        <v>4.5858281401587479E-2</v>
      </c>
      <c r="C7" s="5">
        <f>_xlfn.STDEV.P(Monthly_Returns!C4:C62)</f>
        <v>6.1651720642039338E-2</v>
      </c>
      <c r="D7" s="5">
        <f>_xlfn.STDEV.P(Monthly_Returns!D4:D62)</f>
        <v>2.0422273368534648E-2</v>
      </c>
      <c r="E7" s="5">
        <f>_xlfn.STDEV.P(Monthly_Returns!E4:E62)</f>
        <v>2.1740902431484944E-2</v>
      </c>
      <c r="F7" s="13">
        <f ca="1">_xlfn.STDEV.P(Monthly_Returns!G4:G62)</f>
        <v>7.5788993152496653E-2</v>
      </c>
    </row>
    <row r="8" spans="1:8" x14ac:dyDescent="0.25">
      <c r="A8" s="2"/>
      <c r="B8" s="3"/>
      <c r="C8" s="3"/>
      <c r="D8" s="3"/>
      <c r="E8" s="3"/>
    </row>
    <row r="9" spans="1:8" x14ac:dyDescent="0.25">
      <c r="A9" s="2" t="s">
        <v>15</v>
      </c>
      <c r="B9" s="3">
        <f>(1+B6)^12-1</f>
        <v>0.12871080928332268</v>
      </c>
      <c r="C9" s="3">
        <f t="shared" ref="C9:E9" si="0">(1+C6)^12-1</f>
        <v>6.8725414938495932E-2</v>
      </c>
      <c r="D9" s="3">
        <f t="shared" si="0"/>
        <v>2.9730941357176022E-2</v>
      </c>
      <c r="E9" s="3">
        <f t="shared" si="0"/>
        <v>2.9599341529670475E-2</v>
      </c>
      <c r="F9" s="3">
        <f ca="1">(1+F6)^12-1</f>
        <v>0.20138177005115532</v>
      </c>
    </row>
    <row r="10" spans="1:8" x14ac:dyDescent="0.25">
      <c r="A10" s="2" t="s">
        <v>16</v>
      </c>
      <c r="B10" s="3">
        <f>SQRT(12)*B7</f>
        <v>0.15885774667068084</v>
      </c>
      <c r="C10" s="3">
        <f t="shared" ref="C10:E10" si="1">SQRT(12)*C7</f>
        <v>0.21356782505211011</v>
      </c>
      <c r="D10" s="3">
        <f t="shared" si="1"/>
        <v>7.0744830160725622E-2</v>
      </c>
      <c r="E10" s="3">
        <f t="shared" si="1"/>
        <v>7.5312695227459328E-2</v>
      </c>
      <c r="F10" s="3">
        <f ca="1">SQRT(12)*F7</f>
        <v>0.26254077358922784</v>
      </c>
    </row>
    <row r="13" spans="1:8" x14ac:dyDescent="0.25">
      <c r="B13" s="2" t="s">
        <v>65</v>
      </c>
    </row>
    <row r="15" spans="1:8" x14ac:dyDescent="0.25">
      <c r="B15" s="6"/>
      <c r="C15" s="14" t="s">
        <v>0</v>
      </c>
      <c r="D15" s="14" t="s">
        <v>9</v>
      </c>
      <c r="E15" s="14" t="s">
        <v>1</v>
      </c>
      <c r="F15" s="14" t="s">
        <v>2</v>
      </c>
      <c r="G15" s="14" t="s">
        <v>45</v>
      </c>
      <c r="H15" s="6"/>
    </row>
    <row r="16" spans="1:8" x14ac:dyDescent="0.25">
      <c r="B16" t="s">
        <v>0</v>
      </c>
      <c r="C16">
        <v>1</v>
      </c>
      <c r="D16">
        <f>C17</f>
        <v>-5.2230113720419941E-2</v>
      </c>
      <c r="E16">
        <f>C18</f>
        <v>2.8532769167132786E-2</v>
      </c>
      <c r="F16">
        <f>C19</f>
        <v>-8.3506437803801542E-2</v>
      </c>
      <c r="G16">
        <f>C20</f>
        <v>-0.19214770325177816</v>
      </c>
    </row>
    <row r="17" spans="2:7" x14ac:dyDescent="0.25">
      <c r="B17" t="s">
        <v>9</v>
      </c>
      <c r="C17">
        <v>-5.2230113720419941E-2</v>
      </c>
      <c r="D17">
        <v>1</v>
      </c>
      <c r="E17">
        <f>D18</f>
        <v>0.46805448196004673</v>
      </c>
      <c r="F17">
        <f>D19</f>
        <v>0.7911859394604317</v>
      </c>
      <c r="G17">
        <f>D20</f>
        <v>0.52177776200404913</v>
      </c>
    </row>
    <row r="18" spans="2:7" x14ac:dyDescent="0.25">
      <c r="B18" t="s">
        <v>1</v>
      </c>
      <c r="C18">
        <v>2.8532769167132786E-2</v>
      </c>
      <c r="D18">
        <v>0.46805448196004673</v>
      </c>
      <c r="E18">
        <v>1</v>
      </c>
      <c r="F18">
        <f>E19</f>
        <v>0.73720788953296923</v>
      </c>
      <c r="G18">
        <f>E20</f>
        <v>0.42894231010412226</v>
      </c>
    </row>
    <row r="19" spans="2:7" x14ac:dyDescent="0.25">
      <c r="B19" t="s">
        <v>2</v>
      </c>
      <c r="C19">
        <v>-8.3506437803801542E-2</v>
      </c>
      <c r="D19">
        <v>0.7911859394604317</v>
      </c>
      <c r="E19">
        <v>0.73720788953296923</v>
      </c>
      <c r="F19">
        <v>1</v>
      </c>
      <c r="G19">
        <f>F20</f>
        <v>0.48658084359596959</v>
      </c>
    </row>
    <row r="20" spans="2:7" x14ac:dyDescent="0.25">
      <c r="B20" t="s">
        <v>45</v>
      </c>
      <c r="C20">
        <v>-0.19214770325177816</v>
      </c>
      <c r="D20">
        <v>0.52177776200404913</v>
      </c>
      <c r="E20">
        <v>0.42894231010412226</v>
      </c>
      <c r="F20">
        <v>0.48658084359596959</v>
      </c>
      <c r="G20">
        <v>1</v>
      </c>
    </row>
    <row r="22" spans="2:7" x14ac:dyDescent="0.25">
      <c r="B22" s="2" t="s">
        <v>66</v>
      </c>
    </row>
    <row r="24" spans="2:7" x14ac:dyDescent="0.25">
      <c r="C24" t="str" cm="1">
        <f t="array" ref="C24:G24">risky_assets_gef</f>
        <v>SP500</v>
      </c>
      <c r="D24" t="str">
        <v>RUS2000</v>
      </c>
      <c r="E24" t="str">
        <v>LQD</v>
      </c>
      <c r="F24" t="str">
        <v>HYG</v>
      </c>
      <c r="G24" t="str">
        <v>INRG</v>
      </c>
    </row>
    <row r="25" spans="2:7" x14ac:dyDescent="0.25">
      <c r="B25" t="str" cm="1">
        <f t="array" ref="B25:B29">TRANSPOSE(risky_assets_gef)</f>
        <v>SP500</v>
      </c>
      <c r="C25" s="3">
        <f>C16*$B$10*B10</f>
        <v>2.5235783677286207E-2</v>
      </c>
      <c r="D25" s="3">
        <f t="shared" ref="D25:G25" si="2">D16*$B$10*C10</f>
        <v>-1.7720060253301015E-3</v>
      </c>
      <c r="E25" s="3">
        <f t="shared" si="2"/>
        <v>3.2066165461439321E-4</v>
      </c>
      <c r="F25" s="3">
        <f t="shared" si="2"/>
        <v>-9.9907144438800277E-4</v>
      </c>
      <c r="G25" s="3">
        <f t="shared" ca="1" si="2"/>
        <v>-8.0138342604137765E-3</v>
      </c>
    </row>
    <row r="26" spans="2:7" x14ac:dyDescent="0.25">
      <c r="B26" t="str">
        <v>RUS2000</v>
      </c>
      <c r="C26" s="3">
        <f>C17*$C$10*B10</f>
        <v>-1.7720060253301015E-3</v>
      </c>
      <c r="D26" s="3">
        <f t="shared" ref="D26:G26" si="3">D17*$C$10*C10</f>
        <v>4.5611215897488712E-2</v>
      </c>
      <c r="E26" s="3">
        <f t="shared" si="3"/>
        <v>7.0717506892990769E-3</v>
      </c>
      <c r="F26" s="3">
        <f t="shared" si="3"/>
        <v>1.2725726216969591E-2</v>
      </c>
      <c r="G26" s="3">
        <f t="shared" ca="1" si="3"/>
        <v>2.925621582287985E-2</v>
      </c>
    </row>
    <row r="27" spans="2:7" x14ac:dyDescent="0.25">
      <c r="B27" t="str">
        <v>LQD</v>
      </c>
      <c r="C27" s="3">
        <f>C18*$D$10*B10</f>
        <v>3.2066165461439321E-4</v>
      </c>
      <c r="D27" s="3">
        <f t="shared" ref="D27:G27" si="4">D18*$D$10*C10</f>
        <v>7.0717506892990769E-3</v>
      </c>
      <c r="E27" s="3">
        <f t="shared" si="4"/>
        <v>5.0048309944699136E-3</v>
      </c>
      <c r="F27" s="3">
        <f t="shared" si="4"/>
        <v>3.9278317168539266E-3</v>
      </c>
      <c r="G27" s="3">
        <f t="shared" ca="1" si="4"/>
        <v>7.9669181481786706E-3</v>
      </c>
    </row>
    <row r="28" spans="2:7" x14ac:dyDescent="0.25">
      <c r="B28" t="str">
        <v>HYG</v>
      </c>
      <c r="C28" s="3">
        <f>C19*$E$10*B10</f>
        <v>-9.9907144438800299E-4</v>
      </c>
      <c r="D28" s="3">
        <f t="shared" ref="D28:G28" si="5">D19*$E$10*C10</f>
        <v>1.2725726216969591E-2</v>
      </c>
      <c r="E28" s="3">
        <f t="shared" si="5"/>
        <v>3.9278317168539266E-3</v>
      </c>
      <c r="F28" s="3">
        <f t="shared" si="5"/>
        <v>5.672002062424175E-3</v>
      </c>
      <c r="G28" s="3">
        <f t="shared" ca="1" si="5"/>
        <v>9.6209943063529074E-3</v>
      </c>
    </row>
    <row r="29" spans="2:7" x14ac:dyDescent="0.25">
      <c r="B29" t="str">
        <v>INRG</v>
      </c>
      <c r="C29" s="3">
        <f ca="1">C20*$F$10*B10</f>
        <v>-8.0138342604137765E-3</v>
      </c>
      <c r="D29" s="3">
        <f t="shared" ref="D29:G29" ca="1" si="6">D20*$F$10*C10</f>
        <v>2.9256215822879853E-2</v>
      </c>
      <c r="E29" s="3">
        <f t="shared" ca="1" si="6"/>
        <v>7.9669181481786706E-3</v>
      </c>
      <c r="F29" s="3">
        <f t="shared" ca="1" si="6"/>
        <v>9.6209943063529074E-3</v>
      </c>
      <c r="G29" s="3">
        <f t="shared" ca="1" si="6"/>
        <v>6.8927657796830188E-2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A546-CF27-4359-8833-E0DAA7868267}">
  <dimension ref="A1:K25"/>
  <sheetViews>
    <sheetView zoomScale="80" zoomScaleNormal="80" workbookViewId="0">
      <selection activeCell="M3" sqref="M3"/>
    </sheetView>
  </sheetViews>
  <sheetFormatPr defaultRowHeight="15" x14ac:dyDescent="0.25"/>
  <cols>
    <col min="3" max="3" width="9" bestFit="1" customWidth="1"/>
    <col min="5" max="6" width="9.28515625" bestFit="1" customWidth="1"/>
    <col min="7" max="8" width="9.85546875" bestFit="1" customWidth="1"/>
    <col min="9" max="9" width="9.28515625" bestFit="1" customWidth="1"/>
    <col min="10" max="10" width="9.85546875" bestFit="1" customWidth="1"/>
  </cols>
  <sheetData>
    <row r="1" spans="1:11" x14ac:dyDescent="0.25">
      <c r="B1" t="s">
        <v>43</v>
      </c>
    </row>
    <row r="2" spans="1:11" x14ac:dyDescent="0.25">
      <c r="F2" t="s">
        <v>21</v>
      </c>
    </row>
    <row r="3" spans="1:11" x14ac:dyDescent="0.25">
      <c r="A3" t="s">
        <v>28</v>
      </c>
      <c r="B3" t="s">
        <v>29</v>
      </c>
      <c r="C3" t="s">
        <v>18</v>
      </c>
      <c r="D3" t="s">
        <v>22</v>
      </c>
      <c r="E3" t="s">
        <v>27</v>
      </c>
      <c r="F3" t="str" cm="1">
        <f t="array" ref="F3:I3">risky_assets</f>
        <v>SP500</v>
      </c>
      <c r="G3" t="str">
        <v>RUS2000</v>
      </c>
      <c r="H3" t="str">
        <v>LQD</v>
      </c>
      <c r="I3" t="str">
        <v>HYG</v>
      </c>
      <c r="J3" t="s">
        <v>45</v>
      </c>
    </row>
    <row r="4" spans="1:11" x14ac:dyDescent="0.25">
      <c r="A4">
        <v>1</v>
      </c>
      <c r="B4" t="s">
        <v>31</v>
      </c>
      <c r="C4" s="3" cm="1">
        <f t="array" aca="1" ref="C4" ca="1">SQRT(MMULT(MMULT(F4:J4,vcov2),TRANSPOSE(F4:J4)))</f>
        <v>5.6699084262854596E-2</v>
      </c>
      <c r="D4" s="3" cm="1">
        <f t="array" aca="1" ref="D4" ca="1">MMULT(returns_vector_3,TRANSPOSE(F4:J4))</f>
        <v>1.9585269039527779E-2</v>
      </c>
      <c r="E4" s="9">
        <f t="shared" ref="E4:E25" ca="1" si="0">(D4-rf)/C4</f>
        <v>0.16331938200280849</v>
      </c>
      <c r="F4" s="9">
        <v>7.0458480288427203E-2</v>
      </c>
      <c r="G4" s="9">
        <v>-0.20979333761896743</v>
      </c>
      <c r="H4" s="9">
        <v>0.25164326967253553</v>
      </c>
      <c r="I4" s="9">
        <v>0.93904749550999245</v>
      </c>
      <c r="J4" s="9">
        <v>-5.1355907851988021E-2</v>
      </c>
      <c r="K4">
        <f>SUM(F4:J4)</f>
        <v>0.99999999999999978</v>
      </c>
    </row>
    <row r="5" spans="1:11" x14ac:dyDescent="0.25">
      <c r="A5">
        <v>2</v>
      </c>
      <c r="B5" t="s">
        <v>32</v>
      </c>
      <c r="C5" s="3" cm="1">
        <f t="array" aca="1" ref="C5" ca="1">SQRT(MMULT(MMULT(F5:J5,vcov2),TRANSPOSE(F5:J5)))</f>
        <v>5.5006059534714095E-2</v>
      </c>
      <c r="D5" s="3" cm="1">
        <f t="array" aca="1" ref="D5" ca="1">MMULT(returns_vector_3,TRANSPOSE(F5:J5))</f>
        <v>2.9862103471121459E-2</v>
      </c>
      <c r="E5" s="9">
        <f t="shared" ca="1" si="0"/>
        <v>0.35517712046249383</v>
      </c>
      <c r="F5" s="9">
        <v>0.11341851984303297</v>
      </c>
      <c r="G5" s="9">
        <v>-0.2063218430795849</v>
      </c>
      <c r="H5" s="9">
        <v>0.20931992595679508</v>
      </c>
      <c r="I5" s="9">
        <v>0.90065904898557281</v>
      </c>
      <c r="J5" s="9">
        <v>-1.7075651705816063E-2</v>
      </c>
      <c r="K5">
        <f t="shared" ref="K5:K11" si="1">SUM(F5:J5)</f>
        <v>0.99999999999999989</v>
      </c>
    </row>
    <row r="6" spans="1:11" x14ac:dyDescent="0.25">
      <c r="A6">
        <v>3</v>
      </c>
      <c r="B6" t="s">
        <v>38</v>
      </c>
      <c r="C6" s="3" cm="1">
        <f t="array" aca="1" ref="C6" ca="1">SQRT(MMULT(MMULT(F6:J6,vcov2),TRANSPOSE(F6:J6)))</f>
        <v>5.4751611935102168E-2</v>
      </c>
      <c r="D6" s="3" cm="1">
        <f t="array" aca="1" ref="D6" ca="1">MMULT(returns_vector_3,TRANSPOSE(F6:J6))</f>
        <v>3.5642037432253533E-2</v>
      </c>
      <c r="E6" s="9">
        <f t="shared" ca="1" si="0"/>
        <v>0.46239419991266578</v>
      </c>
      <c r="F6" s="9">
        <v>0.13758001393343658</v>
      </c>
      <c r="G6" s="9">
        <v>-0.20436866564697118</v>
      </c>
      <c r="H6" s="9">
        <v>0.18552171296552325</v>
      </c>
      <c r="I6" s="9">
        <v>0.87906259468049697</v>
      </c>
      <c r="J6" s="9">
        <v>2.2043440675143405E-3</v>
      </c>
      <c r="K6">
        <f t="shared" si="1"/>
        <v>1</v>
      </c>
    </row>
    <row r="7" spans="1:11" x14ac:dyDescent="0.25">
      <c r="A7">
        <v>4</v>
      </c>
      <c r="B7" t="s">
        <v>52</v>
      </c>
      <c r="C7" s="3" cm="1">
        <f t="array" aca="1" ref="C7" ca="1">SQRT(MMULT(MMULT(F7:J7,vcov2),TRANSPOSE(F7:J7)))</f>
        <v>6.3673749376876393E-2</v>
      </c>
      <c r="D7" s="3" cm="1">
        <f t="array" aca="1" ref="D7" ca="1">MMULT(returns_vector_3,TRANSPOSE(F7:J7))</f>
        <v>7.0967631466062636E-2</v>
      </c>
      <c r="E7" s="9">
        <f t="shared" ca="1" si="0"/>
        <v>0.95239282156191341</v>
      </c>
      <c r="F7" s="9">
        <v>0.28533251701111684</v>
      </c>
      <c r="G7" s="9">
        <v>-0.1922288596704676</v>
      </c>
      <c r="H7" s="9">
        <v>4.0004280446168876E-2</v>
      </c>
      <c r="I7" s="9">
        <v>0.74694695797130795</v>
      </c>
      <c r="J7" s="9">
        <v>0.11994510424187392</v>
      </c>
      <c r="K7">
        <f t="shared" si="1"/>
        <v>0.99999999999999989</v>
      </c>
    </row>
    <row r="8" spans="1:11" x14ac:dyDescent="0.25">
      <c r="A8">
        <v>5</v>
      </c>
      <c r="B8" t="s">
        <v>52</v>
      </c>
      <c r="C8" s="3" cm="1">
        <f t="array" aca="1" ref="C8" ca="1">SQRT(MMULT(MMULT(F8:J8,vcov2),TRANSPOSE(F8:J8)))</f>
        <v>8.185625614283526E-2</v>
      </c>
      <c r="D8" s="3" cm="1">
        <f t="array" aca="1" ref="D8" ca="1">MMULT(returns_vector_3,TRANSPOSE(F8:J8))</f>
        <v>0.10180036191001055</v>
      </c>
      <c r="E8" s="9">
        <f t="shared" ca="1" si="0"/>
        <v>1.1175096025989457</v>
      </c>
      <c r="F8" s="9">
        <v>0.41421324201058712</v>
      </c>
      <c r="G8" s="9">
        <v>-0.18241863215910956</v>
      </c>
      <c r="H8" s="9">
        <v>-8.920189981836521E-2</v>
      </c>
      <c r="I8" s="9">
        <v>0.63446946053396425</v>
      </c>
      <c r="J8" s="9">
        <v>0.22293782943292342</v>
      </c>
      <c r="K8">
        <f t="shared" si="1"/>
        <v>1</v>
      </c>
    </row>
    <row r="9" spans="1:11" ht="15.75" thickBot="1" x14ac:dyDescent="0.3">
      <c r="A9">
        <v>6</v>
      </c>
      <c r="B9" t="s">
        <v>52</v>
      </c>
      <c r="C9" s="3" cm="1">
        <f t="array" aca="1" ref="C9" ca="1">SQRT(MMULT(MMULT(F9:J9,vcov2),TRANSPOSE(F9:J9)))</f>
        <v>0.10465750918976512</v>
      </c>
      <c r="D9" s="3" cm="1">
        <f t="array" aca="1" ref="D9" ca="1">MMULT(returns_vector_3,TRANSPOSE(F9:J9))</f>
        <v>0.13262948333609659</v>
      </c>
      <c r="E9" s="9">
        <f t="shared" ca="1" si="0"/>
        <v>1.168614413292993</v>
      </c>
      <c r="F9" s="9">
        <v>0.54307537229169878</v>
      </c>
      <c r="G9" s="9">
        <v>-0.17125011129643669</v>
      </c>
      <c r="H9" s="9">
        <v>-0.21394450686670258</v>
      </c>
      <c r="I9" s="9">
        <v>0.51651176363240314</v>
      </c>
      <c r="J9" s="9">
        <v>0.32560748223903735</v>
      </c>
      <c r="K9">
        <f t="shared" si="1"/>
        <v>1</v>
      </c>
    </row>
    <row r="10" spans="1:11" ht="15.75" thickBot="1" x14ac:dyDescent="0.3">
      <c r="A10" s="16">
        <v>7</v>
      </c>
      <c r="B10" s="17" t="s">
        <v>39</v>
      </c>
      <c r="C10" s="18" cm="1">
        <f t="array" aca="1" ref="C10" ca="1">SQRT(MMULT(MMULT(F10:J10,vcov2),TRANSPOSE(F10:J10)))</f>
        <v>0.13719480918450483</v>
      </c>
      <c r="D10" s="18" cm="1">
        <f t="array" aca="1" ref="D10" ca="1">MMULT(returns_vector_3,TRANSPOSE(F10:J10))</f>
        <v>0.17244606150747624</v>
      </c>
      <c r="E10" s="19">
        <f t="shared" ca="1" si="0"/>
        <v>1.1816835697614239</v>
      </c>
      <c r="F10" s="20">
        <v>0.70960989004142916</v>
      </c>
      <c r="G10" s="20">
        <v>-0.15898008232269029</v>
      </c>
      <c r="H10" s="20">
        <v>-0.38256040247172979</v>
      </c>
      <c r="I10" s="20">
        <v>0.37328733201723052</v>
      </c>
      <c r="J10" s="20">
        <v>0.45864326273576062</v>
      </c>
      <c r="K10" s="21">
        <f t="shared" si="1"/>
        <v>1.0000000000000002</v>
      </c>
    </row>
    <row r="11" spans="1:11" x14ac:dyDescent="0.25">
      <c r="A11">
        <v>8</v>
      </c>
      <c r="B11" t="s">
        <v>50</v>
      </c>
      <c r="C11" s="3" cm="1">
        <f t="array" aca="1" ref="C11" ca="1">SQRT(MMULT(MMULT(F11:J11,vcov2),TRANSPOSE(F11:J11)))</f>
        <v>0.14700852989617896</v>
      </c>
      <c r="D11" s="3" cm="1">
        <f t="array" aca="1" ref="D11" ca="1">MMULT(returns_vector_3,TRANSPOSE(F11:J11))</f>
        <v>0.18401555706783748</v>
      </c>
      <c r="E11" s="9">
        <f t="shared" ca="1" si="0"/>
        <v>1.1814984310972205</v>
      </c>
      <c r="F11" s="9">
        <v>0.75798636736439751</v>
      </c>
      <c r="G11" s="9">
        <v>-0.15514157089800598</v>
      </c>
      <c r="H11" s="9">
        <v>-0.43060279354049502</v>
      </c>
      <c r="I11" s="9">
        <v>0.33051376428687967</v>
      </c>
      <c r="J11" s="9">
        <v>0.49724423278722346</v>
      </c>
      <c r="K11">
        <f t="shared" si="1"/>
        <v>0.99999999999999978</v>
      </c>
    </row>
    <row r="12" spans="1:11" x14ac:dyDescent="0.25">
      <c r="C12" s="3"/>
      <c r="D12" s="3"/>
      <c r="E12" s="9"/>
    </row>
    <row r="13" spans="1:11" x14ac:dyDescent="0.25">
      <c r="C13" s="3"/>
      <c r="D13" s="3"/>
      <c r="E13" s="9"/>
    </row>
    <row r="14" spans="1:11" x14ac:dyDescent="0.25">
      <c r="B14" t="s">
        <v>44</v>
      </c>
      <c r="C14" s="3"/>
      <c r="D14" s="3"/>
      <c r="E14" s="9"/>
    </row>
    <row r="15" spans="1:11" x14ac:dyDescent="0.25">
      <c r="C15" s="3"/>
      <c r="D15" s="3"/>
      <c r="E15" s="9"/>
    </row>
    <row r="16" spans="1:11" x14ac:dyDescent="0.25">
      <c r="C16" s="3"/>
      <c r="D16" s="3"/>
      <c r="E16" s="9"/>
      <c r="F16" t="s">
        <v>21</v>
      </c>
    </row>
    <row r="17" spans="1:11" x14ac:dyDescent="0.25">
      <c r="A17" t="s">
        <v>28</v>
      </c>
      <c r="B17" t="s">
        <v>29</v>
      </c>
      <c r="C17" s="3" t="s">
        <v>18</v>
      </c>
      <c r="D17" s="3" t="s">
        <v>22</v>
      </c>
      <c r="E17" s="9" t="s">
        <v>27</v>
      </c>
      <c r="F17" t="str" cm="1">
        <f t="array" ref="F17:I17">risky_assets</f>
        <v>SP500</v>
      </c>
      <c r="G17" t="str">
        <v>RUS2000</v>
      </c>
      <c r="H17" t="str">
        <v>LQD</v>
      </c>
      <c r="I17" t="str">
        <v>HYG</v>
      </c>
      <c r="J17" t="s">
        <v>45</v>
      </c>
    </row>
    <row r="18" spans="1:11" x14ac:dyDescent="0.25">
      <c r="A18">
        <v>1</v>
      </c>
      <c r="B18" t="s">
        <v>32</v>
      </c>
      <c r="C18" s="3" cm="1">
        <f t="array" aca="1" ref="C18" ca="1">SQRT(MMULT(MMULT(F18:J18,vcov2),TRANSPOSE(F18:J18)))</f>
        <v>6.7551101570209091E-2</v>
      </c>
      <c r="D18" s="3" cm="1">
        <f t="array" aca="1" ref="D18" ca="1">MMULT(returns_vector_3,TRANSPOSE(F18:J18))</f>
        <v>2.9999999818831179E-2</v>
      </c>
      <c r="E18" s="9">
        <f t="shared" ca="1" si="0"/>
        <v>0.29125787328262925</v>
      </c>
      <c r="F18">
        <v>3.2291865959310968E-3</v>
      </c>
      <c r="G18">
        <v>0</v>
      </c>
      <c r="H18">
        <v>0.61253017967788959</v>
      </c>
      <c r="I18">
        <v>0.38424063372617939</v>
      </c>
      <c r="J18">
        <v>0</v>
      </c>
      <c r="K18">
        <f>SUM(F18:J18)</f>
        <v>1</v>
      </c>
    </row>
    <row r="19" spans="1:11" x14ac:dyDescent="0.25">
      <c r="A19">
        <v>2</v>
      </c>
      <c r="B19" t="s">
        <v>33</v>
      </c>
      <c r="C19" s="3" cm="1">
        <f t="array" aca="1" ref="C19" ca="1">SQRT(MMULT(MMULT(F19:J19,vcov2),TRANSPOSE(F19:J19)))</f>
        <v>6.260275878551444E-2</v>
      </c>
      <c r="D19" s="3" cm="1">
        <f t="array" aca="1" ref="D19" ca="1">MMULT(returns_vector_3,TRANSPOSE(F19:J19))</f>
        <v>4.0000000127037784E-2</v>
      </c>
      <c r="E19" s="9">
        <f t="shared" ca="1" si="0"/>
        <v>0.47401729676346127</v>
      </c>
      <c r="F19">
        <v>0.10426952141960498</v>
      </c>
      <c r="G19">
        <v>0</v>
      </c>
      <c r="H19">
        <v>0.5042049731910152</v>
      </c>
      <c r="I19">
        <v>0.39152550538937997</v>
      </c>
      <c r="J19">
        <v>0</v>
      </c>
      <c r="K19">
        <f t="shared" ref="K19:K25" si="2">SUM(F19:J19)</f>
        <v>1.0000000000000002</v>
      </c>
    </row>
    <row r="20" spans="1:11" x14ac:dyDescent="0.25">
      <c r="A20">
        <v>3</v>
      </c>
      <c r="B20" t="s">
        <v>38</v>
      </c>
      <c r="C20" s="3" cm="1">
        <f t="array" aca="1" ref="C20" ca="1">SQRT(MMULT(MMULT(F20:J20,vcov2),TRANSPOSE(F20:J20)))</f>
        <v>6.1824215180460017E-2</v>
      </c>
      <c r="D20" s="3" cm="1">
        <f t="array" aca="1" ref="D20" ca="1">MMULT(returns_vector_3,TRANSPOSE(F20:J20))</f>
        <v>4.5663860685764023E-2</v>
      </c>
      <c r="E20" s="9">
        <f t="shared" ca="1" si="0"/>
        <v>0.57159886211284816</v>
      </c>
      <c r="F20">
        <v>0.16149735638122939</v>
      </c>
      <c r="G20">
        <v>0</v>
      </c>
      <c r="H20">
        <v>0.44285108818091906</v>
      </c>
      <c r="I20">
        <v>0.39565155543785147</v>
      </c>
      <c r="J20">
        <v>0</v>
      </c>
      <c r="K20">
        <f t="shared" si="2"/>
        <v>0.99999999999999989</v>
      </c>
    </row>
    <row r="21" spans="1:11" x14ac:dyDescent="0.25">
      <c r="A21">
        <v>4</v>
      </c>
      <c r="B21" t="s">
        <v>48</v>
      </c>
      <c r="C21" s="3" cm="1">
        <f t="array" aca="1" ref="C21" ca="1">SQRT(MMULT(MMULT(F21:J21,vcov2),TRANSPOSE(F21:J21)))</f>
        <v>6.8572602942098979E-2</v>
      </c>
      <c r="D21" s="3" cm="1">
        <f t="array" aca="1" ref="D21" ca="1">MMULT(returns_vector_3,TRANSPOSE(F21:J21))</f>
        <v>7.0586859313966299E-2</v>
      </c>
      <c r="E21" s="9">
        <f t="shared" ca="1" si="0"/>
        <v>0.87880067389678285</v>
      </c>
      <c r="F21">
        <v>0.28719201076848949</v>
      </c>
      <c r="G21">
        <v>0</v>
      </c>
      <c r="H21">
        <v>0.30385025597921456</v>
      </c>
      <c r="I21">
        <v>0.33628726552123572</v>
      </c>
      <c r="J21">
        <v>7.2670467731060395E-2</v>
      </c>
      <c r="K21">
        <f t="shared" si="2"/>
        <v>1</v>
      </c>
    </row>
    <row r="22" spans="1:11" x14ac:dyDescent="0.25">
      <c r="A22">
        <v>5</v>
      </c>
      <c r="B22" t="s">
        <v>37</v>
      </c>
      <c r="C22" s="3" cm="1">
        <f t="array" aca="1" ref="C22" ca="1">SQRT(MMULT(MMULT(F22:J22,vcov2),TRANSPOSE(F22:J22)))</f>
        <v>8.5325755488097871E-2</v>
      </c>
      <c r="D22" s="3" cm="1">
        <f t="array" aca="1" ref="D22" ca="1">MMULT(returns_vector_3,TRANSPOSE(F22:J22))</f>
        <v>0.10143755217018019</v>
      </c>
      <c r="E22" s="9">
        <f t="shared" ca="1" si="0"/>
        <v>1.0678175893244366</v>
      </c>
      <c r="F22">
        <v>0.41607621167114783</v>
      </c>
      <c r="G22">
        <v>0</v>
      </c>
      <c r="H22">
        <v>0.1601328915171526</v>
      </c>
      <c r="I22">
        <v>0.2457795984111954</v>
      </c>
      <c r="J22">
        <v>0.17801129840050434</v>
      </c>
      <c r="K22">
        <f t="shared" si="2"/>
        <v>1</v>
      </c>
    </row>
    <row r="23" spans="1:11" x14ac:dyDescent="0.25">
      <c r="A23">
        <v>6</v>
      </c>
      <c r="B23" t="s">
        <v>49</v>
      </c>
      <c r="C23" s="3" cm="1">
        <f t="array" aca="1" ref="C23" ca="1">SQRT(MMULT(MMULT(F23:J23,vcov2),TRANSPOSE(F23:J23)))</f>
        <v>0.10709363619799593</v>
      </c>
      <c r="D23" s="3" cm="1">
        <f t="array" aca="1" ref="D23" ca="1">MMULT(returns_vector_3,TRANSPOSE(F23:J23))</f>
        <v>0.13228720589327447</v>
      </c>
      <c r="E23" s="9">
        <f t="shared" ca="1" si="0"/>
        <v>1.1388351407752795</v>
      </c>
      <c r="F23">
        <v>0.54495816324433088</v>
      </c>
      <c r="G23">
        <v>0</v>
      </c>
      <c r="H23">
        <v>1.653882486579502E-2</v>
      </c>
      <c r="I23">
        <v>0.15515572862838031</v>
      </c>
      <c r="J23">
        <v>0.28334728326149378</v>
      </c>
      <c r="K23">
        <f t="shared" si="2"/>
        <v>1</v>
      </c>
    </row>
    <row r="24" spans="1:11" x14ac:dyDescent="0.25">
      <c r="A24">
        <v>7</v>
      </c>
      <c r="B24" t="s">
        <v>39</v>
      </c>
      <c r="C24" s="3" cm="1">
        <f t="array" aca="1" ref="C24" ca="1">SQRT(MMULT(MMULT(F24:J24,vcov2),TRANSPOSE(F24:J24)))</f>
        <v>0.12521054183623362</v>
      </c>
      <c r="D24" s="3" cm="1">
        <f t="array" aca="1" ref="D24" ca="1">MMULT(returns_vector_3,TRANSPOSE(F24:J24))</f>
        <v>0.15540919210697191</v>
      </c>
      <c r="E24" s="9">
        <f t="shared" ca="1" si="0"/>
        <v>1.1587201871479649</v>
      </c>
      <c r="F24">
        <v>0.63261277212304146</v>
      </c>
      <c r="G24">
        <v>0</v>
      </c>
      <c r="H24">
        <v>0</v>
      </c>
      <c r="I24">
        <v>0</v>
      </c>
      <c r="J24">
        <v>0.36738722787695854</v>
      </c>
      <c r="K24">
        <f t="shared" si="2"/>
        <v>1</v>
      </c>
    </row>
    <row r="25" spans="1:11" x14ac:dyDescent="0.25">
      <c r="A25">
        <v>8</v>
      </c>
      <c r="B25" t="s">
        <v>50</v>
      </c>
      <c r="C25" s="3" cm="1">
        <f t="array" aca="1" ref="C25" ca="1">SQRT(MMULT(MMULT(F25:J25,vcov2),TRANSPOSE(F25:J25)))</f>
        <v>0.20470627953808926</v>
      </c>
      <c r="D25" s="3" cm="1">
        <f t="array" aca="1" ref="D25" ca="1">MMULT(returns_vector_3,TRANSPOSE(F25:J25))</f>
        <v>0.18641210669823371</v>
      </c>
      <c r="E25" s="9">
        <f t="shared" ca="1" si="0"/>
        <v>0.86019294306932292</v>
      </c>
      <c r="F25">
        <v>0.20599236881904343</v>
      </c>
      <c r="G25">
        <v>0</v>
      </c>
      <c r="H25">
        <v>0</v>
      </c>
      <c r="I25">
        <v>0</v>
      </c>
      <c r="J25">
        <v>0.79400763118095663</v>
      </c>
      <c r="K25">
        <f t="shared" si="2"/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8A8-28D8-4DE4-932A-25A5559747AF}">
  <dimension ref="A3:Y53"/>
  <sheetViews>
    <sheetView topLeftCell="A15" zoomScale="90" zoomScaleNormal="90" workbookViewId="0">
      <selection activeCell="W47" sqref="W47"/>
    </sheetView>
  </sheetViews>
  <sheetFormatPr defaultRowHeight="15" x14ac:dyDescent="0.25"/>
  <cols>
    <col min="11" max="11" width="16.7109375" customWidth="1"/>
    <col min="12" max="15" width="9.140625" customWidth="1"/>
    <col min="16" max="16" width="12.140625" customWidth="1"/>
    <col min="17" max="17" width="11.5703125" customWidth="1"/>
  </cols>
  <sheetData>
    <row r="3" spans="1:25" x14ac:dyDescent="0.25">
      <c r="F3" t="s">
        <v>21</v>
      </c>
      <c r="T3" t="s">
        <v>21</v>
      </c>
    </row>
    <row r="4" spans="1:25" x14ac:dyDescent="0.25">
      <c r="A4" t="s">
        <v>28</v>
      </c>
      <c r="B4" t="s">
        <v>29</v>
      </c>
      <c r="C4" t="s">
        <v>18</v>
      </c>
      <c r="D4" t="s">
        <v>22</v>
      </c>
      <c r="E4" t="s">
        <v>27</v>
      </c>
      <c r="F4" t="str" cm="1">
        <f t="array" ref="F4:I4">risky_assets</f>
        <v>SP500</v>
      </c>
      <c r="G4" t="str">
        <v>RUS2000</v>
      </c>
      <c r="H4" t="str">
        <v>LQD</v>
      </c>
      <c r="I4" t="str">
        <v>HYG</v>
      </c>
      <c r="O4" t="s">
        <v>28</v>
      </c>
      <c r="P4" t="s">
        <v>29</v>
      </c>
      <c r="Q4" t="s">
        <v>18</v>
      </c>
      <c r="R4" t="s">
        <v>22</v>
      </c>
      <c r="S4" t="s">
        <v>27</v>
      </c>
      <c r="T4" t="str" cm="1">
        <f t="array" ref="T4:W4">risky_assets</f>
        <v>SP500</v>
      </c>
      <c r="U4" t="str">
        <v>RUS2000</v>
      </c>
      <c r="V4" t="str">
        <v>LQD</v>
      </c>
      <c r="W4" t="str">
        <v>HYG</v>
      </c>
      <c r="X4" t="s">
        <v>45</v>
      </c>
    </row>
    <row r="5" spans="1:25" x14ac:dyDescent="0.25">
      <c r="A5">
        <v>1</v>
      </c>
      <c r="B5" t="s">
        <v>30</v>
      </c>
      <c r="C5" s="3" cm="1">
        <f t="array" ref="C5">SQRT(MMULT(MMULT(weights_t1,vcov1),TRANSPOSE(weights_t1)))</f>
        <v>6.6144570042579107E-2</v>
      </c>
      <c r="D5" s="3" cm="1">
        <f t="array" ref="D5">MMULT(vector_returns_risky_assets1,TRANSPOSE(weights_t1))</f>
        <v>1.0000000705466035E-2</v>
      </c>
      <c r="E5" s="9">
        <f t="shared" ref="E5:E14" si="0">(D5-rf)/C5</f>
        <v>-4.9166383864589561E-3</v>
      </c>
      <c r="F5" s="9">
        <v>-6.2612836133519062E-2</v>
      </c>
      <c r="G5" s="9">
        <v>-0.34302180957616674</v>
      </c>
      <c r="H5" s="9">
        <v>0.20802586667600956</v>
      </c>
      <c r="I5" s="9">
        <v>1.1976097790336762</v>
      </c>
      <c r="J5" s="9">
        <f>SUM(weights_t1)</f>
        <v>1.0000009999999999</v>
      </c>
      <c r="O5">
        <v>1</v>
      </c>
      <c r="P5" t="s">
        <v>31</v>
      </c>
      <c r="Q5" s="3" cm="1">
        <f t="array" aca="1" ref="Q5" ca="1">SQRT(MMULT(MMULT(T5:X5,vcov2),TRANSPOSE(T5:X5)))</f>
        <v>5.6699084262854596E-2</v>
      </c>
      <c r="R5" s="3" cm="1">
        <f t="array" aca="1" ref="R5" ca="1">MMULT(returns_vector_3,TRANSPOSE(T5:X5))</f>
        <v>1.9585269039527779E-2</v>
      </c>
      <c r="S5" s="9">
        <f t="shared" ref="S5:S12" ca="1" si="1">(R5-rf)/Q5</f>
        <v>0.16331938200280849</v>
      </c>
      <c r="T5" s="9">
        <v>7.0458480288427203E-2</v>
      </c>
      <c r="U5" s="9">
        <v>-0.20979333761896743</v>
      </c>
      <c r="V5" s="9">
        <v>0.25164326967253553</v>
      </c>
      <c r="W5" s="9">
        <v>0.93904749550999245</v>
      </c>
      <c r="X5" s="9">
        <v>-5.1355907851988021E-2</v>
      </c>
      <c r="Y5">
        <f>SUM(T5:X5)</f>
        <v>0.99999999999999978</v>
      </c>
    </row>
    <row r="6" spans="1:25" x14ac:dyDescent="0.25">
      <c r="A6">
        <v>2</v>
      </c>
      <c r="B6" t="s">
        <v>31</v>
      </c>
      <c r="C6" s="3" cm="1">
        <f t="array" ref="C6">SQRT(MMULT(MMULT(weights_t2,vcov1),TRANSPOSE(weights_t2)))</f>
        <v>5.9162242398370424E-2</v>
      </c>
      <c r="D6" s="3" cm="1">
        <f t="array" ref="D6">MMULT(vector_returns_risky_assets1,TRANSPOSE(weights_t2))</f>
        <v>2.0000001257573875E-2</v>
      </c>
      <c r="E6" s="9">
        <f t="shared" si="0"/>
        <v>0.16352983301131868</v>
      </c>
      <c r="F6" s="9">
        <v>1.6408318088164637E-2</v>
      </c>
      <c r="G6" s="9">
        <v>-0.28758122968948846</v>
      </c>
      <c r="H6" s="9">
        <v>0.20008797235479633</v>
      </c>
      <c r="I6" s="9">
        <v>1.0710849392465274</v>
      </c>
      <c r="J6" s="9">
        <f>SUM(weights_t2)</f>
        <v>0.99999999999999989</v>
      </c>
      <c r="O6">
        <v>2</v>
      </c>
      <c r="P6" t="s">
        <v>32</v>
      </c>
      <c r="Q6" s="3" cm="1">
        <f t="array" aca="1" ref="Q6" ca="1">SQRT(MMULT(MMULT(T6:X6,vcov2),TRANSPOSE(T6:X6)))</f>
        <v>5.5006059534714095E-2</v>
      </c>
      <c r="R6" s="3" cm="1">
        <f t="array" aca="1" ref="R6" ca="1">MMULT(returns_vector_3,TRANSPOSE(T6:X6))</f>
        <v>2.9862103471121459E-2</v>
      </c>
      <c r="S6" s="9">
        <f t="shared" ca="1" si="1"/>
        <v>0.35517712046249383</v>
      </c>
      <c r="T6" s="9">
        <v>0.11341851984303297</v>
      </c>
      <c r="U6" s="9">
        <v>-0.2063218430795849</v>
      </c>
      <c r="V6" s="9">
        <v>0.20931992595679508</v>
      </c>
      <c r="W6" s="9">
        <v>0.90065904898557281</v>
      </c>
      <c r="X6" s="9">
        <v>-1.7075651705816063E-2</v>
      </c>
      <c r="Y6">
        <f t="shared" ref="Y6:Y12" si="2">SUM(T6:X6)</f>
        <v>0.99999999999999989</v>
      </c>
    </row>
    <row r="7" spans="1:25" x14ac:dyDescent="0.25">
      <c r="A7">
        <v>3</v>
      </c>
      <c r="B7" t="s">
        <v>32</v>
      </c>
      <c r="C7" s="3" cm="1">
        <f t="array" ref="C7">SQRT(MMULT(MMULT(weights_t3,vcov1),TRANSPOSE(weights_t3)))</f>
        <v>5.5293667876082447E-2</v>
      </c>
      <c r="D7" s="3" cm="1">
        <f t="array" ref="D7">MMULT(vector_returns_risky_assets1,TRANSPOSE(weights_t3))</f>
        <v>3.0000001092576528E-2</v>
      </c>
      <c r="E7" s="9">
        <f t="shared" si="0"/>
        <v>0.35582359085087489</v>
      </c>
      <c r="F7" s="9">
        <v>9.5429106716489076E-2</v>
      </c>
      <c r="G7" s="9">
        <v>-0.23214050505740993</v>
      </c>
      <c r="H7" s="9">
        <v>0.19215201366344292</v>
      </c>
      <c r="I7" s="9">
        <v>0.94455938467747791</v>
      </c>
      <c r="J7" s="9">
        <f>SUM(weights_t3)</f>
        <v>1</v>
      </c>
      <c r="O7">
        <v>3</v>
      </c>
      <c r="P7" t="s">
        <v>38</v>
      </c>
      <c r="Q7" s="3" cm="1">
        <f t="array" aca="1" ref="Q7" ca="1">SQRT(MMULT(MMULT(T7:X7,vcov2),TRANSPOSE(T7:X7)))</f>
        <v>5.4751611935102168E-2</v>
      </c>
      <c r="R7" s="3" cm="1">
        <f t="array" aca="1" ref="R7" ca="1">MMULT(returns_vector_3,TRANSPOSE(T7:X7))</f>
        <v>3.5642037432253533E-2</v>
      </c>
      <c r="S7" s="9">
        <f t="shared" ca="1" si="1"/>
        <v>0.46239419991266578</v>
      </c>
      <c r="T7" s="9">
        <v>0.13758001393343658</v>
      </c>
      <c r="U7" s="9">
        <v>-0.20436866564697118</v>
      </c>
      <c r="V7" s="9">
        <v>0.18552171296552325</v>
      </c>
      <c r="W7" s="9">
        <v>0.87906259468049697</v>
      </c>
      <c r="X7" s="9">
        <v>2.2043440675143405E-3</v>
      </c>
      <c r="Y7">
        <f t="shared" si="2"/>
        <v>1</v>
      </c>
    </row>
    <row r="8" spans="1:25" x14ac:dyDescent="0.25">
      <c r="A8">
        <v>4</v>
      </c>
      <c r="B8" t="s">
        <v>38</v>
      </c>
      <c r="C8" s="10" cm="1">
        <f t="array" ref="C8">SQRT(MMULT(MMULT(weights_mvp,vcov1),TRANSPOSE(weights_mvp)))</f>
        <v>5.4753278189324558E-2</v>
      </c>
      <c r="D8" s="12" cm="1">
        <f t="array" ref="D8">MMULT(vector_returns_risky_assets1,TRANSPOSE(weights_mvp))</f>
        <v>3.5240908031090548E-2</v>
      </c>
      <c r="E8" s="9">
        <f t="shared" si="0"/>
        <v>0.45505400256299627</v>
      </c>
      <c r="F8" s="9">
        <v>0.13684321382682116</v>
      </c>
      <c r="G8" s="9">
        <v>-0.20308465432823428</v>
      </c>
      <c r="H8" s="9">
        <v>0.18799280240960234</v>
      </c>
      <c r="I8" s="9">
        <v>0.87824863809181086</v>
      </c>
      <c r="J8" s="9">
        <f>SUM(weights_mvp)</f>
        <v>1</v>
      </c>
      <c r="O8">
        <v>4</v>
      </c>
      <c r="P8" t="s">
        <v>52</v>
      </c>
      <c r="Q8" s="3" cm="1">
        <f t="array" aca="1" ref="Q8" ca="1">SQRT(MMULT(MMULT(T8:X8,vcov2),TRANSPOSE(T8:X8)))</f>
        <v>6.3673749376876393E-2</v>
      </c>
      <c r="R8" s="3" cm="1">
        <f t="array" aca="1" ref="R8" ca="1">MMULT(returns_vector_3,TRANSPOSE(T8:X8))</f>
        <v>7.0967631466062636E-2</v>
      </c>
      <c r="S8" s="9">
        <f t="shared" ca="1" si="1"/>
        <v>0.95239282156191341</v>
      </c>
      <c r="T8" s="9">
        <v>0.28533251701111684</v>
      </c>
      <c r="U8" s="9">
        <v>-0.1922288596704676</v>
      </c>
      <c r="V8" s="9">
        <v>4.0004280446168876E-2</v>
      </c>
      <c r="W8" s="9">
        <v>0.74694695797130795</v>
      </c>
      <c r="X8" s="9">
        <v>0.11994510424187392</v>
      </c>
      <c r="Y8">
        <f t="shared" si="2"/>
        <v>0.99999999999999989</v>
      </c>
    </row>
    <row r="9" spans="1:25" x14ac:dyDescent="0.25">
      <c r="A9">
        <v>5</v>
      </c>
      <c r="B9" t="s">
        <v>33</v>
      </c>
      <c r="C9" s="3" cm="1">
        <f t="array" ref="C9">SQRT(MMULT(MMULT(weights_t4,vcov1),TRANSPOSE(weights_t4)))</f>
        <v>5.5197378270279929E-2</v>
      </c>
      <c r="D9" s="3" cm="1">
        <f t="array" ref="D9">MMULT(vector_returns_risky_assets1,TRANSPOSE(weights_t4))</f>
        <v>4.0000000927579993E-2</v>
      </c>
      <c r="E9" s="9">
        <f t="shared" si="0"/>
        <v>0.53761233268509545</v>
      </c>
      <c r="F9" s="9">
        <v>0.17444999121627289</v>
      </c>
      <c r="G9" s="9">
        <v>-0.17670002231223456</v>
      </c>
      <c r="H9" s="9">
        <v>0.18421576716378427</v>
      </c>
      <c r="I9" s="9">
        <v>0.81803426393217749</v>
      </c>
      <c r="J9" s="9">
        <f>SUM(weights_t4)</f>
        <v>1</v>
      </c>
      <c r="O9">
        <v>5</v>
      </c>
      <c r="P9" t="s">
        <v>52</v>
      </c>
      <c r="Q9" s="3" cm="1">
        <f t="array" aca="1" ref="Q9" ca="1">SQRT(MMULT(MMULT(T9:X9,vcov2),TRANSPOSE(T9:X9)))</f>
        <v>8.185625614283526E-2</v>
      </c>
      <c r="R9" s="3" cm="1">
        <f t="array" aca="1" ref="R9" ca="1">MMULT(returns_vector_3,TRANSPOSE(T9:X9))</f>
        <v>0.10180036191001055</v>
      </c>
      <c r="S9" s="9">
        <f t="shared" ca="1" si="1"/>
        <v>1.1175096025989457</v>
      </c>
      <c r="T9" s="9">
        <v>0.41421324201058712</v>
      </c>
      <c r="U9" s="9">
        <v>-0.18241863215910956</v>
      </c>
      <c r="V9" s="9">
        <v>-8.920189981836521E-2</v>
      </c>
      <c r="W9" s="9">
        <v>0.63446946053396425</v>
      </c>
      <c r="X9" s="9">
        <v>0.22293782943292342</v>
      </c>
      <c r="Y9">
        <f t="shared" si="2"/>
        <v>1</v>
      </c>
    </row>
    <row r="10" spans="1:25" ht="15.75" thickBot="1" x14ac:dyDescent="0.3">
      <c r="A10">
        <v>6</v>
      </c>
      <c r="B10" t="s">
        <v>34</v>
      </c>
      <c r="C10" s="3" cm="1">
        <f t="array" ref="C10">SQRT(MMULT(MMULT(weights_t5,vcov1),TRANSPOSE(weights_t5)))</f>
        <v>5.8891879827607733E-2</v>
      </c>
      <c r="D10" s="3" cm="1">
        <f t="array" ref="D10">MMULT(vector_returns_risky_assets1,TRANSPOSE(weights_t5))</f>
        <v>5.000000076258429E-2</v>
      </c>
      <c r="E10" s="9">
        <f t="shared" si="0"/>
        <v>0.67368865183332238</v>
      </c>
      <c r="F10" s="9">
        <v>0.25347088608844937</v>
      </c>
      <c r="G10" s="9">
        <v>-0.12125956414145583</v>
      </c>
      <c r="H10" s="9">
        <v>0.17627901517290778</v>
      </c>
      <c r="I10" s="9">
        <v>0.69150966288009841</v>
      </c>
      <c r="J10" s="9">
        <f>SUM(weights_t5)</f>
        <v>0.99999999999999978</v>
      </c>
      <c r="O10">
        <v>6</v>
      </c>
      <c r="P10" t="s">
        <v>52</v>
      </c>
      <c r="Q10" s="3" cm="1">
        <f t="array" aca="1" ref="Q10" ca="1">SQRT(MMULT(MMULT(T10:X10,vcov2),TRANSPOSE(T10:X10)))</f>
        <v>0.10465750918976512</v>
      </c>
      <c r="R10" s="3" cm="1">
        <f t="array" aca="1" ref="R10" ca="1">MMULT(returns_vector_3,TRANSPOSE(T10:X10))</f>
        <v>0.13262948333609659</v>
      </c>
      <c r="S10" s="9">
        <f t="shared" ca="1" si="1"/>
        <v>1.168614413292993</v>
      </c>
      <c r="T10" s="9">
        <v>0.54307537229169878</v>
      </c>
      <c r="U10" s="9">
        <v>-0.17125011129643669</v>
      </c>
      <c r="V10" s="9">
        <v>-0.21394450686670258</v>
      </c>
      <c r="W10" s="9">
        <v>0.51651176363240314</v>
      </c>
      <c r="X10" s="9">
        <v>0.32560748223903735</v>
      </c>
      <c r="Y10">
        <f t="shared" si="2"/>
        <v>1</v>
      </c>
    </row>
    <row r="11" spans="1:25" ht="15.75" thickBot="1" x14ac:dyDescent="0.3">
      <c r="A11">
        <v>7</v>
      </c>
      <c r="B11" t="s">
        <v>35</v>
      </c>
      <c r="C11" s="3" cm="1">
        <f t="array" ref="C11">SQRT(MMULT(MMULT(weights_t6,vcov1),TRANSPOSE(weights_t6)))</f>
        <v>6.5741147935046609E-2</v>
      </c>
      <c r="D11" s="3" cm="1">
        <f t="array" ref="D11">MMULT(vector_returns_risky_assets1,TRANSPOSE(weights_t6))</f>
        <v>6.0000000597588261E-2</v>
      </c>
      <c r="E11" s="9">
        <f t="shared" si="0"/>
        <v>0.75561185833071565</v>
      </c>
      <c r="F11" s="9">
        <v>0.33249178294490489</v>
      </c>
      <c r="G11" s="9">
        <v>-6.58191117220841E-2</v>
      </c>
      <c r="H11" s="9">
        <v>0.16834247872045979</v>
      </c>
      <c r="I11" s="9">
        <v>0.56498485005671939</v>
      </c>
      <c r="J11" s="9">
        <f>SUM(weights_t6)</f>
        <v>1</v>
      </c>
      <c r="O11" s="16">
        <v>7</v>
      </c>
      <c r="P11" s="17" t="s">
        <v>39</v>
      </c>
      <c r="Q11" s="18" cm="1">
        <f t="array" aca="1" ref="Q11" ca="1">SQRT(MMULT(MMULT(T11:X11,vcov2),TRANSPOSE(T11:X11)))</f>
        <v>0.13719480918450483</v>
      </c>
      <c r="R11" s="18" cm="1">
        <f t="array" aca="1" ref="R11" ca="1">MMULT(returns_vector_3,TRANSPOSE(T11:X11))</f>
        <v>0.17244606150747624</v>
      </c>
      <c r="S11" s="19">
        <f t="shared" ca="1" si="1"/>
        <v>1.1816835697614239</v>
      </c>
      <c r="T11" s="20">
        <v>0.70960989004142916</v>
      </c>
      <c r="U11" s="20">
        <v>-0.15898008232269029</v>
      </c>
      <c r="V11" s="20">
        <v>-0.38256040247172979</v>
      </c>
      <c r="W11" s="20">
        <v>0.37328733201723052</v>
      </c>
      <c r="X11" s="20">
        <v>0.45864326273576062</v>
      </c>
      <c r="Y11" s="21">
        <f t="shared" si="2"/>
        <v>1.0000000000000002</v>
      </c>
    </row>
    <row r="12" spans="1:25" ht="15.75" thickBot="1" x14ac:dyDescent="0.3">
      <c r="A12" s="16">
        <v>8</v>
      </c>
      <c r="B12" s="17" t="s">
        <v>39</v>
      </c>
      <c r="C12" s="18" cm="1">
        <f t="array" ref="C12">SQRT(MMULT(MMULT(weights_maxsharpe,vcov1),TRANSPOSE(weights_maxsharpe)))</f>
        <v>9.8433093217883488E-2</v>
      </c>
      <c r="D12" s="18" cm="1">
        <f t="array" ref="D12">MMULT(vector_returns_risky_assets1,TRANSPOSE(weights_maxsharpe))</f>
        <v>9.0894531191502717E-2</v>
      </c>
      <c r="E12" s="19">
        <f t="shared" si="0"/>
        <v>0.81851863961612803</v>
      </c>
      <c r="F12" s="20">
        <v>0.57662309264270617</v>
      </c>
      <c r="G12" s="20">
        <v>0.10546168561646181</v>
      </c>
      <c r="H12" s="20">
        <v>0.14382204349398253</v>
      </c>
      <c r="I12" s="20">
        <v>0.17409317824684939</v>
      </c>
      <c r="J12" s="27">
        <f>SUM(F12:I12)</f>
        <v>1</v>
      </c>
      <c r="O12">
        <v>8</v>
      </c>
      <c r="P12" t="s">
        <v>50</v>
      </c>
      <c r="Q12" s="3" cm="1">
        <f t="array" aca="1" ref="Q12" ca="1">SQRT(MMULT(MMULT(T12:X12,vcov2),TRANSPOSE(T12:X12)))</f>
        <v>0.14700852989617896</v>
      </c>
      <c r="R12" s="3" cm="1">
        <f t="array" aca="1" ref="R12" ca="1">MMULT(returns_vector_3,TRANSPOSE(T12:X12))</f>
        <v>0.18401555706783748</v>
      </c>
      <c r="S12" s="9">
        <f t="shared" ca="1" si="1"/>
        <v>1.1814984310972205</v>
      </c>
      <c r="T12" s="9">
        <v>0.75798636736439751</v>
      </c>
      <c r="U12" s="9">
        <v>-0.15514157089800598</v>
      </c>
      <c r="V12" s="9">
        <v>-0.43060279354049502</v>
      </c>
      <c r="W12" s="9">
        <v>0.33051376428687967</v>
      </c>
      <c r="X12" s="9">
        <v>0.49724423278722346</v>
      </c>
      <c r="Y12">
        <f t="shared" si="2"/>
        <v>0.99999999999999978</v>
      </c>
    </row>
    <row r="13" spans="1:25" x14ac:dyDescent="0.25">
      <c r="A13">
        <v>9</v>
      </c>
      <c r="B13" t="s">
        <v>37</v>
      </c>
      <c r="C13" s="3" cm="1">
        <f t="array" ref="C13">SQRT(MMULT(MMULT(weights_t10,vcov1),TRANSPOSE(weights_t10)))</f>
        <v>0.1098084670059081</v>
      </c>
      <c r="D13" s="3" cm="1">
        <f t="array" ref="D13">MMULT(vector_returns_risky_assets1,TRANSPOSE(weights_t10))</f>
        <v>9.9999999933960887E-2</v>
      </c>
      <c r="E13" s="9">
        <f t="shared" si="0"/>
        <v>0.81664732002444629</v>
      </c>
      <c r="F13" s="9">
        <v>0.6485753634101824</v>
      </c>
      <c r="G13" s="9">
        <v>0.15594271674948565</v>
      </c>
      <c r="H13" s="9">
        <v>0.13659595971777819</v>
      </c>
      <c r="I13" s="9">
        <v>5.8885960122553746E-2</v>
      </c>
      <c r="J13" s="9">
        <f>SUM(weights_t10)</f>
        <v>1</v>
      </c>
    </row>
    <row r="14" spans="1:25" x14ac:dyDescent="0.25">
      <c r="A14">
        <v>10</v>
      </c>
      <c r="B14" t="s">
        <v>40</v>
      </c>
      <c r="C14" s="3" cm="1">
        <f t="array" ref="C14">SQRT(MMULT(MMULT(weights_t11,vcov1),TRANSPOSE(weights_t11)))</f>
        <v>0.12276911196468381</v>
      </c>
      <c r="D14" s="3" cm="1">
        <f t="array" ref="D14">MMULT(vector_returns_risky_assets1,TRANSPOSE(weights_t11))</f>
        <v>0.10999999977254724</v>
      </c>
      <c r="E14" s="9">
        <f t="shared" si="0"/>
        <v>0.81188817398652224</v>
      </c>
      <c r="F14" s="9">
        <v>0.72759625613069034</v>
      </c>
      <c r="G14" s="9">
        <v>0.21138317991286165</v>
      </c>
      <c r="H14" s="9">
        <v>0.12865937107300918</v>
      </c>
      <c r="I14" s="9">
        <v>-6.7638807116561117E-2</v>
      </c>
      <c r="J14" s="9">
        <f>SUM(weights_t11)</f>
        <v>1</v>
      </c>
    </row>
    <row r="46" spans="11:17" ht="18.75" x14ac:dyDescent="0.3">
      <c r="K46" s="66" t="s">
        <v>57</v>
      </c>
      <c r="L46" s="60"/>
      <c r="M46" s="60"/>
      <c r="N46" s="60"/>
      <c r="O46" s="60"/>
      <c r="P46" s="60"/>
      <c r="Q46" s="53"/>
    </row>
    <row r="47" spans="11:17" x14ac:dyDescent="0.25">
      <c r="K47" s="61"/>
      <c r="L47" s="2"/>
      <c r="M47" s="64" t="s">
        <v>70</v>
      </c>
      <c r="N47" s="2"/>
      <c r="O47" s="64" t="s">
        <v>70</v>
      </c>
      <c r="P47" s="2"/>
      <c r="Q47" s="64" t="s">
        <v>70</v>
      </c>
    </row>
    <row r="48" spans="11:17" x14ac:dyDescent="0.25">
      <c r="K48" s="64" t="s">
        <v>67</v>
      </c>
      <c r="L48" s="65" t="s">
        <v>69</v>
      </c>
      <c r="M48" s="50" t="s">
        <v>69</v>
      </c>
      <c r="N48" s="65" t="s">
        <v>68</v>
      </c>
      <c r="O48" s="50" t="s">
        <v>68</v>
      </c>
      <c r="P48" s="65" t="s">
        <v>27</v>
      </c>
      <c r="Q48" s="50" t="s">
        <v>27</v>
      </c>
    </row>
    <row r="49" spans="11:17" x14ac:dyDescent="0.25">
      <c r="K49" s="62" t="s">
        <v>31</v>
      </c>
      <c r="L49" s="54">
        <f>C6</f>
        <v>5.9162242398370424E-2</v>
      </c>
      <c r="M49" s="43">
        <f ca="1">Q5</f>
        <v>5.6699084262854596E-2</v>
      </c>
      <c r="N49" s="54">
        <f>D6</f>
        <v>2.0000001257573875E-2</v>
      </c>
      <c r="O49" s="43">
        <f ca="1">R5</f>
        <v>1.9585269039527779E-2</v>
      </c>
      <c r="P49" s="57">
        <f>E6</f>
        <v>0.16352983301131868</v>
      </c>
      <c r="Q49" s="51">
        <f ca="1">S5</f>
        <v>0.16331938200280849</v>
      </c>
    </row>
    <row r="50" spans="11:17" x14ac:dyDescent="0.25">
      <c r="K50" s="62" t="s">
        <v>32</v>
      </c>
      <c r="L50" s="54">
        <f>C7</f>
        <v>5.5293667876082447E-2</v>
      </c>
      <c r="M50" s="43">
        <f ca="1">Q6</f>
        <v>5.5006059534714095E-2</v>
      </c>
      <c r="N50" s="54">
        <f>D7</f>
        <v>3.0000001092576528E-2</v>
      </c>
      <c r="O50" s="43">
        <f t="shared" ref="O50:O51" ca="1" si="3">R6</f>
        <v>2.9862103471121459E-2</v>
      </c>
      <c r="P50" s="57">
        <f t="shared" ref="P50:P51" si="4">E7</f>
        <v>0.35582359085087489</v>
      </c>
      <c r="Q50" s="51">
        <f t="shared" ref="Q50:Q51" ca="1" si="5">S6</f>
        <v>0.35517712046249383</v>
      </c>
    </row>
    <row r="51" spans="11:17" x14ac:dyDescent="0.25">
      <c r="K51" s="62" t="s">
        <v>71</v>
      </c>
      <c r="L51" s="54">
        <f>C8</f>
        <v>5.4753278189324558E-2</v>
      </c>
      <c r="M51" s="43">
        <f ca="1">Q7</f>
        <v>5.4751611935102168E-2</v>
      </c>
      <c r="N51" s="54">
        <f>D8</f>
        <v>3.5240908031090548E-2</v>
      </c>
      <c r="O51" s="43">
        <f t="shared" ca="1" si="3"/>
        <v>3.5642037432253533E-2</v>
      </c>
      <c r="P51" s="57">
        <f t="shared" si="4"/>
        <v>0.45505400256299627</v>
      </c>
      <c r="Q51" s="51">
        <f t="shared" ca="1" si="5"/>
        <v>0.46239419991266578</v>
      </c>
    </row>
    <row r="52" spans="11:17" x14ac:dyDescent="0.25">
      <c r="K52" s="62" t="s">
        <v>37</v>
      </c>
      <c r="L52" s="54">
        <f>C13</f>
        <v>0.1098084670059081</v>
      </c>
      <c r="M52" s="43">
        <f ca="1">Q9</f>
        <v>8.185625614283526E-2</v>
      </c>
      <c r="N52" s="54">
        <f>D13</f>
        <v>9.9999999933960887E-2</v>
      </c>
      <c r="O52" s="43">
        <f ca="1">R9</f>
        <v>0.10180036191001055</v>
      </c>
      <c r="P52" s="57">
        <f>E13</f>
        <v>0.81664732002444629</v>
      </c>
      <c r="Q52" s="51">
        <f ca="1">S9</f>
        <v>1.1175096025989457</v>
      </c>
    </row>
    <row r="53" spans="11:17" x14ac:dyDescent="0.25">
      <c r="K53" s="63" t="s">
        <v>72</v>
      </c>
      <c r="L53" s="55">
        <f>C12</f>
        <v>9.8433093217883488E-2</v>
      </c>
      <c r="M53" s="56">
        <f ca="1">Q11</f>
        <v>0.13719480918450483</v>
      </c>
      <c r="N53" s="55">
        <f>D12</f>
        <v>9.0894531191502717E-2</v>
      </c>
      <c r="O53" s="56">
        <f ca="1">R11</f>
        <v>0.17244606150747624</v>
      </c>
      <c r="P53" s="58">
        <f>E12</f>
        <v>0.81851863961612803</v>
      </c>
      <c r="Q53" s="59">
        <f ca="1">S11</f>
        <v>1.1816835697614239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D85F-E0F2-49A5-955B-AAD093AB2198}">
  <dimension ref="A4:P30"/>
  <sheetViews>
    <sheetView workbookViewId="0">
      <selection activeCell="N23" sqref="N23"/>
    </sheetView>
  </sheetViews>
  <sheetFormatPr defaultRowHeight="15" x14ac:dyDescent="0.25"/>
  <sheetData>
    <row r="4" spans="1:8" x14ac:dyDescent="0.25">
      <c r="A4" s="2" t="s">
        <v>17</v>
      </c>
      <c r="B4" t="str" cm="1">
        <f t="array" ref="B4:E4">risky_assets</f>
        <v>SP500</v>
      </c>
      <c r="C4" t="str">
        <v>RUS2000</v>
      </c>
      <c r="D4" t="str">
        <v>LQD</v>
      </c>
      <c r="E4" t="str">
        <v>HYG</v>
      </c>
      <c r="F4" t="s">
        <v>45</v>
      </c>
      <c r="G4" t="s">
        <v>51</v>
      </c>
    </row>
    <row r="5" spans="1:8" x14ac:dyDescent="0.25">
      <c r="A5" s="2"/>
    </row>
    <row r="6" spans="1:8" x14ac:dyDescent="0.25">
      <c r="A6" s="2" t="s">
        <v>13</v>
      </c>
      <c r="B6" s="3">
        <f>(1+((Monthly_Prices!B62-Monthly_Prices!B3)/Monthly_Prices!B3))^(1/59)-1</f>
        <v>1.0140747788909499E-2</v>
      </c>
      <c r="C6" s="3">
        <f>(1+((Monthly_Prices!C62-Monthly_Prices!C3)/Monthly_Prices!C3))^(1/59)-1</f>
        <v>5.5542628251032955E-3</v>
      </c>
      <c r="D6" s="3">
        <f>(1+((Monthly_Prices!D62-Monthly_Prices!D3)/Monthly_Prices!D3))^(1/59)-1</f>
        <v>2.444444973567883E-3</v>
      </c>
      <c r="E6" s="3">
        <f>(1+((Monthly_Prices!E62-Monthly_Prices!E3)/Monthly_Prices!E3))^(1/59)-1</f>
        <v>2.4337682975312802E-3</v>
      </c>
      <c r="F6" s="3">
        <f ca="1">(1+((Monthly_Prices!G62-Monthly_Prices!G3)/Monthly_Prices!G3))^(1/59)-1</f>
        <v>1.5406844413397014E-2</v>
      </c>
      <c r="G6" s="3">
        <f ca="1">(1+((Monthly_Prices!H62-Monthly_Prices!H3)/Monthly_Prices!H3))^(1/59)-1</f>
        <v>8.05496927381677E-3</v>
      </c>
    </row>
    <row r="7" spans="1:8" x14ac:dyDescent="0.25">
      <c r="A7" s="2" t="s">
        <v>14</v>
      </c>
      <c r="B7" s="5">
        <f>_xlfn.STDEV.P(Monthly_Returns!B4:B62)</f>
        <v>4.5858281401587479E-2</v>
      </c>
      <c r="C7" s="5">
        <f>_xlfn.STDEV.P(Monthly_Returns!C4:C62)</f>
        <v>6.1651720642039338E-2</v>
      </c>
      <c r="D7" s="5">
        <f>_xlfn.STDEV.P(Monthly_Returns!D4:D62)</f>
        <v>2.0422273368534648E-2</v>
      </c>
      <c r="E7" s="5">
        <f>_xlfn.STDEV.P(Monthly_Returns!E4:E62)</f>
        <v>2.1740902431484944E-2</v>
      </c>
      <c r="F7" s="3">
        <f ca="1">_xlfn.STDEV.P(Monthly_Returns!G4:G62)</f>
        <v>7.5788993152496653E-2</v>
      </c>
      <c r="G7" s="3">
        <f ca="1">_xlfn.STDEV.P(Monthly_Returns!H4:H62)</f>
        <v>3.5975472528186753E-2</v>
      </c>
    </row>
    <row r="8" spans="1:8" x14ac:dyDescent="0.25">
      <c r="A8" s="2"/>
      <c r="B8" s="3"/>
      <c r="C8" s="3"/>
      <c r="D8" s="3"/>
      <c r="E8" s="3"/>
    </row>
    <row r="9" spans="1:8" x14ac:dyDescent="0.25">
      <c r="A9" s="2" t="s">
        <v>15</v>
      </c>
      <c r="B9" s="3">
        <f>(1+B6)^12-1</f>
        <v>0.12871080928332268</v>
      </c>
      <c r="C9" s="3">
        <f t="shared" ref="C9:E9" si="0">(1+C6)^12-1</f>
        <v>6.8725414938495932E-2</v>
      </c>
      <c r="D9" s="3">
        <f t="shared" si="0"/>
        <v>2.9730941357176022E-2</v>
      </c>
      <c r="E9" s="3">
        <f t="shared" si="0"/>
        <v>2.9599341529670475E-2</v>
      </c>
      <c r="F9" s="3">
        <f ca="1">(1+F6)^12-1</f>
        <v>0.20138177005115532</v>
      </c>
      <c r="G9" s="3">
        <f ca="1">(1+G6)^12-1</f>
        <v>0.10105896709173945</v>
      </c>
    </row>
    <row r="10" spans="1:8" x14ac:dyDescent="0.25">
      <c r="A10" s="2" t="s">
        <v>16</v>
      </c>
      <c r="B10" s="3">
        <f>SQRT(12)*B7</f>
        <v>0.15885774667068084</v>
      </c>
      <c r="C10" s="3">
        <f t="shared" ref="C10:E10" si="1">SQRT(12)*C7</f>
        <v>0.21356782505211011</v>
      </c>
      <c r="D10" s="3">
        <f t="shared" si="1"/>
        <v>7.0744830160725622E-2</v>
      </c>
      <c r="E10" s="3">
        <f t="shared" si="1"/>
        <v>7.5312695227459328E-2</v>
      </c>
      <c r="F10" s="3">
        <f ca="1">SQRT(12)*F7</f>
        <v>0.26254077358922784</v>
      </c>
      <c r="G10" s="3">
        <f ca="1">SQRT(12)*G7</f>
        <v>0.12462269249023564</v>
      </c>
    </row>
    <row r="13" spans="1:8" x14ac:dyDescent="0.25">
      <c r="B13" s="6"/>
      <c r="C13" s="14" t="s">
        <v>0</v>
      </c>
      <c r="D13" s="14" t="s">
        <v>9</v>
      </c>
      <c r="E13" s="14" t="s">
        <v>1</v>
      </c>
      <c r="F13" s="14" t="s">
        <v>2</v>
      </c>
      <c r="G13" s="14" t="s">
        <v>45</v>
      </c>
      <c r="H13" s="14" t="s">
        <v>51</v>
      </c>
    </row>
    <row r="14" spans="1:8" x14ac:dyDescent="0.25">
      <c r="B14" t="s">
        <v>0</v>
      </c>
      <c r="C14">
        <v>1</v>
      </c>
      <c r="D14">
        <f>C15</f>
        <v>-5.2230113720419941E-2</v>
      </c>
      <c r="E14">
        <f>C16</f>
        <v>2.8532769167132786E-2</v>
      </c>
      <c r="F14">
        <f>C17</f>
        <v>-8.3506437803801542E-2</v>
      </c>
      <c r="G14">
        <f>C18</f>
        <v>-0.19214770325177816</v>
      </c>
      <c r="H14">
        <f>C19</f>
        <v>-0.2539227689669622</v>
      </c>
    </row>
    <row r="15" spans="1:8" x14ac:dyDescent="0.25">
      <c r="B15" t="s">
        <v>9</v>
      </c>
      <c r="C15">
        <v>-5.2230113720419941E-2</v>
      </c>
      <c r="D15">
        <v>1</v>
      </c>
      <c r="E15">
        <f>D16</f>
        <v>0.46805448196004673</v>
      </c>
      <c r="F15">
        <f>D17</f>
        <v>0.7911859394604317</v>
      </c>
      <c r="G15">
        <f>D18</f>
        <v>0.52177776200404913</v>
      </c>
      <c r="H15">
        <f>D19</f>
        <v>-4.7945098039958986E-2</v>
      </c>
    </row>
    <row r="16" spans="1:8" x14ac:dyDescent="0.25">
      <c r="B16" t="s">
        <v>1</v>
      </c>
      <c r="C16">
        <v>2.8532769167132786E-2</v>
      </c>
      <c r="D16">
        <v>0.46805448196004673</v>
      </c>
      <c r="E16">
        <v>1</v>
      </c>
      <c r="F16">
        <f>E17</f>
        <v>0.73720788953296923</v>
      </c>
      <c r="G16">
        <f>E18</f>
        <v>0.42894231010412226</v>
      </c>
      <c r="H16">
        <f>E19</f>
        <v>0.16506623103582241</v>
      </c>
    </row>
    <row r="17" spans="2:16" x14ac:dyDescent="0.25">
      <c r="B17" t="s">
        <v>2</v>
      </c>
      <c r="C17">
        <v>-8.3506437803801542E-2</v>
      </c>
      <c r="D17">
        <v>0.7911859394604317</v>
      </c>
      <c r="E17">
        <v>0.73720788953296923</v>
      </c>
      <c r="F17">
        <v>1</v>
      </c>
      <c r="G17">
        <f>F18</f>
        <v>0.48658084359596959</v>
      </c>
      <c r="H17">
        <f>F19</f>
        <v>0.16195502175650314</v>
      </c>
    </row>
    <row r="18" spans="2:16" x14ac:dyDescent="0.25">
      <c r="B18" t="s">
        <v>45</v>
      </c>
      <c r="C18">
        <v>-0.19214770325177816</v>
      </c>
      <c r="D18">
        <v>0.52177776200404913</v>
      </c>
      <c r="E18">
        <v>0.42894231010412226</v>
      </c>
      <c r="F18">
        <v>0.48658084359596959</v>
      </c>
      <c r="G18">
        <v>1</v>
      </c>
      <c r="H18">
        <f>G19</f>
        <v>0.18184737455291061</v>
      </c>
    </row>
    <row r="19" spans="2:16" x14ac:dyDescent="0.25">
      <c r="B19" t="s">
        <v>51</v>
      </c>
      <c r="C19">
        <v>-0.2539227689669622</v>
      </c>
      <c r="D19">
        <v>-4.7945098039958986E-2</v>
      </c>
      <c r="E19">
        <v>0.16506623103582241</v>
      </c>
      <c r="F19">
        <v>0.16195502175650314</v>
      </c>
      <c r="G19">
        <v>0.18184737455291061</v>
      </c>
      <c r="H19">
        <v>1</v>
      </c>
    </row>
    <row r="22" spans="2:16" x14ac:dyDescent="0.25">
      <c r="B22" s="2" t="s">
        <v>66</v>
      </c>
    </row>
    <row r="24" spans="2:16" x14ac:dyDescent="0.25">
      <c r="B24" s="6"/>
      <c r="C24" s="14" t="s">
        <v>0</v>
      </c>
      <c r="D24" s="14" t="s">
        <v>9</v>
      </c>
      <c r="E24" s="14" t="s">
        <v>1</v>
      </c>
      <c r="F24" s="14" t="s">
        <v>2</v>
      </c>
      <c r="G24" s="14" t="s">
        <v>45</v>
      </c>
      <c r="H24" s="14" t="s">
        <v>51</v>
      </c>
    </row>
    <row r="25" spans="2:16" x14ac:dyDescent="0.25">
      <c r="B25" t="s">
        <v>0</v>
      </c>
      <c r="C25" s="22">
        <f>C14*$B$10*B10</f>
        <v>2.5235783677286207E-2</v>
      </c>
      <c r="D25" s="22">
        <f t="shared" ref="D25:H25" si="2">D14*$B$10*C10</f>
        <v>-1.7720060253301015E-3</v>
      </c>
      <c r="E25" s="22">
        <f t="shared" si="2"/>
        <v>3.2066165461439321E-4</v>
      </c>
      <c r="F25" s="22">
        <f t="shared" si="2"/>
        <v>-9.9907144438800277E-4</v>
      </c>
      <c r="G25" s="22">
        <f t="shared" ca="1" si="2"/>
        <v>-8.0138342604137765E-3</v>
      </c>
      <c r="H25" s="22">
        <f t="shared" ca="1" si="2"/>
        <v>-5.0269801843156629E-3</v>
      </c>
      <c r="L25" s="3"/>
      <c r="M25" s="3"/>
      <c r="N25" s="3"/>
      <c r="O25" s="3"/>
      <c r="P25" s="3"/>
    </row>
    <row r="26" spans="2:16" x14ac:dyDescent="0.25">
      <c r="B26" t="s">
        <v>9</v>
      </c>
      <c r="C26" s="22">
        <f>C15*$C$10*B10</f>
        <v>-1.7720060253301015E-3</v>
      </c>
      <c r="D26" s="22">
        <f t="shared" ref="D26:H26" si="3">D15*$C$10*C10</f>
        <v>4.5611215897488712E-2</v>
      </c>
      <c r="E26" s="22">
        <f t="shared" si="3"/>
        <v>7.0717506892990769E-3</v>
      </c>
      <c r="F26" s="22">
        <f t="shared" si="3"/>
        <v>1.2725726216969591E-2</v>
      </c>
      <c r="G26" s="22">
        <f t="shared" ca="1" si="3"/>
        <v>2.925621582287985E-2</v>
      </c>
      <c r="H26" s="22">
        <f t="shared" ca="1" si="3"/>
        <v>-1.2760778371054911E-3</v>
      </c>
      <c r="L26" s="3"/>
      <c r="M26" s="3"/>
      <c r="N26" s="3"/>
      <c r="O26" s="3"/>
      <c r="P26" s="3"/>
    </row>
    <row r="27" spans="2:16" x14ac:dyDescent="0.25">
      <c r="B27" t="s">
        <v>1</v>
      </c>
      <c r="C27" s="22">
        <f>C16*$D$10*B10</f>
        <v>3.2066165461439321E-4</v>
      </c>
      <c r="D27" s="22">
        <f t="shared" ref="D27:H27" si="4">D16*$D$10*C10</f>
        <v>7.0717506892990769E-3</v>
      </c>
      <c r="E27" s="22">
        <f t="shared" si="4"/>
        <v>5.0048309944699136E-3</v>
      </c>
      <c r="F27" s="22">
        <f t="shared" si="4"/>
        <v>3.9278317168539266E-3</v>
      </c>
      <c r="G27" s="22">
        <f t="shared" ca="1" si="4"/>
        <v>7.9669181481786706E-3</v>
      </c>
      <c r="H27" s="22">
        <f t="shared" ca="1" si="4"/>
        <v>1.4552917704219849E-3</v>
      </c>
      <c r="L27" s="3"/>
      <c r="M27" s="3"/>
      <c r="N27" s="3"/>
      <c r="O27" s="3"/>
      <c r="P27" s="3"/>
    </row>
    <row r="28" spans="2:16" x14ac:dyDescent="0.25">
      <c r="B28" t="s">
        <v>2</v>
      </c>
      <c r="C28" s="22">
        <f>C17*$E$10*B10</f>
        <v>-9.9907144438800299E-4</v>
      </c>
      <c r="D28" s="22">
        <f t="shared" ref="D28:H28" si="5">D17*$E$10*C10</f>
        <v>1.2725726216969591E-2</v>
      </c>
      <c r="E28" s="22">
        <f t="shared" si="5"/>
        <v>3.9278317168539266E-3</v>
      </c>
      <c r="F28" s="22">
        <f t="shared" si="5"/>
        <v>5.672002062424175E-3</v>
      </c>
      <c r="G28" s="22">
        <f t="shared" ca="1" si="5"/>
        <v>9.6209943063529074E-3</v>
      </c>
      <c r="H28" s="22">
        <f t="shared" ca="1" si="5"/>
        <v>1.5200565279974553E-3</v>
      </c>
      <c r="L28" s="3"/>
      <c r="M28" s="3"/>
      <c r="N28" s="3"/>
      <c r="O28" s="3"/>
      <c r="P28" s="3"/>
    </row>
    <row r="29" spans="2:16" x14ac:dyDescent="0.25">
      <c r="B29" t="s">
        <v>45</v>
      </c>
      <c r="C29" s="22">
        <f ca="1">C18*B10*$F$10</f>
        <v>-8.0138342604137765E-3</v>
      </c>
      <c r="D29" s="22">
        <f t="shared" ref="D29:H29" ca="1" si="6">D18*C10*$F$10</f>
        <v>2.925621582287985E-2</v>
      </c>
      <c r="E29" s="22">
        <f t="shared" ca="1" si="6"/>
        <v>7.9669181481786706E-3</v>
      </c>
      <c r="F29" s="22">
        <f t="shared" ca="1" si="6"/>
        <v>9.6209943063529074E-3</v>
      </c>
      <c r="G29" s="22">
        <f t="shared" ca="1" si="6"/>
        <v>6.8927657796830188E-2</v>
      </c>
      <c r="H29" s="22">
        <f t="shared" ca="1" si="6"/>
        <v>5.9497802514503432E-3</v>
      </c>
      <c r="L29" s="3"/>
      <c r="M29" s="3"/>
      <c r="N29" s="3"/>
      <c r="O29" s="3"/>
      <c r="P29" s="3"/>
    </row>
    <row r="30" spans="2:16" x14ac:dyDescent="0.25">
      <c r="B30" t="s">
        <v>51</v>
      </c>
      <c r="C30" s="22">
        <f ca="1">C19*$G$10*B10</f>
        <v>-5.0269801843156629E-3</v>
      </c>
      <c r="D30" s="22">
        <f t="shared" ref="D30:H30" ca="1" si="7">D19*$G$10*C10</f>
        <v>-1.2760778371054909E-3</v>
      </c>
      <c r="E30" s="22">
        <f t="shared" ca="1" si="7"/>
        <v>1.4552917704219852E-3</v>
      </c>
      <c r="F30" s="22">
        <f t="shared" ca="1" si="7"/>
        <v>1.5200565279974553E-3</v>
      </c>
      <c r="G30" s="22">
        <f t="shared" ca="1" si="7"/>
        <v>5.9497802514503432E-3</v>
      </c>
      <c r="H30" s="22">
        <f t="shared" ca="1" si="7"/>
        <v>1.5530815483515833E-2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4AB5-F9B1-4D5F-A897-92E6C6B2B0F6}">
  <dimension ref="A1:L11"/>
  <sheetViews>
    <sheetView zoomScale="80" zoomScaleNormal="80" workbookViewId="0">
      <selection activeCell="M20" sqref="M20"/>
    </sheetView>
  </sheetViews>
  <sheetFormatPr defaultRowHeight="15" x14ac:dyDescent="0.25"/>
  <cols>
    <col min="4" max="4" width="9" bestFit="1" customWidth="1"/>
    <col min="5" max="5" width="9.28515625" bestFit="1" customWidth="1"/>
  </cols>
  <sheetData>
    <row r="1" spans="1:12" x14ac:dyDescent="0.25">
      <c r="B1" t="s">
        <v>43</v>
      </c>
    </row>
    <row r="2" spans="1:12" x14ac:dyDescent="0.25">
      <c r="F2" t="s">
        <v>21</v>
      </c>
    </row>
    <row r="3" spans="1:12" x14ac:dyDescent="0.25">
      <c r="A3" t="s">
        <v>28</v>
      </c>
      <c r="B3" t="s">
        <v>29</v>
      </c>
      <c r="C3" t="s">
        <v>18</v>
      </c>
      <c r="D3" t="s">
        <v>22</v>
      </c>
      <c r="E3" t="s">
        <v>27</v>
      </c>
      <c r="F3" t="str" cm="1">
        <f t="array" ref="F3:I3">risky_assets</f>
        <v>SP500</v>
      </c>
      <c r="G3" t="str">
        <v>RUS2000</v>
      </c>
      <c r="H3" t="str">
        <v>LQD</v>
      </c>
      <c r="I3" t="str">
        <v>HYG</v>
      </c>
      <c r="J3" t="s">
        <v>45</v>
      </c>
      <c r="K3" t="s">
        <v>51</v>
      </c>
    </row>
    <row r="4" spans="1:12" x14ac:dyDescent="0.25">
      <c r="A4">
        <v>1</v>
      </c>
      <c r="B4" t="s">
        <v>73</v>
      </c>
      <c r="C4" s="3" cm="1">
        <f t="array" aca="1" ref="C4" ca="1">SQRT(MMULT(MMULT(F4:K4,vcov5),TRANSPOSE(F4:K4)))</f>
        <v>5.525053174701057E-2</v>
      </c>
      <c r="D4" s="3" cm="1">
        <f t="array" aca="1" ref="D4" ca="1">MMULT(ret_vec_pm,TRANSPOSE(F4:K4))</f>
        <v>2.4201252137191275E-2</v>
      </c>
      <c r="E4" s="8">
        <f t="shared" ref="E4:E11" ca="1" si="0">(D4-rf)/C4</f>
        <v>0.25114767334974764</v>
      </c>
      <c r="F4">
        <v>7.7779965312308241E-2</v>
      </c>
      <c r="G4">
        <v>-0.18897611240838355</v>
      </c>
      <c r="H4">
        <v>0.2454650185049212</v>
      </c>
      <c r="I4">
        <v>0.87213545755045352</v>
      </c>
      <c r="J4">
        <v>-5.2707208349880061E-2</v>
      </c>
      <c r="K4">
        <v>4.63028794235762E-2</v>
      </c>
      <c r="L4">
        <f>SUM(F4:K4)</f>
        <v>1.0000000000329956</v>
      </c>
    </row>
    <row r="5" spans="1:12" x14ac:dyDescent="0.25">
      <c r="A5">
        <v>2</v>
      </c>
      <c r="B5" t="s">
        <v>74</v>
      </c>
      <c r="C5" s="3" cm="1">
        <f t="array" aca="1" ref="C5" ca="1">SQRT(MMULT(MMULT(F5:K5,vcov5),TRANSPOSE(F5:K5)))</f>
        <v>5.3368745460486144E-2</v>
      </c>
      <c r="D5" s="3" cm="1">
        <f t="array" aca="1" ref="D5" ca="1">MMULT(ret_vec_pm,TRANSPOSE(F5:K5))</f>
        <v>3.404741808240893E-2</v>
      </c>
      <c r="E5" s="8">
        <f t="shared" ca="1" si="0"/>
        <v>0.4444962728677872</v>
      </c>
      <c r="F5">
        <v>0.10911096150103436</v>
      </c>
      <c r="G5">
        <v>-0.1697567764452427</v>
      </c>
      <c r="H5">
        <v>0.21534994425190995</v>
      </c>
      <c r="I5">
        <v>0.79453391039549182</v>
      </c>
      <c r="J5">
        <v>-3.3690501950182104E-2</v>
      </c>
      <c r="K5">
        <v>8.44524622947775E-2</v>
      </c>
      <c r="L5">
        <f t="shared" ref="L5:L11" si="1">SUM(F5:K5)</f>
        <v>1.0000000000477889</v>
      </c>
    </row>
    <row r="6" spans="1:12" x14ac:dyDescent="0.25">
      <c r="A6">
        <v>3</v>
      </c>
      <c r="B6" t="s">
        <v>53</v>
      </c>
      <c r="C6" s="3" cm="1">
        <f t="array" aca="1" ref="C6" ca="1">SQRT(MMULT(MMULT(F6:K6,vcov5),TRANSPOSE(F6:K6)))</f>
        <v>5.2520076345305568E-2</v>
      </c>
      <c r="D6" s="3" cm="1">
        <f t="array" aca="1" ref="D6" ca="1">MMULT(ret_vec_pm,TRANSPOSE(F6:K6))</f>
        <v>4.6121971782467061E-2</v>
      </c>
      <c r="E6" s="8">
        <f t="shared" ca="1" si="0"/>
        <v>0.68158244686316993</v>
      </c>
      <c r="F6">
        <v>0.14759479309036108</v>
      </c>
      <c r="G6">
        <v>-0.14656795736911793</v>
      </c>
      <c r="H6">
        <v>0.17710466935086078</v>
      </c>
      <c r="I6">
        <v>0.70108009296088192</v>
      </c>
      <c r="J6">
        <v>-1.0225776735452554E-2</v>
      </c>
      <c r="K6">
        <v>0.13101417870263773</v>
      </c>
      <c r="L6">
        <f t="shared" si="1"/>
        <v>1.000000000000171</v>
      </c>
    </row>
    <row r="7" spans="1:12" x14ac:dyDescent="0.25">
      <c r="A7">
        <v>4</v>
      </c>
      <c r="B7" t="s">
        <v>36</v>
      </c>
      <c r="C7" s="3" cm="1">
        <f t="array" aca="1" ref="C7" ca="1">SQRT(MMULT(MMULT(F7:K7,vcov5),TRANSPOSE(F7:K7)))</f>
        <v>5.8190328692631126E-2</v>
      </c>
      <c r="D7" s="3" cm="1">
        <f t="array" aca="1" ref="D7" ca="1">MMULT(ret_vec_pm,TRANSPOSE(F7:K7))</f>
        <v>7.8371031095027938E-2</v>
      </c>
      <c r="E7" s="8">
        <f t="shared" ca="1" si="0"/>
        <v>1.1693665079099587</v>
      </c>
      <c r="F7">
        <v>0.25042043887593746</v>
      </c>
      <c r="G7">
        <v>-8.5450532531303455E-2</v>
      </c>
      <c r="H7">
        <v>7.3649005582674121E-2</v>
      </c>
      <c r="I7">
        <v>0.45360420436064536</v>
      </c>
      <c r="J7">
        <v>5.2751547463487286E-2</v>
      </c>
      <c r="K7">
        <v>0.25502533581668185</v>
      </c>
      <c r="L7">
        <f t="shared" si="1"/>
        <v>0.99999999956812269</v>
      </c>
    </row>
    <row r="8" spans="1:12" x14ac:dyDescent="0.25">
      <c r="A8">
        <v>5</v>
      </c>
      <c r="B8" t="s">
        <v>40</v>
      </c>
      <c r="C8" s="3" cm="1">
        <f t="array" aca="1" ref="C8" ca="1">SQRT(MMULT(MMULT(F8:K8,vcov5),TRANSPOSE(F8:K8)))</f>
        <v>7.1202612230938558E-2</v>
      </c>
      <c r="D8" s="3" cm="1">
        <f t="array" aca="1" ref="D8" ca="1">MMULT(ret_vec_pm,TRANSPOSE(F8:K8))</f>
        <v>0.1079125192161989</v>
      </c>
      <c r="E8" s="8">
        <f t="shared" ca="1" si="0"/>
        <v>1.3705579966938715</v>
      </c>
      <c r="F8">
        <v>0.3445460763684241</v>
      </c>
      <c r="G8">
        <v>-2.846217920576188E-2</v>
      </c>
      <c r="H8">
        <v>-2.1147719359071938E-2</v>
      </c>
      <c r="I8">
        <v>0.22580422800163172</v>
      </c>
      <c r="J8">
        <v>0.10997894023225223</v>
      </c>
      <c r="K8">
        <v>0.36928065395557891</v>
      </c>
      <c r="L8">
        <f t="shared" si="1"/>
        <v>0.99999999999305311</v>
      </c>
    </row>
    <row r="9" spans="1:12" ht="15.75" thickBot="1" x14ac:dyDescent="0.3">
      <c r="A9">
        <v>6</v>
      </c>
      <c r="B9" t="s">
        <v>75</v>
      </c>
      <c r="C9" s="3" cm="1">
        <f t="array" aca="1" ref="C9" ca="1">SQRT(MMULT(MMULT(F9:K9,vcov5),TRANSPOSE(F9:K9)))</f>
        <v>8.8393748894558033E-2</v>
      </c>
      <c r="D9" s="3" cm="1">
        <f t="array" aca="1" ref="D9" ca="1">MMULT(ret_vec_pm,TRANSPOSE(F9:K9))</f>
        <v>0.13745210374857506</v>
      </c>
      <c r="E9" s="8">
        <f t="shared" ca="1" si="0"/>
        <v>1.4381887373351174</v>
      </c>
      <c r="F9">
        <v>0.43835442356612198</v>
      </c>
      <c r="G9">
        <v>2.9815828577415836E-2</v>
      </c>
      <c r="H9">
        <v>-0.10738116353171914</v>
      </c>
      <c r="I9">
        <v>-1.1440125284933978E-2</v>
      </c>
      <c r="J9">
        <v>0.16705162745185573</v>
      </c>
      <c r="K9">
        <v>0.48359940912980975</v>
      </c>
      <c r="L9">
        <f t="shared" si="1"/>
        <v>0.99999999990855026</v>
      </c>
    </row>
    <row r="10" spans="1:12" ht="15.75" thickBot="1" x14ac:dyDescent="0.3">
      <c r="A10" s="16">
        <v>7</v>
      </c>
      <c r="B10" s="17" t="s">
        <v>39</v>
      </c>
      <c r="C10" s="18" cm="1">
        <f t="array" aca="1" ref="C10" ca="1">SQRT(MMULT(MMULT(F10:K10,vcov5),TRANSPOSE(F10:K10)))</f>
        <v>0.11056014753398671</v>
      </c>
      <c r="D10" s="18" cm="1">
        <f t="array" aca="1" ref="D10" ca="1">MMULT(ret_vec_pm,TRANSPOSE(F10:K10))</f>
        <v>0.17106032019999906</v>
      </c>
      <c r="E10" s="23">
        <f t="shared" ca="1" si="0"/>
        <v>1.4538250368469807</v>
      </c>
      <c r="F10" s="17">
        <v>0.54535839390453744</v>
      </c>
      <c r="G10" s="17">
        <v>9.4743789310841597E-2</v>
      </c>
      <c r="H10" s="17">
        <v>-0.21209123476294423</v>
      </c>
      <c r="I10" s="17">
        <v>-0.27364876479955158</v>
      </c>
      <c r="J10" s="17">
        <v>0.23226728230762589</v>
      </c>
      <c r="K10" s="21">
        <v>0.61337053402783281</v>
      </c>
      <c r="L10">
        <f t="shared" si="1"/>
        <v>0.99999999998834199</v>
      </c>
    </row>
    <row r="11" spans="1:12" x14ac:dyDescent="0.25">
      <c r="A11">
        <v>8</v>
      </c>
      <c r="B11" t="s">
        <v>50</v>
      </c>
      <c r="C11" s="3" cm="1">
        <f t="array" aca="1" ref="C11" ca="1">SQRT(MMULT(MMULT(F11:K11,vcov5),TRANSPOSE(F11:K11)))</f>
        <v>0.11454615819544456</v>
      </c>
      <c r="D11" s="3" cm="1">
        <f t="array" aca="1" ref="D11" ca="1">MMULT(ret_vec_pm,TRANSPOSE(F11:K11))</f>
        <v>0.17684389336209175</v>
      </c>
      <c r="E11" s="8">
        <f t="shared" ca="1" si="0"/>
        <v>1.4537256102502869</v>
      </c>
      <c r="F11">
        <v>0.56377222158945184</v>
      </c>
      <c r="G11">
        <v>0.10591779595413668</v>
      </c>
      <c r="H11">
        <v>-0.23011030578600589</v>
      </c>
      <c r="I11">
        <v>-0.31877286982527997</v>
      </c>
      <c r="J11">
        <v>0.24348981358841304</v>
      </c>
      <c r="K11">
        <v>0.63570334472858203</v>
      </c>
      <c r="L11">
        <f t="shared" si="1"/>
        <v>1.0000000002492977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B59F-5D70-4B73-859C-D13765C040DC}">
  <dimension ref="A3:AP41"/>
  <sheetViews>
    <sheetView topLeftCell="G17" zoomScale="90" zoomScaleNormal="90" workbookViewId="0">
      <selection activeCell="X41" sqref="X41"/>
    </sheetView>
  </sheetViews>
  <sheetFormatPr defaultRowHeight="15" x14ac:dyDescent="0.25"/>
  <cols>
    <col min="11" max="11" width="18.140625" customWidth="1"/>
    <col min="14" max="14" width="11.5703125" customWidth="1"/>
    <col min="15" max="15" width="8.85546875" bestFit="1" customWidth="1"/>
    <col min="16" max="18" width="9.28515625" bestFit="1" customWidth="1"/>
    <col min="19" max="20" width="8.85546875" bestFit="1" customWidth="1"/>
  </cols>
  <sheetData>
    <row r="3" spans="1:42" x14ac:dyDescent="0.25">
      <c r="F3" t="s">
        <v>21</v>
      </c>
      <c r="T3" t="s">
        <v>21</v>
      </c>
      <c r="AJ3" t="s">
        <v>21</v>
      </c>
    </row>
    <row r="4" spans="1:42" x14ac:dyDescent="0.25">
      <c r="A4" t="s">
        <v>28</v>
      </c>
      <c r="B4" t="s">
        <v>29</v>
      </c>
      <c r="C4" t="s">
        <v>18</v>
      </c>
      <c r="D4" t="s">
        <v>22</v>
      </c>
      <c r="E4" t="s">
        <v>27</v>
      </c>
      <c r="F4" t="str" cm="1">
        <f t="array" ref="F4:I4">risky_assets</f>
        <v>SP500</v>
      </c>
      <c r="G4" t="str">
        <v>RUS2000</v>
      </c>
      <c r="H4" t="str">
        <v>LQD</v>
      </c>
      <c r="I4" t="str">
        <v>HYG</v>
      </c>
      <c r="O4" t="s">
        <v>28</v>
      </c>
      <c r="P4" t="s">
        <v>29</v>
      </c>
      <c r="Q4" t="s">
        <v>18</v>
      </c>
      <c r="R4" t="s">
        <v>22</v>
      </c>
      <c r="S4" t="s">
        <v>27</v>
      </c>
      <c r="T4" t="str" cm="1">
        <f t="array" ref="T4:W4">risky_assets</f>
        <v>SP500</v>
      </c>
      <c r="U4" t="str">
        <v>RUS2000</v>
      </c>
      <c r="V4" t="str">
        <v>LQD</v>
      </c>
      <c r="W4" t="str">
        <v>HYG</v>
      </c>
      <c r="X4" t="s">
        <v>45</v>
      </c>
      <c r="AE4" t="s">
        <v>28</v>
      </c>
      <c r="AF4" t="s">
        <v>29</v>
      </c>
      <c r="AG4" t="s">
        <v>18</v>
      </c>
      <c r="AH4" t="s">
        <v>22</v>
      </c>
      <c r="AI4" t="s">
        <v>27</v>
      </c>
      <c r="AJ4" t="str" cm="1">
        <f t="array" ref="AJ4:AM4">risky_assets</f>
        <v>SP500</v>
      </c>
      <c r="AK4" t="str">
        <v>RUS2000</v>
      </c>
      <c r="AL4" t="str">
        <v>LQD</v>
      </c>
      <c r="AM4" t="str">
        <v>HYG</v>
      </c>
      <c r="AN4" t="s">
        <v>45</v>
      </c>
      <c r="AO4" t="s">
        <v>51</v>
      </c>
    </row>
    <row r="5" spans="1:42" x14ac:dyDescent="0.25">
      <c r="A5">
        <v>1</v>
      </c>
      <c r="B5" t="s">
        <v>30</v>
      </c>
      <c r="C5" s="3" cm="1">
        <f t="array" ref="C5">SQRT(MMULT(MMULT(weights_t1,vcov1),TRANSPOSE(weights_t1)))</f>
        <v>6.6144570042579107E-2</v>
      </c>
      <c r="D5" s="3" cm="1">
        <f t="array" ref="D5">MMULT(vector_returns_risky_assets1,TRANSPOSE(weights_t1))</f>
        <v>1.0000000705466035E-2</v>
      </c>
      <c r="E5" s="9">
        <f t="shared" ref="E5:E14" si="0">(D5-rf)/C5</f>
        <v>-4.9166383864589561E-3</v>
      </c>
      <c r="F5" s="9">
        <v>-6.2612836133519062E-2</v>
      </c>
      <c r="G5" s="9">
        <v>-0.34302180957616674</v>
      </c>
      <c r="H5" s="9">
        <v>0.20802586667600956</v>
      </c>
      <c r="I5" s="9">
        <v>1.1976097790336762</v>
      </c>
      <c r="J5" s="9">
        <f>SUM(weights_t1)</f>
        <v>1.0000009999999999</v>
      </c>
      <c r="O5">
        <v>1</v>
      </c>
      <c r="P5" t="s">
        <v>31</v>
      </c>
      <c r="Q5" s="3" cm="1">
        <f t="array" aca="1" ref="Q5" ca="1">SQRT(MMULT(MMULT(T5:X5,vcov2),TRANSPOSE(T5:X5)))</f>
        <v>5.6749591216098433E-2</v>
      </c>
      <c r="R5" s="3" cm="1">
        <f t="array" aca="1" ref="R5" ca="1">MMULT(returns_vector_3,TRANSPOSE(T5:X5))</f>
        <v>1.9380097330156183E-2</v>
      </c>
      <c r="S5" s="28">
        <f t="shared" ref="S5:S12" ca="1" si="1">(R5-rf)/Q5</f>
        <v>0.15955864171924355</v>
      </c>
      <c r="T5" s="9">
        <v>6.9016339706574115E-2</v>
      </c>
      <c r="U5" s="9">
        <v>-0.21055791683215261</v>
      </c>
      <c r="V5" s="9">
        <v>0.25253853124264158</v>
      </c>
      <c r="W5" s="9">
        <v>0.94054780816970351</v>
      </c>
      <c r="X5" s="9">
        <v>-5.1544762286766493E-2</v>
      </c>
      <c r="Y5">
        <f>SUM(T5:X5)</f>
        <v>1.0000000000000002</v>
      </c>
      <c r="AE5">
        <v>1</v>
      </c>
      <c r="AF5" t="s">
        <v>73</v>
      </c>
      <c r="AG5" s="3" cm="1">
        <f t="array" aca="1" ref="AG5" ca="1">SQRT(MMULT(MMULT(AJ5:AO5,vcov5),TRANSPOSE(AJ5:AO5)))</f>
        <v>5.525053174701057E-2</v>
      </c>
      <c r="AH5" s="3" cm="1">
        <f t="array" aca="1" ref="AH5" ca="1">MMULT(ret_vec_pm,TRANSPOSE(AJ5:AO5))</f>
        <v>2.4201252137191275E-2</v>
      </c>
      <c r="AI5" s="8">
        <f t="shared" ref="AI5:AI12" ca="1" si="2">(AH5-rf)/AG5</f>
        <v>0.25114767334974764</v>
      </c>
      <c r="AJ5">
        <v>7.7779965312308241E-2</v>
      </c>
      <c r="AK5">
        <v>-0.18897611240838355</v>
      </c>
      <c r="AL5">
        <v>0.2454650185049212</v>
      </c>
      <c r="AM5">
        <v>0.87213545755045352</v>
      </c>
      <c r="AN5">
        <v>-5.2707208349880061E-2</v>
      </c>
      <c r="AO5">
        <v>4.63028794235762E-2</v>
      </c>
      <c r="AP5">
        <f>SUM(AJ5:AO5)</f>
        <v>1.0000000000329956</v>
      </c>
    </row>
    <row r="6" spans="1:42" x14ac:dyDescent="0.25">
      <c r="A6">
        <v>2</v>
      </c>
      <c r="B6" t="s">
        <v>31</v>
      </c>
      <c r="C6" s="3" cm="1">
        <f t="array" ref="C6">SQRT(MMULT(MMULT(weights_t2,vcov1),TRANSPOSE(weights_t2)))</f>
        <v>5.9162242398370424E-2</v>
      </c>
      <c r="D6" s="3" cm="1">
        <f t="array" ref="D6">MMULT(vector_returns_risky_assets1,TRANSPOSE(weights_t2))</f>
        <v>2.0000001257573875E-2</v>
      </c>
      <c r="E6" s="9">
        <f t="shared" si="0"/>
        <v>0.16352983301131868</v>
      </c>
      <c r="F6" s="9">
        <v>1.6408318088164637E-2</v>
      </c>
      <c r="G6" s="9">
        <v>-0.28758122968948846</v>
      </c>
      <c r="H6" s="9">
        <v>0.20008797235479633</v>
      </c>
      <c r="I6" s="9">
        <v>1.0710849392465274</v>
      </c>
      <c r="J6" s="9">
        <f>SUM(weights_t2)</f>
        <v>0.99999999999999989</v>
      </c>
      <c r="O6">
        <v>2</v>
      </c>
      <c r="P6" t="s">
        <v>32</v>
      </c>
      <c r="Q6" s="3" cm="1">
        <f t="array" aca="1" ref="Q6" ca="1">SQRT(MMULT(MMULT(T6:X6,vcov2),TRANSPOSE(T6:X6)))</f>
        <v>5.501228240704524E-2</v>
      </c>
      <c r="R6" s="3" cm="1">
        <f t="array" aca="1" ref="R6" ca="1">MMULT(returns_vector_3,TRANSPOSE(T6:X6))</f>
        <v>2.9794059665729785E-2</v>
      </c>
      <c r="S6" s="28">
        <f t="shared" ca="1" si="1"/>
        <v>0.3539000597009091</v>
      </c>
      <c r="T6" s="9">
        <v>0.11292184066855598</v>
      </c>
      <c r="U6" s="9">
        <v>-0.20659139504565113</v>
      </c>
      <c r="V6" s="9">
        <v>0.20961819414877997</v>
      </c>
      <c r="W6" s="9">
        <v>0.90117538676215625</v>
      </c>
      <c r="X6" s="9">
        <v>-1.7124026533840875E-2</v>
      </c>
      <c r="Y6">
        <f t="shared" ref="Y6:Y12" si="3">SUM(T6:X6)</f>
        <v>1.0000000000000002</v>
      </c>
      <c r="AE6">
        <v>2</v>
      </c>
      <c r="AF6" t="s">
        <v>74</v>
      </c>
      <c r="AG6" s="3" cm="1">
        <f t="array" aca="1" ref="AG6" ca="1">SQRT(MMULT(MMULT(AJ6:AO6,vcov5),TRANSPOSE(AJ6:AO6)))</f>
        <v>5.3368745460486144E-2</v>
      </c>
      <c r="AH6" s="3" cm="1">
        <f t="array" aca="1" ref="AH6" ca="1">MMULT(ret_vec_pm,TRANSPOSE(AJ6:AO6))</f>
        <v>3.404741808240893E-2</v>
      </c>
      <c r="AI6" s="8">
        <f t="shared" ca="1" si="2"/>
        <v>0.4444962728677872</v>
      </c>
      <c r="AJ6">
        <v>0.10911096150103436</v>
      </c>
      <c r="AK6">
        <v>-0.1697567764452427</v>
      </c>
      <c r="AL6">
        <v>0.21534994425190995</v>
      </c>
      <c r="AM6">
        <v>0.79453391039549182</v>
      </c>
      <c r="AN6">
        <v>-3.3690501950182104E-2</v>
      </c>
      <c r="AO6">
        <v>8.44524622947775E-2</v>
      </c>
      <c r="AP6">
        <f t="shared" ref="AP6:AP12" si="4">SUM(AJ6:AO6)</f>
        <v>1.0000000000477889</v>
      </c>
    </row>
    <row r="7" spans="1:42" x14ac:dyDescent="0.25">
      <c r="A7">
        <v>3</v>
      </c>
      <c r="B7" t="s">
        <v>32</v>
      </c>
      <c r="C7" s="3" cm="1">
        <f t="array" ref="C7">SQRT(MMULT(MMULT(weights_t3,vcov1),TRANSPOSE(weights_t3)))</f>
        <v>5.5293667876082447E-2</v>
      </c>
      <c r="D7" s="3" cm="1">
        <f t="array" ref="D7">MMULT(vector_returns_risky_assets1,TRANSPOSE(weights_t3))</f>
        <v>3.0000001092576528E-2</v>
      </c>
      <c r="E7" s="9">
        <f t="shared" si="0"/>
        <v>0.35582359085087489</v>
      </c>
      <c r="F7" s="9">
        <v>9.5429106716489076E-2</v>
      </c>
      <c r="G7" s="9">
        <v>-0.23214050505740993</v>
      </c>
      <c r="H7" s="9">
        <v>0.19215201366344292</v>
      </c>
      <c r="I7" s="9">
        <v>0.94455938467747791</v>
      </c>
      <c r="J7" s="9">
        <f>SUM(weights_t3)</f>
        <v>1</v>
      </c>
      <c r="O7">
        <v>3</v>
      </c>
      <c r="P7" t="s">
        <v>38</v>
      </c>
      <c r="Q7" s="10" cm="1">
        <f t="array" aca="1" ref="Q7" ca="1">SQRT(MMULT(MMULT(T7:X7,vcov2),TRANSPOSE(T7:X7)))</f>
        <v>5.4751611935102168E-2</v>
      </c>
      <c r="R7" s="3" cm="1">
        <f t="array" aca="1" ref="R7" ca="1">MMULT(returns_vector_3,TRANSPOSE(T7:X7))</f>
        <v>3.5642037432253533E-2</v>
      </c>
      <c r="S7" s="28">
        <f t="shared" ca="1" si="1"/>
        <v>0.46239419991266578</v>
      </c>
      <c r="T7" s="9">
        <v>0.13758001393343658</v>
      </c>
      <c r="U7" s="9">
        <v>-0.20436866564697118</v>
      </c>
      <c r="V7" s="9">
        <v>0.18552171296552325</v>
      </c>
      <c r="W7" s="9">
        <v>0.87906259468049697</v>
      </c>
      <c r="X7" s="9">
        <v>2.2043440675143405E-3</v>
      </c>
      <c r="Y7">
        <f t="shared" si="3"/>
        <v>1</v>
      </c>
      <c r="AE7">
        <v>3</v>
      </c>
      <c r="AF7" t="s">
        <v>53</v>
      </c>
      <c r="AG7" s="10" cm="1">
        <f t="array" aca="1" ref="AG7" ca="1">SQRT(MMULT(MMULT(AJ7:AO7,vcov5),TRANSPOSE(AJ7:AO7)))</f>
        <v>5.2520076345305568E-2</v>
      </c>
      <c r="AH7" s="3" cm="1">
        <f t="array" aca="1" ref="AH7" ca="1">MMULT(ret_vec_pm,TRANSPOSE(AJ7:AO7))</f>
        <v>4.6121971782467061E-2</v>
      </c>
      <c r="AI7" s="8">
        <f t="shared" ca="1" si="2"/>
        <v>0.68158244686316993</v>
      </c>
      <c r="AJ7">
        <v>0.14759479309036108</v>
      </c>
      <c r="AK7">
        <v>-0.14656795736911793</v>
      </c>
      <c r="AL7">
        <v>0.17710466935086078</v>
      </c>
      <c r="AM7">
        <v>0.70108009296088192</v>
      </c>
      <c r="AN7">
        <v>-1.0225776735452554E-2</v>
      </c>
      <c r="AO7">
        <v>0.13101417870263773</v>
      </c>
      <c r="AP7">
        <f t="shared" si="4"/>
        <v>1.000000000000171</v>
      </c>
    </row>
    <row r="8" spans="1:42" x14ac:dyDescent="0.25">
      <c r="A8">
        <v>4</v>
      </c>
      <c r="B8" t="s">
        <v>38</v>
      </c>
      <c r="C8" s="10" cm="1">
        <f t="array" ref="C8">SQRT(MMULT(MMULT(weights_mvp,vcov1),TRANSPOSE(weights_mvp)))</f>
        <v>5.4753278189324558E-2</v>
      </c>
      <c r="D8" s="12" cm="1">
        <f t="array" ref="D8">MMULT(vector_returns_risky_assets1,TRANSPOSE(weights_mvp))</f>
        <v>3.5240908031090548E-2</v>
      </c>
      <c r="E8" s="9">
        <f t="shared" si="0"/>
        <v>0.45505400256299627</v>
      </c>
      <c r="F8" s="9">
        <v>0.13684321382682116</v>
      </c>
      <c r="G8" s="9">
        <v>-0.20308465432823428</v>
      </c>
      <c r="H8" s="9">
        <v>0.18799280240960234</v>
      </c>
      <c r="I8" s="9">
        <v>0.87824863809181086</v>
      </c>
      <c r="J8" s="9">
        <f>SUM(weights_mvp)</f>
        <v>1</v>
      </c>
      <c r="O8">
        <v>4</v>
      </c>
      <c r="P8" t="s">
        <v>48</v>
      </c>
      <c r="Q8" s="3" cm="1">
        <f t="array" aca="1" ref="Q8" ca="1">SQRT(MMULT(MMULT(T8:X8,vcov2),TRANSPOSE(T8:X8)))</f>
        <v>6.3905624645799533E-2</v>
      </c>
      <c r="R8" s="3" cm="1">
        <f t="array" aca="1" ref="R8" ca="1">MMULT(returns_vector_3,TRANSPOSE(T8:X8))</f>
        <v>7.144987838230922E-2</v>
      </c>
      <c r="S8" s="28">
        <f t="shared" ca="1" si="1"/>
        <v>0.9564833938092755</v>
      </c>
      <c r="T8" s="9">
        <v>0.28855236840726611</v>
      </c>
      <c r="U8" s="9">
        <v>-0.19073837011797598</v>
      </c>
      <c r="V8" s="9">
        <v>3.7941813691250499E-2</v>
      </c>
      <c r="W8" s="9">
        <v>0.74368739644755244</v>
      </c>
      <c r="X8" s="9">
        <v>0.12055679157190699</v>
      </c>
      <c r="Y8">
        <f t="shared" si="3"/>
        <v>1</v>
      </c>
      <c r="AE8">
        <v>4</v>
      </c>
      <c r="AF8" t="s">
        <v>36</v>
      </c>
      <c r="AG8" s="3" cm="1">
        <f t="array" aca="1" ref="AG8" ca="1">SQRT(MMULT(MMULT(AJ8:AO8,vcov5),TRANSPOSE(AJ8:AO8)))</f>
        <v>5.8190328692631126E-2</v>
      </c>
      <c r="AH8" s="3" cm="1">
        <f t="array" aca="1" ref="AH8" ca="1">MMULT(ret_vec_pm,TRANSPOSE(AJ8:AO8))</f>
        <v>7.8371031095027938E-2</v>
      </c>
      <c r="AI8" s="8">
        <f t="shared" ca="1" si="2"/>
        <v>1.1693665079099587</v>
      </c>
      <c r="AJ8">
        <v>0.25042043887593746</v>
      </c>
      <c r="AK8">
        <v>-8.5450532531303455E-2</v>
      </c>
      <c r="AL8">
        <v>7.3649005582674121E-2</v>
      </c>
      <c r="AM8">
        <v>0.45360420436064536</v>
      </c>
      <c r="AN8">
        <v>5.2751547463487286E-2</v>
      </c>
      <c r="AO8">
        <v>0.25502533581668185</v>
      </c>
      <c r="AP8">
        <f t="shared" si="4"/>
        <v>0.99999999956812269</v>
      </c>
    </row>
    <row r="9" spans="1:42" x14ac:dyDescent="0.25">
      <c r="A9">
        <v>5</v>
      </c>
      <c r="B9" t="s">
        <v>33</v>
      </c>
      <c r="C9" s="3" cm="1">
        <f t="array" ref="C9">SQRT(MMULT(MMULT(weights_t4,vcov1),TRANSPOSE(weights_t4)))</f>
        <v>5.5197378270279929E-2</v>
      </c>
      <c r="D9" s="3" cm="1">
        <f t="array" ref="D9">MMULT(vector_returns_risky_assets1,TRANSPOSE(weights_t4))</f>
        <v>4.0000000927579993E-2</v>
      </c>
      <c r="E9" s="9">
        <f t="shared" si="0"/>
        <v>0.53761233268509545</v>
      </c>
      <c r="F9" s="9">
        <v>0.17444999121627289</v>
      </c>
      <c r="G9" s="9">
        <v>-0.17670002231223456</v>
      </c>
      <c r="H9" s="9">
        <v>0.18421576716378427</v>
      </c>
      <c r="I9" s="9">
        <v>0.81803426393217749</v>
      </c>
      <c r="J9" s="9">
        <f>SUM(weights_t4)</f>
        <v>1</v>
      </c>
      <c r="O9">
        <v>5</v>
      </c>
      <c r="P9" t="s">
        <v>37</v>
      </c>
      <c r="Q9" s="3" cm="1">
        <f t="array" aca="1" ref="Q9" ca="1">SQRT(MMULT(MMULT(T9:X9,vcov2),TRANSPOSE(T9:X9)))</f>
        <v>8.2480669284716229E-2</v>
      </c>
      <c r="R9" s="3" cm="1">
        <f t="array" aca="1" ref="R9" ca="1">MMULT(returns_vector_3,TRANSPOSE(T9:X9))</f>
        <v>0.10269174233483302</v>
      </c>
      <c r="S9" s="28">
        <f t="shared" ca="1" si="1"/>
        <v>1.1198567312590353</v>
      </c>
      <c r="T9" s="9">
        <v>0.42027541010314545</v>
      </c>
      <c r="U9" s="9">
        <v>-0.17884901329987832</v>
      </c>
      <c r="V9" s="9">
        <v>-9.0794325441176674E-2</v>
      </c>
      <c r="W9" s="9">
        <v>0.62555053054298959</v>
      </c>
      <c r="X9" s="9">
        <v>0.22381739809491982</v>
      </c>
      <c r="Y9">
        <f t="shared" si="3"/>
        <v>0.99999999999999989</v>
      </c>
      <c r="AE9">
        <v>5</v>
      </c>
      <c r="AF9" t="s">
        <v>40</v>
      </c>
      <c r="AG9" s="3" cm="1">
        <f t="array" aca="1" ref="AG9" ca="1">SQRT(MMULT(MMULT(AJ9:AO9,vcov5),TRANSPOSE(AJ9:AO9)))</f>
        <v>7.1202612230938558E-2</v>
      </c>
      <c r="AH9" s="3" cm="1">
        <f t="array" aca="1" ref="AH9" ca="1">MMULT(ret_vec_pm,TRANSPOSE(AJ9:AO9))</f>
        <v>0.1079125192161989</v>
      </c>
      <c r="AI9" s="8">
        <f t="shared" ca="1" si="2"/>
        <v>1.3705579966938715</v>
      </c>
      <c r="AJ9">
        <v>0.3445460763684241</v>
      </c>
      <c r="AK9">
        <v>-2.846217920576188E-2</v>
      </c>
      <c r="AL9">
        <v>-2.1147719359071938E-2</v>
      </c>
      <c r="AM9">
        <v>0.22580422800163172</v>
      </c>
      <c r="AN9">
        <v>0.10997894023225223</v>
      </c>
      <c r="AO9">
        <v>0.36928065395557891</v>
      </c>
      <c r="AP9">
        <f t="shared" si="4"/>
        <v>0.99999999999305311</v>
      </c>
    </row>
    <row r="10" spans="1:42" ht="15.75" thickBot="1" x14ac:dyDescent="0.3">
      <c r="A10">
        <v>6</v>
      </c>
      <c r="B10" t="s">
        <v>34</v>
      </c>
      <c r="C10" s="3" cm="1">
        <f t="array" ref="C10">SQRT(MMULT(MMULT(weights_t5,vcov1),TRANSPOSE(weights_t5)))</f>
        <v>5.8891879827607733E-2</v>
      </c>
      <c r="D10" s="3" cm="1">
        <f t="array" ref="D10">MMULT(vector_returns_risky_assets1,TRANSPOSE(weights_t5))</f>
        <v>5.000000076258429E-2</v>
      </c>
      <c r="E10" s="9">
        <f t="shared" si="0"/>
        <v>0.67368865183332238</v>
      </c>
      <c r="F10" s="9">
        <v>0.25347088608844937</v>
      </c>
      <c r="G10" s="9">
        <v>-0.12125956414145583</v>
      </c>
      <c r="H10" s="9">
        <v>0.17627901517290778</v>
      </c>
      <c r="I10" s="9">
        <v>0.69150966288009841</v>
      </c>
      <c r="J10" s="9">
        <f>SUM(weights_t5)</f>
        <v>0.99999999999999978</v>
      </c>
      <c r="O10">
        <v>6</v>
      </c>
      <c r="P10" t="s">
        <v>49</v>
      </c>
      <c r="Q10" s="3" cm="1">
        <f t="array" aca="1" ref="Q10" ca="1">SQRT(MMULT(MMULT(T10:X10,vcov2),TRANSPOSE(T10:X10)))</f>
        <v>0.10570244243064562</v>
      </c>
      <c r="R10" s="3" cm="1">
        <f t="array" aca="1" ref="R10" ca="1">MMULT(returns_vector_3,TRANSPOSE(T10:X10))</f>
        <v>0.13393363255400639</v>
      </c>
      <c r="S10" s="28">
        <f t="shared" ca="1" si="1"/>
        <v>1.1693998745347458</v>
      </c>
      <c r="T10" s="9">
        <v>0.5519954641790793</v>
      </c>
      <c r="U10" s="9">
        <v>-0.16696113716577099</v>
      </c>
      <c r="V10" s="9">
        <v>-0.21954693994724045</v>
      </c>
      <c r="W10" s="9">
        <v>0.50743238180448946</v>
      </c>
      <c r="X10" s="9">
        <v>0.32708023112944246</v>
      </c>
      <c r="Y10">
        <f t="shared" si="3"/>
        <v>0.99999999999999978</v>
      </c>
      <c r="AE10">
        <v>6</v>
      </c>
      <c r="AF10" t="s">
        <v>75</v>
      </c>
      <c r="AG10" s="3" cm="1">
        <f t="array" aca="1" ref="AG10" ca="1">SQRT(MMULT(MMULT(AJ10:AO10,vcov5),TRANSPOSE(AJ10:AO10)))</f>
        <v>8.8393748894558033E-2</v>
      </c>
      <c r="AH10" s="3" cm="1">
        <f t="array" aca="1" ref="AH10" ca="1">MMULT(ret_vec_pm,TRANSPOSE(AJ10:AO10))</f>
        <v>0.13745210374857506</v>
      </c>
      <c r="AI10" s="8">
        <f t="shared" ca="1" si="2"/>
        <v>1.4381887373351174</v>
      </c>
      <c r="AJ10">
        <v>0.43835442356612198</v>
      </c>
      <c r="AK10">
        <v>2.9815828577415836E-2</v>
      </c>
      <c r="AL10">
        <v>-0.10738116353171914</v>
      </c>
      <c r="AM10">
        <v>-1.1440125284933978E-2</v>
      </c>
      <c r="AN10">
        <v>0.16705162745185573</v>
      </c>
      <c r="AO10">
        <v>0.48359940912980975</v>
      </c>
      <c r="AP10">
        <f t="shared" si="4"/>
        <v>0.99999999990855026</v>
      </c>
    </row>
    <row r="11" spans="1:42" ht="15.75" thickBot="1" x14ac:dyDescent="0.3">
      <c r="A11">
        <v>7</v>
      </c>
      <c r="B11" t="s">
        <v>35</v>
      </c>
      <c r="C11" s="3" cm="1">
        <f t="array" ref="C11">SQRT(MMULT(MMULT(weights_t6,vcov1),TRANSPOSE(weights_t6)))</f>
        <v>6.5741147935046609E-2</v>
      </c>
      <c r="D11" s="3" cm="1">
        <f t="array" ref="D11">MMULT(vector_returns_risky_assets1,TRANSPOSE(weights_t6))</f>
        <v>6.0000000597588261E-2</v>
      </c>
      <c r="E11" s="9">
        <f t="shared" si="0"/>
        <v>0.75561185833071565</v>
      </c>
      <c r="F11" s="9">
        <v>0.33249178294490489</v>
      </c>
      <c r="G11" s="9">
        <v>-6.58191117220841E-2</v>
      </c>
      <c r="H11" s="9">
        <v>0.16834247872045979</v>
      </c>
      <c r="I11" s="9">
        <v>0.56498485005671939</v>
      </c>
      <c r="J11" s="9">
        <f>SUM(weights_t6)</f>
        <v>1</v>
      </c>
      <c r="O11" s="16">
        <v>7</v>
      </c>
      <c r="P11" s="17" t="s">
        <v>39</v>
      </c>
      <c r="Q11" s="18" cm="1">
        <f t="array" aca="1" ref="Q11" ca="1">SQRT(MMULT(MMULT(T11:X11,vcov2),TRANSPOSE(T11:X11)))</f>
        <v>0.13570308576169168</v>
      </c>
      <c r="R11" s="18" cm="1">
        <f t="array" aca="1" ref="R11" ca="1">MMULT(returns_vector_3,TRANSPOSE(T11:X11))</f>
        <v>0.17063511403906731</v>
      </c>
      <c r="S11" s="29">
        <f t="shared" ca="1" si="1"/>
        <v>1.1813283648022159</v>
      </c>
      <c r="T11" s="20">
        <v>0.70673616344302803</v>
      </c>
      <c r="U11" s="20">
        <v>-0.15304436318276254</v>
      </c>
      <c r="V11" s="20">
        <v>-0.37094415991665619</v>
      </c>
      <c r="W11" s="20">
        <v>0.36885402302154457</v>
      </c>
      <c r="X11" s="20">
        <v>0.44839833663484646</v>
      </c>
      <c r="Y11" s="21">
        <f t="shared" si="3"/>
        <v>1.0000000000000004</v>
      </c>
      <c r="AE11" s="24">
        <v>7</v>
      </c>
      <c r="AF11" s="25" t="s">
        <v>39</v>
      </c>
      <c r="AG11" s="26" cm="1">
        <f t="array" aca="1" ref="AG11" ca="1">SQRT(MMULT(MMULT(AJ11:AO11,vcov5),TRANSPOSE(AJ11:AO11)))</f>
        <v>0.11056014753398671</v>
      </c>
      <c r="AH11" s="75" cm="1">
        <f t="array" aca="1" ref="AH11" ca="1">MMULT(ret_vec_pm,TRANSPOSE(AJ11:AO11))</f>
        <v>0.17106032019999906</v>
      </c>
      <c r="AI11" s="76">
        <f t="shared" ca="1" si="2"/>
        <v>1.4538250368469807</v>
      </c>
      <c r="AJ11" s="25">
        <v>0.54535839390453744</v>
      </c>
      <c r="AK11" s="25">
        <v>9.4743789310841597E-2</v>
      </c>
      <c r="AL11" s="25">
        <v>-0.21209123476294423</v>
      </c>
      <c r="AM11" s="25">
        <v>-0.27364876479955158</v>
      </c>
      <c r="AN11" s="25">
        <v>0.23226728230762589</v>
      </c>
      <c r="AO11" s="25">
        <v>0.61337053402783281</v>
      </c>
      <c r="AP11" s="44">
        <f t="shared" si="4"/>
        <v>0.99999999998834199</v>
      </c>
    </row>
    <row r="12" spans="1:42" ht="15.75" thickBot="1" x14ac:dyDescent="0.3">
      <c r="A12" s="16">
        <v>8</v>
      </c>
      <c r="B12" s="17" t="s">
        <v>39</v>
      </c>
      <c r="C12" s="18" cm="1">
        <f t="array" ref="C12">SQRT(MMULT(MMULT(weights_maxsharpe,vcov1),TRANSPOSE(weights_maxsharpe)))</f>
        <v>9.8433093217883488E-2</v>
      </c>
      <c r="D12" s="18" cm="1">
        <f t="array" ref="D12">MMULT(vector_returns_risky_assets1,TRANSPOSE(weights_maxsharpe))</f>
        <v>9.0894531191502717E-2</v>
      </c>
      <c r="E12" s="19">
        <f t="shared" si="0"/>
        <v>0.81851863961612803</v>
      </c>
      <c r="F12" s="20">
        <v>0.57662309264270617</v>
      </c>
      <c r="G12" s="20">
        <v>0.10546168561646181</v>
      </c>
      <c r="H12" s="20">
        <v>0.14382204349398253</v>
      </c>
      <c r="I12" s="20">
        <v>0.17409317824684939</v>
      </c>
      <c r="J12" s="27">
        <f>SUM(F12:I12)</f>
        <v>1</v>
      </c>
      <c r="O12">
        <v>8</v>
      </c>
      <c r="P12" t="s">
        <v>50</v>
      </c>
      <c r="Q12" s="3" cm="1">
        <f t="array" aca="1" ref="Q12" ca="1">SQRT(MMULT(MMULT(T12:X12,vcov2),TRANSPOSE(T12:X12)))</f>
        <v>0.14874381376093684</v>
      </c>
      <c r="R12" s="3" cm="1">
        <f t="array" aca="1" ref="R12" ca="1">MMULT(returns_vector_3,TRANSPOSE(T12:X12))</f>
        <v>0.18600338623324122</v>
      </c>
      <c r="S12" s="28">
        <f t="shared" ca="1" si="1"/>
        <v>1.1810788775256258</v>
      </c>
      <c r="T12" s="9">
        <v>0.77153451746547186</v>
      </c>
      <c r="U12" s="9">
        <v>-0.14714028927065362</v>
      </c>
      <c r="V12" s="9">
        <v>-0.43412757326044399</v>
      </c>
      <c r="W12" s="9">
        <v>0.31055377317249055</v>
      </c>
      <c r="X12" s="9">
        <v>0.49917957189313522</v>
      </c>
      <c r="Y12">
        <f t="shared" si="3"/>
        <v>1</v>
      </c>
      <c r="AE12">
        <v>8</v>
      </c>
      <c r="AF12" t="s">
        <v>50</v>
      </c>
      <c r="AG12" s="3" cm="1">
        <f t="array" aca="1" ref="AG12" ca="1">SQRT(MMULT(MMULT(AJ12:AO12,vcov5),TRANSPOSE(AJ12:AO12)))</f>
        <v>0.11454615819544456</v>
      </c>
      <c r="AH12" s="3" cm="1">
        <f t="array" aca="1" ref="AH12" ca="1">MMULT(ret_vec_pm,TRANSPOSE(AJ12:AO12))</f>
        <v>0.17684389336209175</v>
      </c>
      <c r="AI12" s="8">
        <f t="shared" ca="1" si="2"/>
        <v>1.4537256102502869</v>
      </c>
      <c r="AJ12">
        <v>0.56377222158945184</v>
      </c>
      <c r="AK12">
        <v>0.10591779595413668</v>
      </c>
      <c r="AL12">
        <v>-0.23011030578600589</v>
      </c>
      <c r="AM12">
        <v>-0.31877286982527997</v>
      </c>
      <c r="AN12">
        <v>0.24348981358841304</v>
      </c>
      <c r="AO12">
        <v>0.63570334472858203</v>
      </c>
      <c r="AP12">
        <f t="shared" si="4"/>
        <v>1.0000000002492977</v>
      </c>
    </row>
    <row r="13" spans="1:42" x14ac:dyDescent="0.25">
      <c r="A13">
        <v>9</v>
      </c>
      <c r="B13" t="s">
        <v>37</v>
      </c>
      <c r="C13" s="3" cm="1">
        <f t="array" ref="C13">SQRT(MMULT(MMULT(weights_t10,vcov1),TRANSPOSE(weights_t10)))</f>
        <v>0.1098084670059081</v>
      </c>
      <c r="D13" s="3" cm="1">
        <f t="array" ref="D13">MMULT(vector_returns_risky_assets1,TRANSPOSE(weights_t10))</f>
        <v>9.9999999933960887E-2</v>
      </c>
      <c r="E13" s="9">
        <f t="shared" si="0"/>
        <v>0.81664732002444629</v>
      </c>
      <c r="F13" s="9">
        <v>0.6485753634101824</v>
      </c>
      <c r="G13" s="9">
        <v>0.15594271674948565</v>
      </c>
      <c r="H13" s="9">
        <v>0.13659595971777819</v>
      </c>
      <c r="I13" s="9">
        <v>5.8885960122553746E-2</v>
      </c>
      <c r="J13" s="9">
        <f>SUM(weights_t10)</f>
        <v>1</v>
      </c>
    </row>
    <row r="14" spans="1:42" x14ac:dyDescent="0.25">
      <c r="A14">
        <v>10</v>
      </c>
      <c r="B14" t="s">
        <v>40</v>
      </c>
      <c r="C14" s="3" cm="1">
        <f t="array" ref="C14">SQRT(MMULT(MMULT(weights_t11,vcov1),TRANSPOSE(weights_t11)))</f>
        <v>0.12276911196468381</v>
      </c>
      <c r="D14" s="3" cm="1">
        <f t="array" ref="D14">MMULT(vector_returns_risky_assets1,TRANSPOSE(weights_t11))</f>
        <v>0.10999999977254724</v>
      </c>
      <c r="E14" s="9">
        <f t="shared" si="0"/>
        <v>0.81188817398652224</v>
      </c>
      <c r="F14" s="9">
        <v>0.72759625613069034</v>
      </c>
      <c r="G14" s="9">
        <v>0.21138317991286165</v>
      </c>
      <c r="H14" s="9">
        <v>0.12865937107300918</v>
      </c>
      <c r="I14" s="9">
        <v>-6.7638807116561117E-2</v>
      </c>
      <c r="J14" s="9">
        <f>SUM(weights_t11)</f>
        <v>1</v>
      </c>
    </row>
    <row r="36" spans="11:21" ht="18.75" x14ac:dyDescent="0.3">
      <c r="K36" s="66" t="s">
        <v>57</v>
      </c>
      <c r="L36" s="67"/>
      <c r="M36" s="67"/>
      <c r="N36" s="67"/>
      <c r="O36" s="67"/>
      <c r="P36" s="67"/>
      <c r="Q36" s="67"/>
      <c r="R36" s="67"/>
      <c r="S36" s="67"/>
      <c r="T36" s="67"/>
      <c r="U36" s="68"/>
    </row>
    <row r="37" spans="11:21" x14ac:dyDescent="0.25">
      <c r="K37" s="61"/>
      <c r="L37" s="2"/>
      <c r="M37" s="2"/>
      <c r="N37" s="2"/>
      <c r="O37" s="71" t="s">
        <v>21</v>
      </c>
      <c r="P37" s="2"/>
      <c r="Q37" s="2"/>
      <c r="R37" s="2"/>
      <c r="S37" s="2"/>
      <c r="T37" s="2"/>
      <c r="U37" s="69"/>
    </row>
    <row r="38" spans="11:21" x14ac:dyDescent="0.25">
      <c r="K38" s="65" t="s">
        <v>62</v>
      </c>
      <c r="L38" s="49" t="s">
        <v>18</v>
      </c>
      <c r="M38" s="49" t="s">
        <v>22</v>
      </c>
      <c r="N38" s="50" t="s">
        <v>27</v>
      </c>
      <c r="O38" s="65" t="str" cm="1">
        <f t="array" ref="O38:R38">risky_assets</f>
        <v>SP500</v>
      </c>
      <c r="P38" s="49" t="str">
        <v>RUS2000</v>
      </c>
      <c r="Q38" s="49" t="str">
        <v>LQD</v>
      </c>
      <c r="R38" s="49" t="str">
        <v>HYG</v>
      </c>
      <c r="S38" s="49" t="s">
        <v>45</v>
      </c>
      <c r="T38" s="50" t="s">
        <v>51</v>
      </c>
      <c r="U38" s="69"/>
    </row>
    <row r="39" spans="11:21" x14ac:dyDescent="0.25">
      <c r="K39" s="62" t="s">
        <v>76</v>
      </c>
      <c r="L39" s="5">
        <f>C12</f>
        <v>9.8433093217883488E-2</v>
      </c>
      <c r="M39" s="5">
        <f t="shared" ref="M39:R39" si="5">D12</f>
        <v>9.0894531191502717E-2</v>
      </c>
      <c r="N39" s="9">
        <f t="shared" si="5"/>
        <v>0.81851863961612803</v>
      </c>
      <c r="O39" s="57">
        <f t="shared" si="5"/>
        <v>0.57662309264270617</v>
      </c>
      <c r="P39" s="9">
        <f t="shared" si="5"/>
        <v>0.10546168561646181</v>
      </c>
      <c r="Q39" s="9">
        <f t="shared" si="5"/>
        <v>0.14382204349398253</v>
      </c>
      <c r="R39" s="9">
        <f t="shared" si="5"/>
        <v>0.17409317824684939</v>
      </c>
      <c r="S39" s="9">
        <v>0</v>
      </c>
      <c r="T39" s="51">
        <v>0</v>
      </c>
      <c r="U39" s="72">
        <f>SUM(O39:T39)</f>
        <v>1</v>
      </c>
    </row>
    <row r="40" spans="11:21" x14ac:dyDescent="0.25">
      <c r="K40" s="62" t="s">
        <v>77</v>
      </c>
      <c r="L40" s="5">
        <f ca="1">Q11</f>
        <v>0.13570308576169168</v>
      </c>
      <c r="M40" s="5">
        <f t="shared" ref="M40:S40" ca="1" si="6">R11</f>
        <v>0.17063511403906731</v>
      </c>
      <c r="N40" s="9">
        <f t="shared" ca="1" si="6"/>
        <v>1.1813283648022159</v>
      </c>
      <c r="O40" s="57">
        <f t="shared" si="6"/>
        <v>0.70673616344302803</v>
      </c>
      <c r="P40" s="9">
        <f t="shared" si="6"/>
        <v>-0.15304436318276254</v>
      </c>
      <c r="Q40" s="9">
        <f t="shared" si="6"/>
        <v>-0.37094415991665619</v>
      </c>
      <c r="R40" s="9">
        <f t="shared" si="6"/>
        <v>0.36885402302154457</v>
      </c>
      <c r="S40" s="9">
        <f t="shared" si="6"/>
        <v>0.44839833663484646</v>
      </c>
      <c r="T40" s="51">
        <v>0</v>
      </c>
      <c r="U40" s="73">
        <f>SUM(O40:T40)</f>
        <v>1.0000000000000004</v>
      </c>
    </row>
    <row r="41" spans="11:21" x14ac:dyDescent="0.25">
      <c r="K41" s="63" t="s">
        <v>78</v>
      </c>
      <c r="L41" s="40">
        <f ca="1">AG11</f>
        <v>0.11056014753398671</v>
      </c>
      <c r="M41" s="40">
        <f t="shared" ref="M41:T41" ca="1" si="7">AH11</f>
        <v>0.17106032019999906</v>
      </c>
      <c r="N41" s="70">
        <f t="shared" ca="1" si="7"/>
        <v>1.4538250368469807</v>
      </c>
      <c r="O41" s="58">
        <f t="shared" si="7"/>
        <v>0.54535839390453744</v>
      </c>
      <c r="P41" s="70">
        <f t="shared" si="7"/>
        <v>9.4743789310841597E-2</v>
      </c>
      <c r="Q41" s="70">
        <f t="shared" si="7"/>
        <v>-0.21209123476294423</v>
      </c>
      <c r="R41" s="70">
        <f t="shared" si="7"/>
        <v>-0.27364876479955158</v>
      </c>
      <c r="S41" s="70">
        <f t="shared" si="7"/>
        <v>0.23226728230762589</v>
      </c>
      <c r="T41" s="59">
        <f t="shared" si="7"/>
        <v>0.61337053402783281</v>
      </c>
      <c r="U41" s="74">
        <f>SUM(O41:T41)</f>
        <v>0.99999999998834199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03D0-A593-4B74-9B0F-76278AC7067A}">
  <dimension ref="A1:T64"/>
  <sheetViews>
    <sheetView workbookViewId="0">
      <selection activeCell="J11" sqref="J11"/>
    </sheetView>
  </sheetViews>
  <sheetFormatPr defaultRowHeight="15" x14ac:dyDescent="0.25"/>
  <cols>
    <col min="1" max="1" width="10.7109375" customWidth="1"/>
  </cols>
  <sheetData>
    <row r="1" spans="1:20" x14ac:dyDescent="0.25">
      <c r="B1" s="2" t="s">
        <v>0</v>
      </c>
      <c r="C1" s="2" t="s">
        <v>9</v>
      </c>
      <c r="D1" s="2" t="s">
        <v>1</v>
      </c>
      <c r="E1" s="2" t="s">
        <v>2</v>
      </c>
      <c r="F1" s="2" t="s">
        <v>10</v>
      </c>
      <c r="G1" s="2" t="s">
        <v>45</v>
      </c>
      <c r="H1" s="2" t="s">
        <v>51</v>
      </c>
    </row>
    <row r="2" spans="1:20" x14ac:dyDescent="0.25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e" vm="1">
        <v>#VALUE!</v>
      </c>
      <c r="H2" s="1" t="e" vm="2">
        <v>#VALUE!</v>
      </c>
    </row>
    <row r="3" spans="1:20" x14ac:dyDescent="0.25">
      <c r="A3" s="52">
        <v>42826</v>
      </c>
      <c r="F3" s="4">
        <f>(Monthly_Prices!F3/100)/12</f>
        <v>6.5000000000000008E-4</v>
      </c>
      <c r="O3" t="str" cm="1">
        <f t="array" ref="O3:S3">risky_assets_gef</f>
        <v>SP500</v>
      </c>
      <c r="P3" t="str">
        <v>RUS2000</v>
      </c>
      <c r="Q3" t="str">
        <v>LQD</v>
      </c>
      <c r="R3" t="str">
        <v>HYG</v>
      </c>
      <c r="S3" t="str">
        <v>INRG</v>
      </c>
      <c r="T3" t="s">
        <v>51</v>
      </c>
    </row>
    <row r="4" spans="1:20" x14ac:dyDescent="0.25">
      <c r="A4" s="52">
        <v>42856</v>
      </c>
      <c r="B4" s="3">
        <f>(Monthly_Prices!B4-Monthly_Prices!B3)/Monthly_Prices!B3</f>
        <v>4.81383199270241E-3</v>
      </c>
      <c r="C4" s="3">
        <f>(Monthly_Prices!C4-Monthly_Prices!C3)/Monthly_Prices!C3</f>
        <v>-2.1579151999547068E-2</v>
      </c>
      <c r="D4" s="3">
        <f>(Monthly_Prices!D4-Monthly_Prices!D3)/Monthly_Prices!D3</f>
        <v>1.3322137129163995E-2</v>
      </c>
      <c r="E4" s="3">
        <f>(Monthly_Prices!E4-Monthly_Prices!E3)/Monthly_Prices!E3</f>
        <v>1.0307202938824265E-2</v>
      </c>
      <c r="F4" s="4">
        <f>(Monthly_Prices!F4/100)/12</f>
        <v>7.9166666666666665E-4</v>
      </c>
      <c r="G4" s="3">
        <f ca="1">(Monthly_Prices!G4-Monthly_Prices!G3)/Monthly_Prices!G3</f>
        <v>9.9346405228758466E-3</v>
      </c>
      <c r="H4" s="3">
        <f ca="1">(Monthly_Prices!H4-Monthly_Prices!H3)/Monthly_Prices!H3</f>
        <v>-3.2333372242325152E-2</v>
      </c>
      <c r="M4" s="3"/>
      <c r="N4" s="3"/>
      <c r="O4" s="3">
        <f>(Monthly_Prices!B4-Monthly_Prices!B3)/Monthly_Prices!B3</f>
        <v>4.81383199270241E-3</v>
      </c>
      <c r="P4" s="3">
        <f>(Monthly_Prices!C4-Monthly_Prices!C3)/Monthly_Prices!C3</f>
        <v>-2.1579151999547068E-2</v>
      </c>
      <c r="Q4" s="3">
        <f>(Monthly_Prices!D4-Monthly_Prices!D3)/Monthly_Prices!D3</f>
        <v>1.3322137129163995E-2</v>
      </c>
      <c r="R4" s="3">
        <f>(Monthly_Prices!E4-Monthly_Prices!E3)/Monthly_Prices!E3</f>
        <v>1.0307202938824265E-2</v>
      </c>
      <c r="S4" s="3">
        <f ca="1">(Monthly_Prices!G4-Monthly_Prices!G3)/Monthly_Prices!G3</f>
        <v>9.9346405228758466E-3</v>
      </c>
      <c r="T4" s="3">
        <f ca="1">(Monthly_Prices!H4-Monthly_Prices!H3)/Monthly_Prices!H3</f>
        <v>-3.2333372242325152E-2</v>
      </c>
    </row>
    <row r="5" spans="1:20" x14ac:dyDescent="0.25">
      <c r="A5" s="52">
        <v>42887</v>
      </c>
      <c r="B5" s="3">
        <f>(Monthly_Prices!B5-Monthly_Prices!B4)/Monthly_Prices!B4</f>
        <v>1.9348768883515513E-2</v>
      </c>
      <c r="C5" s="3">
        <f>(Monthly_Prices!C5-Monthly_Prices!C4)/Monthly_Prices!C4</f>
        <v>3.2951171926270964E-2</v>
      </c>
      <c r="D5" s="3">
        <f>(Monthly_Prices!D5-Monthly_Prices!D4)/Monthly_Prices!D4</f>
        <v>4.8814398568279458E-3</v>
      </c>
      <c r="E5" s="3">
        <f>(Monthly_Prices!E5-Monthly_Prices!E4)/Monthly_Prices!E4</f>
        <v>1.3287993126617633E-3</v>
      </c>
      <c r="F5" s="4">
        <f>(Monthly_Prices!F5/100)/12</f>
        <v>8.275E-4</v>
      </c>
      <c r="G5" s="3">
        <f ca="1">(Monthly_Prices!G5-Monthly_Prices!G4)/Monthly_Prices!G4</f>
        <v>-3.6241263266891901E-3</v>
      </c>
      <c r="H5" s="3">
        <f ca="1">(Monthly_Prices!H5-Monthly_Prices!H4)/Monthly_Prices!H4</f>
        <v>-3.2086851628468159E-2</v>
      </c>
      <c r="M5" s="3"/>
      <c r="N5" s="3"/>
      <c r="O5" s="3">
        <f>(Monthly_Prices!B5-Monthly_Prices!B4)/Monthly_Prices!B4</f>
        <v>1.9348768883515513E-2</v>
      </c>
      <c r="P5" s="3">
        <f>(Monthly_Prices!C5-Monthly_Prices!C4)/Monthly_Prices!C4</f>
        <v>3.2951171926270964E-2</v>
      </c>
      <c r="Q5" s="3">
        <f>(Monthly_Prices!D5-Monthly_Prices!D4)/Monthly_Prices!D4</f>
        <v>4.8814398568279458E-3</v>
      </c>
      <c r="R5" s="3">
        <f>(Monthly_Prices!E5-Monthly_Prices!E4)/Monthly_Prices!E4</f>
        <v>1.3287993126617633E-3</v>
      </c>
      <c r="S5" s="3">
        <f ca="1">(Monthly_Prices!G5-Monthly_Prices!G4)/Monthly_Prices!G4</f>
        <v>-3.6241263266891901E-3</v>
      </c>
      <c r="T5" s="3">
        <f ca="1">(Monthly_Prices!H5-Monthly_Prices!H4)/Monthly_Prices!H4</f>
        <v>-3.2086851628468159E-2</v>
      </c>
    </row>
    <row r="6" spans="1:20" x14ac:dyDescent="0.25">
      <c r="A6" s="52">
        <v>42917</v>
      </c>
      <c r="B6" s="3">
        <f>(Monthly_Prices!B6-Monthly_Prices!B5)/Monthly_Prices!B5</f>
        <v>5.4649232886690234E-4</v>
      </c>
      <c r="C6" s="3">
        <f>(Monthly_Prices!C6-Monthly_Prices!C5)/Monthly_Prices!C5</f>
        <v>6.9099240501701029E-3</v>
      </c>
      <c r="D6" s="3">
        <f>(Monthly_Prices!D6-Monthly_Prices!D5)/Monthly_Prices!D5</f>
        <v>7.6267443844156351E-3</v>
      </c>
      <c r="E6" s="3">
        <f>(Monthly_Prices!E6-Monthly_Prices!E5)/Monthly_Prices!E5</f>
        <v>1.0179431372384667E-2</v>
      </c>
      <c r="F6" s="4">
        <f>(Monthly_Prices!F6/100)/12</f>
        <v>8.7749999999999992E-4</v>
      </c>
      <c r="G6" s="3">
        <f ca="1">(Monthly_Prices!G6-Monthly_Prices!G5)/Monthly_Prices!G5</f>
        <v>3.4294621979735117E-2</v>
      </c>
      <c r="H6" s="3">
        <f ca="1">(Monthly_Prices!H6-Monthly_Prices!H5)/Monthly_Prices!H5</f>
        <v>-7.2283150548354729E-3</v>
      </c>
      <c r="M6" s="3"/>
      <c r="N6" s="3"/>
      <c r="O6" s="3">
        <f>(Monthly_Prices!B6-Monthly_Prices!B5)/Monthly_Prices!B5</f>
        <v>5.4649232886690234E-4</v>
      </c>
      <c r="P6" s="3">
        <f>(Monthly_Prices!C6-Monthly_Prices!C5)/Monthly_Prices!C5</f>
        <v>6.9099240501701029E-3</v>
      </c>
      <c r="Q6" s="3">
        <f>(Monthly_Prices!D6-Monthly_Prices!D5)/Monthly_Prices!D5</f>
        <v>7.6267443844156351E-3</v>
      </c>
      <c r="R6" s="3">
        <f>(Monthly_Prices!E6-Monthly_Prices!E5)/Monthly_Prices!E5</f>
        <v>1.0179431372384667E-2</v>
      </c>
      <c r="S6" s="3">
        <f ca="1">(Monthly_Prices!G6-Monthly_Prices!G5)/Monthly_Prices!G5</f>
        <v>3.4294621979735117E-2</v>
      </c>
      <c r="T6" s="3">
        <f ca="1">(Monthly_Prices!H6-Monthly_Prices!H5)/Monthly_Prices!H5</f>
        <v>-7.2283150548354729E-3</v>
      </c>
    </row>
    <row r="7" spans="1:20" x14ac:dyDescent="0.25">
      <c r="A7" s="52">
        <v>42948</v>
      </c>
      <c r="B7" s="3">
        <f>(Monthly_Prices!B7-Monthly_Prices!B6)/Monthly_Prices!B6</f>
        <v>1.9302894827342074E-2</v>
      </c>
      <c r="C7" s="3">
        <f>(Monthly_Prices!C7-Monthly_Prices!C6)/Monthly_Prices!C6</f>
        <v>-1.39354630358898E-2</v>
      </c>
      <c r="D7" s="3">
        <f>(Monthly_Prices!D7-Monthly_Prices!D6)/Monthly_Prices!D6</f>
        <v>6.8018256989809192E-3</v>
      </c>
      <c r="E7" s="3">
        <f>(Monthly_Prices!E7-Monthly_Prices!E6)/Monthly_Prices!E6</f>
        <v>7.8147349045035934E-4</v>
      </c>
      <c r="F7" s="4">
        <f>(Monthly_Prices!F7/100)/12</f>
        <v>8.1500000000000008E-4</v>
      </c>
      <c r="G7" s="3">
        <f ca="1">(Monthly_Prices!G7-Monthly_Prices!G6)/Monthly_Prices!G6</f>
        <v>3.4539060537553373E-2</v>
      </c>
      <c r="H7" s="3">
        <f ca="1">(Monthly_Prices!H7-Monthly_Prices!H6)/Monthly_Prices!H6</f>
        <v>3.5023851368315422E-2</v>
      </c>
      <c r="M7" s="3"/>
      <c r="N7" s="3"/>
      <c r="O7" s="3">
        <f>(Monthly_Prices!B7-Monthly_Prices!B6)/Monthly_Prices!B6</f>
        <v>1.9302894827342074E-2</v>
      </c>
      <c r="P7" s="3">
        <f>(Monthly_Prices!C7-Monthly_Prices!C6)/Monthly_Prices!C6</f>
        <v>-1.39354630358898E-2</v>
      </c>
      <c r="Q7" s="3">
        <f>(Monthly_Prices!D7-Monthly_Prices!D6)/Monthly_Prices!D6</f>
        <v>6.8018256989809192E-3</v>
      </c>
      <c r="R7" s="3">
        <f>(Monthly_Prices!E7-Monthly_Prices!E6)/Monthly_Prices!E6</f>
        <v>7.8147349045035934E-4</v>
      </c>
      <c r="S7" s="3">
        <f ca="1">(Monthly_Prices!G7-Monthly_Prices!G6)/Monthly_Prices!G6</f>
        <v>3.4539060537553373E-2</v>
      </c>
      <c r="T7" s="3">
        <f ca="1">(Monthly_Prices!H7-Monthly_Prices!H6)/Monthly_Prices!H6</f>
        <v>3.5023851368315422E-2</v>
      </c>
    </row>
    <row r="8" spans="1:20" x14ac:dyDescent="0.25">
      <c r="A8" s="52">
        <v>42979</v>
      </c>
      <c r="B8" s="3">
        <f>(Monthly_Prices!B8-Monthly_Prices!B7)/Monthly_Prices!B7</f>
        <v>2.218817477454595E-2</v>
      </c>
      <c r="C8" s="3">
        <f>(Monthly_Prices!C8-Monthly_Prices!C7)/Monthly_Prices!C7</f>
        <v>6.0898863026537776E-2</v>
      </c>
      <c r="D8" s="3">
        <f>(Monthly_Prices!D8-Monthly_Prices!D7)/Monthly_Prices!D7</f>
        <v>-5.0019263754086136E-4</v>
      </c>
      <c r="E8" s="3">
        <f>(Monthly_Prices!E8-Monthly_Prices!E7)/Monthly_Prices!E7</f>
        <v>5.9698292733756063E-3</v>
      </c>
      <c r="F8" s="4">
        <f>(Monthly_Prices!F8/100)/12</f>
        <v>8.5666666666666671E-4</v>
      </c>
      <c r="G8" s="3">
        <f ca="1">(Monthly_Prices!G8-Monthly_Prices!G7)/Monthly_Prices!G7</f>
        <v>-4.8439966007041507E-2</v>
      </c>
      <c r="H8" s="3">
        <f ca="1">(Monthly_Prices!H8-Monthly_Prices!H7)/Monthly_Prices!H7</f>
        <v>-2.4257125530624622E-2</v>
      </c>
      <c r="J8" s="3"/>
      <c r="M8" s="3"/>
      <c r="N8" s="3"/>
      <c r="O8" s="3">
        <f>(Monthly_Prices!B8-Monthly_Prices!B7)/Monthly_Prices!B7</f>
        <v>2.218817477454595E-2</v>
      </c>
      <c r="P8" s="3">
        <f>(Monthly_Prices!C8-Monthly_Prices!C7)/Monthly_Prices!C7</f>
        <v>6.0898863026537776E-2</v>
      </c>
      <c r="Q8" s="3">
        <f>(Monthly_Prices!D8-Monthly_Prices!D7)/Monthly_Prices!D7</f>
        <v>-5.0019263754086136E-4</v>
      </c>
      <c r="R8" s="3">
        <f>(Monthly_Prices!E8-Monthly_Prices!E7)/Monthly_Prices!E7</f>
        <v>5.9698292733756063E-3</v>
      </c>
      <c r="S8" s="3">
        <f ca="1">(Monthly_Prices!G8-Monthly_Prices!G7)/Monthly_Prices!G7</f>
        <v>-4.8439966007041507E-2</v>
      </c>
      <c r="T8" s="3">
        <f ca="1">(Monthly_Prices!H8-Monthly_Prices!H7)/Monthly_Prices!H7</f>
        <v>-2.4257125530624622E-2</v>
      </c>
    </row>
    <row r="9" spans="1:20" x14ac:dyDescent="0.25">
      <c r="A9" s="52">
        <v>43009</v>
      </c>
      <c r="B9" s="3">
        <f>(Monthly_Prices!B9-Monthly_Prices!B8)/Monthly_Prices!B8</f>
        <v>2.8082601368405406E-2</v>
      </c>
      <c r="C9" s="3">
        <f>(Monthly_Prices!C9-Monthly_Prices!C8)/Monthly_Prices!C8</f>
        <v>7.8277263575492386E-3</v>
      </c>
      <c r="D9" s="3">
        <f>(Monthly_Prices!D9-Monthly_Prices!D8)/Monthly_Prices!D8</f>
        <v>1.8940270590679792E-3</v>
      </c>
      <c r="E9" s="3">
        <f>(Monthly_Prices!E9-Monthly_Prices!E8)/Monthly_Prices!E8</f>
        <v>9.1222783908602272E-4</v>
      </c>
      <c r="F9" s="4">
        <f>(Monthly_Prices!F9/100)/12</f>
        <v>9.3583333333333333E-4</v>
      </c>
      <c r="G9" s="3">
        <f ca="1">(Monthly_Prices!G9-Monthly_Prices!G8)/Monthly_Prices!G8</f>
        <v>4.4909415667262115E-2</v>
      </c>
      <c r="H9" s="3">
        <f ca="1">(Monthly_Prices!H9-Monthly_Prices!H8)/Monthly_Prices!H8</f>
        <v>1.5537600994406464E-2</v>
      </c>
      <c r="M9" s="3"/>
      <c r="N9" s="3"/>
      <c r="O9" s="3">
        <f>(Monthly_Prices!B9-Monthly_Prices!B8)/Monthly_Prices!B8</f>
        <v>2.8082601368405406E-2</v>
      </c>
      <c r="P9" s="3">
        <f>(Monthly_Prices!C9-Monthly_Prices!C8)/Monthly_Prices!C8</f>
        <v>7.8277263575492386E-3</v>
      </c>
      <c r="Q9" s="3">
        <f>(Monthly_Prices!D9-Monthly_Prices!D8)/Monthly_Prices!D8</f>
        <v>1.8940270590679792E-3</v>
      </c>
      <c r="R9" s="3">
        <f>(Monthly_Prices!E9-Monthly_Prices!E8)/Monthly_Prices!E8</f>
        <v>9.1222783908602272E-4</v>
      </c>
      <c r="S9" s="3">
        <f ca="1">(Monthly_Prices!G9-Monthly_Prices!G8)/Monthly_Prices!G8</f>
        <v>4.4909415667262115E-2</v>
      </c>
      <c r="T9" s="3">
        <f ca="1">(Monthly_Prices!H9-Monthly_Prices!H8)/Monthly_Prices!H8</f>
        <v>1.5537600994406464E-2</v>
      </c>
    </row>
    <row r="10" spans="1:20" x14ac:dyDescent="0.25">
      <c r="A10" s="52">
        <v>43040</v>
      </c>
      <c r="B10" s="3">
        <f>(Monthly_Prices!B10-Monthly_Prices!B9)/Monthly_Prices!B9</f>
        <v>9.8316198188535195E-3</v>
      </c>
      <c r="C10" s="3">
        <f>(Monthly_Prices!C10-Monthly_Prices!C9)/Monthly_Prices!C9</f>
        <v>2.7693280797651158E-2</v>
      </c>
      <c r="D10" s="3">
        <f>(Monthly_Prices!D10-Monthly_Prices!D9)/Monthly_Prices!D9</f>
        <v>-1.218713858972025E-3</v>
      </c>
      <c r="E10" s="3">
        <f>(Monthly_Prices!E10-Monthly_Prices!E9)/Monthly_Prices!E9</f>
        <v>-3.7023466928472037E-3</v>
      </c>
      <c r="F10" s="4">
        <f>(Monthly_Prices!F10/100)/12</f>
        <v>1.0316666666666666E-3</v>
      </c>
      <c r="G10" s="3">
        <f ca="1">(Monthly_Prices!G10-Monthly_Prices!G9)/Monthly_Prices!G9</f>
        <v>-7.448107448107448E-2</v>
      </c>
      <c r="H10" s="3">
        <f ca="1">(Monthly_Prices!H10-Monthly_Prices!H9)/Monthly_Prices!H9</f>
        <v>-1.468788249694006E-2</v>
      </c>
      <c r="M10" s="3"/>
      <c r="N10" s="3"/>
      <c r="O10" s="3">
        <f>(Monthly_Prices!B10-Monthly_Prices!B9)/Monthly_Prices!B9</f>
        <v>9.8316198188535195E-3</v>
      </c>
      <c r="P10" s="3">
        <f>(Monthly_Prices!C10-Monthly_Prices!C9)/Monthly_Prices!C9</f>
        <v>2.7693280797651158E-2</v>
      </c>
      <c r="Q10" s="3">
        <f>(Monthly_Prices!D10-Monthly_Prices!D9)/Monthly_Prices!D9</f>
        <v>-1.218713858972025E-3</v>
      </c>
      <c r="R10" s="3">
        <f>(Monthly_Prices!E10-Monthly_Prices!E9)/Monthly_Prices!E9</f>
        <v>-3.7023466928472037E-3</v>
      </c>
      <c r="S10" s="3">
        <f ca="1">(Monthly_Prices!G10-Monthly_Prices!G9)/Monthly_Prices!G9</f>
        <v>-7.448107448107448E-2</v>
      </c>
      <c r="T10" s="3">
        <f ca="1">(Monthly_Prices!H10-Monthly_Prices!H9)/Monthly_Prices!H9</f>
        <v>-1.468788249694006E-2</v>
      </c>
    </row>
    <row r="11" spans="1:20" x14ac:dyDescent="0.25">
      <c r="A11" s="52">
        <v>43070</v>
      </c>
      <c r="B11" s="3">
        <f>(Monthly_Prices!B11-Monthly_Prices!B10)/Monthly_Prices!B10</f>
        <v>5.6178724645703677E-2</v>
      </c>
      <c r="C11" s="3">
        <f>(Monthly_Prices!C11-Monthly_Prices!C10)/Monthly_Prices!C10</f>
        <v>-5.5888746591415692E-3</v>
      </c>
      <c r="D11" s="3">
        <f>(Monthly_Prices!D11-Monthly_Prices!D10)/Monthly_Prices!D10</f>
        <v>1.0051930203042524E-2</v>
      </c>
      <c r="E11" s="3">
        <f>(Monthly_Prices!E11-Monthly_Prices!E10)/Monthly_Prices!E10</f>
        <v>-1.7944515610258348E-3</v>
      </c>
      <c r="F11" s="4">
        <f>(Monthly_Prices!F11/100)/12</f>
        <v>1.1291666666666666E-3</v>
      </c>
      <c r="G11" s="3">
        <f ca="1">(Monthly_Prices!G11-Monthly_Prices!G10)/Monthly_Prices!G10</f>
        <v>5.5408970976253295E-2</v>
      </c>
      <c r="H11" s="3">
        <f ca="1">(Monthly_Prices!H11-Monthly_Prices!H10)/Monthly_Prices!H10</f>
        <v>1.7267080745341622E-2</v>
      </c>
      <c r="M11" s="3"/>
      <c r="N11" s="3"/>
      <c r="O11" s="3">
        <f>(Monthly_Prices!B11-Monthly_Prices!B10)/Monthly_Prices!B10</f>
        <v>5.6178724645703677E-2</v>
      </c>
      <c r="P11" s="3">
        <f>(Monthly_Prices!C11-Monthly_Prices!C10)/Monthly_Prices!C10</f>
        <v>-5.5888746591415692E-3</v>
      </c>
      <c r="Q11" s="3">
        <f>(Monthly_Prices!D11-Monthly_Prices!D10)/Monthly_Prices!D10</f>
        <v>1.0051930203042524E-2</v>
      </c>
      <c r="R11" s="3">
        <f>(Monthly_Prices!E11-Monthly_Prices!E10)/Monthly_Prices!E10</f>
        <v>-1.7944515610258348E-3</v>
      </c>
      <c r="S11" s="3">
        <f ca="1">(Monthly_Prices!G11-Monthly_Prices!G10)/Monthly_Prices!G10</f>
        <v>5.5408970976253295E-2</v>
      </c>
      <c r="T11" s="3">
        <f ca="1">(Monthly_Prices!H11-Monthly_Prices!H10)/Monthly_Prices!H10</f>
        <v>1.7267080745341622E-2</v>
      </c>
    </row>
    <row r="12" spans="1:20" x14ac:dyDescent="0.25">
      <c r="A12" s="52">
        <v>43101</v>
      </c>
      <c r="B12" s="3">
        <f>(Monthly_Prices!B12-Monthly_Prices!B11)/Monthly_Prices!B11</f>
        <v>-3.8947379604151844E-2</v>
      </c>
      <c r="C12" s="3">
        <f>(Monthly_Prices!C12-Monthly_Prices!C11)/Monthly_Prices!C11</f>
        <v>2.5704794982092043E-2</v>
      </c>
      <c r="D12" s="3">
        <f>(Monthly_Prices!D12-Monthly_Prices!D11)/Monthly_Prices!D11</f>
        <v>-7.5222867441590638E-3</v>
      </c>
      <c r="E12" s="3">
        <f>(Monthly_Prices!E12-Monthly_Prices!E11)/Monthly_Prices!E11</f>
        <v>8.8934895338487127E-3</v>
      </c>
      <c r="F12" s="4">
        <f>(Monthly_Prices!F12/100)/12</f>
        <v>1.1916666666666666E-3</v>
      </c>
      <c r="G12" s="3">
        <f ca="1">(Monthly_Prices!G12-Monthly_Prices!G11)/Monthly_Prices!G11</f>
        <v>-2.0125000000000028E-2</v>
      </c>
      <c r="H12" s="3">
        <f ca="1">(Monthly_Prices!H12-Monthly_Prices!H11)/Monthly_Prices!H11</f>
        <v>-1.3798998656734588E-2</v>
      </c>
      <c r="M12" s="3"/>
      <c r="N12" s="3"/>
      <c r="O12" s="3">
        <f>(Monthly_Prices!B12-Monthly_Prices!B11)/Monthly_Prices!B11</f>
        <v>-3.8947379604151844E-2</v>
      </c>
      <c r="P12" s="3">
        <f>(Monthly_Prices!C12-Monthly_Prices!C11)/Monthly_Prices!C11</f>
        <v>2.5704794982092043E-2</v>
      </c>
      <c r="Q12" s="3">
        <f>(Monthly_Prices!D12-Monthly_Prices!D11)/Monthly_Prices!D11</f>
        <v>-7.5222867441590638E-3</v>
      </c>
      <c r="R12" s="3">
        <f>(Monthly_Prices!E12-Monthly_Prices!E11)/Monthly_Prices!E11</f>
        <v>8.8934895338487127E-3</v>
      </c>
      <c r="S12" s="3">
        <f ca="1">(Monthly_Prices!G12-Monthly_Prices!G11)/Monthly_Prices!G11</f>
        <v>-2.0125000000000028E-2</v>
      </c>
      <c r="T12" s="3">
        <f ca="1">(Monthly_Prices!H12-Monthly_Prices!H11)/Monthly_Prices!H11</f>
        <v>-1.3798998656734588E-2</v>
      </c>
    </row>
    <row r="13" spans="1:20" x14ac:dyDescent="0.25">
      <c r="A13" s="52">
        <v>43132</v>
      </c>
      <c r="B13" s="3">
        <f>(Monthly_Prices!B13-Monthly_Prices!B12)/Monthly_Prices!B12</f>
        <v>-2.6884513768364281E-2</v>
      </c>
      <c r="C13" s="3">
        <f>(Monthly_Prices!C13-Monthly_Prices!C12)/Monthly_Prices!C12</f>
        <v>-3.9702110372222009E-2</v>
      </c>
      <c r="D13" s="3">
        <f>(Monthly_Prices!D13-Monthly_Prices!D12)/Monthly_Prices!D12</f>
        <v>-2.4985531192368089E-2</v>
      </c>
      <c r="E13" s="3">
        <f>(Monthly_Prices!E13-Monthly_Prices!E12)/Monthly_Prices!E12</f>
        <v>-1.2829486773982402E-2</v>
      </c>
      <c r="F13" s="4">
        <f>(Monthly_Prices!F13/100)/12</f>
        <v>1.3483333333333333E-3</v>
      </c>
      <c r="G13" s="3">
        <f ca="1">(Monthly_Prices!G13-Monthly_Prices!G12)/Monthly_Prices!G12</f>
        <v>6.8886337543053672E-3</v>
      </c>
      <c r="H13" s="3">
        <f ca="1">(Monthly_Prices!H13-Monthly_Prices!H12)/Monthly_Prices!H12</f>
        <v>-2.1050024764735229E-3</v>
      </c>
      <c r="M13" s="3"/>
      <c r="N13" s="3"/>
      <c r="O13" s="3">
        <f>(Monthly_Prices!B13-Monthly_Prices!B12)/Monthly_Prices!B12</f>
        <v>-2.6884513768364281E-2</v>
      </c>
      <c r="P13" s="3">
        <f>(Monthly_Prices!C13-Monthly_Prices!C12)/Monthly_Prices!C12</f>
        <v>-3.9702110372222009E-2</v>
      </c>
      <c r="Q13" s="3">
        <f>(Monthly_Prices!D13-Monthly_Prices!D12)/Monthly_Prices!D12</f>
        <v>-2.4985531192368089E-2</v>
      </c>
      <c r="R13" s="3">
        <f>(Monthly_Prices!E13-Monthly_Prices!E12)/Monthly_Prices!E12</f>
        <v>-1.2829486773982402E-2</v>
      </c>
      <c r="S13" s="3">
        <f ca="1">(Monthly_Prices!G13-Monthly_Prices!G12)/Monthly_Prices!G12</f>
        <v>6.8886337543053672E-3</v>
      </c>
      <c r="T13" s="3">
        <f ca="1">(Monthly_Prices!H13-Monthly_Prices!H12)/Monthly_Prices!H12</f>
        <v>-2.1050024764735229E-3</v>
      </c>
    </row>
    <row r="14" spans="1:20" x14ac:dyDescent="0.25">
      <c r="A14" s="52">
        <v>43160</v>
      </c>
      <c r="B14" s="3">
        <f>(Monthly_Prices!B14-Monthly_Prices!B13)/Monthly_Prices!B13</f>
        <v>2.718801001185326E-3</v>
      </c>
      <c r="C14" s="3">
        <f>(Monthly_Prices!C14-Monthly_Prices!C13)/Monthly_Prices!C13</f>
        <v>1.1226885880602519E-2</v>
      </c>
      <c r="D14" s="3">
        <f>(Monthly_Prices!D14-Monthly_Prices!D13)/Monthly_Prices!D13</f>
        <v>5.421186422514962E-3</v>
      </c>
      <c r="E14" s="3">
        <f>(Monthly_Prices!E14-Monthly_Prices!E13)/Monthly_Prices!E13</f>
        <v>-2.0818195133506705E-3</v>
      </c>
      <c r="F14" s="4">
        <f>(Monthly_Prices!F14/100)/12</f>
        <v>1.3916666666666667E-3</v>
      </c>
      <c r="G14" s="3">
        <f ca="1">(Monthly_Prices!G14-Monthly_Prices!G13)/Monthly_Prices!G13</f>
        <v>-5.3211706575445735E-3</v>
      </c>
      <c r="H14" s="3">
        <f ca="1">(Monthly_Prices!H14-Monthly_Prices!H13)/Monthly_Prices!H13</f>
        <v>-3.0524879017247895E-2</v>
      </c>
      <c r="M14" s="3"/>
      <c r="N14" s="3"/>
      <c r="O14" s="3">
        <f>(Monthly_Prices!B14-Monthly_Prices!B13)/Monthly_Prices!B13</f>
        <v>2.718801001185326E-3</v>
      </c>
      <c r="P14" s="3">
        <f>(Monthly_Prices!C14-Monthly_Prices!C13)/Monthly_Prices!C13</f>
        <v>1.1226885880602519E-2</v>
      </c>
      <c r="Q14" s="3">
        <f>(Monthly_Prices!D14-Monthly_Prices!D13)/Monthly_Prices!D13</f>
        <v>5.421186422514962E-3</v>
      </c>
      <c r="R14" s="3">
        <f>(Monthly_Prices!E14-Monthly_Prices!E13)/Monthly_Prices!E13</f>
        <v>-2.0818195133506705E-3</v>
      </c>
      <c r="S14" s="3">
        <f ca="1">(Monthly_Prices!G14-Monthly_Prices!G13)/Monthly_Prices!G13</f>
        <v>-5.3211706575445735E-3</v>
      </c>
      <c r="T14" s="3">
        <f ca="1">(Monthly_Prices!H14-Monthly_Prices!H13)/Monthly_Prices!H13</f>
        <v>-3.0524879017247895E-2</v>
      </c>
    </row>
    <row r="15" spans="1:20" x14ac:dyDescent="0.25">
      <c r="A15" s="52">
        <v>43191</v>
      </c>
      <c r="B15" s="3">
        <f>(Monthly_Prices!B15-Monthly_Prices!B14)/Monthly_Prices!B14</f>
        <v>2.1608353316591378E-2</v>
      </c>
      <c r="C15" s="3">
        <f>(Monthly_Prices!C15-Monthly_Prices!C14)/Monthly_Prices!C14</f>
        <v>8.1402552326201739E-3</v>
      </c>
      <c r="D15" s="3">
        <f>(Monthly_Prices!D15-Monthly_Prices!D14)/Monthly_Prices!D14</f>
        <v>-1.5710516793528351E-2</v>
      </c>
      <c r="E15" s="3">
        <f>(Monthly_Prices!E15-Monthly_Prices!E14)/Monthly_Prices!E14</f>
        <v>4.6757235027343452E-3</v>
      </c>
      <c r="F15" s="4">
        <f>(Monthly_Prices!F15/100)/12</f>
        <v>1.4691666666666666E-3</v>
      </c>
      <c r="G15" s="3">
        <f ca="1">(Monthly_Prices!G15-Monthly_Prices!G14)/Monthly_Prices!G14</f>
        <v>6.3940899248503283E-2</v>
      </c>
      <c r="H15" s="3">
        <f ca="1">(Monthly_Prices!H15-Monthly_Prices!H14)/Monthly_Prices!H14</f>
        <v>1.4591066171765015E-2</v>
      </c>
      <c r="M15" s="3"/>
      <c r="N15" s="3"/>
      <c r="O15" s="3">
        <f>(Monthly_Prices!B15-Monthly_Prices!B14)/Monthly_Prices!B14</f>
        <v>2.1608353316591378E-2</v>
      </c>
      <c r="P15" s="3">
        <f>(Monthly_Prices!C15-Monthly_Prices!C14)/Monthly_Prices!C14</f>
        <v>8.1402552326201739E-3</v>
      </c>
      <c r="Q15" s="3">
        <f>(Monthly_Prices!D15-Monthly_Prices!D14)/Monthly_Prices!D14</f>
        <v>-1.5710516793528351E-2</v>
      </c>
      <c r="R15" s="3">
        <f>(Monthly_Prices!E15-Monthly_Prices!E14)/Monthly_Prices!E14</f>
        <v>4.6757235027343452E-3</v>
      </c>
      <c r="S15" s="3">
        <f ca="1">(Monthly_Prices!G15-Monthly_Prices!G14)/Monthly_Prices!G14</f>
        <v>6.3940899248503283E-2</v>
      </c>
      <c r="T15" s="3">
        <f ca="1">(Monthly_Prices!H15-Monthly_Prices!H14)/Monthly_Prices!H14</f>
        <v>1.4591066171765015E-2</v>
      </c>
    </row>
    <row r="16" spans="1:20" x14ac:dyDescent="0.25">
      <c r="A16" s="52">
        <v>43221</v>
      </c>
      <c r="B16" s="3">
        <f>(Monthly_Prices!B16-Monthly_Prices!B15)/Monthly_Prices!B15</f>
        <v>4.842400204046143E-3</v>
      </c>
      <c r="C16" s="3">
        <f>(Monthly_Prices!C16-Monthly_Prices!C15)/Monthly_Prices!C15</f>
        <v>5.9492294927321575E-2</v>
      </c>
      <c r="D16" s="3">
        <f>(Monthly_Prices!D16-Monthly_Prices!D15)/Monthly_Prices!D15</f>
        <v>5.2288697476216631E-3</v>
      </c>
      <c r="E16" s="3">
        <f>(Monthly_Prices!E16-Monthly_Prices!E15)/Monthly_Prices!E15</f>
        <v>3.4281040245994442E-4</v>
      </c>
      <c r="F16" s="4">
        <f>(Monthly_Prices!F16/100)/12</f>
        <v>1.5583333333333334E-3</v>
      </c>
      <c r="G16" s="3">
        <f ca="1">(Monthly_Prices!G16-Monthly_Prices!G15)/Monthly_Prices!G15</f>
        <v>5.6267209385849944E-3</v>
      </c>
      <c r="H16" s="3">
        <f ca="1">(Monthly_Prices!H16-Monthly_Prices!H15)/Monthly_Prices!H15</f>
        <v>3.9106850006307668E-2</v>
      </c>
      <c r="M16" s="3"/>
      <c r="N16" s="3"/>
      <c r="O16" s="3">
        <f>(Monthly_Prices!B16-Monthly_Prices!B15)/Monthly_Prices!B15</f>
        <v>4.842400204046143E-3</v>
      </c>
      <c r="P16" s="3">
        <f>(Monthly_Prices!C16-Monthly_Prices!C15)/Monthly_Prices!C15</f>
        <v>5.9492294927321575E-2</v>
      </c>
      <c r="Q16" s="3">
        <f>(Monthly_Prices!D16-Monthly_Prices!D15)/Monthly_Prices!D15</f>
        <v>5.2288697476216631E-3</v>
      </c>
      <c r="R16" s="3">
        <f>(Monthly_Prices!E16-Monthly_Prices!E15)/Monthly_Prices!E15</f>
        <v>3.4281040245994442E-4</v>
      </c>
      <c r="S16" s="3">
        <f ca="1">(Monthly_Prices!G16-Monthly_Prices!G15)/Monthly_Prices!G15</f>
        <v>5.6267209385849944E-3</v>
      </c>
      <c r="T16" s="3">
        <f ca="1">(Monthly_Prices!H16-Monthly_Prices!H15)/Monthly_Prices!H15</f>
        <v>3.9106850006307668E-2</v>
      </c>
    </row>
    <row r="17" spans="1:20" x14ac:dyDescent="0.25">
      <c r="A17" s="52">
        <v>43252</v>
      </c>
      <c r="B17" s="3">
        <f>(Monthly_Prices!B17-Monthly_Prices!B16)/Monthly_Prices!B16</f>
        <v>3.6021586465418642E-2</v>
      </c>
      <c r="C17" s="3">
        <f>(Monthly_Prices!C17-Monthly_Prices!C16)/Monthly_Prices!C16</f>
        <v>5.790832014288907E-3</v>
      </c>
      <c r="D17" s="3">
        <f>(Monthly_Prices!D17-Monthly_Prices!D16)/Monthly_Prices!D16</f>
        <v>-5.1251617102592182E-3</v>
      </c>
      <c r="E17" s="3">
        <f>(Monthly_Prices!E17-Monthly_Prices!E16)/Monthly_Prices!E16</f>
        <v>7.2483801634760047E-4</v>
      </c>
      <c r="F17" s="4">
        <f>(Monthly_Prices!F17/100)/12</f>
        <v>1.5666666666666665E-3</v>
      </c>
      <c r="G17" s="3">
        <f ca="1">(Monthly_Prices!G17-Monthly_Prices!G16)/Monthly_Prices!G16</f>
        <v>-7.9404761904761964E-2</v>
      </c>
      <c r="H17" s="3">
        <f ca="1">(Monthly_Prices!H17-Monthly_Prices!H16)/Monthly_Prices!H16</f>
        <v>-3.8970498968070991E-2</v>
      </c>
      <c r="M17" s="3"/>
      <c r="N17" s="3"/>
      <c r="O17" s="3">
        <f>(Monthly_Prices!B17-Monthly_Prices!B16)/Monthly_Prices!B16</f>
        <v>3.6021586465418642E-2</v>
      </c>
      <c r="P17" s="3">
        <f>(Monthly_Prices!C17-Monthly_Prices!C16)/Monthly_Prices!C16</f>
        <v>5.790832014288907E-3</v>
      </c>
      <c r="Q17" s="3">
        <f>(Monthly_Prices!D17-Monthly_Prices!D16)/Monthly_Prices!D16</f>
        <v>-5.1251617102592182E-3</v>
      </c>
      <c r="R17" s="3">
        <f>(Monthly_Prices!E17-Monthly_Prices!E16)/Monthly_Prices!E16</f>
        <v>7.2483801634760047E-4</v>
      </c>
      <c r="S17" s="3">
        <f ca="1">(Monthly_Prices!G17-Monthly_Prices!G16)/Monthly_Prices!G16</f>
        <v>-7.9404761904761964E-2</v>
      </c>
      <c r="T17" s="3">
        <f ca="1">(Monthly_Prices!H17-Monthly_Prices!H16)/Monthly_Prices!H16</f>
        <v>-3.8970498968070991E-2</v>
      </c>
    </row>
    <row r="18" spans="1:20" x14ac:dyDescent="0.25">
      <c r="A18" s="52">
        <v>43282</v>
      </c>
      <c r="B18" s="3">
        <f>(Monthly_Prices!B18-Monthly_Prices!B17)/Monthly_Prices!B17</f>
        <v>3.0263218631603996E-2</v>
      </c>
      <c r="C18" s="3">
        <f>(Monthly_Prices!C18-Monthly_Prices!C17)/Monthly_Prices!C17</f>
        <v>1.687700701209215E-2</v>
      </c>
      <c r="D18" s="3">
        <f>(Monthly_Prices!D18-Monthly_Prices!D17)/Monthly_Prices!D17</f>
        <v>1.3537360011100818E-2</v>
      </c>
      <c r="E18" s="3">
        <f>(Monthly_Prices!E18-Monthly_Prices!E17)/Monthly_Prices!E17</f>
        <v>1.6797040224927964E-2</v>
      </c>
      <c r="F18" s="4">
        <f>(Monthly_Prices!F18/100)/12</f>
        <v>1.6541666666666666E-3</v>
      </c>
      <c r="G18" s="3">
        <f ca="1">(Monthly_Prices!G18-Monthly_Prices!G17)/Monthly_Prices!G17</f>
        <v>4.8105521789732375E-2</v>
      </c>
      <c r="H18" s="3">
        <f ca="1">(Monthly_Prices!H18-Monthly_Prices!H17)/Monthly_Prices!H17</f>
        <v>-2.81707933299645E-2</v>
      </c>
      <c r="M18" s="3"/>
      <c r="N18" s="3"/>
      <c r="O18" s="3">
        <f>(Monthly_Prices!B18-Monthly_Prices!B17)/Monthly_Prices!B17</f>
        <v>3.0263218631603996E-2</v>
      </c>
      <c r="P18" s="3">
        <f>(Monthly_Prices!C18-Monthly_Prices!C17)/Monthly_Prices!C17</f>
        <v>1.687700701209215E-2</v>
      </c>
      <c r="Q18" s="3">
        <f>(Monthly_Prices!D18-Monthly_Prices!D17)/Monthly_Prices!D17</f>
        <v>1.3537360011100818E-2</v>
      </c>
      <c r="R18" s="3">
        <f>(Monthly_Prices!E18-Monthly_Prices!E17)/Monthly_Prices!E17</f>
        <v>1.6797040224927964E-2</v>
      </c>
      <c r="S18" s="3">
        <f ca="1">(Monthly_Prices!G18-Monthly_Prices!G17)/Monthly_Prices!G17</f>
        <v>4.8105521789732375E-2</v>
      </c>
      <c r="T18" s="3">
        <f ca="1">(Monthly_Prices!H18-Monthly_Prices!H17)/Monthly_Prices!H17</f>
        <v>-2.81707933299645E-2</v>
      </c>
    </row>
    <row r="19" spans="1:20" x14ac:dyDescent="0.25">
      <c r="A19" s="52">
        <v>43313</v>
      </c>
      <c r="B19" s="3">
        <f>(Monthly_Prices!B19-Monthly_Prices!B18)/Monthly_Prices!B18</f>
        <v>4.2943009181394707E-3</v>
      </c>
      <c r="C19" s="3">
        <f>(Monthly_Prices!C19-Monthly_Prices!C18)/Monthly_Prices!C18</f>
        <v>4.1866141338615714E-2</v>
      </c>
      <c r="D19" s="3">
        <f>(Monthly_Prices!D19-Monthly_Prices!D18)/Monthly_Prices!D18</f>
        <v>2.478659710290864E-4</v>
      </c>
      <c r="E19" s="3">
        <f>(Monthly_Prices!E19-Monthly_Prices!E18)/Monthly_Prices!E18</f>
        <v>7.2977574032679739E-3</v>
      </c>
      <c r="F19" s="4">
        <f>(Monthly_Prices!F19/100)/12</f>
        <v>1.7125000000000003E-3</v>
      </c>
      <c r="G19" s="3">
        <f ca="1">(Monthly_Prices!G19-Monthly_Prices!G18)/Monthly_Prices!G18</f>
        <v>-3.997532387415173E-2</v>
      </c>
      <c r="H19" s="3">
        <f ca="1">(Monthly_Prices!H19-Monthly_Prices!H18)/Monthly_Prices!H18</f>
        <v>-1.0529052385285353E-2</v>
      </c>
      <c r="M19" s="3"/>
      <c r="N19" s="3"/>
      <c r="O19" s="3">
        <f>(Monthly_Prices!B19-Monthly_Prices!B18)/Monthly_Prices!B18</f>
        <v>4.2943009181394707E-3</v>
      </c>
      <c r="P19" s="3">
        <f>(Monthly_Prices!C19-Monthly_Prices!C18)/Monthly_Prices!C18</f>
        <v>4.1866141338615714E-2</v>
      </c>
      <c r="Q19" s="3">
        <f>(Monthly_Prices!D19-Monthly_Prices!D18)/Monthly_Prices!D18</f>
        <v>2.478659710290864E-4</v>
      </c>
      <c r="R19" s="3">
        <f>(Monthly_Prices!E19-Monthly_Prices!E18)/Monthly_Prices!E18</f>
        <v>7.2977574032679739E-3</v>
      </c>
      <c r="S19" s="3">
        <f ca="1">(Monthly_Prices!G19-Monthly_Prices!G18)/Monthly_Prices!G18</f>
        <v>-3.997532387415173E-2</v>
      </c>
      <c r="T19" s="3">
        <f ca="1">(Monthly_Prices!H19-Monthly_Prices!H18)/Monthly_Prices!H18</f>
        <v>-1.0529052385285353E-2</v>
      </c>
    </row>
    <row r="20" spans="1:20" x14ac:dyDescent="0.25">
      <c r="A20" s="52">
        <v>43344</v>
      </c>
      <c r="B20" s="3">
        <f>(Monthly_Prices!B20-Monthly_Prices!B19)/Monthly_Prices!B19</f>
        <v>-6.9403358979814631E-2</v>
      </c>
      <c r="C20" s="3">
        <f>(Monthly_Prices!C20-Monthly_Prices!C19)/Monthly_Prices!C19</f>
        <v>-2.5379896021829631E-2</v>
      </c>
      <c r="D20" s="3">
        <f>(Monthly_Prices!D20-Monthly_Prices!D19)/Monthly_Prices!D19</f>
        <v>-1.4593041687617765E-3</v>
      </c>
      <c r="E20" s="3">
        <f>(Monthly_Prices!E20-Monthly_Prices!E19)/Monthly_Prices!E19</f>
        <v>5.2096895339988061E-3</v>
      </c>
      <c r="F20" s="4">
        <f>(Monthly_Prices!F20/100)/12</f>
        <v>1.7916666666666665E-3</v>
      </c>
      <c r="G20" s="3">
        <f ca="1">(Monthly_Prices!G20-Monthly_Prices!G19)/Monthly_Prices!G19</f>
        <v>-1.2594782161675965E-2</v>
      </c>
      <c r="H20" s="3">
        <f ca="1">(Monthly_Prices!H20-Monthly_Prices!H19)/Monthly_Prices!H19</f>
        <v>2.3384130320546519E-2</v>
      </c>
      <c r="M20" s="3"/>
      <c r="N20" s="3"/>
      <c r="O20" s="3">
        <f>(Monthly_Prices!B20-Monthly_Prices!B19)/Monthly_Prices!B19</f>
        <v>-6.9403358979814631E-2</v>
      </c>
      <c r="P20" s="3">
        <f>(Monthly_Prices!C20-Monthly_Prices!C19)/Monthly_Prices!C19</f>
        <v>-2.5379896021829631E-2</v>
      </c>
      <c r="Q20" s="3">
        <f>(Monthly_Prices!D20-Monthly_Prices!D19)/Monthly_Prices!D19</f>
        <v>-1.4593041687617765E-3</v>
      </c>
      <c r="R20" s="3">
        <f>(Monthly_Prices!E20-Monthly_Prices!E19)/Monthly_Prices!E19</f>
        <v>5.2096895339988061E-3</v>
      </c>
      <c r="S20" s="3">
        <f ca="1">(Monthly_Prices!G20-Monthly_Prices!G19)/Monthly_Prices!G19</f>
        <v>-1.2594782161675965E-2</v>
      </c>
      <c r="T20" s="3">
        <f ca="1">(Monthly_Prices!H20-Monthly_Prices!H19)/Monthly_Prices!H19</f>
        <v>2.3384130320546519E-2</v>
      </c>
    </row>
    <row r="21" spans="1:20" x14ac:dyDescent="0.25">
      <c r="A21" s="52">
        <v>43374</v>
      </c>
      <c r="B21" s="3">
        <f>(Monthly_Prices!B21-Monthly_Prices!B20)/Monthly_Prices!B20</f>
        <v>1.7859381799140144E-2</v>
      </c>
      <c r="C21" s="3">
        <f>(Monthly_Prices!C21-Monthly_Prices!C20)/Monthly_Prices!C20</f>
        <v>-0.10913780032267532</v>
      </c>
      <c r="D21" s="3">
        <f>(Monthly_Prices!D21-Monthly_Prices!D20)/Monthly_Prices!D20</f>
        <v>-2.0540053464007797E-2</v>
      </c>
      <c r="E21" s="3">
        <f>(Monthly_Prices!E21-Monthly_Prices!E20)/Monthly_Prices!E20</f>
        <v>-1.9968478281919454E-2</v>
      </c>
      <c r="F21" s="4">
        <f>(Monthly_Prices!F21/100)/12</f>
        <v>1.8983333333333335E-3</v>
      </c>
      <c r="G21" s="3">
        <f ca="1">(Monthly_Prices!G21-Monthly_Prices!G20)/Monthly_Prices!G20</f>
        <v>-3.8786932187947362E-2</v>
      </c>
      <c r="H21" s="3">
        <f ca="1">(Monthly_Prices!H21-Monthly_Prices!H20)/Monthly_Prices!H20</f>
        <v>3.3247753530166742E-2</v>
      </c>
      <c r="M21" s="3"/>
      <c r="N21" s="3"/>
      <c r="O21" s="3">
        <f>(Monthly_Prices!B21-Monthly_Prices!B20)/Monthly_Prices!B20</f>
        <v>1.7859381799140144E-2</v>
      </c>
      <c r="P21" s="3">
        <f>(Monthly_Prices!C21-Monthly_Prices!C20)/Monthly_Prices!C20</f>
        <v>-0.10913780032267532</v>
      </c>
      <c r="Q21" s="3">
        <f>(Monthly_Prices!D21-Monthly_Prices!D20)/Monthly_Prices!D20</f>
        <v>-2.0540053464007797E-2</v>
      </c>
      <c r="R21" s="3">
        <f>(Monthly_Prices!E21-Monthly_Prices!E20)/Monthly_Prices!E20</f>
        <v>-1.9968478281919454E-2</v>
      </c>
      <c r="S21" s="3">
        <f ca="1">(Monthly_Prices!G21-Monthly_Prices!G20)/Monthly_Prices!G20</f>
        <v>-3.8786932187947362E-2</v>
      </c>
      <c r="T21" s="3">
        <f ca="1">(Monthly_Prices!H21-Monthly_Prices!H20)/Monthly_Prices!H20</f>
        <v>3.3247753530166742E-2</v>
      </c>
    </row>
    <row r="22" spans="1:20" x14ac:dyDescent="0.25">
      <c r="A22" s="52">
        <v>43405</v>
      </c>
      <c r="B22" s="3">
        <f>(Monthly_Prices!B22-Monthly_Prices!B21)/Monthly_Prices!B21</f>
        <v>-9.1776955767217297E-2</v>
      </c>
      <c r="C22" s="3">
        <f>(Monthly_Prices!C22-Monthly_Prices!C21)/Monthly_Prices!C21</f>
        <v>1.4463306123584948E-2</v>
      </c>
      <c r="D22" s="3">
        <f>(Monthly_Prices!D22-Monthly_Prices!D21)/Monthly_Prices!D21</f>
        <v>-3.8097146678835458E-3</v>
      </c>
      <c r="E22" s="3">
        <f>(Monthly_Prices!E22-Monthly_Prices!E21)/Monthly_Prices!E21</f>
        <v>-4.4112125132766281E-3</v>
      </c>
      <c r="F22" s="4">
        <f>(Monthly_Prices!F22/100)/12</f>
        <v>1.9233333333333333E-3</v>
      </c>
      <c r="G22" s="3">
        <f ca="1">(Monthly_Prices!G22-Monthly_Prices!G21)/Monthly_Prices!G21</f>
        <v>8.5037237643872651E-2</v>
      </c>
      <c r="H22" s="3">
        <f ca="1">(Monthly_Prices!H22-Monthly_Prices!H21)/Monthly_Prices!H21</f>
        <v>1.1926947446887912E-2</v>
      </c>
      <c r="M22" s="3"/>
      <c r="N22" s="3"/>
      <c r="O22" s="3">
        <f>(Monthly_Prices!B22-Monthly_Prices!B21)/Monthly_Prices!B21</f>
        <v>-9.1776955767217297E-2</v>
      </c>
      <c r="P22" s="3">
        <f>(Monthly_Prices!C22-Monthly_Prices!C21)/Monthly_Prices!C21</f>
        <v>1.4463306123584948E-2</v>
      </c>
      <c r="Q22" s="3">
        <f>(Monthly_Prices!D22-Monthly_Prices!D21)/Monthly_Prices!D21</f>
        <v>-3.8097146678835458E-3</v>
      </c>
      <c r="R22" s="3">
        <f>(Monthly_Prices!E22-Monthly_Prices!E21)/Monthly_Prices!E21</f>
        <v>-4.4112125132766281E-3</v>
      </c>
      <c r="S22" s="3">
        <f ca="1">(Monthly_Prices!G22-Monthly_Prices!G21)/Monthly_Prices!G21</f>
        <v>8.5037237643872651E-2</v>
      </c>
      <c r="T22" s="3">
        <f ca="1">(Monthly_Prices!H22-Monthly_Prices!H21)/Monthly_Prices!H21</f>
        <v>1.1926947446887912E-2</v>
      </c>
    </row>
    <row r="23" spans="1:20" x14ac:dyDescent="0.25">
      <c r="A23" s="52">
        <v>43435</v>
      </c>
      <c r="B23" s="3">
        <f>(Monthly_Prices!B23-Monthly_Prices!B22)/Monthly_Prices!B22</f>
        <v>7.8684404731036967E-2</v>
      </c>
      <c r="C23" s="3">
        <f>(Monthly_Prices!C23-Monthly_Prices!C22)/Monthly_Prices!C22</f>
        <v>-0.12046799232401351</v>
      </c>
      <c r="D23" s="3">
        <f>(Monthly_Prices!D23-Monthly_Prices!D22)/Monthly_Prices!D22</f>
        <v>1.5540598370480406E-2</v>
      </c>
      <c r="E23" s="3">
        <f>(Monthly_Prices!E23-Monthly_Prices!E22)/Monthly_Prices!E22</f>
        <v>-2.5107663546752059E-2</v>
      </c>
      <c r="F23" s="4">
        <f>(Monthly_Prices!F23/100)/12</f>
        <v>1.9166666666666666E-3</v>
      </c>
      <c r="G23" s="3">
        <f ca="1">(Monthly_Prices!G23-Monthly_Prices!G22)/Monthly_Prices!G22</f>
        <v>-6.1275427430425446E-2</v>
      </c>
      <c r="H23" s="3">
        <f ca="1">(Monthly_Prices!H23-Monthly_Prices!H22)/Monthly_Prices!H22</f>
        <v>4.812768569674649E-2</v>
      </c>
      <c r="M23" s="3"/>
      <c r="N23" s="3"/>
      <c r="O23" s="3">
        <f>(Monthly_Prices!B23-Monthly_Prices!B22)/Monthly_Prices!B22</f>
        <v>7.8684404731036967E-2</v>
      </c>
      <c r="P23" s="3">
        <f>(Monthly_Prices!C23-Monthly_Prices!C22)/Monthly_Prices!C22</f>
        <v>-0.12046799232401351</v>
      </c>
      <c r="Q23" s="3">
        <f>(Monthly_Prices!D23-Monthly_Prices!D22)/Monthly_Prices!D22</f>
        <v>1.5540598370480406E-2</v>
      </c>
      <c r="R23" s="3">
        <f>(Monthly_Prices!E23-Monthly_Prices!E22)/Monthly_Prices!E22</f>
        <v>-2.5107663546752059E-2</v>
      </c>
      <c r="S23" s="3">
        <f ca="1">(Monthly_Prices!G23-Monthly_Prices!G22)/Monthly_Prices!G22</f>
        <v>-6.1275427430425446E-2</v>
      </c>
      <c r="T23" s="3">
        <f ca="1">(Monthly_Prices!H23-Monthly_Prices!H22)/Monthly_Prices!H22</f>
        <v>4.812768569674649E-2</v>
      </c>
    </row>
    <row r="24" spans="1:20" x14ac:dyDescent="0.25">
      <c r="A24" s="52">
        <v>43466</v>
      </c>
      <c r="B24" s="3">
        <f>(Monthly_Prices!B24-Monthly_Prices!B23)/Monthly_Prices!B23</f>
        <v>2.9728930143115964E-2</v>
      </c>
      <c r="C24" s="3">
        <f>(Monthly_Prices!C24-Monthly_Prices!C23)/Monthly_Prices!C23</f>
        <v>0.11186745743594655</v>
      </c>
      <c r="D24" s="3">
        <f>(Monthly_Prices!D24-Monthly_Prices!D23)/Monthly_Prices!D23</f>
        <v>4.0210537560250934E-2</v>
      </c>
      <c r="E24" s="3">
        <f>(Monthly_Prices!E24-Monthly_Prices!E23)/Monthly_Prices!E23</f>
        <v>5.9199377658887088E-2</v>
      </c>
      <c r="F24" s="4">
        <f>(Monthly_Prices!F24/100)/12</f>
        <v>1.9499999999999997E-3</v>
      </c>
      <c r="G24" s="3">
        <f ca="1">(Monthly_Prices!G24-Monthly_Prices!G23)/Monthly_Prices!G23</f>
        <v>0.10728529646370637</v>
      </c>
      <c r="H24" s="3">
        <f ca="1">(Monthly_Prices!H24-Monthly_Prices!H23)/Monthly_Prices!H23</f>
        <v>4.6737729881691399E-2</v>
      </c>
      <c r="M24" s="3"/>
      <c r="N24" s="3"/>
      <c r="O24" s="3">
        <f>(Monthly_Prices!B24-Monthly_Prices!B23)/Monthly_Prices!B23</f>
        <v>2.9728930143115964E-2</v>
      </c>
      <c r="P24" s="3">
        <f>(Monthly_Prices!C24-Monthly_Prices!C23)/Monthly_Prices!C23</f>
        <v>0.11186745743594655</v>
      </c>
      <c r="Q24" s="3">
        <f>(Monthly_Prices!D24-Monthly_Prices!D23)/Monthly_Prices!D23</f>
        <v>4.0210537560250934E-2</v>
      </c>
      <c r="R24" s="3">
        <f>(Monthly_Prices!E24-Monthly_Prices!E23)/Monthly_Prices!E23</f>
        <v>5.9199377658887088E-2</v>
      </c>
      <c r="S24" s="3">
        <f ca="1">(Monthly_Prices!G24-Monthly_Prices!G23)/Monthly_Prices!G23</f>
        <v>0.10728529646370637</v>
      </c>
      <c r="T24" s="3">
        <f ca="1">(Monthly_Prices!H24-Monthly_Prices!H23)/Monthly_Prices!H23</f>
        <v>4.6737729881691399E-2</v>
      </c>
    </row>
    <row r="25" spans="1:20" x14ac:dyDescent="0.25">
      <c r="A25" s="52">
        <v>43497</v>
      </c>
      <c r="B25" s="3">
        <f>(Monthly_Prices!B25-Monthly_Prices!B24)/Monthly_Prices!B24</f>
        <v>1.7924287751078408E-2</v>
      </c>
      <c r="C25" s="3">
        <f>(Monthly_Prices!C25-Monthly_Prices!C24)/Monthly_Prices!C24</f>
        <v>5.0772967391384281E-2</v>
      </c>
      <c r="D25" s="3">
        <f>(Monthly_Prices!D25-Monthly_Prices!D24)/Monthly_Prices!D24</f>
        <v>-5.0591970097585365E-3</v>
      </c>
      <c r="E25" s="3">
        <f>(Monthly_Prices!E25-Monthly_Prices!E24)/Monthly_Prices!E24</f>
        <v>7.5195817553230576E-3</v>
      </c>
      <c r="F25" s="4">
        <f>(Monthly_Prices!F25/100)/12</f>
        <v>1.9858333333333334E-3</v>
      </c>
      <c r="G25" s="3">
        <f ca="1">(Monthly_Prices!G25-Monthly_Prices!G24)/Monthly_Prices!G24</f>
        <v>1.5608116220434627E-2</v>
      </c>
      <c r="H25" s="3">
        <f ca="1">(Monthly_Prices!H25-Monthly_Prices!H24)/Monthly_Prices!H24</f>
        <v>3.4355416293643769E-2</v>
      </c>
      <c r="M25" s="3"/>
      <c r="N25" s="3"/>
      <c r="O25" s="3">
        <f>(Monthly_Prices!B25-Monthly_Prices!B24)/Monthly_Prices!B24</f>
        <v>1.7924287751078408E-2</v>
      </c>
      <c r="P25" s="3">
        <f>(Monthly_Prices!C25-Monthly_Prices!C24)/Monthly_Prices!C24</f>
        <v>5.0772967391384281E-2</v>
      </c>
      <c r="Q25" s="3">
        <f>(Monthly_Prices!D25-Monthly_Prices!D24)/Monthly_Prices!D24</f>
        <v>-5.0591970097585365E-3</v>
      </c>
      <c r="R25" s="3">
        <f>(Monthly_Prices!E25-Monthly_Prices!E24)/Monthly_Prices!E24</f>
        <v>7.5195817553230576E-3</v>
      </c>
      <c r="S25" s="3">
        <f ca="1">(Monthly_Prices!G25-Monthly_Prices!G24)/Monthly_Prices!G24</f>
        <v>1.5608116220434627E-2</v>
      </c>
      <c r="T25" s="3">
        <f ca="1">(Monthly_Prices!H25-Monthly_Prices!H24)/Monthly_Prices!H24</f>
        <v>3.4355416293643769E-2</v>
      </c>
    </row>
    <row r="26" spans="1:20" x14ac:dyDescent="0.25">
      <c r="A26" s="52">
        <v>43525</v>
      </c>
      <c r="B26" s="3">
        <f>(Monthly_Prices!B26-Monthly_Prices!B25)/Monthly_Prices!B25</f>
        <v>3.9313434942139368E-2</v>
      </c>
      <c r="C26" s="3">
        <f>(Monthly_Prices!C26-Monthly_Prices!C25)/Monthly_Prices!C25</f>
        <v>-2.2728607715590196E-2</v>
      </c>
      <c r="D26" s="3">
        <f>(Monthly_Prices!D26-Monthly_Prices!D25)/Monthly_Prices!D25</f>
        <v>2.9229346804979638E-2</v>
      </c>
      <c r="E26" s="3">
        <f>(Monthly_Prices!E26-Monthly_Prices!E25)/Monthly_Prices!E25</f>
        <v>1.3026581588404168E-2</v>
      </c>
      <c r="F26" s="4">
        <f>(Monthly_Prices!F26/100)/12</f>
        <v>1.9399999999999999E-3</v>
      </c>
      <c r="G26" s="3">
        <f ca="1">(Monthly_Prices!G26-Monthly_Prices!G25)/Monthly_Prices!G25</f>
        <v>2.6244236907435922E-2</v>
      </c>
      <c r="H26" s="3">
        <f ca="1">(Monthly_Prices!H26-Monthly_Prices!H25)/Monthly_Prices!H25</f>
        <v>-2.8670345126041389E-2</v>
      </c>
      <c r="M26" s="3"/>
      <c r="N26" s="3"/>
      <c r="O26" s="3">
        <f>(Monthly_Prices!B26-Monthly_Prices!B25)/Monthly_Prices!B25</f>
        <v>3.9313434942139368E-2</v>
      </c>
      <c r="P26" s="3">
        <f>(Monthly_Prices!C26-Monthly_Prices!C25)/Monthly_Prices!C25</f>
        <v>-2.2728607715590196E-2</v>
      </c>
      <c r="Q26" s="3">
        <f>(Monthly_Prices!D26-Monthly_Prices!D25)/Monthly_Prices!D25</f>
        <v>2.9229346804979638E-2</v>
      </c>
      <c r="R26" s="3">
        <f>(Monthly_Prices!E26-Monthly_Prices!E25)/Monthly_Prices!E25</f>
        <v>1.3026581588404168E-2</v>
      </c>
      <c r="S26" s="3">
        <f ca="1">(Monthly_Prices!G26-Monthly_Prices!G25)/Monthly_Prices!G25</f>
        <v>2.6244236907435922E-2</v>
      </c>
      <c r="T26" s="3">
        <f ca="1">(Monthly_Prices!H26-Monthly_Prices!H25)/Monthly_Prices!H25</f>
        <v>-2.8670345126041389E-2</v>
      </c>
    </row>
    <row r="27" spans="1:20" x14ac:dyDescent="0.25">
      <c r="A27" s="52">
        <v>43556</v>
      </c>
      <c r="B27" s="3">
        <f>(Monthly_Prices!B27-Monthly_Prices!B26)/Monthly_Prices!B26</f>
        <v>-6.5777726481161508E-2</v>
      </c>
      <c r="C27" s="3">
        <f>(Monthly_Prices!C27-Monthly_Prices!C26)/Monthly_Prices!C26</f>
        <v>3.3427702946131822E-2</v>
      </c>
      <c r="D27" s="3">
        <f>(Monthly_Prices!D27-Monthly_Prices!D26)/Monthly_Prices!D26</f>
        <v>4.442855313249422E-3</v>
      </c>
      <c r="E27" s="3">
        <f>(Monthly_Prices!E27-Monthly_Prices!E26)/Monthly_Prices!E26</f>
        <v>9.9340694591329576E-3</v>
      </c>
      <c r="F27" s="4">
        <f>(Monthly_Prices!F27/100)/12</f>
        <v>1.9733333333333334E-3</v>
      </c>
      <c r="G27" s="3">
        <f ca="1">(Monthly_Prices!G27-Monthly_Prices!G26)/Monthly_Prices!G26</f>
        <v>3.5479783435088071E-2</v>
      </c>
      <c r="H27" s="3">
        <f ca="1">(Monthly_Prices!H27-Monthly_Prices!H26)/Monthly_Prices!H26</f>
        <v>-3.4528848295834512E-3</v>
      </c>
      <c r="M27" s="3"/>
      <c r="N27" s="3"/>
      <c r="O27" s="3">
        <f>(Monthly_Prices!B27-Monthly_Prices!B26)/Monthly_Prices!B26</f>
        <v>-6.5777726481161508E-2</v>
      </c>
      <c r="P27" s="3">
        <f>(Monthly_Prices!C27-Monthly_Prices!C26)/Monthly_Prices!C26</f>
        <v>3.3427702946131822E-2</v>
      </c>
      <c r="Q27" s="3">
        <f>(Monthly_Prices!D27-Monthly_Prices!D26)/Monthly_Prices!D26</f>
        <v>4.442855313249422E-3</v>
      </c>
      <c r="R27" s="3">
        <f>(Monthly_Prices!E27-Monthly_Prices!E26)/Monthly_Prices!E26</f>
        <v>9.9340694591329576E-3</v>
      </c>
      <c r="S27" s="3">
        <f ca="1">(Monthly_Prices!G27-Monthly_Prices!G26)/Monthly_Prices!G26</f>
        <v>3.5479783435088071E-2</v>
      </c>
      <c r="T27" s="3">
        <f ca="1">(Monthly_Prices!H27-Monthly_Prices!H26)/Monthly_Prices!H26</f>
        <v>-3.4528848295834512E-3</v>
      </c>
    </row>
    <row r="28" spans="1:20" x14ac:dyDescent="0.25">
      <c r="A28" s="52">
        <v>43586</v>
      </c>
      <c r="B28" s="3">
        <f>(Monthly_Prices!B28-Monthly_Prices!B27)/Monthly_Prices!B27</f>
        <v>6.8930183208215035E-2</v>
      </c>
      <c r="C28" s="3">
        <f>(Monthly_Prices!C28-Monthly_Prices!C27)/Monthly_Prices!C27</f>
        <v>-7.9009039712767348E-2</v>
      </c>
      <c r="D28" s="3">
        <f>(Monthly_Prices!D28-Monthly_Prices!D27)/Monthly_Prices!D27</f>
        <v>1.6561538930679184E-2</v>
      </c>
      <c r="E28" s="3">
        <f>(Monthly_Prices!E28-Monthly_Prices!E27)/Monthly_Prices!E27</f>
        <v>-1.916531490426179E-2</v>
      </c>
      <c r="F28" s="4">
        <f>(Monthly_Prices!F28/100)/12</f>
        <v>1.9108333333333336E-3</v>
      </c>
      <c r="G28" s="3">
        <f ca="1">(Monthly_Prices!G28-Monthly_Prices!G27)/Monthly_Prices!G27</f>
        <v>1.3460896651462925E-2</v>
      </c>
      <c r="H28" s="3">
        <f ca="1">(Monthly_Prices!H28-Monthly_Prices!H27)/Monthly_Prices!H27</f>
        <v>-9.1650832681344947E-3</v>
      </c>
      <c r="M28" s="3"/>
      <c r="N28" s="3"/>
      <c r="O28" s="3">
        <f>(Monthly_Prices!B28-Monthly_Prices!B27)/Monthly_Prices!B27</f>
        <v>6.8930183208215035E-2</v>
      </c>
      <c r="P28" s="3">
        <f>(Monthly_Prices!C28-Monthly_Prices!C27)/Monthly_Prices!C27</f>
        <v>-7.9009039712767348E-2</v>
      </c>
      <c r="Q28" s="3">
        <f>(Monthly_Prices!D28-Monthly_Prices!D27)/Monthly_Prices!D27</f>
        <v>1.6561538930679184E-2</v>
      </c>
      <c r="R28" s="3">
        <f>(Monthly_Prices!E28-Monthly_Prices!E27)/Monthly_Prices!E27</f>
        <v>-1.916531490426179E-2</v>
      </c>
      <c r="S28" s="3">
        <f ca="1">(Monthly_Prices!G28-Monthly_Prices!G27)/Monthly_Prices!G27</f>
        <v>1.3460896651462925E-2</v>
      </c>
      <c r="T28" s="3">
        <f ca="1">(Monthly_Prices!H28-Monthly_Prices!H27)/Monthly_Prices!H27</f>
        <v>-9.1650832681344947E-3</v>
      </c>
    </row>
    <row r="29" spans="1:20" x14ac:dyDescent="0.25">
      <c r="A29" s="52">
        <v>43617</v>
      </c>
      <c r="B29" s="3">
        <f>(Monthly_Prices!B29-Monthly_Prices!B28)/Monthly_Prices!B28</f>
        <v>1.312819536603934E-2</v>
      </c>
      <c r="C29" s="3">
        <f>(Monthly_Prices!C29-Monthly_Prices!C28)/Monthly_Prices!C28</f>
        <v>6.8973487836651845E-2</v>
      </c>
      <c r="D29" s="3">
        <f>(Monthly_Prices!D29-Monthly_Prices!D28)/Monthly_Prices!D28</f>
        <v>3.2345331053278699E-2</v>
      </c>
      <c r="E29" s="3">
        <f>(Monthly_Prices!E29-Monthly_Prices!E28)/Monthly_Prices!E28</f>
        <v>3.1196800031217428E-2</v>
      </c>
      <c r="F29" s="4">
        <f>(Monthly_Prices!F29/100)/12</f>
        <v>1.6958333333333333E-3</v>
      </c>
      <c r="G29" s="3">
        <f ca="1">(Monthly_Prices!G29-Monthly_Prices!G28)/Monthly_Prices!G28</f>
        <v>6.3666300768386391E-2</v>
      </c>
      <c r="H29" s="3">
        <f ca="1">(Monthly_Prices!H29-Monthly_Prices!H28)/Monthly_Prices!H28</f>
        <v>7.1517202481669359E-2</v>
      </c>
      <c r="M29" s="3"/>
      <c r="N29" s="3"/>
      <c r="O29" s="3">
        <f>(Monthly_Prices!B29-Monthly_Prices!B28)/Monthly_Prices!B28</f>
        <v>1.312819536603934E-2</v>
      </c>
      <c r="P29" s="3">
        <f>(Monthly_Prices!C29-Monthly_Prices!C28)/Monthly_Prices!C28</f>
        <v>6.8973487836651845E-2</v>
      </c>
      <c r="Q29" s="3">
        <f>(Monthly_Prices!D29-Monthly_Prices!D28)/Monthly_Prices!D28</f>
        <v>3.2345331053278699E-2</v>
      </c>
      <c r="R29" s="3">
        <f>(Monthly_Prices!E29-Monthly_Prices!E28)/Monthly_Prices!E28</f>
        <v>3.1196800031217428E-2</v>
      </c>
      <c r="S29" s="3">
        <f ca="1">(Monthly_Prices!G29-Monthly_Prices!G28)/Monthly_Prices!G28</f>
        <v>6.3666300768386391E-2</v>
      </c>
      <c r="T29" s="3">
        <f ca="1">(Monthly_Prices!H29-Monthly_Prices!H28)/Monthly_Prices!H28</f>
        <v>7.1517202481669359E-2</v>
      </c>
    </row>
    <row r="30" spans="1:20" x14ac:dyDescent="0.25">
      <c r="A30" s="52">
        <v>43647</v>
      </c>
      <c r="B30" s="3">
        <f>(Monthly_Prices!B30-Monthly_Prices!B29)/Monthly_Prices!B29</f>
        <v>-1.8091652742267789E-2</v>
      </c>
      <c r="C30" s="3">
        <f>(Monthly_Prices!C30-Monthly_Prices!C29)/Monthly_Prices!C29</f>
        <v>5.1322566352871796E-3</v>
      </c>
      <c r="D30" s="3">
        <f>(Monthly_Prices!D30-Monthly_Prices!D29)/Monthly_Prices!D29</f>
        <v>2.7571129790119981E-3</v>
      </c>
      <c r="E30" s="3">
        <f>(Monthly_Prices!E30-Monthly_Prices!E29)/Monthly_Prices!E29</f>
        <v>1.6861206043163302E-3</v>
      </c>
      <c r="F30" s="4">
        <f>(Monthly_Prices!F30/100)/12</f>
        <v>1.6916666666666666E-3</v>
      </c>
      <c r="G30" s="3">
        <f ca="1">(Monthly_Prices!G30-Monthly_Prices!G29)/Monthly_Prices!G29</f>
        <v>5.5469556243550051E-2</v>
      </c>
      <c r="H30" s="3">
        <f ca="1">(Monthly_Prices!H30-Monthly_Prices!H29)/Monthly_Prices!H29</f>
        <v>4.2004421518054627E-2</v>
      </c>
      <c r="M30" s="3"/>
      <c r="N30" s="3"/>
      <c r="O30" s="3">
        <f>(Monthly_Prices!B30-Monthly_Prices!B29)/Monthly_Prices!B29</f>
        <v>-1.8091652742267789E-2</v>
      </c>
      <c r="P30" s="3">
        <f>(Monthly_Prices!C30-Monthly_Prices!C29)/Monthly_Prices!C29</f>
        <v>5.1322566352871796E-3</v>
      </c>
      <c r="Q30" s="3">
        <f>(Monthly_Prices!D30-Monthly_Prices!D29)/Monthly_Prices!D29</f>
        <v>2.7571129790119981E-3</v>
      </c>
      <c r="R30" s="3">
        <f>(Monthly_Prices!E30-Monthly_Prices!E29)/Monthly_Prices!E29</f>
        <v>1.6861206043163302E-3</v>
      </c>
      <c r="S30" s="3">
        <f ca="1">(Monthly_Prices!G30-Monthly_Prices!G29)/Monthly_Prices!G29</f>
        <v>5.5469556243550051E-2</v>
      </c>
      <c r="T30" s="3">
        <f ca="1">(Monthly_Prices!H30-Monthly_Prices!H29)/Monthly_Prices!H29</f>
        <v>4.2004421518054627E-2</v>
      </c>
    </row>
    <row r="31" spans="1:20" x14ac:dyDescent="0.25">
      <c r="A31" s="52">
        <v>43678</v>
      </c>
      <c r="B31" s="3">
        <f>(Monthly_Prices!B31-Monthly_Prices!B30)/Monthly_Prices!B30</f>
        <v>1.7181167690656883E-2</v>
      </c>
      <c r="C31" s="3">
        <f>(Monthly_Prices!C31-Monthly_Prices!C30)/Monthly_Prices!C30</f>
        <v>-5.0660176018126828E-2</v>
      </c>
      <c r="D31" s="3">
        <f>(Monthly_Prices!D31-Monthly_Prices!D30)/Monthly_Prices!D30</f>
        <v>3.8917973415911189E-2</v>
      </c>
      <c r="E31" s="3">
        <f>(Monthly_Prices!E31-Monthly_Prices!E30)/Monthly_Prices!E30</f>
        <v>7.1051312857328538E-3</v>
      </c>
      <c r="F31" s="4">
        <f>(Monthly_Prices!F31/100)/12</f>
        <v>1.6108333333333333E-3</v>
      </c>
      <c r="G31" s="3">
        <f ca="1">(Monthly_Prices!G31-Monthly_Prices!G30)/Monthly_Prices!G30</f>
        <v>8.3109264238572476E-3</v>
      </c>
      <c r="H31" s="3">
        <f ca="1">(Monthly_Prices!H31-Monthly_Prices!H30)/Monthly_Prices!H30</f>
        <v>7.405536472014547E-2</v>
      </c>
      <c r="M31" s="3"/>
      <c r="N31" s="3"/>
      <c r="O31" s="3">
        <f>(Monthly_Prices!B31-Monthly_Prices!B30)/Monthly_Prices!B30</f>
        <v>1.7181167690656883E-2</v>
      </c>
      <c r="P31" s="3">
        <f>(Monthly_Prices!C31-Monthly_Prices!C30)/Monthly_Prices!C30</f>
        <v>-5.0660176018126828E-2</v>
      </c>
      <c r="Q31" s="3">
        <f>(Monthly_Prices!D31-Monthly_Prices!D30)/Monthly_Prices!D30</f>
        <v>3.8917973415911189E-2</v>
      </c>
      <c r="R31" s="3">
        <f>(Monthly_Prices!E31-Monthly_Prices!E30)/Monthly_Prices!E30</f>
        <v>7.1051312857328538E-3</v>
      </c>
      <c r="S31" s="3">
        <f ca="1">(Monthly_Prices!G31-Monthly_Prices!G30)/Monthly_Prices!G30</f>
        <v>8.3109264238572476E-3</v>
      </c>
      <c r="T31" s="3">
        <f ca="1">(Monthly_Prices!H31-Monthly_Prices!H30)/Monthly_Prices!H30</f>
        <v>7.405536472014547E-2</v>
      </c>
    </row>
    <row r="32" spans="1:20" x14ac:dyDescent="0.25">
      <c r="A32" s="52">
        <v>43709</v>
      </c>
      <c r="B32" s="3">
        <f>(Monthly_Prices!B32-Monthly_Prices!B31)/Monthly_Prices!B31</f>
        <v>2.0431747482144953E-2</v>
      </c>
      <c r="C32" s="3">
        <f>(Monthly_Prices!C32-Monthly_Prices!C31)/Monthly_Prices!C31</f>
        <v>1.9085674486174403E-2</v>
      </c>
      <c r="D32" s="3">
        <f>(Monthly_Prices!D32-Monthly_Prices!D31)/Monthly_Prices!D31</f>
        <v>-7.4699500768217802E-3</v>
      </c>
      <c r="E32" s="3">
        <f>(Monthly_Prices!E32-Monthly_Prices!E31)/Monthly_Prices!E31</f>
        <v>4.3548461238500742E-3</v>
      </c>
      <c r="F32" s="4">
        <f>(Monthly_Prices!F32/100)/12</f>
        <v>1.475E-3</v>
      </c>
      <c r="G32" s="3">
        <f ca="1">(Monthly_Prices!G32-Monthly_Prices!G31)/Monthly_Prices!G31</f>
        <v>-4.8484848484848485E-3</v>
      </c>
      <c r="H32" s="3">
        <f ca="1">(Monthly_Prices!H32-Monthly_Prices!H31)/Monthly_Prices!H31</f>
        <v>-9.8767754679710013E-3</v>
      </c>
      <c r="M32" s="3"/>
      <c r="N32" s="3"/>
      <c r="O32" s="3">
        <f>(Monthly_Prices!B32-Monthly_Prices!B31)/Monthly_Prices!B31</f>
        <v>2.0431747482144953E-2</v>
      </c>
      <c r="P32" s="3">
        <f>(Monthly_Prices!C32-Monthly_Prices!C31)/Monthly_Prices!C31</f>
        <v>1.9085674486174403E-2</v>
      </c>
      <c r="Q32" s="3">
        <f>(Monthly_Prices!D32-Monthly_Prices!D31)/Monthly_Prices!D31</f>
        <v>-7.4699500768217802E-3</v>
      </c>
      <c r="R32" s="3">
        <f>(Monthly_Prices!E32-Monthly_Prices!E31)/Monthly_Prices!E31</f>
        <v>4.3548461238500742E-3</v>
      </c>
      <c r="S32" s="3">
        <f ca="1">(Monthly_Prices!G32-Monthly_Prices!G31)/Monthly_Prices!G31</f>
        <v>-4.8484848484848485E-3</v>
      </c>
      <c r="T32" s="3">
        <f ca="1">(Monthly_Prices!H32-Monthly_Prices!H31)/Monthly_Prices!H31</f>
        <v>-9.8767754679710013E-3</v>
      </c>
    </row>
    <row r="33" spans="1:20" x14ac:dyDescent="0.25">
      <c r="A33" s="52">
        <v>43739</v>
      </c>
      <c r="B33" s="3">
        <f>(Monthly_Prices!B33-Monthly_Prices!B32)/Monthly_Prices!B32</f>
        <v>3.4047064090915104E-2</v>
      </c>
      <c r="C33" s="3">
        <f>(Monthly_Prices!C33-Monthly_Prices!C32)/Monthly_Prices!C32</f>
        <v>2.5653620675389524E-2</v>
      </c>
      <c r="D33" s="3">
        <f>(Monthly_Prices!D33-Monthly_Prices!D32)/Monthly_Prices!D32</f>
        <v>4.5259607056371892E-3</v>
      </c>
      <c r="E33" s="3">
        <f>(Monthly_Prices!E33-Monthly_Prices!E32)/Monthly_Prices!E32</f>
        <v>1.2719370888993704E-4</v>
      </c>
      <c r="F33" s="4">
        <f>(Monthly_Prices!F33/100)/12</f>
        <v>1.2483333333333333E-3</v>
      </c>
      <c r="G33" s="3">
        <f ca="1">(Monthly_Prices!G33-Monthly_Prices!G32)/Monthly_Prices!G32</f>
        <v>-6.8745432399512751E-2</v>
      </c>
      <c r="H33" s="3">
        <f ca="1">(Monthly_Prices!H33-Monthly_Prices!H32)/Monthly_Prices!H32</f>
        <v>2.5080752422572683E-2</v>
      </c>
      <c r="M33" s="3"/>
      <c r="N33" s="3"/>
      <c r="O33" s="3">
        <f>(Monthly_Prices!B33-Monthly_Prices!B32)/Monthly_Prices!B32</f>
        <v>3.4047064090915104E-2</v>
      </c>
      <c r="P33" s="3">
        <f>(Monthly_Prices!C33-Monthly_Prices!C32)/Monthly_Prices!C32</f>
        <v>2.5653620675389524E-2</v>
      </c>
      <c r="Q33" s="3">
        <f>(Monthly_Prices!D33-Monthly_Prices!D32)/Monthly_Prices!D32</f>
        <v>4.5259607056371892E-3</v>
      </c>
      <c r="R33" s="3">
        <f>(Monthly_Prices!E33-Monthly_Prices!E32)/Monthly_Prices!E32</f>
        <v>1.2719370888993704E-4</v>
      </c>
      <c r="S33" s="3">
        <f ca="1">(Monthly_Prices!G33-Monthly_Prices!G32)/Monthly_Prices!G32</f>
        <v>-6.8745432399512751E-2</v>
      </c>
      <c r="T33" s="3">
        <f ca="1">(Monthly_Prices!H33-Monthly_Prices!H32)/Monthly_Prices!H32</f>
        <v>2.5080752422572683E-2</v>
      </c>
    </row>
    <row r="34" spans="1:20" x14ac:dyDescent="0.25">
      <c r="A34" s="52">
        <v>43770</v>
      </c>
      <c r="B34" s="3">
        <f>(Monthly_Prices!B34-Monthly_Prices!B33)/Monthly_Prices!B33</f>
        <v>2.8589803182446302E-2</v>
      </c>
      <c r="C34" s="3">
        <f>(Monthly_Prices!C34-Monthly_Prices!C33)/Monthly_Prices!C33</f>
        <v>3.9713303431118951E-2</v>
      </c>
      <c r="D34" s="3">
        <f>(Monthly_Prices!D34-Monthly_Prices!D33)/Monthly_Prices!D33</f>
        <v>4.6837837176272349E-3</v>
      </c>
      <c r="E34" s="3">
        <f>(Monthly_Prices!E34-Monthly_Prices!E33)/Monthly_Prices!E33</f>
        <v>5.5349537163652792E-3</v>
      </c>
      <c r="F34" s="4">
        <f>(Monthly_Prices!F34/100)/12</f>
        <v>1.2833333333333334E-3</v>
      </c>
      <c r="G34" s="3">
        <f ca="1">(Monthly_Prices!G34-Monthly_Prices!G33)/Monthly_Prices!G33</f>
        <v>2.0299257089044655E-2</v>
      </c>
      <c r="H34" s="3">
        <f ca="1">(Monthly_Prices!H34-Monthly_Prices!H33)/Monthly_Prices!H33</f>
        <v>-1.3160333642261369E-2</v>
      </c>
      <c r="M34" s="3"/>
      <c r="N34" s="3"/>
      <c r="O34" s="3">
        <f>(Monthly_Prices!B34-Monthly_Prices!B33)/Monthly_Prices!B33</f>
        <v>2.8589803182446302E-2</v>
      </c>
      <c r="P34" s="3">
        <f>(Monthly_Prices!C34-Monthly_Prices!C33)/Monthly_Prices!C33</f>
        <v>3.9713303431118951E-2</v>
      </c>
      <c r="Q34" s="3">
        <f>(Monthly_Prices!D34-Monthly_Prices!D33)/Monthly_Prices!D33</f>
        <v>4.6837837176272349E-3</v>
      </c>
      <c r="R34" s="3">
        <f>(Monthly_Prices!E34-Monthly_Prices!E33)/Monthly_Prices!E33</f>
        <v>5.5349537163652792E-3</v>
      </c>
      <c r="S34" s="3">
        <f ca="1">(Monthly_Prices!G34-Monthly_Prices!G33)/Monthly_Prices!G33</f>
        <v>2.0299257089044655E-2</v>
      </c>
      <c r="T34" s="3">
        <f ca="1">(Monthly_Prices!H34-Monthly_Prices!H33)/Monthly_Prices!H33</f>
        <v>-1.3160333642261369E-2</v>
      </c>
    </row>
    <row r="35" spans="1:20" x14ac:dyDescent="0.25">
      <c r="A35" s="52">
        <v>43800</v>
      </c>
      <c r="B35" s="3">
        <f>(Monthly_Prices!B35-Monthly_Prices!B34)/Monthly_Prices!B34</f>
        <v>-1.6280898111292685E-3</v>
      </c>
      <c r="C35" s="3">
        <f>(Monthly_Prices!C35-Monthly_Prices!C34)/Monthly_Prices!C34</f>
        <v>2.7066771929824554E-2</v>
      </c>
      <c r="D35" s="3">
        <f>(Monthly_Prices!D35-Monthly_Prices!D34)/Monthly_Prices!D34</f>
        <v>2.6305100890273961E-3</v>
      </c>
      <c r="E35" s="3">
        <f>(Monthly_Prices!E35-Monthly_Prices!E34)/Monthly_Prices!E34</f>
        <v>1.5725714110774246E-2</v>
      </c>
      <c r="F35" s="4">
        <f>(Monthly_Prices!F35/100)/12</f>
        <v>1.2541666666666667E-3</v>
      </c>
      <c r="G35" s="3">
        <f ca="1">(Monthly_Prices!G35-Monthly_Prices!G34)/Monthly_Prices!G34</f>
        <v>4.989231873653982E-2</v>
      </c>
      <c r="H35" s="3">
        <f ca="1">(Monthly_Prices!H35-Monthly_Prices!H34)/Monthly_Prices!H34</f>
        <v>3.2870022539444023E-2</v>
      </c>
      <c r="M35" s="3"/>
      <c r="N35" s="3"/>
      <c r="O35" s="3">
        <f>(Monthly_Prices!B35-Monthly_Prices!B34)/Monthly_Prices!B34</f>
        <v>-1.6280898111292685E-3</v>
      </c>
      <c r="P35" s="3">
        <f>(Monthly_Prices!C35-Monthly_Prices!C34)/Monthly_Prices!C34</f>
        <v>2.7066771929824554E-2</v>
      </c>
      <c r="Q35" s="3">
        <f>(Monthly_Prices!D35-Monthly_Prices!D34)/Monthly_Prices!D34</f>
        <v>2.6305100890273961E-3</v>
      </c>
      <c r="R35" s="3">
        <f>(Monthly_Prices!E35-Monthly_Prices!E34)/Monthly_Prices!E34</f>
        <v>1.5725714110774246E-2</v>
      </c>
      <c r="S35" s="3">
        <f ca="1">(Monthly_Prices!G35-Monthly_Prices!G34)/Monthly_Prices!G34</f>
        <v>4.989231873653982E-2</v>
      </c>
      <c r="T35" s="3">
        <f ca="1">(Monthly_Prices!H35-Monthly_Prices!H34)/Monthly_Prices!H34</f>
        <v>3.2870022539444023E-2</v>
      </c>
    </row>
    <row r="36" spans="1:20" x14ac:dyDescent="0.25">
      <c r="A36" s="52">
        <v>43831</v>
      </c>
      <c r="B36" s="3">
        <f>(Monthly_Prices!B36-Monthly_Prices!B35)/Monthly_Prices!B35</f>
        <v>-8.4110469009648109E-2</v>
      </c>
      <c r="C36" s="3">
        <f>(Monthly_Prices!C36-Monthly_Prices!C35)/Monthly_Prices!C35</f>
        <v>-3.2610663030027097E-2</v>
      </c>
      <c r="D36" s="3">
        <f>(Monthly_Prices!D36-Monthly_Prices!D35)/Monthly_Prices!D35</f>
        <v>2.9943674605359304E-2</v>
      </c>
      <c r="E36" s="3">
        <f>(Monthly_Prices!E36-Monthly_Prices!E35)/Monthly_Prices!E35</f>
        <v>2.8270654326259539E-3</v>
      </c>
      <c r="F36" s="4">
        <f>(Monthly_Prices!F36/100)/12</f>
        <v>1.2583333333333333E-3</v>
      </c>
      <c r="G36" s="3">
        <f ca="1">(Monthly_Prices!G36-Monthly_Prices!G35)/Monthly_Prices!G35</f>
        <v>4.2246642246642249E-2</v>
      </c>
      <c r="H36" s="3">
        <f ca="1">(Monthly_Prices!H36-Monthly_Prices!H35)/Monthly_Prices!H35</f>
        <v>8.7470449172576736E-2</v>
      </c>
      <c r="M36" s="3"/>
      <c r="N36" s="3"/>
      <c r="O36" s="3">
        <f>(Monthly_Prices!B36-Monthly_Prices!B35)/Monthly_Prices!B35</f>
        <v>-8.4110469009648109E-2</v>
      </c>
      <c r="P36" s="3">
        <f>(Monthly_Prices!C36-Monthly_Prices!C35)/Monthly_Prices!C35</f>
        <v>-3.2610663030027097E-2</v>
      </c>
      <c r="Q36" s="3">
        <f>(Monthly_Prices!D36-Monthly_Prices!D35)/Monthly_Prices!D35</f>
        <v>2.9943674605359304E-2</v>
      </c>
      <c r="R36" s="3">
        <f>(Monthly_Prices!E36-Monthly_Prices!E35)/Monthly_Prices!E35</f>
        <v>2.8270654326259539E-3</v>
      </c>
      <c r="S36" s="3">
        <f ca="1">(Monthly_Prices!G36-Monthly_Prices!G35)/Monthly_Prices!G35</f>
        <v>4.2246642246642249E-2</v>
      </c>
      <c r="T36" s="3">
        <f ca="1">(Monthly_Prices!H36-Monthly_Prices!H35)/Monthly_Prices!H35</f>
        <v>8.7470449172576736E-2</v>
      </c>
    </row>
    <row r="37" spans="1:20" x14ac:dyDescent="0.25">
      <c r="A37" s="52">
        <v>43862</v>
      </c>
      <c r="B37" s="3">
        <f>(Monthly_Prices!B37-Monthly_Prices!B36)/Monthly_Prices!B36</f>
        <v>-0.12511932083595659</v>
      </c>
      <c r="C37" s="3">
        <f>(Monthly_Prices!C37-Monthly_Prices!C36)/Monthly_Prices!C36</f>
        <v>-8.5269444735079705E-2</v>
      </c>
      <c r="D37" s="3">
        <f>(Monthly_Prices!D37-Monthly_Prices!D36)/Monthly_Prices!D36</f>
        <v>8.3150090970797799E-3</v>
      </c>
      <c r="E37" s="3">
        <f>(Monthly_Prices!E37-Monthly_Prices!E36)/Monthly_Prices!E36</f>
        <v>-1.7022869823753613E-2</v>
      </c>
      <c r="F37" s="4">
        <f>(Monthly_Prices!F37/100)/12</f>
        <v>1.0250000000000001E-3</v>
      </c>
      <c r="G37" s="3">
        <f ca="1">(Monthly_Prices!G37-Monthly_Prices!G36)/Monthly_Prices!G36</f>
        <v>3.420805998125586E-2</v>
      </c>
      <c r="H37" s="3">
        <f ca="1">(Monthly_Prices!H37-Monthly_Prices!H36)/Monthly_Prices!H36</f>
        <v>3.4030100334448227E-2</v>
      </c>
      <c r="M37" s="3"/>
      <c r="N37" s="3"/>
      <c r="O37" s="3">
        <f>(Monthly_Prices!B37-Monthly_Prices!B36)/Monthly_Prices!B36</f>
        <v>-0.12511932083595659</v>
      </c>
      <c r="P37" s="3">
        <f>(Monthly_Prices!C37-Monthly_Prices!C36)/Monthly_Prices!C36</f>
        <v>-8.5269444735079705E-2</v>
      </c>
      <c r="Q37" s="3">
        <f>(Monthly_Prices!D37-Monthly_Prices!D36)/Monthly_Prices!D36</f>
        <v>8.3150090970797799E-3</v>
      </c>
      <c r="R37" s="3">
        <f>(Monthly_Prices!E37-Monthly_Prices!E36)/Monthly_Prices!E36</f>
        <v>-1.7022869823753613E-2</v>
      </c>
      <c r="S37" s="3">
        <f ca="1">(Monthly_Prices!G37-Monthly_Prices!G36)/Monthly_Prices!G36</f>
        <v>3.420805998125586E-2</v>
      </c>
      <c r="T37" s="3">
        <f ca="1">(Monthly_Prices!H37-Monthly_Prices!H36)/Monthly_Prices!H36</f>
        <v>3.4030100334448227E-2</v>
      </c>
    </row>
    <row r="38" spans="1:20" x14ac:dyDescent="0.25">
      <c r="A38" s="52">
        <v>43891</v>
      </c>
      <c r="B38" s="3">
        <f>(Monthly_Prices!B38-Monthly_Prices!B37)/Monthly_Prices!B37</f>
        <v>0.12684410293315368</v>
      </c>
      <c r="C38" s="3">
        <f>(Monthly_Prices!C38-Monthly_Prices!C37)/Monthly_Prices!C37</f>
        <v>-0.21899451120222183</v>
      </c>
      <c r="D38" s="3">
        <f>(Monthly_Prices!D38-Monthly_Prices!D37)/Monthly_Prices!D37</f>
        <v>-6.3184186928581368E-2</v>
      </c>
      <c r="E38" s="3">
        <f>(Monthly_Prices!E38-Monthly_Prices!E37)/Monthly_Prices!E37</f>
        <v>-0.10049248351724352</v>
      </c>
      <c r="F38" s="4">
        <f>(Monthly_Prices!F38/100)/12</f>
        <v>2.4999999999999998E-5</v>
      </c>
      <c r="G38" s="3">
        <f ca="1">(Monthly_Prices!G38-Monthly_Prices!G37)/Monthly_Prices!G37</f>
        <v>-0.18269143633892163</v>
      </c>
      <c r="H38" s="3">
        <f ca="1">(Monthly_Prices!H38-Monthly_Prices!H37)/Monthly_Prices!H37</f>
        <v>-4.1238780625859207E-2</v>
      </c>
      <c r="M38" s="3"/>
      <c r="N38" s="3"/>
      <c r="O38" s="3">
        <f>(Monthly_Prices!B38-Monthly_Prices!B37)/Monthly_Prices!B37</f>
        <v>0.12684410293315368</v>
      </c>
      <c r="P38" s="3">
        <f>(Monthly_Prices!C38-Monthly_Prices!C37)/Monthly_Prices!C37</f>
        <v>-0.21899451120222183</v>
      </c>
      <c r="Q38" s="3">
        <f>(Monthly_Prices!D38-Monthly_Prices!D37)/Monthly_Prices!D37</f>
        <v>-6.3184186928581368E-2</v>
      </c>
      <c r="R38" s="3">
        <f>(Monthly_Prices!E38-Monthly_Prices!E37)/Monthly_Prices!E37</f>
        <v>-0.10049248351724352</v>
      </c>
      <c r="S38" s="3">
        <f ca="1">(Monthly_Prices!G38-Monthly_Prices!G37)/Monthly_Prices!G37</f>
        <v>-0.18269143633892163</v>
      </c>
      <c r="T38" s="3">
        <f ca="1">(Monthly_Prices!H38-Monthly_Prices!H37)/Monthly_Prices!H37</f>
        <v>-4.1238780625859207E-2</v>
      </c>
    </row>
    <row r="39" spans="1:20" x14ac:dyDescent="0.25">
      <c r="A39" s="52">
        <v>43922</v>
      </c>
      <c r="B39" s="3">
        <f>(Monthly_Prices!B39-Monthly_Prices!B38)/Monthly_Prices!B38</f>
        <v>4.5281775012618368E-2</v>
      </c>
      <c r="C39" s="3">
        <f>(Monthly_Prices!C39-Monthly_Prices!C38)/Monthly_Prices!C38</f>
        <v>0.13664041390978229</v>
      </c>
      <c r="D39" s="3">
        <f>(Monthly_Prices!D39-Monthly_Prices!D38)/Monthly_Prices!D38</f>
        <v>4.8594935296752018E-2</v>
      </c>
      <c r="E39" s="3">
        <f>(Monthly_Prices!E39-Monthly_Prices!E38)/Monthly_Prices!E38</f>
        <v>4.822615477709484E-2</v>
      </c>
      <c r="F39" s="4">
        <f>(Monthly_Prices!F39/100)/12</f>
        <v>7.4999999999999993E-5</v>
      </c>
      <c r="G39" s="3">
        <f ca="1">(Monthly_Prices!G39-Monthly_Prices!G38)/Monthly_Prices!G38</f>
        <v>9.8237055105887594E-2</v>
      </c>
      <c r="H39" s="3">
        <f ca="1">(Monthly_Prices!H39-Monthly_Prices!H38)/Monthly_Prices!H38</f>
        <v>-2.2940035422113512E-2</v>
      </c>
      <c r="M39" s="3"/>
      <c r="N39" s="3"/>
      <c r="O39" s="3">
        <f>(Monthly_Prices!B39-Monthly_Prices!B38)/Monthly_Prices!B38</f>
        <v>4.5281775012618368E-2</v>
      </c>
      <c r="P39" s="3">
        <f>(Monthly_Prices!C39-Monthly_Prices!C38)/Monthly_Prices!C38</f>
        <v>0.13664041390978229</v>
      </c>
      <c r="Q39" s="3">
        <f>(Monthly_Prices!D39-Monthly_Prices!D38)/Monthly_Prices!D38</f>
        <v>4.8594935296752018E-2</v>
      </c>
      <c r="R39" s="3">
        <f>(Monthly_Prices!E39-Monthly_Prices!E38)/Monthly_Prices!E38</f>
        <v>4.822615477709484E-2</v>
      </c>
      <c r="S39" s="3">
        <f ca="1">(Monthly_Prices!G39-Monthly_Prices!G38)/Monthly_Prices!G38</f>
        <v>9.8237055105887594E-2</v>
      </c>
      <c r="T39" s="3">
        <f ca="1">(Monthly_Prices!H39-Monthly_Prices!H38)/Monthly_Prices!H38</f>
        <v>-2.2940035422113512E-2</v>
      </c>
    </row>
    <row r="40" spans="1:20" x14ac:dyDescent="0.25">
      <c r="A40" s="52">
        <v>43952</v>
      </c>
      <c r="B40" s="3">
        <f>(Monthly_Prices!B40-Monthly_Prices!B39)/Monthly_Prices!B39</f>
        <v>1.838840328350267E-2</v>
      </c>
      <c r="C40" s="3">
        <f>(Monthly_Prices!C40-Monthly_Prices!C39)/Monthly_Prices!C39</f>
        <v>6.3616805912310267E-2</v>
      </c>
      <c r="D40" s="3">
        <f>(Monthly_Prices!D40-Monthly_Prices!D39)/Monthly_Prices!D39</f>
        <v>2.4635579290193672E-2</v>
      </c>
      <c r="E40" s="3">
        <f>(Monthly_Prices!E40-Monthly_Prices!E39)/Monthly_Prices!E39</f>
        <v>2.9886733943025434E-2</v>
      </c>
      <c r="F40" s="4">
        <f>(Monthly_Prices!F40/100)/12</f>
        <v>1.0666666666666668E-4</v>
      </c>
      <c r="G40" s="3">
        <f ca="1">(Monthly_Prices!G40-Monthly_Prices!G39)/Monthly_Prices!G39</f>
        <v>0.10524987380111055</v>
      </c>
      <c r="H40" s="3">
        <f ca="1">(Monthly_Prices!H40-Monthly_Prices!H39)/Monthly_Prices!H39</f>
        <v>6.6465256797583966E-3</v>
      </c>
      <c r="M40" s="3"/>
      <c r="N40" s="3"/>
      <c r="O40" s="3">
        <f>(Monthly_Prices!B40-Monthly_Prices!B39)/Monthly_Prices!B39</f>
        <v>1.838840328350267E-2</v>
      </c>
      <c r="P40" s="3">
        <f>(Monthly_Prices!C40-Monthly_Prices!C39)/Monthly_Prices!C39</f>
        <v>6.3616805912310267E-2</v>
      </c>
      <c r="Q40" s="3">
        <f>(Monthly_Prices!D40-Monthly_Prices!D39)/Monthly_Prices!D39</f>
        <v>2.4635579290193672E-2</v>
      </c>
      <c r="R40" s="3">
        <f>(Monthly_Prices!E40-Monthly_Prices!E39)/Monthly_Prices!E39</f>
        <v>2.9886733943025434E-2</v>
      </c>
      <c r="S40" s="3">
        <f ca="1">(Monthly_Prices!G40-Monthly_Prices!G39)/Monthly_Prices!G39</f>
        <v>0.10524987380111055</v>
      </c>
      <c r="T40" s="3">
        <f ca="1">(Monthly_Prices!H40-Monthly_Prices!H39)/Monthly_Prices!H39</f>
        <v>6.6465256797583966E-3</v>
      </c>
    </row>
    <row r="41" spans="1:20" x14ac:dyDescent="0.25">
      <c r="A41" s="52">
        <v>43983</v>
      </c>
      <c r="B41" s="3">
        <f>(Monthly_Prices!B41-Monthly_Prices!B40)/Monthly_Prices!B40</f>
        <v>5.5101296975444213E-2</v>
      </c>
      <c r="C41" s="3">
        <f>(Monthly_Prices!C41-Monthly_Prices!C40)/Monthly_Prices!C40</f>
        <v>3.3951647496403108E-2</v>
      </c>
      <c r="D41" s="3">
        <f>(Monthly_Prices!D41-Monthly_Prices!D40)/Monthly_Prices!D40</f>
        <v>2.1315240393190538E-2</v>
      </c>
      <c r="E41" s="3">
        <f>(Monthly_Prices!E41-Monthly_Prices!E40)/Monthly_Prices!E40</f>
        <v>-5.1419142743266578E-3</v>
      </c>
      <c r="F41" s="4">
        <f>(Monthly_Prices!F41/100)/12</f>
        <v>1.1250000000000001E-4</v>
      </c>
      <c r="G41" s="3">
        <f ca="1">(Monthly_Prices!G41-Monthly_Prices!G40)/Monthly_Prices!G40</f>
        <v>5.5492121488924413E-2</v>
      </c>
      <c r="H41" s="3">
        <f ca="1">(Monthly_Prices!H41-Monthly_Prices!H40)/Monthly_Prices!H40</f>
        <v>4.4589264277139088E-3</v>
      </c>
      <c r="M41" s="3"/>
      <c r="N41" s="3"/>
      <c r="O41" s="3">
        <f>(Monthly_Prices!B41-Monthly_Prices!B40)/Monthly_Prices!B40</f>
        <v>5.5101296975444213E-2</v>
      </c>
      <c r="P41" s="3">
        <f>(Monthly_Prices!C41-Monthly_Prices!C40)/Monthly_Prices!C40</f>
        <v>3.3951647496403108E-2</v>
      </c>
      <c r="Q41" s="3">
        <f>(Monthly_Prices!D41-Monthly_Prices!D40)/Monthly_Prices!D40</f>
        <v>2.1315240393190538E-2</v>
      </c>
      <c r="R41" s="3">
        <f>(Monthly_Prices!E41-Monthly_Prices!E40)/Monthly_Prices!E40</f>
        <v>-5.1419142743266578E-3</v>
      </c>
      <c r="S41" s="3">
        <f ca="1">(Monthly_Prices!G41-Monthly_Prices!G40)/Monthly_Prices!G40</f>
        <v>5.5492121488924413E-2</v>
      </c>
      <c r="T41" s="3">
        <f ca="1">(Monthly_Prices!H41-Monthly_Prices!H40)/Monthly_Prices!H40</f>
        <v>4.4589264277139088E-3</v>
      </c>
    </row>
    <row r="42" spans="1:20" x14ac:dyDescent="0.25">
      <c r="A42" s="52">
        <v>44013</v>
      </c>
      <c r="B42" s="3">
        <f>(Monthly_Prices!B42-Monthly_Prices!B41)/Monthly_Prices!B41</f>
        <v>7.0064687324219249E-2</v>
      </c>
      <c r="C42" s="3">
        <f>(Monthly_Prices!C42-Monthly_Prices!C41)/Monthly_Prices!C41</f>
        <v>2.7099259132281235E-2</v>
      </c>
      <c r="D42" s="3">
        <f>(Monthly_Prices!D42-Monthly_Prices!D41)/Monthly_Prices!D41</f>
        <v>3.1139532925035157E-2</v>
      </c>
      <c r="E42" s="3">
        <f>(Monthly_Prices!E42-Monthly_Prices!E41)/Monthly_Prices!E41</f>
        <v>5.0280216277563912E-2</v>
      </c>
      <c r="F42" s="4">
        <f>(Monthly_Prices!F42/100)/12</f>
        <v>6.9166666666666663E-5</v>
      </c>
      <c r="G42" s="3">
        <f ca="1">(Monthly_Prices!G42-Monthly_Prices!G41)/Monthly_Prices!G41</f>
        <v>8.9571614019904808E-2</v>
      </c>
      <c r="H42" s="3">
        <f ca="1">(Monthly_Prices!H42-Monthly_Prices!H41)/Monthly_Prices!H41</f>
        <v>8.9892436400887829E-2</v>
      </c>
      <c r="M42" s="3"/>
      <c r="N42" s="3"/>
      <c r="O42" s="3">
        <f>(Monthly_Prices!B42-Monthly_Prices!B41)/Monthly_Prices!B41</f>
        <v>7.0064687324219249E-2</v>
      </c>
      <c r="P42" s="3">
        <f>(Monthly_Prices!C42-Monthly_Prices!C41)/Monthly_Prices!C41</f>
        <v>2.7099259132281235E-2</v>
      </c>
      <c r="Q42" s="3">
        <f>(Monthly_Prices!D42-Monthly_Prices!D41)/Monthly_Prices!D41</f>
        <v>3.1139532925035157E-2</v>
      </c>
      <c r="R42" s="3">
        <f>(Monthly_Prices!E42-Monthly_Prices!E41)/Monthly_Prices!E41</f>
        <v>5.0280216277563912E-2</v>
      </c>
      <c r="S42" s="3">
        <f ca="1">(Monthly_Prices!G42-Monthly_Prices!G41)/Monthly_Prices!G41</f>
        <v>8.9571614019904808E-2</v>
      </c>
      <c r="T42" s="3">
        <f ca="1">(Monthly_Prices!H42-Monthly_Prices!H41)/Monthly_Prices!H41</f>
        <v>8.9892436400887829E-2</v>
      </c>
    </row>
    <row r="43" spans="1:20" x14ac:dyDescent="0.25">
      <c r="A43" s="52">
        <v>44044</v>
      </c>
      <c r="B43" s="3">
        <f>(Monthly_Prices!B43-Monthly_Prices!B42)/Monthly_Prices!B42</f>
        <v>-3.9227954095494386E-2</v>
      </c>
      <c r="C43" s="3">
        <f>(Monthly_Prices!C43-Monthly_Prices!C42)/Monthly_Prices!C42</f>
        <v>5.5017763777443593E-2</v>
      </c>
      <c r="D43" s="3">
        <f>(Monthly_Prices!D43-Monthly_Prices!D42)/Monthly_Prices!D42</f>
        <v>-1.761283466553341E-2</v>
      </c>
      <c r="E43" s="3">
        <f>(Monthly_Prices!E43-Monthly_Prices!E42)/Monthly_Prices!E42</f>
        <v>-1.3689515048845753E-5</v>
      </c>
      <c r="F43" s="4">
        <f>(Monthly_Prices!F43/100)/12</f>
        <v>7.9166666666666662E-5</v>
      </c>
      <c r="G43" s="3">
        <f ca="1">(Monthly_Prices!G43-Monthly_Prices!G42)/Monthly_Prices!G42</f>
        <v>0.17633042096902304</v>
      </c>
      <c r="H43" s="3">
        <f ca="1">(Monthly_Prices!H43-Monthly_Prices!H42)/Monthly_Prices!H42</f>
        <v>3.2584005639539525E-2</v>
      </c>
      <c r="M43" s="3"/>
      <c r="N43" s="3"/>
      <c r="O43" s="3">
        <f>(Monthly_Prices!B43-Monthly_Prices!B42)/Monthly_Prices!B42</f>
        <v>-3.9227954095494386E-2</v>
      </c>
      <c r="P43" s="3">
        <f>(Monthly_Prices!C43-Monthly_Prices!C42)/Monthly_Prices!C42</f>
        <v>5.5017763777443593E-2</v>
      </c>
      <c r="Q43" s="3">
        <f>(Monthly_Prices!D43-Monthly_Prices!D42)/Monthly_Prices!D42</f>
        <v>-1.761283466553341E-2</v>
      </c>
      <c r="R43" s="3">
        <f>(Monthly_Prices!E43-Monthly_Prices!E42)/Monthly_Prices!E42</f>
        <v>-1.3689515048845753E-5</v>
      </c>
      <c r="S43" s="3">
        <f ca="1">(Monthly_Prices!G43-Monthly_Prices!G42)/Monthly_Prices!G42</f>
        <v>0.17633042096902304</v>
      </c>
      <c r="T43" s="3">
        <f ca="1">(Monthly_Prices!H43-Monthly_Prices!H42)/Monthly_Prices!H42</f>
        <v>3.2584005639539525E-2</v>
      </c>
    </row>
    <row r="44" spans="1:20" x14ac:dyDescent="0.25">
      <c r="A44" s="52">
        <v>44075</v>
      </c>
      <c r="B44" s="3">
        <f>(Monthly_Prices!B44-Monthly_Prices!B43)/Monthly_Prices!B43</f>
        <v>-2.766577460600653E-2</v>
      </c>
      <c r="C44" s="3">
        <f>(Monthly_Prices!C44-Monthly_Prices!C43)/Monthly_Prices!C43</f>
        <v>-3.469540798686381E-2</v>
      </c>
      <c r="D44" s="3">
        <f>(Monthly_Prices!D44-Monthly_Prices!D43)/Monthly_Prices!D43</f>
        <v>-4.4405012259891097E-3</v>
      </c>
      <c r="E44" s="3">
        <f>(Monthly_Prices!E44-Monthly_Prices!E43)/Monthly_Prices!E43</f>
        <v>-9.333532952706565E-3</v>
      </c>
      <c r="F44" s="4">
        <f>(Monthly_Prices!F44/100)/12</f>
        <v>7.0833333333333338E-5</v>
      </c>
      <c r="G44" s="3">
        <f ca="1">(Monthly_Prices!G44-Monthly_Prices!G43)/Monthly_Prices!G43</f>
        <v>0.11309925725860905</v>
      </c>
      <c r="H44" s="3">
        <f ca="1">(Monthly_Prices!H44-Monthly_Prices!H43)/Monthly_Prices!H43</f>
        <v>-2.2149738299325008E-2</v>
      </c>
      <c r="M44" s="3"/>
      <c r="N44" s="3"/>
      <c r="O44" s="3">
        <f>(Monthly_Prices!B44-Monthly_Prices!B43)/Monthly_Prices!B43</f>
        <v>-2.766577460600653E-2</v>
      </c>
      <c r="P44" s="3">
        <f>(Monthly_Prices!C44-Monthly_Prices!C43)/Monthly_Prices!C43</f>
        <v>-3.469540798686381E-2</v>
      </c>
      <c r="Q44" s="3">
        <f>(Monthly_Prices!D44-Monthly_Prices!D43)/Monthly_Prices!D43</f>
        <v>-4.4405012259891097E-3</v>
      </c>
      <c r="R44" s="3">
        <f>(Monthly_Prices!E44-Monthly_Prices!E43)/Monthly_Prices!E43</f>
        <v>-9.333532952706565E-3</v>
      </c>
      <c r="S44" s="3">
        <f ca="1">(Monthly_Prices!G44-Monthly_Prices!G43)/Monthly_Prices!G43</f>
        <v>0.11309925725860905</v>
      </c>
      <c r="T44" s="3">
        <f ca="1">(Monthly_Prices!H44-Monthly_Prices!H43)/Monthly_Prices!H43</f>
        <v>-2.2149738299325008E-2</v>
      </c>
    </row>
    <row r="45" spans="1:20" x14ac:dyDescent="0.25">
      <c r="A45" s="52">
        <v>44105</v>
      </c>
      <c r="B45" s="3">
        <f>(Monthly_Prices!B45-Monthly_Prices!B44)/Monthly_Prices!B44</f>
        <v>0.10754565805086302</v>
      </c>
      <c r="C45" s="3">
        <f>(Monthly_Prices!C45-Monthly_Prices!C44)/Monthly_Prices!C44</f>
        <v>2.0421996700182254E-2</v>
      </c>
      <c r="D45" s="3">
        <f>(Monthly_Prices!D45-Monthly_Prices!D44)/Monthly_Prices!D44</f>
        <v>-5.1106598519294255E-3</v>
      </c>
      <c r="E45" s="3">
        <f>(Monthly_Prices!E45-Monthly_Prices!E44)/Monthly_Prices!E44</f>
        <v>3.7876324400176443E-3</v>
      </c>
      <c r="F45" s="4">
        <f>(Monthly_Prices!F45/100)/12</f>
        <v>6.9166666666666663E-5</v>
      </c>
      <c r="G45" s="3">
        <f ca="1">(Monthly_Prices!G45-Monthly_Prices!G44)/Monthly_Prices!G44</f>
        <v>5.1865332120109194E-2</v>
      </c>
      <c r="H45" s="3">
        <f ca="1">(Monthly_Prices!H45-Monthly_Prices!H44)/Monthly_Prices!H44</f>
        <v>-1.8617640214102796E-2</v>
      </c>
      <c r="M45" s="3"/>
      <c r="N45" s="3"/>
      <c r="O45" s="3">
        <f>(Monthly_Prices!B45-Monthly_Prices!B44)/Monthly_Prices!B44</f>
        <v>0.10754565805086302</v>
      </c>
      <c r="P45" s="3">
        <f>(Monthly_Prices!C45-Monthly_Prices!C44)/Monthly_Prices!C44</f>
        <v>2.0421996700182254E-2</v>
      </c>
      <c r="Q45" s="3">
        <f>(Monthly_Prices!D45-Monthly_Prices!D44)/Monthly_Prices!D44</f>
        <v>-5.1106598519294255E-3</v>
      </c>
      <c r="R45" s="3">
        <f>(Monthly_Prices!E45-Monthly_Prices!E44)/Monthly_Prices!E44</f>
        <v>3.7876324400176443E-3</v>
      </c>
      <c r="S45" s="3">
        <f ca="1">(Monthly_Prices!G45-Monthly_Prices!G44)/Monthly_Prices!G44</f>
        <v>5.1865332120109194E-2</v>
      </c>
      <c r="T45" s="3">
        <f ca="1">(Monthly_Prices!H45-Monthly_Prices!H44)/Monthly_Prices!H44</f>
        <v>-1.8617640214102796E-2</v>
      </c>
    </row>
    <row r="46" spans="1:20" x14ac:dyDescent="0.25">
      <c r="A46" s="52">
        <v>44136</v>
      </c>
      <c r="B46" s="3">
        <f>(Monthly_Prices!B46-Monthly_Prices!B45)/Monthly_Prices!B45</f>
        <v>3.7121406659432372E-2</v>
      </c>
      <c r="C46" s="3">
        <f>(Monthly_Prices!C46-Monthly_Prices!C45)/Monthly_Prices!C45</f>
        <v>0.182868785851864</v>
      </c>
      <c r="D46" s="3">
        <f>(Monthly_Prices!D46-Monthly_Prices!D45)/Monthly_Prices!D45</f>
        <v>3.7784073607438594E-2</v>
      </c>
      <c r="E46" s="3">
        <f>(Monthly_Prices!E46-Monthly_Prices!E45)/Monthly_Prices!E45</f>
        <v>3.3486446545630225E-2</v>
      </c>
      <c r="F46" s="4">
        <f>(Monthly_Prices!F46/100)/12</f>
        <v>6.2500000000000001E-5</v>
      </c>
      <c r="G46" s="3">
        <f ca="1">(Monthly_Prices!G46-Monthly_Prices!G45)/Monthly_Prices!G45</f>
        <v>0.16724336793540945</v>
      </c>
      <c r="H46" s="3">
        <f ca="1">(Monthly_Prices!H46-Monthly_Prices!H45)/Monthly_Prices!H45</f>
        <v>-3.9206386846889638E-2</v>
      </c>
      <c r="M46" s="3"/>
      <c r="N46" s="3"/>
      <c r="O46" s="3">
        <f>(Monthly_Prices!B46-Monthly_Prices!B45)/Monthly_Prices!B45</f>
        <v>3.7121406659432372E-2</v>
      </c>
      <c r="P46" s="3">
        <f>(Monthly_Prices!C46-Monthly_Prices!C45)/Monthly_Prices!C45</f>
        <v>0.182868785851864</v>
      </c>
      <c r="Q46" s="3">
        <f>(Monthly_Prices!D46-Monthly_Prices!D45)/Monthly_Prices!D45</f>
        <v>3.7784073607438594E-2</v>
      </c>
      <c r="R46" s="3">
        <f>(Monthly_Prices!E46-Monthly_Prices!E45)/Monthly_Prices!E45</f>
        <v>3.3486446545630225E-2</v>
      </c>
      <c r="S46" s="3">
        <f ca="1">(Monthly_Prices!G46-Monthly_Prices!G45)/Monthly_Prices!G45</f>
        <v>0.16724336793540945</v>
      </c>
      <c r="T46" s="3">
        <f ca="1">(Monthly_Prices!H46-Monthly_Prices!H45)/Monthly_Prices!H45</f>
        <v>-3.9206386846889638E-2</v>
      </c>
    </row>
    <row r="47" spans="1:20" x14ac:dyDescent="0.25">
      <c r="A47" s="52">
        <v>44166</v>
      </c>
      <c r="B47" s="3">
        <f>(Monthly_Prices!B47-Monthly_Prices!B46)/Monthly_Prices!B46</f>
        <v>-1.1136640158463601E-2</v>
      </c>
      <c r="C47" s="3">
        <f>(Monthly_Prices!C47-Monthly_Prices!C46)/Monthly_Prices!C46</f>
        <v>8.519526304829278E-2</v>
      </c>
      <c r="D47" s="3">
        <f>(Monthly_Prices!D47-Monthly_Prices!D46)/Monthly_Prices!D46</f>
        <v>-4.1191084568852738E-4</v>
      </c>
      <c r="E47" s="3">
        <f>(Monthly_Prices!E47-Monthly_Prices!E46)/Monthly_Prices!E46</f>
        <v>1.5700321295422814E-2</v>
      </c>
      <c r="F47" s="4">
        <f>(Monthly_Prices!F47/100)/12</f>
        <v>5.4166666666666664E-5</v>
      </c>
      <c r="G47" s="3">
        <f ca="1">(Monthly_Prices!G47-Monthly_Prices!G46)/Monthly_Prices!G46</f>
        <v>0.17737154150197629</v>
      </c>
      <c r="H47" s="3">
        <f ca="1">(Monthly_Prices!H47-Monthly_Prices!H46)/Monthly_Prices!H46</f>
        <v>4.7963800904977365E-2</v>
      </c>
      <c r="M47" s="3"/>
      <c r="N47" s="3"/>
      <c r="O47" s="3">
        <f>(Monthly_Prices!B47-Monthly_Prices!B46)/Monthly_Prices!B46</f>
        <v>-1.1136640158463601E-2</v>
      </c>
      <c r="P47" s="3">
        <f>(Monthly_Prices!C47-Monthly_Prices!C46)/Monthly_Prices!C46</f>
        <v>8.519526304829278E-2</v>
      </c>
      <c r="Q47" s="3">
        <f>(Monthly_Prices!D47-Monthly_Prices!D46)/Monthly_Prices!D46</f>
        <v>-4.1191084568852738E-4</v>
      </c>
      <c r="R47" s="3">
        <f>(Monthly_Prices!E47-Monthly_Prices!E46)/Monthly_Prices!E46</f>
        <v>1.5700321295422814E-2</v>
      </c>
      <c r="S47" s="3">
        <f ca="1">(Monthly_Prices!G47-Monthly_Prices!G46)/Monthly_Prices!G46</f>
        <v>0.17737154150197629</v>
      </c>
      <c r="T47" s="3">
        <f ca="1">(Monthly_Prices!H47-Monthly_Prices!H46)/Monthly_Prices!H46</f>
        <v>4.7963800904977365E-2</v>
      </c>
    </row>
    <row r="48" spans="1:20" x14ac:dyDescent="0.25">
      <c r="A48" s="52">
        <v>44197</v>
      </c>
      <c r="B48" s="3">
        <f>(Monthly_Prices!B48-Monthly_Prices!B47)/Monthly_Prices!B47</f>
        <v>2.6091474971999741E-2</v>
      </c>
      <c r="C48" s="3">
        <f>(Monthly_Prices!C48-Monthly_Prices!C47)/Monthly_Prices!C47</f>
        <v>5.0018689299636591E-2</v>
      </c>
      <c r="D48" s="3">
        <f>(Monthly_Prices!D48-Monthly_Prices!D47)/Monthly_Prices!D47</f>
        <v>-1.4346274517407829E-2</v>
      </c>
      <c r="E48" s="3">
        <f>(Monthly_Prices!E48-Monthly_Prices!E47)/Monthly_Prices!E47</f>
        <v>4.3228338358589731E-3</v>
      </c>
      <c r="F48" s="4">
        <f>(Monthly_Prices!F48/100)/12</f>
        <v>4.0000000000000003E-5</v>
      </c>
      <c r="G48" s="3">
        <f ca="1">(Monthly_Prices!G48-Monthly_Prices!G47)/Monthly_Prices!G47</f>
        <v>5.6651279899286616E-2</v>
      </c>
      <c r="H48" s="3">
        <f ca="1">(Monthly_Prices!H48-Monthly_Prices!H47)/Monthly_Prices!H47</f>
        <v>-1.5151515151515095E-2</v>
      </c>
      <c r="M48" s="3"/>
      <c r="N48" s="3"/>
      <c r="O48" s="3">
        <f>(Monthly_Prices!B48-Monthly_Prices!B47)/Monthly_Prices!B47</f>
        <v>2.6091474971999741E-2</v>
      </c>
      <c r="P48" s="3">
        <f>(Monthly_Prices!C48-Monthly_Prices!C47)/Monthly_Prices!C47</f>
        <v>5.0018689299636591E-2</v>
      </c>
      <c r="Q48" s="3">
        <f>(Monthly_Prices!D48-Monthly_Prices!D47)/Monthly_Prices!D47</f>
        <v>-1.4346274517407829E-2</v>
      </c>
      <c r="R48" s="3">
        <f>(Monthly_Prices!E48-Monthly_Prices!E47)/Monthly_Prices!E47</f>
        <v>4.3228338358589731E-3</v>
      </c>
      <c r="S48" s="3">
        <f ca="1">(Monthly_Prices!G48-Monthly_Prices!G47)/Monthly_Prices!G47</f>
        <v>5.6651279899286616E-2</v>
      </c>
      <c r="T48" s="3">
        <f ca="1">(Monthly_Prices!H48-Monthly_Prices!H47)/Monthly_Prices!H47</f>
        <v>-1.5151515151515095E-2</v>
      </c>
    </row>
    <row r="49" spans="1:20" x14ac:dyDescent="0.25">
      <c r="A49" s="52">
        <v>44228</v>
      </c>
      <c r="B49" s="3">
        <f>(Monthly_Prices!B49-Monthly_Prices!B48)/Monthly_Prices!B48</f>
        <v>4.2438634008107733E-2</v>
      </c>
      <c r="C49" s="3">
        <f>(Monthly_Prices!C49-Monthly_Prices!C48)/Monthly_Prices!C48</f>
        <v>6.1442758904330125E-2</v>
      </c>
      <c r="D49" s="3">
        <f>(Monthly_Prices!D49-Monthly_Prices!D48)/Monthly_Prices!D48</f>
        <v>-2.4557183475802775E-2</v>
      </c>
      <c r="E49" s="3">
        <f>(Monthly_Prices!E49-Monthly_Prices!E48)/Monthly_Prices!E48</f>
        <v>-6.0939025935351603E-3</v>
      </c>
      <c r="F49" s="4">
        <f>(Monthly_Prices!F49/100)/12</f>
        <v>2.916666666666667E-5</v>
      </c>
      <c r="G49" s="3">
        <f ca="1">(Monthly_Prices!G49-Monthly_Prices!G48)/Monthly_Prices!G48</f>
        <v>-0.1528991262907069</v>
      </c>
      <c r="H49" s="3">
        <f ca="1">(Monthly_Prices!H49-Monthly_Prices!H48)/Monthly_Prices!H48</f>
        <v>-1.4428058987644498E-2</v>
      </c>
      <c r="M49" s="3"/>
      <c r="N49" s="3"/>
      <c r="O49" s="3">
        <f>(Monthly_Prices!B49-Monthly_Prices!B48)/Monthly_Prices!B48</f>
        <v>4.2438634008107733E-2</v>
      </c>
      <c r="P49" s="3">
        <f>(Monthly_Prices!C49-Monthly_Prices!C48)/Monthly_Prices!C48</f>
        <v>6.1442758904330125E-2</v>
      </c>
      <c r="Q49" s="3">
        <f>(Monthly_Prices!D49-Monthly_Prices!D48)/Monthly_Prices!D48</f>
        <v>-2.4557183475802775E-2</v>
      </c>
      <c r="R49" s="3">
        <f>(Monthly_Prices!E49-Monthly_Prices!E48)/Monthly_Prices!E48</f>
        <v>-6.0939025935351603E-3</v>
      </c>
      <c r="S49" s="3">
        <f ca="1">(Monthly_Prices!G49-Monthly_Prices!G48)/Monthly_Prices!G48</f>
        <v>-0.1528991262907069</v>
      </c>
      <c r="T49" s="3">
        <f ca="1">(Monthly_Prices!H49-Monthly_Prices!H48)/Monthly_Prices!H48</f>
        <v>-1.4428058987644498E-2</v>
      </c>
    </row>
    <row r="50" spans="1:20" x14ac:dyDescent="0.25">
      <c r="A50" s="52">
        <v>44256</v>
      </c>
      <c r="B50" s="3">
        <f>(Monthly_Prices!B50-Monthly_Prices!B49)/Monthly_Prices!B49</f>
        <v>5.2425312555847307E-2</v>
      </c>
      <c r="C50" s="3">
        <f>(Monthly_Prices!C50-Monthly_Prices!C49)/Monthly_Prices!C49</f>
        <v>8.8457647788816769E-3</v>
      </c>
      <c r="D50" s="3">
        <f>(Monthly_Prices!D50-Monthly_Prices!D49)/Monthly_Prices!D49</f>
        <v>-1.4844191845218443E-2</v>
      </c>
      <c r="E50" s="3">
        <f>(Monthly_Prices!E50-Monthly_Prices!E49)/Monthly_Prices!E49</f>
        <v>1.226198595348835E-2</v>
      </c>
      <c r="F50" s="4">
        <f>(Monthly_Prices!F50/100)/12</f>
        <v>1.0833333333333332E-5</v>
      </c>
      <c r="G50" s="3">
        <f ca="1">(Monthly_Prices!G50-Monthly_Prices!G49)/Monthly_Prices!G49</f>
        <v>-6.1884669479606191E-2</v>
      </c>
      <c r="H50" s="3">
        <f ca="1">(Monthly_Prices!H50-Monthly_Prices!H49)/Monthly_Prices!H49</f>
        <v>4.6020705273374408E-2</v>
      </c>
      <c r="M50" s="3"/>
      <c r="N50" s="3"/>
      <c r="O50" s="3">
        <f>(Monthly_Prices!B50-Monthly_Prices!B49)/Monthly_Prices!B49</f>
        <v>5.2425312555847307E-2</v>
      </c>
      <c r="P50" s="3">
        <f>(Monthly_Prices!C50-Monthly_Prices!C49)/Monthly_Prices!C49</f>
        <v>8.8457647788816769E-3</v>
      </c>
      <c r="Q50" s="3">
        <f>(Monthly_Prices!D50-Monthly_Prices!D49)/Monthly_Prices!D49</f>
        <v>-1.4844191845218443E-2</v>
      </c>
      <c r="R50" s="3">
        <f>(Monthly_Prices!E50-Monthly_Prices!E49)/Monthly_Prices!E49</f>
        <v>1.226198595348835E-2</v>
      </c>
      <c r="S50" s="3">
        <f ca="1">(Monthly_Prices!G50-Monthly_Prices!G49)/Monthly_Prices!G49</f>
        <v>-6.1884669479606191E-2</v>
      </c>
      <c r="T50" s="3">
        <f ca="1">(Monthly_Prices!H50-Monthly_Prices!H49)/Monthly_Prices!H49</f>
        <v>4.6020705273374408E-2</v>
      </c>
    </row>
    <row r="51" spans="1:20" x14ac:dyDescent="0.25">
      <c r="A51" s="52">
        <v>44287</v>
      </c>
      <c r="B51" s="3">
        <f>(Monthly_Prices!B51-Monthly_Prices!B50)/Monthly_Prices!B50</f>
        <v>5.4865025818131288E-3</v>
      </c>
      <c r="C51" s="3">
        <f>(Monthly_Prices!C51-Monthly_Prices!C50)/Monthly_Prices!C50</f>
        <v>2.0684312947559069E-2</v>
      </c>
      <c r="D51" s="3">
        <f>(Monthly_Prices!D51-Monthly_Prices!D50)/Monthly_Prices!D50</f>
        <v>1.051324305130882E-2</v>
      </c>
      <c r="E51" s="3">
        <f>(Monthly_Prices!E51-Monthly_Prices!E50)/Monthly_Prices!E50</f>
        <v>6.5572216456421875E-3</v>
      </c>
      <c r="F51" s="4">
        <f>(Monthly_Prices!F51/100)/12</f>
        <v>2.5000000000000002E-6</v>
      </c>
      <c r="G51" s="3">
        <f ca="1">(Monthly_Prices!G51-Monthly_Prices!G50)/Monthly_Prices!G50</f>
        <v>-3.9730134932533731E-2</v>
      </c>
      <c r="H51" s="3">
        <f ca="1">(Monthly_Prices!H51-Monthly_Prices!H50)/Monthly_Prices!H50</f>
        <v>4.6624913013221997E-2</v>
      </c>
      <c r="M51" s="3"/>
      <c r="N51" s="3"/>
      <c r="O51" s="3">
        <f>(Monthly_Prices!B51-Monthly_Prices!B50)/Monthly_Prices!B50</f>
        <v>5.4865025818131288E-3</v>
      </c>
      <c r="P51" s="3">
        <f>(Monthly_Prices!C51-Monthly_Prices!C50)/Monthly_Prices!C50</f>
        <v>2.0684312947559069E-2</v>
      </c>
      <c r="Q51" s="3">
        <f>(Monthly_Prices!D51-Monthly_Prices!D50)/Monthly_Prices!D50</f>
        <v>1.051324305130882E-2</v>
      </c>
      <c r="R51" s="3">
        <f>(Monthly_Prices!E51-Monthly_Prices!E50)/Monthly_Prices!E50</f>
        <v>6.5572216456421875E-3</v>
      </c>
      <c r="S51" s="3">
        <f ca="1">(Monthly_Prices!G51-Monthly_Prices!G50)/Monthly_Prices!G50</f>
        <v>-3.9730134932533731E-2</v>
      </c>
      <c r="T51" s="3">
        <f ca="1">(Monthly_Prices!H51-Monthly_Prices!H50)/Monthly_Prices!H50</f>
        <v>4.6624913013221997E-2</v>
      </c>
    </row>
    <row r="52" spans="1:20" x14ac:dyDescent="0.25">
      <c r="A52" s="52">
        <v>44317</v>
      </c>
      <c r="B52" s="3">
        <f>(Monthly_Prices!B52-Monthly_Prices!B51)/Monthly_Prices!B51</f>
        <v>2.221397632316955E-2</v>
      </c>
      <c r="C52" s="3">
        <f>(Monthly_Prices!C52-Monthly_Prices!C51)/Monthly_Prices!C51</f>
        <v>1.1118798360793501E-3</v>
      </c>
      <c r="D52" s="3">
        <f>(Monthly_Prices!D52-Monthly_Prices!D51)/Monthly_Prices!D51</f>
        <v>6.2350936877264285E-3</v>
      </c>
      <c r="E52" s="3">
        <f>(Monthly_Prices!E52-Monthly_Prices!E51)/Monthly_Prices!E51</f>
        <v>4.0022931955333414E-4</v>
      </c>
      <c r="F52" s="4">
        <f>(Monthly_Prices!F52/100)/12</f>
        <v>6.6666666666666675E-6</v>
      </c>
      <c r="G52" s="3">
        <f ca="1">(Monthly_Prices!G52-Monthly_Prices!G51)/Monthly_Prices!G51</f>
        <v>-4.0593286494925843E-2</v>
      </c>
      <c r="H52" s="3">
        <f ca="1">(Monthly_Prices!H52-Monthly_Prices!H51)/Monthly_Prices!H51</f>
        <v>1.1672576832151182E-2</v>
      </c>
      <c r="M52" s="3"/>
      <c r="N52" s="3"/>
      <c r="O52" s="3">
        <f>(Monthly_Prices!B52-Monthly_Prices!B51)/Monthly_Prices!B51</f>
        <v>2.221397632316955E-2</v>
      </c>
      <c r="P52" s="3">
        <f>(Monthly_Prices!C52-Monthly_Prices!C51)/Monthly_Prices!C51</f>
        <v>1.1118798360793501E-3</v>
      </c>
      <c r="Q52" s="3">
        <f>(Monthly_Prices!D52-Monthly_Prices!D51)/Monthly_Prices!D51</f>
        <v>6.2350936877264285E-3</v>
      </c>
      <c r="R52" s="3">
        <f>(Monthly_Prices!E52-Monthly_Prices!E51)/Monthly_Prices!E51</f>
        <v>4.0022931955333414E-4</v>
      </c>
      <c r="S52" s="3">
        <f ca="1">(Monthly_Prices!G52-Monthly_Prices!G51)/Monthly_Prices!G51</f>
        <v>-4.0593286494925843E-2</v>
      </c>
      <c r="T52" s="3">
        <f ca="1">(Monthly_Prices!H52-Monthly_Prices!H51)/Monthly_Prices!H51</f>
        <v>1.1672576832151182E-2</v>
      </c>
    </row>
    <row r="53" spans="1:20" x14ac:dyDescent="0.25">
      <c r="A53" s="52">
        <v>44348</v>
      </c>
      <c r="B53" s="3">
        <f>(Monthly_Prices!B53-Monthly_Prices!B52)/Monthly_Prices!B52</f>
        <v>2.2748109365910464E-2</v>
      </c>
      <c r="C53" s="3">
        <f>(Monthly_Prices!C53-Monthly_Prices!C52)/Monthly_Prices!C52</f>
        <v>1.8325530320559696E-2</v>
      </c>
      <c r="D53" s="3">
        <f>(Monthly_Prices!D53-Monthly_Prices!D52)/Monthly_Prices!D52</f>
        <v>2.2107424356766422E-2</v>
      </c>
      <c r="E53" s="3">
        <f>(Monthly_Prices!E53-Monthly_Prices!E52)/Monthly_Prices!E52</f>
        <v>1.3271526579328882E-2</v>
      </c>
      <c r="F53" s="4">
        <f>(Monthly_Prices!F53/100)/12</f>
        <v>3.3333333333333335E-5</v>
      </c>
      <c r="G53" s="3">
        <f ca="1">(Monthly_Prices!G53-Monthly_Prices!G52)/Monthly_Prices!G52</f>
        <v>5.2617304041225929E-2</v>
      </c>
      <c r="H53" s="3">
        <f ca="1">(Monthly_Prices!H53-Monthly_Prices!H52)/Monthly_Prices!H52</f>
        <v>-3.1327588724988989E-2</v>
      </c>
      <c r="M53" s="3"/>
      <c r="N53" s="3"/>
      <c r="O53" s="3">
        <f>(Monthly_Prices!B53-Monthly_Prices!B52)/Monthly_Prices!B52</f>
        <v>2.2748109365910464E-2</v>
      </c>
      <c r="P53" s="3">
        <f>(Monthly_Prices!C53-Monthly_Prices!C52)/Monthly_Prices!C52</f>
        <v>1.8325530320559696E-2</v>
      </c>
      <c r="Q53" s="3">
        <f>(Monthly_Prices!D53-Monthly_Prices!D52)/Monthly_Prices!D52</f>
        <v>2.2107424356766422E-2</v>
      </c>
      <c r="R53" s="3">
        <f>(Monthly_Prices!E53-Monthly_Prices!E52)/Monthly_Prices!E52</f>
        <v>1.3271526579328882E-2</v>
      </c>
      <c r="S53" s="3">
        <f ca="1">(Monthly_Prices!G53-Monthly_Prices!G52)/Monthly_Prices!G52</f>
        <v>5.2617304041225929E-2</v>
      </c>
      <c r="T53" s="3">
        <f ca="1">(Monthly_Prices!H53-Monthly_Prices!H52)/Monthly_Prices!H52</f>
        <v>-3.1327588724988989E-2</v>
      </c>
    </row>
    <row r="54" spans="1:20" x14ac:dyDescent="0.25">
      <c r="A54" s="52">
        <v>44378</v>
      </c>
      <c r="B54" s="3">
        <f>(Monthly_Prices!B54-Monthly_Prices!B53)/Monthly_Prices!B53</f>
        <v>2.8990321391681052E-2</v>
      </c>
      <c r="C54" s="3">
        <f>(Monthly_Prices!C54-Monthly_Prices!C53)/Monthly_Prices!C53</f>
        <v>-3.6484840065024685E-2</v>
      </c>
      <c r="D54" s="3">
        <f>(Monthly_Prices!D54-Monthly_Prices!D53)/Monthly_Prices!D53</f>
        <v>1.4259710519006187E-2</v>
      </c>
      <c r="E54" s="3">
        <f>(Monthly_Prices!E54-Monthly_Prices!E53)/Monthly_Prices!E53</f>
        <v>1.0696976395181107E-3</v>
      </c>
      <c r="F54" s="4">
        <f>(Monthly_Prices!F54/100)/12</f>
        <v>3.3333333333333335E-5</v>
      </c>
      <c r="G54" s="3">
        <f ca="1">(Monthly_Prices!G54-Monthly_Prices!G53)/Monthly_Prices!G53</f>
        <v>-3.658850811646483E-2</v>
      </c>
      <c r="H54" s="3">
        <f ca="1">(Monthly_Prices!H54-Monthly_Prices!H53)/Monthly_Prices!H53</f>
        <v>-2.5631360723709267E-3</v>
      </c>
      <c r="M54" s="3"/>
      <c r="N54" s="3"/>
      <c r="O54" s="3">
        <f>(Monthly_Prices!B54-Monthly_Prices!B53)/Monthly_Prices!B53</f>
        <v>2.8990321391681052E-2</v>
      </c>
      <c r="P54" s="3">
        <f>(Monthly_Prices!C54-Monthly_Prices!C53)/Monthly_Prices!C53</f>
        <v>-3.6484840065024685E-2</v>
      </c>
      <c r="Q54" s="3">
        <f>(Monthly_Prices!D54-Monthly_Prices!D53)/Monthly_Prices!D53</f>
        <v>1.4259710519006187E-2</v>
      </c>
      <c r="R54" s="3">
        <f>(Monthly_Prices!E54-Monthly_Prices!E53)/Monthly_Prices!E53</f>
        <v>1.0696976395181107E-3</v>
      </c>
      <c r="S54" s="3">
        <f ca="1">(Monthly_Prices!G54-Monthly_Prices!G53)/Monthly_Prices!G53</f>
        <v>-3.658850811646483E-2</v>
      </c>
      <c r="T54" s="3">
        <f ca="1">(Monthly_Prices!H54-Monthly_Prices!H53)/Monthly_Prices!H53</f>
        <v>-2.5631360723709267E-3</v>
      </c>
    </row>
    <row r="55" spans="1:20" x14ac:dyDescent="0.25">
      <c r="A55" s="52">
        <v>44409</v>
      </c>
      <c r="B55" s="3">
        <f>(Monthly_Prices!B55-Monthly_Prices!B54)/Monthly_Prices!B54</f>
        <v>-4.7569140421166278E-2</v>
      </c>
      <c r="C55" s="3">
        <f>(Monthly_Prices!C55-Monthly_Prices!C54)/Monthly_Prices!C54</f>
        <v>2.1345320606400868E-2</v>
      </c>
      <c r="D55" s="3">
        <f>(Monthly_Prices!D55-Monthly_Prices!D54)/Monthly_Prices!D54</f>
        <v>-3.3434769038410699E-3</v>
      </c>
      <c r="E55" s="3">
        <f>(Monthly_Prices!E55-Monthly_Prices!E54)/Monthly_Prices!E54</f>
        <v>6.183330541056872E-3</v>
      </c>
      <c r="F55" s="4">
        <f>(Monthly_Prices!F55/100)/12</f>
        <v>3.3333333333333335E-5</v>
      </c>
      <c r="G55" s="3">
        <f ca="1">(Monthly_Prices!G55-Monthly_Prices!G54)/Monthly_Prices!G54</f>
        <v>3.7710617812249263E-2</v>
      </c>
      <c r="H55" s="3">
        <f ca="1">(Monthly_Prices!H55-Monthly_Prices!H54)/Monthly_Prices!H54</f>
        <v>-3.4842415539263843E-2</v>
      </c>
      <c r="M55" s="3"/>
      <c r="N55" s="3"/>
      <c r="O55" s="3">
        <f>(Monthly_Prices!B55-Monthly_Prices!B54)/Monthly_Prices!B54</f>
        <v>-4.7569140421166278E-2</v>
      </c>
      <c r="P55" s="3">
        <f>(Monthly_Prices!C55-Monthly_Prices!C54)/Monthly_Prices!C54</f>
        <v>2.1345320606400868E-2</v>
      </c>
      <c r="Q55" s="3">
        <f>(Monthly_Prices!D55-Monthly_Prices!D54)/Monthly_Prices!D54</f>
        <v>-3.3434769038410699E-3</v>
      </c>
      <c r="R55" s="3">
        <f>(Monthly_Prices!E55-Monthly_Prices!E54)/Monthly_Prices!E54</f>
        <v>6.183330541056872E-3</v>
      </c>
      <c r="S55" s="3">
        <f ca="1">(Monthly_Prices!G55-Monthly_Prices!G54)/Monthly_Prices!G54</f>
        <v>3.7710617812249263E-2</v>
      </c>
      <c r="T55" s="3">
        <f ca="1">(Monthly_Prices!H55-Monthly_Prices!H54)/Monthly_Prices!H54</f>
        <v>-3.4842415539263843E-2</v>
      </c>
    </row>
    <row r="56" spans="1:20" x14ac:dyDescent="0.25">
      <c r="A56" s="52">
        <v>44440</v>
      </c>
      <c r="B56" s="3">
        <f>(Monthly_Prices!B56-Monthly_Prices!B55)/Monthly_Prices!B55</f>
        <v>6.9143873301234615E-2</v>
      </c>
      <c r="C56" s="3">
        <f>(Monthly_Prices!C56-Monthly_Prices!C55)/Monthly_Prices!C55</f>
        <v>-3.0521953579104713E-2</v>
      </c>
      <c r="D56" s="3">
        <f>(Monthly_Prices!D56-Monthly_Prices!D55)/Monthly_Prices!D55</f>
        <v>-1.5017853073007644E-2</v>
      </c>
      <c r="E56" s="3">
        <f>(Monthly_Prices!E56-Monthly_Prices!E55)/Monthly_Prices!E55</f>
        <v>-3.6009895920115003E-3</v>
      </c>
      <c r="F56" s="4">
        <f>(Monthly_Prices!F56/100)/12</f>
        <v>2.3333333333333336E-5</v>
      </c>
      <c r="G56" s="3">
        <f ca="1">(Monthly_Prices!G56-Monthly_Prices!G55)/Monthly_Prices!G55</f>
        <v>-5.6443298969072166E-2</v>
      </c>
      <c r="H56" s="3">
        <f ca="1">(Monthly_Prices!H56-Monthly_Prices!H55)/Monthly_Prices!H55</f>
        <v>-8.0579483163664881E-2</v>
      </c>
      <c r="M56" s="3"/>
      <c r="N56" s="3"/>
      <c r="O56" s="3">
        <f>(Monthly_Prices!B56-Monthly_Prices!B55)/Monthly_Prices!B55</f>
        <v>6.9143873301234615E-2</v>
      </c>
      <c r="P56" s="3">
        <f>(Monthly_Prices!C56-Monthly_Prices!C55)/Monthly_Prices!C55</f>
        <v>-3.0521953579104713E-2</v>
      </c>
      <c r="Q56" s="3">
        <f>(Monthly_Prices!D56-Monthly_Prices!D55)/Monthly_Prices!D55</f>
        <v>-1.5017853073007644E-2</v>
      </c>
      <c r="R56" s="3">
        <f>(Monthly_Prices!E56-Monthly_Prices!E55)/Monthly_Prices!E55</f>
        <v>-3.6009895920115003E-3</v>
      </c>
      <c r="S56" s="3">
        <f ca="1">(Monthly_Prices!G56-Monthly_Prices!G55)/Monthly_Prices!G55</f>
        <v>-5.6443298969072166E-2</v>
      </c>
      <c r="T56" s="3">
        <f ca="1">(Monthly_Prices!H56-Monthly_Prices!H55)/Monthly_Prices!H55</f>
        <v>-8.0579483163664881E-2</v>
      </c>
    </row>
    <row r="57" spans="1:20" x14ac:dyDescent="0.25">
      <c r="A57" s="52">
        <v>44470</v>
      </c>
      <c r="B57" s="3">
        <f>(Monthly_Prices!B57-Monthly_Prices!B56)/Monthly_Prices!B56</f>
        <v>-8.3337314184714628E-3</v>
      </c>
      <c r="C57" s="3">
        <f>(Monthly_Prices!C57-Monthly_Prices!C56)/Monthly_Prices!C56</f>
        <v>4.2107186667147217E-2</v>
      </c>
      <c r="D57" s="3">
        <f>(Monthly_Prices!D57-Monthly_Prices!D56)/Monthly_Prices!D56</f>
        <v>5.1210193285617395E-3</v>
      </c>
      <c r="E57" s="3">
        <f>(Monthly_Prices!E57-Monthly_Prices!E56)/Monthly_Prices!E56</f>
        <v>-3.2891836471636822E-3</v>
      </c>
      <c r="F57" s="4">
        <f>(Monthly_Prices!F57/100)/12</f>
        <v>4.0000000000000003E-5</v>
      </c>
      <c r="G57" s="3">
        <f ca="1">(Monthly_Prices!G57-Monthly_Prices!G56)/Monthly_Prices!G56</f>
        <v>0.1483201311117181</v>
      </c>
      <c r="H57" s="3">
        <f ca="1">(Monthly_Prices!H57-Monthly_Prices!H56)/Monthly_Prices!H56</f>
        <v>3.0065582148028288E-2</v>
      </c>
      <c r="M57" s="3"/>
      <c r="N57" s="3"/>
      <c r="O57" s="3">
        <f>(Monthly_Prices!B57-Monthly_Prices!B56)/Monthly_Prices!B56</f>
        <v>-8.3337314184714628E-3</v>
      </c>
      <c r="P57" s="3">
        <f>(Monthly_Prices!C57-Monthly_Prices!C56)/Monthly_Prices!C56</f>
        <v>4.2107186667147217E-2</v>
      </c>
      <c r="Q57" s="3">
        <f>(Monthly_Prices!D57-Monthly_Prices!D56)/Monthly_Prices!D56</f>
        <v>5.1210193285617395E-3</v>
      </c>
      <c r="R57" s="3">
        <f>(Monthly_Prices!E57-Monthly_Prices!E56)/Monthly_Prices!E56</f>
        <v>-3.2891836471636822E-3</v>
      </c>
      <c r="S57" s="3">
        <f ca="1">(Monthly_Prices!G57-Monthly_Prices!G56)/Monthly_Prices!G56</f>
        <v>0.1483201311117181</v>
      </c>
      <c r="T57" s="3">
        <f ca="1">(Monthly_Prices!H57-Monthly_Prices!H56)/Monthly_Prices!H56</f>
        <v>3.0065582148028288E-2</v>
      </c>
    </row>
    <row r="58" spans="1:20" x14ac:dyDescent="0.25">
      <c r="A58" s="52">
        <v>44501</v>
      </c>
      <c r="B58" s="3">
        <f>(Monthly_Prices!B58-Monthly_Prices!B57)/Monthly_Prices!B57</f>
        <v>4.3612874972629799E-2</v>
      </c>
      <c r="C58" s="3">
        <f>(Monthly_Prices!C58-Monthly_Prices!C57)/Monthly_Prices!C57</f>
        <v>-4.2782717809227953E-2</v>
      </c>
      <c r="D58" s="3">
        <f>(Monthly_Prices!D58-Monthly_Prices!D57)/Monthly_Prices!D57</f>
        <v>-1.2320710814984525E-3</v>
      </c>
      <c r="E58" s="3">
        <f>(Monthly_Prices!E58-Monthly_Prices!E57)/Monthly_Prices!E57</f>
        <v>-1.157448563275457E-2</v>
      </c>
      <c r="F58" s="4">
        <f>(Monthly_Prices!F58/100)/12</f>
        <v>4.0000000000000003E-5</v>
      </c>
      <c r="G58" s="3">
        <f ca="1">(Monthly_Prices!G58-Monthly_Prices!G57)/Monthly_Prices!G57</f>
        <v>-4.0913415794481447E-2</v>
      </c>
      <c r="H58" s="3">
        <f ca="1">(Monthly_Prices!H58-Monthly_Prices!H57)/Monthly_Prices!H57</f>
        <v>-1.7281296510666476E-2</v>
      </c>
      <c r="M58" s="3"/>
      <c r="N58" s="3"/>
      <c r="O58" s="3">
        <f>(Monthly_Prices!B58-Monthly_Prices!B57)/Monthly_Prices!B57</f>
        <v>4.3612874972629799E-2</v>
      </c>
      <c r="P58" s="3">
        <f>(Monthly_Prices!C58-Monthly_Prices!C57)/Monthly_Prices!C57</f>
        <v>-4.2782717809227953E-2</v>
      </c>
      <c r="Q58" s="3">
        <f>(Monthly_Prices!D58-Monthly_Prices!D57)/Monthly_Prices!D57</f>
        <v>-1.2320710814984525E-3</v>
      </c>
      <c r="R58" s="3">
        <f>(Monthly_Prices!E58-Monthly_Prices!E57)/Monthly_Prices!E57</f>
        <v>-1.157448563275457E-2</v>
      </c>
      <c r="S58" s="3">
        <f ca="1">(Monthly_Prices!G58-Monthly_Prices!G57)/Monthly_Prices!G57</f>
        <v>-4.0913415794481447E-2</v>
      </c>
      <c r="T58" s="3">
        <f ca="1">(Monthly_Prices!H58-Monthly_Prices!H57)/Monthly_Prices!H57</f>
        <v>-1.7281296510666476E-2</v>
      </c>
    </row>
    <row r="59" spans="1:20" x14ac:dyDescent="0.25">
      <c r="A59" s="52">
        <v>44531</v>
      </c>
      <c r="B59" s="3">
        <f>(Monthly_Prices!B59-Monthly_Prices!B58)/Monthly_Prices!B58</f>
        <v>-5.2585089106999758E-2</v>
      </c>
      <c r="C59" s="3">
        <f>(Monthly_Prices!C59-Monthly_Prices!C58)/Monthly_Prices!C58</f>
        <v>2.1101431553326788E-2</v>
      </c>
      <c r="D59" s="3">
        <f>(Monthly_Prices!D59-Monthly_Prices!D58)/Monthly_Prices!D58</f>
        <v>-2.0994425450084546E-3</v>
      </c>
      <c r="E59" s="3">
        <f>(Monthly_Prices!E59-Monthly_Prices!E58)/Monthly_Prices!E58</f>
        <v>1.9244936127395067E-2</v>
      </c>
      <c r="F59" s="4">
        <f>(Monthly_Prices!F59/100)/12</f>
        <v>2.7500000000000001E-5</v>
      </c>
      <c r="G59" s="3">
        <f ca="1">(Monthly_Prices!G59-Monthly_Prices!G58)/Monthly_Prices!G58</f>
        <v>-0.10689484126984126</v>
      </c>
      <c r="H59" s="3">
        <f ca="1">(Monthly_Prices!H59-Monthly_Prices!H58)/Monthly_Prices!H58</f>
        <v>2.894404711821634E-2</v>
      </c>
      <c r="M59" s="3"/>
      <c r="N59" s="3"/>
      <c r="O59" s="3">
        <f>(Monthly_Prices!B59-Monthly_Prices!B58)/Monthly_Prices!B58</f>
        <v>-5.2585089106999758E-2</v>
      </c>
      <c r="P59" s="3">
        <f>(Monthly_Prices!C59-Monthly_Prices!C58)/Monthly_Prices!C58</f>
        <v>2.1101431553326788E-2</v>
      </c>
      <c r="Q59" s="3">
        <f>(Monthly_Prices!D59-Monthly_Prices!D58)/Monthly_Prices!D58</f>
        <v>-2.0994425450084546E-3</v>
      </c>
      <c r="R59" s="3">
        <f>(Monthly_Prices!E59-Monthly_Prices!E58)/Monthly_Prices!E58</f>
        <v>1.9244936127395067E-2</v>
      </c>
      <c r="S59" s="3">
        <f ca="1">(Monthly_Prices!G59-Monthly_Prices!G58)/Monthly_Prices!G58</f>
        <v>-0.10689484126984126</v>
      </c>
      <c r="T59" s="3">
        <f ca="1">(Monthly_Prices!H59-Monthly_Prices!H58)/Monthly_Prices!H58</f>
        <v>2.894404711821634E-2</v>
      </c>
    </row>
    <row r="60" spans="1:20" x14ac:dyDescent="0.25">
      <c r="A60" s="52">
        <v>44562</v>
      </c>
      <c r="B60" s="3">
        <f>(Monthly_Prices!B60-Monthly_Prices!B59)/Monthly_Prices!B59</f>
        <v>-3.136052086678269E-2</v>
      </c>
      <c r="C60" s="3">
        <f>(Monthly_Prices!C60-Monthly_Prices!C59)/Monthly_Prices!C59</f>
        <v>-9.6583590818892714E-2</v>
      </c>
      <c r="D60" s="3">
        <f>(Monthly_Prices!D60-Monthly_Prices!D59)/Monthly_Prices!D59</f>
        <v>-3.2321122175187657E-2</v>
      </c>
      <c r="E60" s="3">
        <f>(Monthly_Prices!E60-Monthly_Prices!E59)/Monthly_Prices!E59</f>
        <v>-1.9991099594276678E-2</v>
      </c>
      <c r="F60" s="4">
        <f>(Monthly_Prices!F60/100)/12</f>
        <v>1.4416666666666666E-4</v>
      </c>
      <c r="G60" s="3">
        <f ca="1">(Monthly_Prices!G60-Monthly_Prices!G59)/Monthly_Prices!G59</f>
        <v>-0.12413218550402666</v>
      </c>
      <c r="H60" s="3">
        <f ca="1">(Monthly_Prices!H60-Monthly_Prices!H59)/Monthly_Prices!H59</f>
        <v>6.8770954288985053E-2</v>
      </c>
      <c r="M60" s="3"/>
      <c r="N60" s="3"/>
      <c r="O60" s="3">
        <f>(Monthly_Prices!B60-Monthly_Prices!B59)/Monthly_Prices!B59</f>
        <v>-3.136052086678269E-2</v>
      </c>
      <c r="P60" s="3">
        <f>(Monthly_Prices!C60-Monthly_Prices!C59)/Monthly_Prices!C59</f>
        <v>-9.6583590818892714E-2</v>
      </c>
      <c r="Q60" s="3">
        <f>(Monthly_Prices!D60-Monthly_Prices!D59)/Monthly_Prices!D59</f>
        <v>-3.2321122175187657E-2</v>
      </c>
      <c r="R60" s="3">
        <f>(Monthly_Prices!E60-Monthly_Prices!E59)/Monthly_Prices!E59</f>
        <v>-1.9991099594276678E-2</v>
      </c>
      <c r="S60" s="3">
        <f ca="1">(Monthly_Prices!G60-Monthly_Prices!G59)/Monthly_Prices!G59</f>
        <v>-0.12413218550402666</v>
      </c>
      <c r="T60" s="3">
        <f ca="1">(Monthly_Prices!H60-Monthly_Prices!H59)/Monthly_Prices!H59</f>
        <v>6.8770954288985053E-2</v>
      </c>
    </row>
    <row r="61" spans="1:20" x14ac:dyDescent="0.25">
      <c r="A61" s="52">
        <v>44593</v>
      </c>
      <c r="B61" s="3">
        <f>(Monthly_Prices!B61-Monthly_Prices!B60)/Monthly_Prices!B60</f>
        <v>3.2375844204538838E-2</v>
      </c>
      <c r="C61" s="3">
        <f>(Monthly_Prices!C61-Monthly_Prices!C60)/Monthly_Prices!C60</f>
        <v>9.6823374864721361E-3</v>
      </c>
      <c r="D61" s="3">
        <f>(Monthly_Prices!D61-Monthly_Prices!D60)/Monthly_Prices!D60</f>
        <v>-2.3168510649426322E-2</v>
      </c>
      <c r="E61" s="3">
        <f>(Monthly_Prices!E61-Monthly_Prices!E60)/Monthly_Prices!E60</f>
        <v>-1.2160527159700263E-2</v>
      </c>
      <c r="F61" s="4">
        <f>(Monthly_Prices!F61/100)/12</f>
        <v>2.3999999999999998E-4</v>
      </c>
      <c r="G61" s="3">
        <f ca="1">(Monthly_Prices!G61-Monthly_Prices!G60)/Monthly_Prices!G60</f>
        <v>0.12745719720989221</v>
      </c>
      <c r="H61" s="3">
        <f ca="1">(Monthly_Prices!H61-Monthly_Prices!H60)/Monthly_Prices!H60</f>
        <v>5.3328232593726085E-2</v>
      </c>
      <c r="M61" s="3"/>
      <c r="N61" s="3"/>
      <c r="O61" s="3">
        <f>(Monthly_Prices!B61-Monthly_Prices!B60)/Monthly_Prices!B60</f>
        <v>3.2375844204538838E-2</v>
      </c>
      <c r="P61" s="3">
        <f>(Monthly_Prices!C61-Monthly_Prices!C60)/Monthly_Prices!C60</f>
        <v>9.6823374864721361E-3</v>
      </c>
      <c r="Q61" s="3">
        <f>(Monthly_Prices!D61-Monthly_Prices!D60)/Monthly_Prices!D60</f>
        <v>-2.3168510649426322E-2</v>
      </c>
      <c r="R61" s="3">
        <f>(Monthly_Prices!E61-Monthly_Prices!E60)/Monthly_Prices!E60</f>
        <v>-1.2160527159700263E-2</v>
      </c>
      <c r="S61" s="3">
        <f ca="1">(Monthly_Prices!G61-Monthly_Prices!G60)/Monthly_Prices!G60</f>
        <v>0.12745719720989221</v>
      </c>
      <c r="T61" s="3">
        <f ca="1">(Monthly_Prices!H61-Monthly_Prices!H60)/Monthly_Prices!H60</f>
        <v>5.3328232593726085E-2</v>
      </c>
    </row>
    <row r="62" spans="1:20" x14ac:dyDescent="0.25">
      <c r="A62" s="52">
        <v>44621</v>
      </c>
      <c r="B62" s="3">
        <f>(Monthly_Prices!B62-Monthly_Prices!B61)/Monthly_Prices!B61</f>
        <v>-3.136052086678269E-2</v>
      </c>
      <c r="C62" s="3">
        <f>(Monthly_Prices!C62-Monthly_Prices!C61)/Monthly_Prices!C61</f>
        <v>-5.1936249105073516E-2</v>
      </c>
      <c r="D62" s="3">
        <f>(Monthly_Prices!D62-Monthly_Prices!D61)/Monthly_Prices!D61</f>
        <v>-4.9160485049685836E-2</v>
      </c>
      <c r="E62" s="3">
        <f>(Monthly_Prices!E62-Monthly_Prices!E61)/Monthly_Prices!E61</f>
        <v>-4.0767196266276291E-2</v>
      </c>
      <c r="F62" s="4">
        <f>(Monthly_Prices!F62/100)/12</f>
        <v>3.1500000000000001E-4</v>
      </c>
      <c r="G62" s="3">
        <f ca="1">(Monthly_Prices!G62-Monthly_Prices!G61)/Monthly_Prices!G61</f>
        <v>6.0461192350956129E-2</v>
      </c>
      <c r="H62" s="3">
        <f ca="1">(Monthly_Prices!H62-Monthly_Prices!H61)/Monthly_Prices!H61</f>
        <v>-1.016924529672306E-3</v>
      </c>
      <c r="M62" s="3"/>
      <c r="N62" s="3"/>
      <c r="O62" s="3">
        <f>(Monthly_Prices!B62-Monthly_Prices!B61)/Monthly_Prices!B61</f>
        <v>-3.136052086678269E-2</v>
      </c>
      <c r="P62" s="3">
        <f>(Monthly_Prices!C62-Monthly_Prices!C61)/Monthly_Prices!C61</f>
        <v>-5.1936249105073516E-2</v>
      </c>
      <c r="Q62" s="3">
        <f>(Monthly_Prices!D62-Monthly_Prices!D61)/Monthly_Prices!D61</f>
        <v>-4.9160485049685836E-2</v>
      </c>
      <c r="R62" s="3">
        <f>(Monthly_Prices!E62-Monthly_Prices!E61)/Monthly_Prices!E61</f>
        <v>-4.0767196266276291E-2</v>
      </c>
      <c r="S62" s="3">
        <f ca="1">(Monthly_Prices!G62-Monthly_Prices!G61)/Monthly_Prices!G61</f>
        <v>6.0461192350956129E-2</v>
      </c>
      <c r="T62" s="3">
        <f ca="1">(Monthly_Prices!H62-Monthly_Prices!H61)/Monthly_Prices!H61</f>
        <v>-1.016924529672306E-3</v>
      </c>
    </row>
    <row r="64" spans="1:20" x14ac:dyDescent="0.25">
      <c r="B64" s="5">
        <f>AVERAGE(B4:B62)</f>
        <v>1.1199250592205693E-2</v>
      </c>
      <c r="C64" s="5">
        <f t="shared" ref="C64:E64" si="0">AVERAGE(C4:C62)</f>
        <v>7.5075319347955929E-3</v>
      </c>
      <c r="D64" s="5">
        <f t="shared" si="0"/>
        <v>2.6537651597364422E-3</v>
      </c>
      <c r="E64" s="5">
        <f t="shared" si="0"/>
        <v>2.6744807946486554E-3</v>
      </c>
      <c r="F64" s="5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40F7-2C40-48FA-9B91-0A71A9117F41}">
  <dimension ref="A1:L62"/>
  <sheetViews>
    <sheetView zoomScaleNormal="100" workbookViewId="0">
      <selection activeCell="K6" sqref="K6"/>
    </sheetView>
  </sheetViews>
  <sheetFormatPr defaultRowHeight="15" x14ac:dyDescent="0.25"/>
  <cols>
    <col min="1" max="1" width="10.42578125" customWidth="1"/>
    <col min="7" max="7" width="10.42578125" customWidth="1"/>
    <col min="8" max="8" width="11.7109375" customWidth="1"/>
  </cols>
  <sheetData>
    <row r="1" spans="1:12" x14ac:dyDescent="0.25">
      <c r="B1" s="2" t="s">
        <v>0</v>
      </c>
      <c r="C1" s="2" t="s">
        <v>9</v>
      </c>
      <c r="D1" s="2" t="s">
        <v>1</v>
      </c>
      <c r="E1" s="2" t="s">
        <v>2</v>
      </c>
      <c r="F1" s="2" t="s">
        <v>10</v>
      </c>
      <c r="G1" s="2" t="s">
        <v>45</v>
      </c>
      <c r="H1" s="2" t="s">
        <v>51</v>
      </c>
    </row>
    <row r="2" spans="1:12" x14ac:dyDescent="0.25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e" vm="1">
        <v>#VALUE!</v>
      </c>
      <c r="H2" s="1" t="e" vm="2">
        <v>#VALUE!</v>
      </c>
    </row>
    <row r="3" spans="1:12" x14ac:dyDescent="0.25">
      <c r="A3" s="52">
        <v>42826</v>
      </c>
      <c r="B3">
        <v>2411.8000000000002</v>
      </c>
      <c r="C3">
        <v>1400.4300539999999</v>
      </c>
      <c r="D3">
        <v>102.340637</v>
      </c>
      <c r="E3">
        <v>69.031143</v>
      </c>
      <c r="F3">
        <v>0.78</v>
      </c>
      <c r="G3" cm="1" vm="3">
        <f t="array" aca="1" ref="G3:G62" ca="1">_xlfn.STOCKHISTORY(G2,A3,A62,2,0,1)</f>
        <v>382.5</v>
      </c>
      <c r="H3" cm="1" vm="4">
        <f t="array" aca="1" ref="H3:H62" ca="1">_xlfn.STOCKHISTORY(H2,A3,A62,2,0,1)</f>
        <v>85.67</v>
      </c>
    </row>
    <row r="4" spans="1:12" x14ac:dyDescent="0.25">
      <c r="A4" s="52">
        <v>42856</v>
      </c>
      <c r="B4">
        <v>2423.41</v>
      </c>
      <c r="C4">
        <v>1370.209961</v>
      </c>
      <c r="D4">
        <v>103.704033</v>
      </c>
      <c r="E4">
        <v>69.742660999999998</v>
      </c>
      <c r="F4">
        <v>0.95</v>
      </c>
      <c r="G4" vm="5">
        <f ca="1"/>
        <v>386.3</v>
      </c>
      <c r="H4" vm="6">
        <f ca="1"/>
        <v>82.9</v>
      </c>
    </row>
    <row r="5" spans="1:12" x14ac:dyDescent="0.25">
      <c r="A5" s="52">
        <v>42887</v>
      </c>
      <c r="B5">
        <v>2470.3000000000002</v>
      </c>
      <c r="C5">
        <v>1415.3599850000001</v>
      </c>
      <c r="D5">
        <v>104.210258</v>
      </c>
      <c r="E5">
        <v>69.835335000000001</v>
      </c>
      <c r="F5">
        <v>0.99299999999999999</v>
      </c>
      <c r="G5" vm="7">
        <f ca="1"/>
        <v>384.9</v>
      </c>
      <c r="H5" vm="8">
        <f ca="1"/>
        <v>80.239999999999995</v>
      </c>
    </row>
    <row r="6" spans="1:12" x14ac:dyDescent="0.25">
      <c r="A6" s="52">
        <v>42917</v>
      </c>
      <c r="B6">
        <v>2471.65</v>
      </c>
      <c r="C6">
        <v>1425.1400149999999</v>
      </c>
      <c r="D6">
        <v>105.005043</v>
      </c>
      <c r="E6">
        <v>70.546218999999994</v>
      </c>
      <c r="F6">
        <v>1.0529999999999999</v>
      </c>
      <c r="G6" vm="9">
        <f ca="1"/>
        <v>398.1</v>
      </c>
      <c r="H6" vm="10">
        <f ca="1"/>
        <v>79.66</v>
      </c>
    </row>
    <row r="7" spans="1:12" x14ac:dyDescent="0.25">
      <c r="A7" s="52">
        <v>42948</v>
      </c>
      <c r="B7">
        <v>2519.36</v>
      </c>
      <c r="C7">
        <v>1405.280029</v>
      </c>
      <c r="D7">
        <v>105.719269</v>
      </c>
      <c r="E7">
        <v>70.601348999999999</v>
      </c>
      <c r="F7">
        <v>0.97799999999999998</v>
      </c>
      <c r="G7" vm="11">
        <f ca="1"/>
        <v>411.85</v>
      </c>
      <c r="H7" vm="12">
        <f ca="1"/>
        <v>82.45</v>
      </c>
    </row>
    <row r="8" spans="1:12" x14ac:dyDescent="0.25">
      <c r="A8" s="52">
        <v>42979</v>
      </c>
      <c r="B8">
        <v>2575.2600000000002</v>
      </c>
      <c r="C8">
        <v>1490.8599850000001</v>
      </c>
      <c r="D8">
        <v>105.666389</v>
      </c>
      <c r="E8">
        <v>71.022827000000007</v>
      </c>
      <c r="F8">
        <v>1.028</v>
      </c>
      <c r="G8" vm="13">
        <f ca="1"/>
        <v>391.9</v>
      </c>
      <c r="H8" vm="14">
        <f ca="1"/>
        <v>80.45</v>
      </c>
    </row>
    <row r="9" spans="1:12" x14ac:dyDescent="0.25">
      <c r="A9" s="52">
        <v>43009</v>
      </c>
      <c r="B9">
        <v>2647.58</v>
      </c>
      <c r="C9">
        <v>1502.530029</v>
      </c>
      <c r="D9">
        <v>105.866524</v>
      </c>
      <c r="E9">
        <v>71.087615999999997</v>
      </c>
      <c r="F9">
        <v>1.123</v>
      </c>
      <c r="G9" vm="15">
        <f ca="1"/>
        <v>409.5</v>
      </c>
      <c r="H9" vm="16">
        <f ca="1"/>
        <v>81.7</v>
      </c>
      <c r="L9" s="15"/>
    </row>
    <row r="10" spans="1:12" x14ac:dyDescent="0.25">
      <c r="A10" s="52">
        <v>43040</v>
      </c>
      <c r="B10">
        <v>2673.61</v>
      </c>
      <c r="C10">
        <v>1544.1400149999999</v>
      </c>
      <c r="D10">
        <v>105.737503</v>
      </c>
      <c r="E10">
        <v>70.824425000000005</v>
      </c>
      <c r="F10">
        <v>1.238</v>
      </c>
      <c r="G10" vm="17">
        <f ca="1"/>
        <v>379</v>
      </c>
      <c r="H10" vm="18">
        <f ca="1"/>
        <v>80.5</v>
      </c>
    </row>
    <row r="11" spans="1:12" x14ac:dyDescent="0.25">
      <c r="A11" s="52">
        <v>43070</v>
      </c>
      <c r="B11">
        <v>2823.81</v>
      </c>
      <c r="C11">
        <v>1535.51001</v>
      </c>
      <c r="D11">
        <v>106.800369</v>
      </c>
      <c r="E11">
        <v>70.697333999999998</v>
      </c>
      <c r="F11">
        <v>1.355</v>
      </c>
      <c r="G11" vm="19">
        <f ca="1"/>
        <v>400</v>
      </c>
      <c r="H11" vm="20">
        <f ca="1"/>
        <v>81.89</v>
      </c>
    </row>
    <row r="12" spans="1:12" x14ac:dyDescent="0.25">
      <c r="A12" s="52">
        <v>43101</v>
      </c>
      <c r="B12">
        <v>2713.83</v>
      </c>
      <c r="C12">
        <v>1574.9799800000001</v>
      </c>
      <c r="D12">
        <v>105.99698600000001</v>
      </c>
      <c r="E12">
        <v>71.326080000000005</v>
      </c>
      <c r="F12">
        <v>1.43</v>
      </c>
      <c r="G12" vm="21">
        <f ca="1"/>
        <v>391.95</v>
      </c>
      <c r="H12" vm="22">
        <f ca="1"/>
        <v>80.760000000000005</v>
      </c>
    </row>
    <row r="13" spans="1:12" x14ac:dyDescent="0.25">
      <c r="A13" s="52">
        <v>43132</v>
      </c>
      <c r="B13">
        <v>2640.87</v>
      </c>
      <c r="C13">
        <v>1512.4499510000001</v>
      </c>
      <c r="D13">
        <v>103.348595</v>
      </c>
      <c r="E13">
        <v>70.411002999999994</v>
      </c>
      <c r="F13">
        <v>1.6180000000000001</v>
      </c>
      <c r="G13" vm="23">
        <f ca="1"/>
        <v>394.65</v>
      </c>
      <c r="H13" vm="24">
        <f ca="1"/>
        <v>80.59</v>
      </c>
    </row>
    <row r="14" spans="1:12" x14ac:dyDescent="0.25">
      <c r="A14" s="52">
        <v>43160</v>
      </c>
      <c r="B14">
        <v>2648.05</v>
      </c>
      <c r="C14">
        <v>1529.4300539999999</v>
      </c>
      <c r="D14">
        <v>103.908867</v>
      </c>
      <c r="E14">
        <v>70.264420000000001</v>
      </c>
      <c r="F14">
        <v>1.67</v>
      </c>
      <c r="G14" vm="25">
        <f ca="1"/>
        <v>392.55</v>
      </c>
      <c r="H14" vm="26">
        <f ca="1"/>
        <v>78.13</v>
      </c>
    </row>
    <row r="15" spans="1:12" x14ac:dyDescent="0.25">
      <c r="A15" s="52">
        <v>43191</v>
      </c>
      <c r="B15">
        <v>2705.27</v>
      </c>
      <c r="C15">
        <v>1541.880005</v>
      </c>
      <c r="D15">
        <v>102.276405</v>
      </c>
      <c r="E15">
        <v>70.592956999999998</v>
      </c>
      <c r="F15">
        <v>1.7629999999999999</v>
      </c>
      <c r="G15" vm="27">
        <f ca="1"/>
        <v>417.65</v>
      </c>
      <c r="H15" vm="28">
        <f ca="1"/>
        <v>79.27</v>
      </c>
    </row>
    <row r="16" spans="1:12" x14ac:dyDescent="0.25">
      <c r="A16" s="52">
        <v>43221</v>
      </c>
      <c r="B16">
        <v>2718.37</v>
      </c>
      <c r="C16">
        <v>1633.6099850000001</v>
      </c>
      <c r="D16">
        <v>102.811195</v>
      </c>
      <c r="E16">
        <v>70.617157000000006</v>
      </c>
      <c r="F16">
        <v>1.87</v>
      </c>
      <c r="G16" vm="29">
        <f ca="1"/>
        <v>420</v>
      </c>
      <c r="H16" vm="30">
        <f ca="1"/>
        <v>82.37</v>
      </c>
    </row>
    <row r="17" spans="1:8" x14ac:dyDescent="0.25">
      <c r="A17" s="52">
        <v>43252</v>
      </c>
      <c r="B17">
        <v>2816.29</v>
      </c>
      <c r="C17">
        <v>1643.0699460000001</v>
      </c>
      <c r="D17">
        <v>102.284271</v>
      </c>
      <c r="E17">
        <v>70.668342999999993</v>
      </c>
      <c r="F17">
        <v>1.88</v>
      </c>
      <c r="G17" vm="31">
        <f ca="1"/>
        <v>386.65</v>
      </c>
      <c r="H17" vm="32">
        <f ca="1"/>
        <v>79.16</v>
      </c>
    </row>
    <row r="18" spans="1:8" x14ac:dyDescent="0.25">
      <c r="A18" s="52">
        <v>43282</v>
      </c>
      <c r="B18">
        <v>2901.52</v>
      </c>
      <c r="C18">
        <v>1670.8000489999999</v>
      </c>
      <c r="D18">
        <v>103.66893</v>
      </c>
      <c r="E18">
        <v>71.855362</v>
      </c>
      <c r="F18">
        <v>1.9850000000000001</v>
      </c>
      <c r="G18" vm="33">
        <f ca="1"/>
        <v>405.25</v>
      </c>
      <c r="H18" vm="34">
        <f ca="1"/>
        <v>76.930000000000007</v>
      </c>
    </row>
    <row r="19" spans="1:8" x14ac:dyDescent="0.25">
      <c r="A19" s="52">
        <v>43313</v>
      </c>
      <c r="B19">
        <v>2913.98</v>
      </c>
      <c r="C19">
        <v>1740.75</v>
      </c>
      <c r="D19">
        <v>103.694626</v>
      </c>
      <c r="E19">
        <v>72.379745</v>
      </c>
      <c r="F19">
        <v>2.0550000000000002</v>
      </c>
      <c r="G19" vm="35">
        <f ca="1"/>
        <v>389.05</v>
      </c>
      <c r="H19" vm="36">
        <f ca="1"/>
        <v>76.12</v>
      </c>
    </row>
    <row r="20" spans="1:8" x14ac:dyDescent="0.25">
      <c r="A20" s="52">
        <v>43344</v>
      </c>
      <c r="B20">
        <v>2711.74</v>
      </c>
      <c r="C20">
        <v>1696.5699460000001</v>
      </c>
      <c r="D20">
        <v>103.54330400000001</v>
      </c>
      <c r="E20">
        <v>72.756821000000002</v>
      </c>
      <c r="F20">
        <v>2.15</v>
      </c>
      <c r="G20" vm="37">
        <f ca="1"/>
        <v>384.15</v>
      </c>
      <c r="H20" vm="38">
        <f ca="1"/>
        <v>77.900000000000006</v>
      </c>
    </row>
    <row r="21" spans="1:8" x14ac:dyDescent="0.25">
      <c r="A21" s="52">
        <v>43374</v>
      </c>
      <c r="B21">
        <v>2760.17</v>
      </c>
      <c r="C21">
        <v>1511.410034</v>
      </c>
      <c r="D21">
        <v>101.41651899999999</v>
      </c>
      <c r="E21">
        <v>71.303978000000001</v>
      </c>
      <c r="F21">
        <v>2.278</v>
      </c>
      <c r="G21" vm="39">
        <f ca="1"/>
        <v>369.25</v>
      </c>
      <c r="H21" vm="40">
        <f ca="1"/>
        <v>80.489999999999995</v>
      </c>
    </row>
    <row r="22" spans="1:8" x14ac:dyDescent="0.25">
      <c r="A22" s="52">
        <v>43405</v>
      </c>
      <c r="B22">
        <v>2506.85</v>
      </c>
      <c r="C22">
        <v>1533.2700199999999</v>
      </c>
      <c r="D22">
        <v>101.030151</v>
      </c>
      <c r="E22">
        <v>70.989440999999999</v>
      </c>
      <c r="F22">
        <v>2.3079999999999998</v>
      </c>
      <c r="G22" vm="41">
        <f ca="1"/>
        <v>400.65</v>
      </c>
      <c r="H22" vm="42">
        <f ca="1"/>
        <v>81.45</v>
      </c>
    </row>
    <row r="23" spans="1:8" x14ac:dyDescent="0.25">
      <c r="A23" s="52">
        <v>43435</v>
      </c>
      <c r="B23">
        <v>2704.1</v>
      </c>
      <c r="C23">
        <v>1348.5600589999999</v>
      </c>
      <c r="D23">
        <v>102.60021999999999</v>
      </c>
      <c r="E23">
        <v>69.207061999999993</v>
      </c>
      <c r="F23">
        <v>2.2999999999999998</v>
      </c>
      <c r="G23" vm="43">
        <f ca="1"/>
        <v>376.1</v>
      </c>
      <c r="H23" vm="44">
        <f ca="1"/>
        <v>85.37</v>
      </c>
    </row>
    <row r="24" spans="1:8" x14ac:dyDescent="0.25">
      <c r="A24" s="52">
        <v>43466</v>
      </c>
      <c r="B24">
        <v>2784.49</v>
      </c>
      <c r="C24">
        <v>1499.420044</v>
      </c>
      <c r="D24">
        <v>106.72583</v>
      </c>
      <c r="E24">
        <v>73.304077000000007</v>
      </c>
      <c r="F24">
        <v>2.34</v>
      </c>
      <c r="G24" vm="45">
        <f ca="1"/>
        <v>416.45</v>
      </c>
      <c r="H24" vm="46">
        <f ca="1"/>
        <v>89.36</v>
      </c>
    </row>
    <row r="25" spans="1:8" x14ac:dyDescent="0.25">
      <c r="A25" s="52">
        <v>43497</v>
      </c>
      <c r="B25">
        <v>2834.4</v>
      </c>
      <c r="C25">
        <v>1575.5500489999999</v>
      </c>
      <c r="D25">
        <v>106.185883</v>
      </c>
      <c r="E25">
        <v>73.855293000000003</v>
      </c>
      <c r="F25">
        <v>2.383</v>
      </c>
      <c r="G25" vm="47">
        <f ca="1"/>
        <v>422.95</v>
      </c>
      <c r="H25" vm="48">
        <f ca="1"/>
        <v>92.43</v>
      </c>
    </row>
    <row r="26" spans="1:8" x14ac:dyDescent="0.25">
      <c r="A26" s="52">
        <v>43525</v>
      </c>
      <c r="B26">
        <v>2945.83</v>
      </c>
      <c r="C26">
        <v>1539.73999</v>
      </c>
      <c r="D26">
        <v>109.289627</v>
      </c>
      <c r="E26">
        <v>74.817374999999998</v>
      </c>
      <c r="F26">
        <v>2.3279999999999998</v>
      </c>
      <c r="G26" vm="49">
        <f ca="1"/>
        <v>434.05</v>
      </c>
      <c r="H26" vm="50">
        <f ca="1"/>
        <v>89.78</v>
      </c>
    </row>
    <row r="27" spans="1:8" x14ac:dyDescent="0.25">
      <c r="A27" s="52">
        <v>43556</v>
      </c>
      <c r="B27">
        <v>2752.06</v>
      </c>
      <c r="C27">
        <v>1591.209961</v>
      </c>
      <c r="D27">
        <v>109.77518499999999</v>
      </c>
      <c r="E27">
        <v>75.560615999999996</v>
      </c>
      <c r="F27">
        <v>2.3679999999999999</v>
      </c>
      <c r="G27" vm="51">
        <f ca="1"/>
        <v>449.45</v>
      </c>
      <c r="H27" vm="52">
        <f ca="1"/>
        <v>89.47</v>
      </c>
    </row>
    <row r="28" spans="1:8" x14ac:dyDescent="0.25">
      <c r="A28" s="52">
        <v>43586</v>
      </c>
      <c r="B28">
        <v>2941.76</v>
      </c>
      <c r="C28">
        <v>1465.48999</v>
      </c>
      <c r="D28">
        <v>111.593231</v>
      </c>
      <c r="E28">
        <v>74.112472999999994</v>
      </c>
      <c r="F28">
        <v>2.2930000000000001</v>
      </c>
      <c r="G28" vm="53">
        <f ca="1"/>
        <v>455.5</v>
      </c>
      <c r="H28" vm="54">
        <f ca="1"/>
        <v>88.65</v>
      </c>
    </row>
    <row r="29" spans="1:8" x14ac:dyDescent="0.25">
      <c r="A29" s="52">
        <v>43617</v>
      </c>
      <c r="B29">
        <v>2980.38</v>
      </c>
      <c r="C29">
        <v>1566.5699460000001</v>
      </c>
      <c r="D29">
        <v>115.20275100000001</v>
      </c>
      <c r="E29">
        <v>76.424544999999995</v>
      </c>
      <c r="F29">
        <v>2.0350000000000001</v>
      </c>
      <c r="G29" vm="55">
        <f ca="1"/>
        <v>484.5</v>
      </c>
      <c r="H29" vm="56">
        <f ca="1"/>
        <v>94.99</v>
      </c>
    </row>
    <row r="30" spans="1:8" x14ac:dyDescent="0.25">
      <c r="A30" s="52">
        <v>43647</v>
      </c>
      <c r="B30">
        <v>2926.46</v>
      </c>
      <c r="C30">
        <v>1574.6099850000001</v>
      </c>
      <c r="D30">
        <v>115.52037799999999</v>
      </c>
      <c r="E30">
        <v>76.553405999999995</v>
      </c>
      <c r="F30">
        <v>2.0299999999999998</v>
      </c>
      <c r="G30" vm="57">
        <f ca="1"/>
        <v>511.375</v>
      </c>
      <c r="H30" vm="58">
        <f ca="1"/>
        <v>98.98</v>
      </c>
    </row>
    <row r="31" spans="1:8" x14ac:dyDescent="0.25">
      <c r="A31" s="52">
        <v>43678</v>
      </c>
      <c r="B31">
        <v>2976.74</v>
      </c>
      <c r="C31">
        <v>1494.839966</v>
      </c>
      <c r="D31">
        <v>120.01619700000001</v>
      </c>
      <c r="E31">
        <v>77.097328000000005</v>
      </c>
      <c r="F31">
        <v>1.9330000000000001</v>
      </c>
      <c r="G31" vm="59">
        <f ca="1"/>
        <v>515.625</v>
      </c>
      <c r="H31" vm="60">
        <f ca="1"/>
        <v>106.31</v>
      </c>
    </row>
    <row r="32" spans="1:8" x14ac:dyDescent="0.25">
      <c r="A32" s="52">
        <v>43709</v>
      </c>
      <c r="B32">
        <v>3037.56</v>
      </c>
      <c r="C32">
        <v>1523.369995</v>
      </c>
      <c r="D32">
        <v>119.119682</v>
      </c>
      <c r="E32">
        <v>77.433075000000002</v>
      </c>
      <c r="F32">
        <v>1.77</v>
      </c>
      <c r="G32" vm="61">
        <f ca="1"/>
        <v>513.125</v>
      </c>
      <c r="H32" vm="62">
        <f ca="1"/>
        <v>105.26</v>
      </c>
    </row>
    <row r="33" spans="1:8" x14ac:dyDescent="0.25">
      <c r="A33" s="52">
        <v>43739</v>
      </c>
      <c r="B33">
        <v>3140.98</v>
      </c>
      <c r="C33">
        <v>1562.4499510000001</v>
      </c>
      <c r="D33">
        <v>119.65881299999999</v>
      </c>
      <c r="E33">
        <v>77.442924000000005</v>
      </c>
      <c r="F33">
        <v>1.498</v>
      </c>
      <c r="G33" vm="63">
        <f ca="1"/>
        <v>477.85</v>
      </c>
      <c r="H33" vm="64">
        <f ca="1"/>
        <v>107.9</v>
      </c>
    </row>
    <row r="34" spans="1:8" x14ac:dyDescent="0.25">
      <c r="A34" s="52">
        <v>43770</v>
      </c>
      <c r="B34">
        <v>3230.78</v>
      </c>
      <c r="C34">
        <v>1624.5</v>
      </c>
      <c r="D34">
        <v>120.219269</v>
      </c>
      <c r="E34">
        <v>77.871566999999999</v>
      </c>
      <c r="F34">
        <v>1.54</v>
      </c>
      <c r="G34" vm="65">
        <f ca="1"/>
        <v>487.55</v>
      </c>
      <c r="H34" vm="66">
        <f ca="1"/>
        <v>106.48</v>
      </c>
    </row>
    <row r="35" spans="1:8" x14ac:dyDescent="0.25">
      <c r="A35" s="52">
        <v>43800</v>
      </c>
      <c r="B35">
        <v>3225.52</v>
      </c>
      <c r="C35">
        <v>1668.469971</v>
      </c>
      <c r="D35">
        <v>120.535507</v>
      </c>
      <c r="E35">
        <v>79.096153000000001</v>
      </c>
      <c r="F35">
        <v>1.5049999999999999</v>
      </c>
      <c r="G35" vm="67">
        <f ca="1"/>
        <v>511.875</v>
      </c>
      <c r="H35" vm="68">
        <f ca="1"/>
        <v>109.98</v>
      </c>
    </row>
    <row r="36" spans="1:8" x14ac:dyDescent="0.25">
      <c r="A36" s="52">
        <v>43831</v>
      </c>
      <c r="B36">
        <v>2954.22</v>
      </c>
      <c r="C36">
        <v>1614.0600589999999</v>
      </c>
      <c r="D36">
        <v>124.144783</v>
      </c>
      <c r="E36">
        <v>79.319762999999995</v>
      </c>
      <c r="F36">
        <v>1.51</v>
      </c>
      <c r="G36" vm="69">
        <f ca="1"/>
        <v>533.5</v>
      </c>
      <c r="H36" vm="70">
        <f ca="1"/>
        <v>119.6</v>
      </c>
    </row>
    <row r="37" spans="1:8" x14ac:dyDescent="0.25">
      <c r="A37" s="52">
        <v>43862</v>
      </c>
      <c r="B37">
        <v>2584.59</v>
      </c>
      <c r="C37">
        <v>1476.4300539999999</v>
      </c>
      <c r="D37">
        <v>125.177048</v>
      </c>
      <c r="E37">
        <v>77.969513000000006</v>
      </c>
      <c r="F37">
        <v>1.23</v>
      </c>
      <c r="G37" vm="71">
        <f ca="1"/>
        <v>551.75</v>
      </c>
      <c r="H37" vm="72">
        <f ca="1"/>
        <v>123.67</v>
      </c>
    </row>
    <row r="38" spans="1:8" x14ac:dyDescent="0.25">
      <c r="A38" s="52">
        <v>43891</v>
      </c>
      <c r="B38">
        <v>2912.43</v>
      </c>
      <c r="C38">
        <v>1153.099976</v>
      </c>
      <c r="D38">
        <v>117.267838</v>
      </c>
      <c r="E38">
        <v>70.134163000000001</v>
      </c>
      <c r="F38">
        <v>0.03</v>
      </c>
      <c r="G38" vm="73">
        <f ca="1"/>
        <v>450.95</v>
      </c>
      <c r="H38" vm="74">
        <f ca="1"/>
        <v>118.57</v>
      </c>
    </row>
    <row r="39" spans="1:8" x14ac:dyDescent="0.25">
      <c r="A39" s="52">
        <v>43922</v>
      </c>
      <c r="B39">
        <v>3044.31</v>
      </c>
      <c r="C39">
        <v>1310.660034</v>
      </c>
      <c r="D39">
        <v>122.966461</v>
      </c>
      <c r="E39">
        <v>73.516463999999999</v>
      </c>
      <c r="F39">
        <v>0.09</v>
      </c>
      <c r="G39" vm="75">
        <f ca="1"/>
        <v>495.25</v>
      </c>
      <c r="H39" vm="76">
        <f ca="1"/>
        <v>115.85</v>
      </c>
    </row>
    <row r="40" spans="1:8" x14ac:dyDescent="0.25">
      <c r="A40" s="52">
        <v>43952</v>
      </c>
      <c r="B40">
        <v>3100.29</v>
      </c>
      <c r="C40">
        <v>1394.040039</v>
      </c>
      <c r="D40">
        <v>125.995811</v>
      </c>
      <c r="E40">
        <v>75.713631000000007</v>
      </c>
      <c r="F40">
        <v>0.128</v>
      </c>
      <c r="G40" vm="77">
        <f ca="1"/>
        <v>547.375</v>
      </c>
      <c r="H40" vm="78">
        <f ca="1"/>
        <v>116.62</v>
      </c>
    </row>
    <row r="41" spans="1:8" x14ac:dyDescent="0.25">
      <c r="A41" s="52">
        <v>43983</v>
      </c>
      <c r="B41">
        <v>3271.12</v>
      </c>
      <c r="C41">
        <v>1441.369995</v>
      </c>
      <c r="D41">
        <v>128.681442</v>
      </c>
      <c r="E41">
        <v>75.324318000000005</v>
      </c>
      <c r="F41">
        <v>0.13500000000000001</v>
      </c>
      <c r="G41" vm="79">
        <f ca="1"/>
        <v>577.75</v>
      </c>
      <c r="H41" vm="80">
        <f ca="1"/>
        <v>117.14</v>
      </c>
    </row>
    <row r="42" spans="1:8" x14ac:dyDescent="0.25">
      <c r="A42" s="52">
        <v>44013</v>
      </c>
      <c r="B42">
        <v>3500.31</v>
      </c>
      <c r="C42">
        <v>1480.4300539999999</v>
      </c>
      <c r="D42">
        <v>132.68852200000001</v>
      </c>
      <c r="E42">
        <v>79.111641000000006</v>
      </c>
      <c r="F42">
        <v>8.3000000000000004E-2</v>
      </c>
      <c r="G42" vm="81">
        <f ca="1"/>
        <v>629.5</v>
      </c>
      <c r="H42" vm="82">
        <f ca="1"/>
        <v>127.67</v>
      </c>
    </row>
    <row r="43" spans="1:8" x14ac:dyDescent="0.25">
      <c r="A43" s="52">
        <v>44044</v>
      </c>
      <c r="B43">
        <v>3363</v>
      </c>
      <c r="C43">
        <v>1561.880005</v>
      </c>
      <c r="D43">
        <v>130.35150100000001</v>
      </c>
      <c r="E43">
        <v>79.110557999999997</v>
      </c>
      <c r="F43">
        <v>9.5000000000000001E-2</v>
      </c>
      <c r="G43" vm="83">
        <f ca="1"/>
        <v>740.5</v>
      </c>
      <c r="H43" vm="84">
        <f ca="1"/>
        <v>131.83000000000001</v>
      </c>
    </row>
    <row r="44" spans="1:8" x14ac:dyDescent="0.25">
      <c r="A44" s="52">
        <v>44075</v>
      </c>
      <c r="B44">
        <v>3269.96</v>
      </c>
      <c r="C44">
        <v>1507.6899410000001</v>
      </c>
      <c r="D44">
        <v>129.77267499999999</v>
      </c>
      <c r="E44">
        <v>78.372176999999994</v>
      </c>
      <c r="F44">
        <v>8.5000000000000006E-2</v>
      </c>
      <c r="G44" vm="85">
        <f ca="1"/>
        <v>824.25</v>
      </c>
      <c r="H44" vm="86">
        <f ca="1"/>
        <v>128.91</v>
      </c>
    </row>
    <row r="45" spans="1:8" x14ac:dyDescent="0.25">
      <c r="A45" s="52">
        <v>44105</v>
      </c>
      <c r="B45">
        <v>3621.63</v>
      </c>
      <c r="C45">
        <v>1538.4799800000001</v>
      </c>
      <c r="D45">
        <v>129.10945100000001</v>
      </c>
      <c r="E45">
        <v>78.669021999999998</v>
      </c>
      <c r="F45">
        <v>8.3000000000000004E-2</v>
      </c>
      <c r="G45" vm="87">
        <f ca="1"/>
        <v>867</v>
      </c>
      <c r="H45" vm="88">
        <f ca="1"/>
        <v>126.51</v>
      </c>
    </row>
    <row r="46" spans="1:8" x14ac:dyDescent="0.25">
      <c r="A46" s="52">
        <v>44136</v>
      </c>
      <c r="B46">
        <v>3756.07</v>
      </c>
      <c r="C46">
        <v>1819.8199460000001</v>
      </c>
      <c r="D46">
        <v>133.98773199999999</v>
      </c>
      <c r="E46">
        <v>81.303368000000006</v>
      </c>
      <c r="F46">
        <v>7.4999999999999997E-2</v>
      </c>
      <c r="G46" vm="89">
        <f ca="1"/>
        <v>1012</v>
      </c>
      <c r="H46" vm="90">
        <f ca="1"/>
        <v>121.55</v>
      </c>
    </row>
    <row r="47" spans="1:8" x14ac:dyDescent="0.25">
      <c r="A47" s="52">
        <v>44166</v>
      </c>
      <c r="B47">
        <v>3714.24</v>
      </c>
      <c r="C47">
        <v>1974.8599850000001</v>
      </c>
      <c r="D47">
        <v>133.93254099999999</v>
      </c>
      <c r="E47">
        <v>82.579857000000004</v>
      </c>
      <c r="F47">
        <v>6.5000000000000002E-2</v>
      </c>
      <c r="G47" vm="91">
        <f ca="1"/>
        <v>1191.5</v>
      </c>
      <c r="H47" vm="92">
        <f ca="1"/>
        <v>127.38</v>
      </c>
    </row>
    <row r="48" spans="1:8" x14ac:dyDescent="0.25">
      <c r="A48" s="52">
        <v>44197</v>
      </c>
      <c r="B48">
        <v>3811.15</v>
      </c>
      <c r="C48">
        <v>2073.639893</v>
      </c>
      <c r="D48">
        <v>132.01110800000001</v>
      </c>
      <c r="E48">
        <v>82.936836</v>
      </c>
      <c r="F48">
        <v>4.8000000000000001E-2</v>
      </c>
      <c r="G48" vm="93">
        <f ca="1"/>
        <v>1259</v>
      </c>
      <c r="H48" vm="94">
        <f ca="1"/>
        <v>125.45</v>
      </c>
    </row>
    <row r="49" spans="1:8" x14ac:dyDescent="0.25">
      <c r="A49" s="52">
        <v>44228</v>
      </c>
      <c r="B49">
        <v>3972.89</v>
      </c>
      <c r="C49">
        <v>2201.0500489999999</v>
      </c>
      <c r="D49">
        <v>128.76928699999999</v>
      </c>
      <c r="E49">
        <v>82.431426999999999</v>
      </c>
      <c r="F49">
        <v>3.5000000000000003E-2</v>
      </c>
      <c r="G49" vm="95">
        <f ca="1"/>
        <v>1066.5</v>
      </c>
      <c r="H49" vm="96">
        <f ca="1"/>
        <v>123.64</v>
      </c>
    </row>
    <row r="50" spans="1:8" x14ac:dyDescent="0.25">
      <c r="A50" s="52">
        <v>44256</v>
      </c>
      <c r="B50">
        <v>4181.17</v>
      </c>
      <c r="C50">
        <v>2220.5200199999999</v>
      </c>
      <c r="D50">
        <v>126.857811</v>
      </c>
      <c r="E50">
        <v>83.4422</v>
      </c>
      <c r="F50">
        <v>1.2999999999999999E-2</v>
      </c>
      <c r="G50" vm="97">
        <f ca="1"/>
        <v>1000.5</v>
      </c>
      <c r="H50" vm="98">
        <f ca="1"/>
        <v>129.33000000000001</v>
      </c>
    </row>
    <row r="51" spans="1:8" x14ac:dyDescent="0.25">
      <c r="A51" s="52">
        <v>44287</v>
      </c>
      <c r="B51">
        <v>4204.1099999999997</v>
      </c>
      <c r="C51">
        <v>2266.4499510000001</v>
      </c>
      <c r="D51">
        <v>128.191498</v>
      </c>
      <c r="E51">
        <v>83.989349000000004</v>
      </c>
      <c r="F51">
        <v>3.0000000000000001E-3</v>
      </c>
      <c r="G51" vm="99">
        <f ca="1"/>
        <v>960.75</v>
      </c>
      <c r="H51" vm="100">
        <f ca="1"/>
        <v>135.36000000000001</v>
      </c>
    </row>
    <row r="52" spans="1:8" x14ac:dyDescent="0.25">
      <c r="A52" s="52">
        <v>44317</v>
      </c>
      <c r="B52">
        <v>4297.5</v>
      </c>
      <c r="C52">
        <v>2268.969971</v>
      </c>
      <c r="D52">
        <v>128.99078399999999</v>
      </c>
      <c r="E52">
        <v>84.022964000000002</v>
      </c>
      <c r="F52">
        <v>8.0000000000000002E-3</v>
      </c>
      <c r="G52" vm="101">
        <f ca="1"/>
        <v>921.75</v>
      </c>
      <c r="H52" vm="102">
        <f ca="1"/>
        <v>136.94</v>
      </c>
    </row>
    <row r="53" spans="1:8" x14ac:dyDescent="0.25">
      <c r="A53" s="52">
        <v>44348</v>
      </c>
      <c r="B53">
        <v>4395.26</v>
      </c>
      <c r="C53">
        <v>2310.5500489999999</v>
      </c>
      <c r="D53">
        <v>131.84243799999999</v>
      </c>
      <c r="E53">
        <v>85.138076999999996</v>
      </c>
      <c r="F53">
        <v>0.04</v>
      </c>
      <c r="G53" vm="103">
        <f ca="1"/>
        <v>970.25</v>
      </c>
      <c r="H53" vm="104">
        <f ca="1"/>
        <v>132.65</v>
      </c>
    </row>
    <row r="54" spans="1:8" x14ac:dyDescent="0.25">
      <c r="A54" s="52">
        <v>44378</v>
      </c>
      <c r="B54">
        <v>4522.68</v>
      </c>
      <c r="C54">
        <v>2226.25</v>
      </c>
      <c r="D54">
        <v>133.72247300000001</v>
      </c>
      <c r="E54">
        <v>85.229149000000007</v>
      </c>
      <c r="F54">
        <v>0.04</v>
      </c>
      <c r="G54" vm="105">
        <f ca="1"/>
        <v>934.75</v>
      </c>
      <c r="H54" vm="106">
        <f ca="1"/>
        <v>132.31</v>
      </c>
    </row>
    <row r="55" spans="1:8" x14ac:dyDescent="0.25">
      <c r="A55" s="52">
        <v>44409</v>
      </c>
      <c r="B55">
        <v>4307.54</v>
      </c>
      <c r="C55">
        <v>2273.7700199999999</v>
      </c>
      <c r="D55">
        <v>133.275375</v>
      </c>
      <c r="E55">
        <v>85.756148999999994</v>
      </c>
      <c r="F55">
        <v>0.04</v>
      </c>
      <c r="G55" vm="107">
        <f ca="1"/>
        <v>970</v>
      </c>
      <c r="H55" vm="108">
        <f ca="1"/>
        <v>127.7</v>
      </c>
    </row>
    <row r="56" spans="1:8" x14ac:dyDescent="0.25">
      <c r="A56" s="52">
        <v>44440</v>
      </c>
      <c r="B56">
        <v>4605.38</v>
      </c>
      <c r="C56">
        <v>2204.3701169999999</v>
      </c>
      <c r="D56">
        <v>131.273865</v>
      </c>
      <c r="E56">
        <v>85.447342000000006</v>
      </c>
      <c r="F56">
        <v>2.8000000000000001E-2</v>
      </c>
      <c r="G56" vm="109">
        <f ca="1"/>
        <v>915.25</v>
      </c>
      <c r="H56" vm="110">
        <f ca="1"/>
        <v>117.41</v>
      </c>
    </row>
    <row r="57" spans="1:8" x14ac:dyDescent="0.25">
      <c r="A57" s="52">
        <v>44470</v>
      </c>
      <c r="B57">
        <v>4567</v>
      </c>
      <c r="C57">
        <v>2297.1899410000001</v>
      </c>
      <c r="D57">
        <v>131.94612100000001</v>
      </c>
      <c r="E57">
        <v>85.166290000000004</v>
      </c>
      <c r="F57">
        <v>4.8000000000000001E-2</v>
      </c>
      <c r="G57" vm="111">
        <f ca="1"/>
        <v>1051</v>
      </c>
      <c r="H57" vm="112">
        <f ca="1"/>
        <v>120.94</v>
      </c>
    </row>
    <row r="58" spans="1:8" x14ac:dyDescent="0.25">
      <c r="A58" s="52">
        <v>44501</v>
      </c>
      <c r="B58">
        <v>4766.18</v>
      </c>
      <c r="C58">
        <v>2198.9099120000001</v>
      </c>
      <c r="D58">
        <v>131.78355400000001</v>
      </c>
      <c r="E58">
        <v>84.180533999999994</v>
      </c>
      <c r="F58">
        <v>4.8000000000000001E-2</v>
      </c>
      <c r="G58" vm="113">
        <f ca="1"/>
        <v>1008</v>
      </c>
      <c r="H58" vm="114">
        <f ca="1"/>
        <v>118.85</v>
      </c>
    </row>
    <row r="59" spans="1:8" x14ac:dyDescent="0.25">
      <c r="A59" s="52">
        <v>44531</v>
      </c>
      <c r="B59">
        <v>4515.55</v>
      </c>
      <c r="C59">
        <v>2245.3100589999999</v>
      </c>
      <c r="D59">
        <v>131.50688199999999</v>
      </c>
      <c r="E59">
        <v>85.800583000000003</v>
      </c>
      <c r="F59">
        <v>3.3000000000000002E-2</v>
      </c>
      <c r="G59" vm="115">
        <f ca="1"/>
        <v>900.25</v>
      </c>
      <c r="H59" vm="116">
        <f ca="1"/>
        <v>122.29</v>
      </c>
    </row>
    <row r="60" spans="1:8" x14ac:dyDescent="0.25">
      <c r="A60" s="52">
        <v>44562</v>
      </c>
      <c r="B60">
        <v>4373.9399999999996</v>
      </c>
      <c r="C60">
        <v>2028.4499510000001</v>
      </c>
      <c r="D60">
        <v>127.256432</v>
      </c>
      <c r="E60">
        <v>84.085335000000001</v>
      </c>
      <c r="F60">
        <v>0.17299999999999999</v>
      </c>
      <c r="G60" vm="117">
        <f ca="1"/>
        <v>788.5</v>
      </c>
      <c r="H60" vm="118">
        <f ca="1"/>
        <v>130.69999999999999</v>
      </c>
    </row>
    <row r="61" spans="1:8" x14ac:dyDescent="0.25">
      <c r="A61" s="52">
        <v>44593</v>
      </c>
      <c r="B61">
        <v>4515.55</v>
      </c>
      <c r="C61">
        <v>2048.0900879999999</v>
      </c>
      <c r="D61">
        <v>124.30809000000001</v>
      </c>
      <c r="E61">
        <v>83.062813000000006</v>
      </c>
      <c r="F61">
        <v>0.28799999999999998</v>
      </c>
      <c r="G61" vm="119">
        <f ca="1"/>
        <v>889</v>
      </c>
      <c r="H61" vm="120">
        <f ca="1"/>
        <v>137.66999999999999</v>
      </c>
    </row>
    <row r="62" spans="1:8" x14ac:dyDescent="0.25">
      <c r="A62" s="52">
        <v>44621</v>
      </c>
      <c r="B62">
        <v>4373.9399999999996</v>
      </c>
      <c r="C62">
        <v>1941.719971</v>
      </c>
      <c r="D62">
        <v>118.19704400000001</v>
      </c>
      <c r="E62">
        <v>79.676575</v>
      </c>
      <c r="F62">
        <v>0.378</v>
      </c>
      <c r="G62" vm="121">
        <f ca="1"/>
        <v>942.75</v>
      </c>
      <c r="H62" vm="122">
        <f ca="1"/>
        <v>137.53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12</vt:i4>
      </vt:variant>
      <vt:variant>
        <vt:lpstr>Intervalli denominati</vt:lpstr>
      </vt:variant>
      <vt:variant>
        <vt:i4>37</vt:i4>
      </vt:variant>
    </vt:vector>
  </HeadingPairs>
  <TitlesOfParts>
    <vt:vector size="49" baseType="lpstr">
      <vt:lpstr>1.MyMix_complete_Portfolio</vt:lpstr>
      <vt:lpstr>1.Risky_portfolio</vt:lpstr>
      <vt:lpstr>2.Frontiers</vt:lpstr>
      <vt:lpstr>3.MyMix2</vt:lpstr>
      <vt:lpstr>4.Portfolio_with_GEF_assets</vt:lpstr>
      <vt:lpstr>4.Portfolio_with_GEF_results</vt:lpstr>
      <vt:lpstr>4.Comparison</vt:lpstr>
      <vt:lpstr>5.P_precious_metals</vt:lpstr>
      <vt:lpstr>5.P_w_precious_metals_results</vt:lpstr>
      <vt:lpstr>5.Comparison</vt:lpstr>
      <vt:lpstr>Monthly_Returns</vt:lpstr>
      <vt:lpstr>Monthly_Prices</vt:lpstr>
      <vt:lpstr>all_assets</vt:lpstr>
      <vt:lpstr>all_assets_ret_vector</vt:lpstr>
      <vt:lpstr>all_assets_std_vec</vt:lpstr>
      <vt:lpstr>B_0</vt:lpstr>
      <vt:lpstr>mymix_weights</vt:lpstr>
      <vt:lpstr>ret_vec_pm</vt:lpstr>
      <vt:lpstr>returns_vector_3</vt:lpstr>
      <vt:lpstr>rf</vt:lpstr>
      <vt:lpstr>risky_assets</vt:lpstr>
      <vt:lpstr>risky_assets_gef</vt:lpstr>
      <vt:lpstr>vcov_all_assets</vt:lpstr>
      <vt:lpstr>vcov1</vt:lpstr>
      <vt:lpstr>vcov2</vt:lpstr>
      <vt:lpstr>vcov5</vt:lpstr>
      <vt:lpstr>vector_returns_risky_assets1</vt:lpstr>
      <vt:lpstr>weights_maxsharpe</vt:lpstr>
      <vt:lpstr>weights_maxsharpe_noshort</vt:lpstr>
      <vt:lpstr>weights_mvp</vt:lpstr>
      <vt:lpstr>weights_mvp_noshort</vt:lpstr>
      <vt:lpstr>weights_mymix2</vt:lpstr>
      <vt:lpstr>weights_rp1</vt:lpstr>
      <vt:lpstr>weights_t1</vt:lpstr>
      <vt:lpstr>weights_t1_noshort</vt:lpstr>
      <vt:lpstr>weights_t10</vt:lpstr>
      <vt:lpstr>weights_t10_noshort</vt:lpstr>
      <vt:lpstr>weights_t11</vt:lpstr>
      <vt:lpstr>weights_t11_noshort</vt:lpstr>
      <vt:lpstr>weights_t2</vt:lpstr>
      <vt:lpstr>weights_t3</vt:lpstr>
      <vt:lpstr>weights_t3_noshort</vt:lpstr>
      <vt:lpstr>weights_t4</vt:lpstr>
      <vt:lpstr>weights_t4_noshort</vt:lpstr>
      <vt:lpstr>weights_t5</vt:lpstr>
      <vt:lpstr>weights_t5_noshort</vt:lpstr>
      <vt:lpstr>weights_t6</vt:lpstr>
      <vt:lpstr>weights_t65_noshort</vt:lpstr>
      <vt:lpstr>weights_t8_noshort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dragh</cp:lastModifiedBy>
  <dcterms:created xsi:type="dcterms:W3CDTF">2022-03-16T14:22:08Z</dcterms:created>
  <dcterms:modified xsi:type="dcterms:W3CDTF">2023-03-05T10:40:00Z</dcterms:modified>
</cp:coreProperties>
</file>