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D:\phigros\"/>
    </mc:Choice>
  </mc:AlternateContent>
  <xr:revisionPtr revIDLastSave="0" documentId="8_{4FFC5AF6-797D-471C-B436-EB8393EDA737}" xr6:coauthVersionLast="47" xr6:coauthVersionMax="47" xr10:uidLastSave="{00000000-0000-0000-0000-000000000000}"/>
  <bookViews>
    <workbookView xWindow="0" yWindow="2775" windowWidth="12000" windowHeight="2250" activeTab="1" xr2:uid="{00000000-000D-0000-FFFF-FFFF00000000}"/>
  </bookViews>
  <sheets>
    <sheet name="欢迎" sheetId="3" r:id="rId1"/>
    <sheet name="总览" sheetId="1" r:id="rId2"/>
    <sheet name="计算区" sheetId="2" r:id="rId3"/>
    <sheet name="版本更新内容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98" i="1" l="1"/>
  <c r="Y97" i="1"/>
  <c r="O98" i="1"/>
  <c r="O97" i="1"/>
  <c r="O96" i="1"/>
  <c r="O95" i="1"/>
  <c r="O94" i="1"/>
  <c r="J98" i="1"/>
  <c r="J97" i="1"/>
  <c r="J96" i="1"/>
  <c r="J95" i="1"/>
  <c r="J94" i="1"/>
  <c r="E98" i="1"/>
  <c r="E97" i="1"/>
  <c r="E96" i="1"/>
  <c r="E95" i="1"/>
  <c r="E94" i="1"/>
  <c r="O92" i="1"/>
  <c r="O91" i="1"/>
  <c r="O90" i="1"/>
  <c r="O89" i="1"/>
  <c r="O88" i="1"/>
  <c r="J92" i="1"/>
  <c r="J91" i="1"/>
  <c r="J90" i="1"/>
  <c r="J89" i="1"/>
  <c r="J88" i="1"/>
  <c r="E92" i="1"/>
  <c r="E91" i="1"/>
  <c r="E90" i="1"/>
  <c r="E89" i="1"/>
  <c r="E88" i="1"/>
  <c r="Y86" i="1"/>
  <c r="O86" i="1"/>
  <c r="O85" i="1"/>
  <c r="O84" i="1"/>
  <c r="J86" i="1"/>
  <c r="J85" i="1"/>
  <c r="J84" i="1"/>
  <c r="E86" i="1"/>
  <c r="E85" i="1"/>
  <c r="E84" i="1"/>
  <c r="Y82" i="1"/>
  <c r="O82" i="1"/>
  <c r="O81" i="1"/>
  <c r="O80" i="1"/>
  <c r="O79" i="1"/>
  <c r="J82" i="1"/>
  <c r="J81" i="1"/>
  <c r="J80" i="1"/>
  <c r="J79" i="1"/>
  <c r="E82" i="1"/>
  <c r="E81" i="1"/>
  <c r="E80" i="1"/>
  <c r="E79" i="1"/>
  <c r="O77" i="1"/>
  <c r="O76" i="1"/>
  <c r="O75" i="1"/>
  <c r="O74" i="1"/>
  <c r="O73" i="1"/>
  <c r="J77" i="1"/>
  <c r="J76" i="1"/>
  <c r="J75" i="1"/>
  <c r="J74" i="1"/>
  <c r="J73" i="1"/>
  <c r="E77" i="1"/>
  <c r="E76" i="1"/>
  <c r="E75" i="1"/>
  <c r="E74" i="1"/>
  <c r="E73" i="1"/>
  <c r="O71" i="1"/>
  <c r="O70" i="1"/>
  <c r="O69" i="1"/>
  <c r="J71" i="1"/>
  <c r="J70" i="1"/>
  <c r="J69" i="1"/>
  <c r="E71" i="1"/>
  <c r="E70" i="1"/>
  <c r="E69" i="1"/>
  <c r="T66" i="1"/>
  <c r="T63" i="1"/>
  <c r="O67" i="1"/>
  <c r="O66" i="1"/>
  <c r="O65" i="1"/>
  <c r="O64" i="1"/>
  <c r="O63" i="1"/>
  <c r="J67" i="1"/>
  <c r="J66" i="1"/>
  <c r="J65" i="1"/>
  <c r="J64" i="1"/>
  <c r="J63" i="1"/>
  <c r="E67" i="1"/>
  <c r="E66" i="1"/>
  <c r="E65" i="1"/>
  <c r="E64" i="1"/>
  <c r="E63" i="1"/>
  <c r="T52" i="1"/>
  <c r="Y61" i="1"/>
  <c r="J61" i="1"/>
  <c r="J60" i="1"/>
  <c r="J59" i="1"/>
  <c r="J58" i="1"/>
  <c r="J57" i="1"/>
  <c r="J56" i="1"/>
  <c r="E61" i="1"/>
  <c r="E60" i="1"/>
  <c r="E59" i="1"/>
  <c r="E58" i="1"/>
  <c r="E57" i="1"/>
  <c r="E56" i="1"/>
  <c r="O61" i="1"/>
  <c r="O60" i="1"/>
  <c r="O59" i="1"/>
  <c r="O58" i="1"/>
  <c r="O57" i="1"/>
  <c r="O56" i="1"/>
  <c r="O54" i="1"/>
  <c r="O53" i="1"/>
  <c r="O52" i="1"/>
  <c r="O51" i="1"/>
  <c r="O50" i="1"/>
  <c r="J54" i="1"/>
  <c r="J53" i="1"/>
  <c r="J52" i="1"/>
  <c r="J51" i="1"/>
  <c r="J50" i="1"/>
  <c r="E54" i="1"/>
  <c r="E53" i="1"/>
  <c r="E52" i="1"/>
  <c r="E51" i="1"/>
  <c r="E50" i="1"/>
  <c r="Y54" i="1"/>
  <c r="Y48" i="1"/>
  <c r="O48" i="1"/>
  <c r="O47" i="1"/>
  <c r="O46" i="1"/>
  <c r="O45" i="1"/>
  <c r="O44" i="1"/>
  <c r="O43" i="1"/>
  <c r="J48" i="1"/>
  <c r="J47" i="1"/>
  <c r="J46" i="1"/>
  <c r="J45" i="1"/>
  <c r="J44" i="1"/>
  <c r="J43" i="1"/>
  <c r="E48" i="1"/>
  <c r="E47" i="1"/>
  <c r="E46" i="1"/>
  <c r="E45" i="1"/>
  <c r="E44" i="1"/>
  <c r="E43" i="1"/>
  <c r="Y41" i="1"/>
  <c r="O41" i="1"/>
  <c r="O40" i="1"/>
  <c r="O39" i="1"/>
  <c r="O38" i="1"/>
  <c r="O37" i="1"/>
  <c r="O36" i="1"/>
  <c r="J41" i="1"/>
  <c r="J40" i="1"/>
  <c r="J39" i="1"/>
  <c r="J38" i="1"/>
  <c r="J37" i="1"/>
  <c r="J36" i="1"/>
  <c r="E41" i="1"/>
  <c r="E40" i="1"/>
  <c r="E39" i="1"/>
  <c r="E38" i="1"/>
  <c r="E37" i="1"/>
  <c r="E36" i="1"/>
  <c r="Y33" i="1"/>
  <c r="O34" i="1"/>
  <c r="O33" i="1"/>
  <c r="O32" i="1"/>
  <c r="O31" i="1"/>
  <c r="O30" i="1"/>
  <c r="O29" i="1"/>
  <c r="O28" i="1"/>
  <c r="J34" i="1"/>
  <c r="J33" i="1"/>
  <c r="J32" i="1"/>
  <c r="J31" i="1"/>
  <c r="J30" i="1"/>
  <c r="J29" i="1"/>
  <c r="J28" i="1"/>
  <c r="E34" i="1"/>
  <c r="E33" i="1"/>
  <c r="E32" i="1"/>
  <c r="E31" i="1"/>
  <c r="E30" i="1"/>
  <c r="E29" i="1"/>
  <c r="E28" i="1"/>
  <c r="T26" i="1"/>
  <c r="T25" i="1"/>
  <c r="O26" i="1"/>
  <c r="O25" i="1"/>
  <c r="O24" i="1"/>
  <c r="O23" i="1"/>
  <c r="O22" i="1"/>
  <c r="J26" i="1"/>
  <c r="J25" i="1"/>
  <c r="J24" i="1"/>
  <c r="J23" i="1"/>
  <c r="J22" i="1"/>
  <c r="E26" i="1"/>
  <c r="E25" i="1"/>
  <c r="E24" i="1"/>
  <c r="E23" i="1"/>
  <c r="E22" i="1"/>
  <c r="D92" i="1"/>
  <c r="I92" i="1"/>
  <c r="N92" i="1"/>
  <c r="Z170" i="1"/>
  <c r="Z168" i="1"/>
  <c r="D6" i="1" l="1"/>
  <c r="O6" i="1"/>
  <c r="D20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J6" i="1"/>
  <c r="S52" i="1" l="1"/>
  <c r="N11" i="2"/>
  <c r="U33" i="2" s="1"/>
  <c r="G8" i="3"/>
  <c r="Z171" i="1"/>
  <c r="Z172" i="1"/>
  <c r="Z173" i="1"/>
  <c r="Z174" i="1"/>
  <c r="Z175" i="1"/>
  <c r="Z176" i="1"/>
  <c r="Z177" i="1"/>
  <c r="Z178" i="1"/>
  <c r="Z169" i="1"/>
  <c r="P11" i="2"/>
  <c r="Q14" i="2" s="1"/>
  <c r="U34" i="2" l="1"/>
  <c r="M11" i="3" s="1"/>
  <c r="Q11" i="3" s="1"/>
  <c r="Q20" i="2"/>
  <c r="T16" i="2" s="1"/>
  <c r="B14" i="3" s="1"/>
  <c r="Q16" i="2"/>
  <c r="Q24" i="2"/>
  <c r="Q22" i="2"/>
  <c r="Q18" i="2"/>
  <c r="L8" i="3"/>
  <c r="X116" i="1"/>
  <c r="X101" i="1"/>
  <c r="X106" i="1"/>
  <c r="X86" i="1"/>
  <c r="X82" i="1"/>
  <c r="X61" i="1"/>
  <c r="X54" i="1"/>
  <c r="X48" i="1"/>
  <c r="X41" i="1"/>
  <c r="X33" i="1"/>
  <c r="S110" i="1"/>
  <c r="S100" i="1"/>
  <c r="S118" i="1"/>
  <c r="S102" i="1"/>
  <c r="S109" i="1"/>
  <c r="S116" i="1"/>
  <c r="S113" i="1"/>
  <c r="S112" i="1"/>
  <c r="S104" i="1"/>
  <c r="S103" i="1"/>
  <c r="S108" i="1"/>
  <c r="S107" i="1"/>
  <c r="S66" i="1"/>
  <c r="S63" i="1"/>
  <c r="N101" i="1"/>
  <c r="N153" i="1"/>
  <c r="N122" i="1"/>
  <c r="N107" i="1"/>
  <c r="N123" i="1"/>
  <c r="N108" i="1"/>
  <c r="N117" i="1"/>
  <c r="N111" i="1"/>
  <c r="N143" i="1"/>
  <c r="N150" i="1"/>
  <c r="N149" i="1"/>
  <c r="N147" i="1"/>
  <c r="N103" i="1"/>
  <c r="N124" i="1"/>
  <c r="N119" i="1"/>
  <c r="N134" i="1"/>
  <c r="N104" i="1"/>
  <c r="N137" i="1"/>
  <c r="N112" i="1"/>
  <c r="N105" i="1"/>
  <c r="N127" i="1"/>
  <c r="N113" i="1"/>
  <c r="N130" i="1"/>
  <c r="N131" i="1"/>
  <c r="N148" i="1"/>
  <c r="N145" i="1"/>
  <c r="N116" i="1"/>
  <c r="N132" i="1"/>
  <c r="N129" i="1"/>
  <c r="N114" i="1"/>
  <c r="N109" i="1"/>
  <c r="N142" i="1"/>
  <c r="N102" i="1"/>
  <c r="N126" i="1"/>
  <c r="N157" i="1"/>
  <c r="N136" i="1"/>
  <c r="N140" i="1"/>
  <c r="N138" i="1"/>
  <c r="N125" i="1"/>
  <c r="N141" i="1"/>
  <c r="N118" i="1"/>
  <c r="N155" i="1"/>
  <c r="N120" i="1"/>
  <c r="N100" i="1"/>
  <c r="N115" i="1"/>
  <c r="N144" i="1"/>
  <c r="N133" i="1"/>
  <c r="N110" i="1"/>
  <c r="N146" i="1"/>
  <c r="N151" i="1"/>
  <c r="N139" i="1"/>
  <c r="N152" i="1"/>
  <c r="N154" i="1"/>
  <c r="N156" i="1"/>
  <c r="N121" i="1"/>
  <c r="N135" i="1"/>
  <c r="N128" i="1"/>
  <c r="N158" i="1"/>
  <c r="N159" i="1"/>
  <c r="N160" i="1"/>
  <c r="N161" i="1"/>
  <c r="N162" i="1"/>
  <c r="N163" i="1"/>
  <c r="N106" i="1"/>
  <c r="N89" i="1"/>
  <c r="N90" i="1"/>
  <c r="N91" i="1"/>
  <c r="N88" i="1"/>
  <c r="N85" i="1"/>
  <c r="N86" i="1"/>
  <c r="N84" i="1"/>
  <c r="N80" i="1"/>
  <c r="N81" i="1"/>
  <c r="N82" i="1"/>
  <c r="N79" i="1"/>
  <c r="N74" i="1"/>
  <c r="N75" i="1"/>
  <c r="N76" i="1"/>
  <c r="N77" i="1"/>
  <c r="N73" i="1"/>
  <c r="N70" i="1"/>
  <c r="N71" i="1"/>
  <c r="N69" i="1"/>
  <c r="N64" i="1"/>
  <c r="N65" i="1"/>
  <c r="N66" i="1"/>
  <c r="N67" i="1"/>
  <c r="N63" i="1"/>
  <c r="N57" i="1"/>
  <c r="N58" i="1"/>
  <c r="N59" i="1"/>
  <c r="N60" i="1"/>
  <c r="N61" i="1"/>
  <c r="N56" i="1"/>
  <c r="N51" i="1"/>
  <c r="N52" i="1"/>
  <c r="N53" i="1"/>
  <c r="N54" i="1"/>
  <c r="N50" i="1"/>
  <c r="N44" i="1"/>
  <c r="N45" i="1"/>
  <c r="N46" i="1"/>
  <c r="N47" i="1"/>
  <c r="N48" i="1"/>
  <c r="N43" i="1"/>
  <c r="N37" i="1"/>
  <c r="N38" i="1"/>
  <c r="N39" i="1"/>
  <c r="N40" i="1"/>
  <c r="N41" i="1"/>
  <c r="N36" i="1"/>
  <c r="N29" i="1"/>
  <c r="N30" i="1"/>
  <c r="N31" i="1"/>
  <c r="N32" i="1"/>
  <c r="N33" i="1"/>
  <c r="N34" i="1"/>
  <c r="N28" i="1"/>
  <c r="I101" i="1"/>
  <c r="I153" i="1"/>
  <c r="I122" i="1"/>
  <c r="I107" i="1"/>
  <c r="I123" i="1"/>
  <c r="I108" i="1"/>
  <c r="I117" i="1"/>
  <c r="I111" i="1"/>
  <c r="I143" i="1"/>
  <c r="I150" i="1"/>
  <c r="I149" i="1"/>
  <c r="I147" i="1"/>
  <c r="I103" i="1"/>
  <c r="I124" i="1"/>
  <c r="I119" i="1"/>
  <c r="I134" i="1"/>
  <c r="I104" i="1"/>
  <c r="I137" i="1"/>
  <c r="I112" i="1"/>
  <c r="I105" i="1"/>
  <c r="I127" i="1"/>
  <c r="I113" i="1"/>
  <c r="I130" i="1"/>
  <c r="I131" i="1"/>
  <c r="I148" i="1"/>
  <c r="I145" i="1"/>
  <c r="I116" i="1"/>
  <c r="I132" i="1"/>
  <c r="I129" i="1"/>
  <c r="I114" i="1"/>
  <c r="I109" i="1"/>
  <c r="I142" i="1"/>
  <c r="I102" i="1"/>
  <c r="I126" i="1"/>
  <c r="I157" i="1"/>
  <c r="I136" i="1"/>
  <c r="I140" i="1"/>
  <c r="I138" i="1"/>
  <c r="I125" i="1"/>
  <c r="I141" i="1"/>
  <c r="I118" i="1"/>
  <c r="I155" i="1"/>
  <c r="I120" i="1"/>
  <c r="I100" i="1"/>
  <c r="I115" i="1"/>
  <c r="I144" i="1"/>
  <c r="I133" i="1"/>
  <c r="I110" i="1"/>
  <c r="I146" i="1"/>
  <c r="I151" i="1"/>
  <c r="I139" i="1"/>
  <c r="I152" i="1"/>
  <c r="I154" i="1"/>
  <c r="I156" i="1"/>
  <c r="I121" i="1"/>
  <c r="I135" i="1"/>
  <c r="I128" i="1"/>
  <c r="I158" i="1"/>
  <c r="I159" i="1"/>
  <c r="I160" i="1"/>
  <c r="I161" i="1"/>
  <c r="I162" i="1"/>
  <c r="I163" i="1"/>
  <c r="I106" i="1"/>
  <c r="I89" i="1"/>
  <c r="I90" i="1"/>
  <c r="I91" i="1"/>
  <c r="I88" i="1"/>
  <c r="I85" i="1"/>
  <c r="I86" i="1"/>
  <c r="I84" i="1"/>
  <c r="I80" i="1"/>
  <c r="I81" i="1"/>
  <c r="I82" i="1"/>
  <c r="I79" i="1"/>
  <c r="I74" i="1"/>
  <c r="I75" i="1"/>
  <c r="I76" i="1"/>
  <c r="I77" i="1"/>
  <c r="I73" i="1"/>
  <c r="I70" i="1"/>
  <c r="I71" i="1"/>
  <c r="I69" i="1"/>
  <c r="I64" i="1"/>
  <c r="I65" i="1"/>
  <c r="I66" i="1"/>
  <c r="I67" i="1"/>
  <c r="I63" i="1"/>
  <c r="I57" i="1"/>
  <c r="I58" i="1"/>
  <c r="I59" i="1"/>
  <c r="I60" i="1"/>
  <c r="I61" i="1"/>
  <c r="I56" i="1"/>
  <c r="I51" i="1"/>
  <c r="I52" i="1"/>
  <c r="I53" i="1"/>
  <c r="I54" i="1"/>
  <c r="I50" i="1"/>
  <c r="I44" i="1"/>
  <c r="I45" i="1"/>
  <c r="I46" i="1"/>
  <c r="I47" i="1"/>
  <c r="I48" i="1"/>
  <c r="I43" i="1"/>
  <c r="I37" i="1"/>
  <c r="I38" i="1"/>
  <c r="I39" i="1"/>
  <c r="I40" i="1"/>
  <c r="I41" i="1"/>
  <c r="I36" i="1"/>
  <c r="I29" i="1"/>
  <c r="I30" i="1"/>
  <c r="I31" i="1"/>
  <c r="I32" i="1"/>
  <c r="I33" i="1"/>
  <c r="I34" i="1"/>
  <c r="I28" i="1"/>
  <c r="I23" i="1"/>
  <c r="I24" i="1"/>
  <c r="I25" i="1"/>
  <c r="I26" i="1"/>
  <c r="I22" i="1"/>
  <c r="D101" i="1"/>
  <c r="D153" i="1"/>
  <c r="D122" i="1"/>
  <c r="D107" i="1"/>
  <c r="D123" i="1"/>
  <c r="D108" i="1"/>
  <c r="D117" i="1"/>
  <c r="D111" i="1"/>
  <c r="D143" i="1"/>
  <c r="D150" i="1"/>
  <c r="D149" i="1"/>
  <c r="D147" i="1"/>
  <c r="D103" i="1"/>
  <c r="D124" i="1"/>
  <c r="D119" i="1"/>
  <c r="D134" i="1"/>
  <c r="D104" i="1"/>
  <c r="D137" i="1"/>
  <c r="D112" i="1"/>
  <c r="D105" i="1"/>
  <c r="D127" i="1"/>
  <c r="D113" i="1"/>
  <c r="D130" i="1"/>
  <c r="D131" i="1"/>
  <c r="D148" i="1"/>
  <c r="D145" i="1"/>
  <c r="D116" i="1"/>
  <c r="D132" i="1"/>
  <c r="D129" i="1"/>
  <c r="D114" i="1"/>
  <c r="D109" i="1"/>
  <c r="D142" i="1"/>
  <c r="D102" i="1"/>
  <c r="D126" i="1"/>
  <c r="D157" i="1"/>
  <c r="D136" i="1"/>
  <c r="D140" i="1"/>
  <c r="D138" i="1"/>
  <c r="D125" i="1"/>
  <c r="D141" i="1"/>
  <c r="D118" i="1"/>
  <c r="D155" i="1"/>
  <c r="D120" i="1"/>
  <c r="D100" i="1"/>
  <c r="D115" i="1"/>
  <c r="D144" i="1"/>
  <c r="D133" i="1"/>
  <c r="D110" i="1"/>
  <c r="D146" i="1"/>
  <c r="D151" i="1"/>
  <c r="D139" i="1"/>
  <c r="D152" i="1"/>
  <c r="D154" i="1"/>
  <c r="D156" i="1"/>
  <c r="D121" i="1"/>
  <c r="D135" i="1"/>
  <c r="D128" i="1"/>
  <c r="D158" i="1"/>
  <c r="D159" i="1"/>
  <c r="D160" i="1"/>
  <c r="D161" i="1"/>
  <c r="D162" i="1"/>
  <c r="D163" i="1"/>
  <c r="D106" i="1"/>
  <c r="D91" i="1"/>
  <c r="D90" i="1"/>
  <c r="D89" i="1"/>
  <c r="D88" i="1"/>
  <c r="D86" i="1"/>
  <c r="D85" i="1"/>
  <c r="D84" i="1"/>
  <c r="D82" i="1"/>
  <c r="D81" i="1"/>
  <c r="D80" i="1"/>
  <c r="D79" i="1"/>
  <c r="D77" i="1"/>
  <c r="D76" i="1"/>
  <c r="D75" i="1"/>
  <c r="D74" i="1"/>
  <c r="D73" i="1"/>
  <c r="D71" i="1"/>
  <c r="D70" i="1"/>
  <c r="D69" i="1"/>
  <c r="D67" i="1"/>
  <c r="D66" i="1"/>
  <c r="D65" i="1"/>
  <c r="D64" i="1"/>
  <c r="D63" i="1"/>
  <c r="D61" i="1"/>
  <c r="D60" i="1"/>
  <c r="D59" i="1"/>
  <c r="D58" i="1"/>
  <c r="D57" i="1"/>
  <c r="D56" i="1"/>
  <c r="D54" i="1"/>
  <c r="D53" i="1"/>
  <c r="D52" i="1"/>
  <c r="D51" i="1"/>
  <c r="D50" i="1"/>
  <c r="D48" i="1"/>
  <c r="D47" i="1"/>
  <c r="D46" i="1"/>
  <c r="D45" i="1"/>
  <c r="D44" i="1"/>
  <c r="D43" i="1"/>
  <c r="D41" i="1"/>
  <c r="D40" i="1"/>
  <c r="D39" i="1"/>
  <c r="D38" i="1"/>
  <c r="D37" i="1"/>
  <c r="D36" i="1"/>
  <c r="D34" i="1"/>
  <c r="D33" i="1"/>
  <c r="D32" i="1"/>
  <c r="D31" i="1"/>
  <c r="D30" i="1"/>
  <c r="D29" i="1"/>
  <c r="D28" i="1"/>
  <c r="E41" i="2"/>
  <c r="S25" i="1"/>
  <c r="S26" i="1"/>
  <c r="N26" i="1"/>
  <c r="N23" i="1"/>
  <c r="N24" i="1"/>
  <c r="N25" i="1"/>
  <c r="N22" i="1"/>
  <c r="D23" i="1"/>
  <c r="D24" i="1"/>
  <c r="D25" i="1"/>
  <c r="D26" i="1"/>
  <c r="D22" i="1"/>
  <c r="S10" i="1"/>
  <c r="S11" i="1"/>
  <c r="S12" i="1"/>
  <c r="S13" i="1"/>
  <c r="S16" i="1"/>
  <c r="S17" i="1"/>
  <c r="S19" i="1"/>
  <c r="S20" i="1"/>
  <c r="S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6" i="1"/>
  <c r="E81" i="2"/>
  <c r="E80" i="2"/>
  <c r="E76" i="2"/>
  <c r="E77" i="2"/>
  <c r="E78" i="2"/>
  <c r="E79" i="2"/>
  <c r="E75" i="2"/>
  <c r="E71" i="2"/>
  <c r="E72" i="2"/>
  <c r="E73" i="2"/>
  <c r="E74" i="2"/>
  <c r="E70" i="2"/>
  <c r="E66" i="2"/>
  <c r="E67" i="2"/>
  <c r="E68" i="2"/>
  <c r="E69" i="2"/>
  <c r="E65" i="2"/>
  <c r="B15" i="3" l="1"/>
  <c r="T14" i="2"/>
  <c r="B11" i="3" s="1"/>
  <c r="E26" i="2"/>
  <c r="I10" i="1"/>
  <c r="I11" i="1"/>
  <c r="I12" i="1"/>
  <c r="I13" i="1"/>
  <c r="I14" i="1"/>
  <c r="I15" i="1"/>
  <c r="I16" i="1"/>
  <c r="I17" i="1"/>
  <c r="I18" i="1"/>
  <c r="I19" i="1"/>
  <c r="I20" i="1"/>
  <c r="I7" i="1"/>
  <c r="I8" i="1"/>
  <c r="I9" i="1"/>
  <c r="I6" i="1"/>
  <c r="T39" i="2" l="1"/>
  <c r="E6" i="1"/>
  <c r="E11" i="2"/>
  <c r="E7" i="1"/>
  <c r="E12" i="2"/>
  <c r="E8" i="1"/>
  <c r="E13" i="2"/>
  <c r="E9" i="1"/>
  <c r="E14" i="2"/>
  <c r="E10" i="1"/>
  <c r="E15" i="2"/>
  <c r="E20" i="1"/>
  <c r="E25" i="2"/>
  <c r="E19" i="1"/>
  <c r="E24" i="2"/>
  <c r="E18" i="1"/>
  <c r="E23" i="2"/>
  <c r="E17" i="1" l="1"/>
  <c r="E22" i="2"/>
  <c r="E16" i="1"/>
  <c r="E21" i="2"/>
  <c r="E15" i="1"/>
  <c r="E20" i="2"/>
  <c r="E19" i="2"/>
  <c r="E14" i="1"/>
  <c r="E13" i="1"/>
  <c r="E18" i="2"/>
  <c r="E12" i="1"/>
  <c r="E17" i="2"/>
  <c r="E11" i="1" l="1"/>
  <c r="E16" i="2"/>
  <c r="I14" i="2" s="1"/>
  <c r="I12" i="2"/>
  <c r="I16" i="2" l="1"/>
  <c r="I17" i="2"/>
  <c r="I13" i="2"/>
  <c r="I15" i="2"/>
  <c r="I11" i="2"/>
  <c r="J20" i="1"/>
  <c r="E40" i="2"/>
  <c r="J19" i="1"/>
  <c r="E39" i="2"/>
  <c r="J18" i="1"/>
  <c r="E38" i="2"/>
  <c r="J17" i="1"/>
  <c r="E37" i="2"/>
  <c r="J16" i="1"/>
  <c r="E36" i="2"/>
  <c r="J15" i="1"/>
  <c r="E35" i="2"/>
  <c r="J14" i="1"/>
  <c r="E34" i="2"/>
  <c r="J13" i="1"/>
  <c r="E33" i="2"/>
  <c r="J12" i="1"/>
  <c r="E32" i="2"/>
  <c r="E31" i="2"/>
  <c r="J11" i="1"/>
  <c r="J10" i="1"/>
  <c r="E30" i="2"/>
  <c r="E29" i="2"/>
  <c r="J9" i="1"/>
  <c r="J8" i="1"/>
  <c r="E28" i="2"/>
  <c r="J7" i="1"/>
  <c r="E27" i="2"/>
  <c r="I20" i="2" l="1"/>
  <c r="I25" i="2"/>
  <c r="I22" i="2"/>
  <c r="I21" i="2"/>
  <c r="I24" i="2"/>
  <c r="I19" i="2"/>
  <c r="I23" i="2"/>
  <c r="I18" i="2"/>
  <c r="O8" i="1"/>
  <c r="E43" i="2"/>
  <c r="O9" i="1"/>
  <c r="E44" i="2"/>
  <c r="O10" i="1"/>
  <c r="E45" i="2"/>
  <c r="O11" i="1"/>
  <c r="E46" i="2"/>
  <c r="O12" i="1"/>
  <c r="E47" i="2"/>
  <c r="O13" i="1"/>
  <c r="E48" i="2"/>
  <c r="O14" i="1"/>
  <c r="E49" i="2"/>
  <c r="O15" i="1"/>
  <c r="E50" i="2"/>
  <c r="O7" i="1"/>
  <c r="E42" i="2"/>
  <c r="O16" i="1"/>
  <c r="E51" i="2"/>
  <c r="O17" i="1"/>
  <c r="E52" i="2"/>
  <c r="O18" i="1"/>
  <c r="E53" i="2"/>
  <c r="O19" i="1"/>
  <c r="E54" i="2"/>
  <c r="O20" i="1"/>
  <c r="E55" i="2"/>
  <c r="T6" i="1"/>
  <c r="E56" i="2"/>
  <c r="E57" i="2"/>
  <c r="T10" i="1"/>
  <c r="T11" i="1"/>
  <c r="E58" i="2"/>
  <c r="T12" i="1"/>
  <c r="E59" i="2"/>
  <c r="T13" i="1"/>
  <c r="E60" i="2"/>
  <c r="T16" i="1"/>
  <c r="E61" i="2"/>
  <c r="T17" i="1"/>
  <c r="E62" i="2"/>
  <c r="T19" i="1"/>
  <c r="E63" i="2"/>
  <c r="T20" i="1"/>
  <c r="E64" i="2"/>
</calcChain>
</file>

<file path=xl/sharedStrings.xml><?xml version="1.0" encoding="utf-8"?>
<sst xmlns="http://schemas.openxmlformats.org/spreadsheetml/2006/main" count="1749" uniqueCount="309">
  <si>
    <t>phigros</t>
    <phoneticPr fontId="1" type="noConversion"/>
  </si>
  <si>
    <t>曲名</t>
    <phoneticPr fontId="1" type="noConversion"/>
  </si>
  <si>
    <t>难度</t>
    <phoneticPr fontId="1" type="noConversion"/>
  </si>
  <si>
    <t>EZ</t>
    <phoneticPr fontId="1" type="noConversion"/>
  </si>
  <si>
    <t>HD</t>
    <phoneticPr fontId="1" type="noConversion"/>
  </si>
  <si>
    <t>IN</t>
    <phoneticPr fontId="1" type="noConversion"/>
  </si>
  <si>
    <t>Legacy</t>
    <phoneticPr fontId="1" type="noConversion"/>
  </si>
  <si>
    <t>AT</t>
    <phoneticPr fontId="1" type="noConversion"/>
  </si>
  <si>
    <t>Glaciaxion</t>
    <phoneticPr fontId="1" type="noConversion"/>
  </si>
  <si>
    <t>过去的章节</t>
    <phoneticPr fontId="1" type="noConversion"/>
  </si>
  <si>
    <t>Credits</t>
    <phoneticPr fontId="1" type="noConversion"/>
  </si>
  <si>
    <t>Eradication Catastophe</t>
    <phoneticPr fontId="1" type="noConversion"/>
  </si>
  <si>
    <t>Dlyrotz</t>
    <phoneticPr fontId="1" type="noConversion"/>
  </si>
  <si>
    <t>Engine x Start!!(melody mix)</t>
    <phoneticPr fontId="1" type="noConversion"/>
  </si>
  <si>
    <t>光</t>
    <phoneticPr fontId="1" type="noConversion"/>
  </si>
  <si>
    <t>Winter↑Cube↓</t>
    <phoneticPr fontId="1" type="noConversion"/>
  </si>
  <si>
    <t>混乱-Confusion</t>
    <phoneticPr fontId="1" type="noConversion"/>
  </si>
  <si>
    <t>Cipher:/2&amp;//&lt;|0</t>
    <phoneticPr fontId="1" type="noConversion"/>
  </si>
  <si>
    <t>FULi AUTO SHOOTER</t>
    <phoneticPr fontId="1" type="noConversion"/>
  </si>
  <si>
    <t>HumaN</t>
    <phoneticPr fontId="1" type="noConversion"/>
  </si>
  <si>
    <t>[PRAW]</t>
    <phoneticPr fontId="1" type="noConversion"/>
  </si>
  <si>
    <t>Cereris</t>
    <phoneticPr fontId="1" type="noConversion"/>
  </si>
  <si>
    <t>Pixel Rebeiz</t>
    <phoneticPr fontId="1" type="noConversion"/>
  </si>
  <si>
    <t>Non-Melodic Ragez</t>
    <phoneticPr fontId="1" type="noConversion"/>
  </si>
  <si>
    <t>Chapter 4 管道迷宫</t>
    <phoneticPr fontId="1" type="noConversion"/>
  </si>
  <si>
    <t>Sultan Rage</t>
    <phoneticPr fontId="1" type="noConversion"/>
  </si>
  <si>
    <t>Class Memories</t>
    <phoneticPr fontId="1" type="noConversion"/>
  </si>
  <si>
    <t>—SURREALISM—</t>
    <phoneticPr fontId="1" type="noConversion"/>
  </si>
  <si>
    <t>Bonus Time</t>
    <phoneticPr fontId="1" type="noConversion"/>
  </si>
  <si>
    <t>ENERGY SYNERGY MATRIX</t>
    <phoneticPr fontId="1" type="noConversion"/>
  </si>
  <si>
    <t>NYA!!!</t>
    <phoneticPr fontId="1" type="noConversion"/>
  </si>
  <si>
    <t>JunXion Between Life And Death(VIP Mix)</t>
    <phoneticPr fontId="1" type="noConversion"/>
  </si>
  <si>
    <t>cryout</t>
    <phoneticPr fontId="1" type="noConversion"/>
  </si>
  <si>
    <t>Reimei</t>
    <phoneticPr fontId="1" type="noConversion"/>
  </si>
  <si>
    <t>尊師 ～The Guru～</t>
    <phoneticPr fontId="1" type="noConversion"/>
  </si>
  <si>
    <t>Spasmodic</t>
    <phoneticPr fontId="1" type="noConversion"/>
  </si>
  <si>
    <t>Leave All Behind</t>
    <phoneticPr fontId="1" type="noConversion"/>
  </si>
  <si>
    <t>Chapter 6 方舟蜃景</t>
    <phoneticPr fontId="1" type="noConversion"/>
  </si>
  <si>
    <r>
      <t>Colorful Days</t>
    </r>
    <r>
      <rPr>
        <sz val="11"/>
        <color theme="1"/>
        <rFont val="Segoe UI Symbol"/>
        <family val="2"/>
      </rPr>
      <t>♪</t>
    </r>
    <phoneticPr fontId="1" type="noConversion"/>
  </si>
  <si>
    <t>micro.wav</t>
    <phoneticPr fontId="1" type="noConversion"/>
  </si>
  <si>
    <t>重生</t>
    <phoneticPr fontId="1" type="noConversion"/>
  </si>
  <si>
    <t>NO ONE YES MAN</t>
    <phoneticPr fontId="1" type="noConversion"/>
  </si>
  <si>
    <t>望影の方舟Six</t>
  </si>
  <si>
    <t>Igallta</t>
    <phoneticPr fontId="1" type="noConversion"/>
  </si>
  <si>
    <t>Side Story 1 忘忧宫</t>
    <phoneticPr fontId="1" type="noConversion"/>
  </si>
  <si>
    <t>Ποσειδών</t>
    <phoneticPr fontId="1" type="noConversion"/>
  </si>
  <si>
    <t>WATER</t>
    <phoneticPr fontId="1" type="noConversion"/>
  </si>
  <si>
    <t>Miracle Forest (VIP Mix)</t>
    <phoneticPr fontId="1" type="noConversion"/>
  </si>
  <si>
    <t>MOBILYS</t>
    <phoneticPr fontId="1" type="noConversion"/>
  </si>
  <si>
    <t>Lyrith -迷宮リリス-</t>
  </si>
  <si>
    <t>Chapter Ex-Rising Sun Traxx精选集</t>
    <phoneticPr fontId="1" type="noConversion"/>
  </si>
  <si>
    <t>Another Me</t>
    <phoneticPr fontId="1" type="noConversion"/>
  </si>
  <si>
    <t>mechanted</t>
    <phoneticPr fontId="1" type="noConversion"/>
  </si>
  <si>
    <t>life flashes before weeb eyes</t>
    <phoneticPr fontId="1" type="noConversion"/>
  </si>
  <si>
    <t>Break Through The Barrier</t>
    <phoneticPr fontId="1" type="noConversion"/>
  </si>
  <si>
    <t>Chronostasis</t>
    <phoneticPr fontId="1" type="noConversion"/>
  </si>
  <si>
    <t>Chapter Ex-HyuN 精选集</t>
    <phoneticPr fontId="1" type="noConversion"/>
  </si>
  <si>
    <t>Infinity Heaven</t>
    <phoneticPr fontId="1" type="noConversion"/>
  </si>
  <si>
    <t>Disorder</t>
    <phoneticPr fontId="1" type="noConversion"/>
  </si>
  <si>
    <t>CROSS†SOUL</t>
  </si>
  <si>
    <t>Chapter Ex-GOOD 精选集</t>
    <phoneticPr fontId="1" type="noConversion"/>
  </si>
  <si>
    <t>GOODTEK</t>
    <phoneticPr fontId="1" type="noConversion"/>
  </si>
  <si>
    <t>GOODBOUNCE</t>
    <phoneticPr fontId="1" type="noConversion"/>
  </si>
  <si>
    <t>GOODWORLD</t>
    <phoneticPr fontId="1" type="noConversion"/>
  </si>
  <si>
    <t>GOODFPRTUNE</t>
    <phoneticPr fontId="1" type="noConversion"/>
  </si>
  <si>
    <t>GOODRAGE</t>
    <phoneticPr fontId="1" type="noConversion"/>
  </si>
  <si>
    <t>Chapter Ex-WAVEAT 精选集</t>
    <phoneticPr fontId="1" type="noConversion"/>
  </si>
  <si>
    <t>Initialize</t>
    <phoneticPr fontId="1" type="noConversion"/>
  </si>
  <si>
    <t>桜樹街道</t>
  </si>
  <si>
    <t>Get Ready!!</t>
    <phoneticPr fontId="1" type="noConversion"/>
  </si>
  <si>
    <t>volcanic</t>
    <phoneticPr fontId="1" type="noConversion"/>
  </si>
  <si>
    <t>Chapter Ex-Muse Dash 精选集</t>
    <phoneticPr fontId="1" type="noConversion"/>
  </si>
  <si>
    <t>XING</t>
    <phoneticPr fontId="1" type="noConversion"/>
  </si>
  <si>
    <t>Final Step!</t>
    <phoneticPr fontId="1" type="noConversion"/>
  </si>
  <si>
    <t>Cthugha</t>
    <phoneticPr fontId="1" type="noConversion"/>
  </si>
  <si>
    <t>单曲集</t>
    <phoneticPr fontId="1" type="noConversion"/>
  </si>
  <si>
    <t>分数</t>
    <phoneticPr fontId="1" type="noConversion"/>
  </si>
  <si>
    <t>ACC</t>
    <phoneticPr fontId="1" type="noConversion"/>
  </si>
  <si>
    <t>Chapter 7 时钟链接</t>
    <phoneticPr fontId="1" type="noConversion"/>
  </si>
  <si>
    <t>Clock Paradox</t>
    <phoneticPr fontId="1" type="noConversion"/>
  </si>
  <si>
    <t>Chronologika</t>
    <phoneticPr fontId="1" type="noConversion"/>
  </si>
  <si>
    <t>Nick of Time</t>
    <phoneticPr fontId="1" type="noConversion"/>
  </si>
  <si>
    <t>Chronomia</t>
    <phoneticPr fontId="1" type="noConversion"/>
  </si>
  <si>
    <t>Chronos Collapse - La Campanella</t>
  </si>
  <si>
    <t>Rrhar'il</t>
    <phoneticPr fontId="1" type="noConversion"/>
  </si>
  <si>
    <t>Side Story 2 弭刻日</t>
    <phoneticPr fontId="1" type="noConversion"/>
  </si>
  <si>
    <t>Demiurge</t>
    <phoneticPr fontId="1" type="noConversion"/>
  </si>
  <si>
    <t>Chapter EX-KALPA 精选集</t>
    <phoneticPr fontId="1" type="noConversion"/>
  </si>
  <si>
    <t>HAZARD</t>
    <phoneticPr fontId="1" type="noConversion"/>
  </si>
  <si>
    <t>Time to Night Sky (feat. Lee Yu Jin)</t>
    <phoneticPr fontId="1" type="noConversion"/>
  </si>
  <si>
    <t>Don't Never Around</t>
    <phoneticPr fontId="1" type="noConversion"/>
  </si>
  <si>
    <t>RESSiSTANCE</t>
    <phoneticPr fontId="1" type="noConversion"/>
  </si>
  <si>
    <t>db doll</t>
    <phoneticPr fontId="1" type="noConversion"/>
  </si>
  <si>
    <t>もぺもぺ</t>
    <phoneticPr fontId="1" type="noConversion"/>
  </si>
  <si>
    <t>-Arkhei-</t>
    <phoneticPr fontId="1" type="noConversion"/>
  </si>
  <si>
    <t>Next Time</t>
    <phoneticPr fontId="1" type="noConversion"/>
  </si>
  <si>
    <t>Dash</t>
    <phoneticPr fontId="1" type="noConversion"/>
  </si>
  <si>
    <t>Rubbish Sorting</t>
    <phoneticPr fontId="1" type="noConversion"/>
  </si>
  <si>
    <t>云女孩</t>
    <phoneticPr fontId="1" type="noConversion"/>
  </si>
  <si>
    <t>Sparkle New Life</t>
    <phoneticPr fontId="1" type="noConversion"/>
  </si>
  <si>
    <t>Aphasia</t>
    <phoneticPr fontId="1" type="noConversion"/>
  </si>
  <si>
    <t>Wavetapper</t>
    <phoneticPr fontId="1" type="noConversion"/>
  </si>
  <si>
    <t>游园地</t>
    <phoneticPr fontId="1" type="noConversion"/>
  </si>
  <si>
    <t>Apocalyptic</t>
    <phoneticPr fontId="1" type="noConversion"/>
  </si>
  <si>
    <t>With You</t>
    <phoneticPr fontId="1" type="noConversion"/>
  </si>
  <si>
    <t>Dead Soul</t>
    <phoneticPr fontId="1" type="noConversion"/>
  </si>
  <si>
    <t>Snow Desert</t>
    <phoneticPr fontId="1" type="noConversion"/>
  </si>
  <si>
    <t>Electron</t>
    <phoneticPr fontId="1" type="noConversion"/>
  </si>
  <si>
    <t>万吨匿名信</t>
    <phoneticPr fontId="1" type="noConversion"/>
  </si>
  <si>
    <t>Äventyr</t>
    <phoneticPr fontId="1" type="noConversion"/>
  </si>
  <si>
    <t>开心病</t>
    <phoneticPr fontId="1" type="noConversion"/>
  </si>
  <si>
    <t>风屿</t>
    <phoneticPr fontId="1" type="noConversion"/>
  </si>
  <si>
    <t>Get Back</t>
    <phoneticPr fontId="1" type="noConversion"/>
  </si>
  <si>
    <t>華灯爱</t>
    <phoneticPr fontId="1" type="noConversion"/>
  </si>
  <si>
    <t>Orthodox</t>
    <phoneticPr fontId="1" type="noConversion"/>
  </si>
  <si>
    <t>End Me</t>
    <phoneticPr fontId="1" type="noConversion"/>
  </si>
  <si>
    <t>Unorthodox Thoughts</t>
    <phoneticPr fontId="1" type="noConversion"/>
  </si>
  <si>
    <t>Eltaw</t>
    <phoneticPr fontId="1" type="noConversion"/>
  </si>
  <si>
    <t>狂喜蘭舞</t>
    <phoneticPr fontId="1" type="noConversion"/>
  </si>
  <si>
    <t>Parallel Retrogression(Game Ver.)</t>
    <phoneticPr fontId="1" type="noConversion"/>
  </si>
  <si>
    <t>The Mountain Eater</t>
    <phoneticPr fontId="1" type="noConversion"/>
  </si>
  <si>
    <t>Find_Me</t>
    <phoneticPr fontId="1" type="noConversion"/>
  </si>
  <si>
    <t>Drop It</t>
    <phoneticPr fontId="1" type="noConversion"/>
  </si>
  <si>
    <t>Shadow</t>
    <phoneticPr fontId="1" type="noConversion"/>
  </si>
  <si>
    <t>MARENOL</t>
    <phoneticPr fontId="1" type="noConversion"/>
  </si>
  <si>
    <t>Magenta Potion</t>
    <phoneticPr fontId="1" type="noConversion"/>
  </si>
  <si>
    <t>ジングルベル(Jingle Bell)</t>
    <phoneticPr fontId="1" type="noConversion"/>
  </si>
  <si>
    <t>Hardcore Kwaya</t>
    <phoneticPr fontId="1" type="noConversion"/>
  </si>
  <si>
    <t>Cervelle Connexion</t>
    <phoneticPr fontId="1" type="noConversion"/>
  </si>
  <si>
    <t>Träne</t>
    <phoneticPr fontId="1" type="noConversion"/>
  </si>
  <si>
    <t>Speed Up!</t>
    <phoneticPr fontId="1" type="noConversion"/>
  </si>
  <si>
    <t>modulus</t>
    <phoneticPr fontId="1" type="noConversion"/>
  </si>
  <si>
    <t>Khronostasis Katharsis</t>
    <phoneticPr fontId="1" type="noConversion"/>
  </si>
  <si>
    <t>ρars/ey</t>
    <phoneticPr fontId="1" type="noConversion"/>
  </si>
  <si>
    <t>Burn</t>
    <phoneticPr fontId="1" type="noConversion"/>
  </si>
  <si>
    <t>Doppelganger</t>
    <phoneticPr fontId="1" type="noConversion"/>
  </si>
  <si>
    <t>Sein</t>
    <phoneticPr fontId="1" type="noConversion"/>
  </si>
  <si>
    <t>大和撫子 -Wild Dances-</t>
    <phoneticPr fontId="1" type="noConversion"/>
  </si>
  <si>
    <t>Starduster</t>
    <phoneticPr fontId="1" type="noConversion"/>
  </si>
  <si>
    <t>RIPPER</t>
    <phoneticPr fontId="1" type="noConversion"/>
  </si>
  <si>
    <t>Better Graphic Animation</t>
    <phoneticPr fontId="1" type="noConversion"/>
  </si>
  <si>
    <t>energy trixxx</t>
    <phoneticPr fontId="1" type="noConversion"/>
  </si>
  <si>
    <t>雪降り、メリクリ</t>
    <phoneticPr fontId="1" type="noConversion"/>
  </si>
  <si>
    <t>Nhelv</t>
    <phoneticPr fontId="1" type="noConversion"/>
  </si>
  <si>
    <t>Kerberos</t>
    <phoneticPr fontId="1" type="noConversion"/>
  </si>
  <si>
    <t>Concvssion</t>
    <phoneticPr fontId="1" type="noConversion"/>
  </si>
  <si>
    <t>Aleph-0</t>
    <phoneticPr fontId="1" type="noConversion"/>
  </si>
  <si>
    <t>SIGMA</t>
    <phoneticPr fontId="1" type="noConversion"/>
  </si>
  <si>
    <t>Palescreen</t>
    <phoneticPr fontId="1" type="noConversion"/>
  </si>
  <si>
    <t>Dreamland</t>
    <phoneticPr fontId="1" type="noConversion"/>
  </si>
  <si>
    <t>Another Round</t>
    <phoneticPr fontId="1" type="noConversion"/>
  </si>
  <si>
    <t>Future Mind</t>
    <phoneticPr fontId="1" type="noConversion"/>
  </si>
  <si>
    <t>Luminescent</t>
    <phoneticPr fontId="1" type="noConversion"/>
  </si>
  <si>
    <t>FULi AUTO BUSTER</t>
    <phoneticPr fontId="1" type="noConversion"/>
  </si>
  <si>
    <r>
      <t>萤火虫</t>
    </r>
    <r>
      <rPr>
        <sz val="11"/>
        <color rgb="FF222222"/>
        <rFont val="等线"/>
        <family val="3"/>
        <charset val="134"/>
        <scheme val="minor"/>
      </rPr>
      <t>の怨</t>
    </r>
    <phoneticPr fontId="1" type="noConversion"/>
  </si>
  <si>
    <t>隐藏曲</t>
    <phoneticPr fontId="1" type="noConversion"/>
  </si>
  <si>
    <t>Winter↑Cube↓ (Original mix)</t>
    <phoneticPr fontId="1" type="noConversion"/>
  </si>
  <si>
    <t>Christmas</t>
    <phoneticPr fontId="1" type="noConversion"/>
  </si>
  <si>
    <t>Burn(Haocore Mix)</t>
    <phoneticPr fontId="1" type="noConversion"/>
  </si>
  <si>
    <t>Spasmodic(Haocore Mix)</t>
    <phoneticPr fontId="1" type="noConversion"/>
  </si>
  <si>
    <t>Sigma (Haocore Mix) ~ 105秒の伝説 ~</t>
    <phoneticPr fontId="1" type="noConversion"/>
  </si>
  <si>
    <t>Sigma (Haocore Mix) ~Regrets of The Yellow Tulip~</t>
    <phoneticPr fontId="1" type="noConversion"/>
  </si>
  <si>
    <t>物量</t>
    <phoneticPr fontId="1" type="noConversion"/>
  </si>
  <si>
    <t>名称</t>
    <phoneticPr fontId="1" type="noConversion"/>
  </si>
  <si>
    <t>评级</t>
    <phoneticPr fontId="1" type="noConversion"/>
  </si>
  <si>
    <t>7..2</t>
    <phoneticPr fontId="1" type="noConversion"/>
  </si>
  <si>
    <t>需要的版本&amp;日期</t>
    <phoneticPr fontId="1" type="noConversion"/>
  </si>
  <si>
    <t>2.1.4 &amp; 2022.4.1</t>
    <phoneticPr fontId="1" type="noConversion"/>
  </si>
  <si>
    <t>1.4.1 &amp; 2020.4.1</t>
    <phoneticPr fontId="1" type="noConversion"/>
  </si>
  <si>
    <t>1.6.5/1.6.6 &amp; 2021.4.1</t>
    <phoneticPr fontId="1" type="noConversion"/>
  </si>
  <si>
    <t>1.4.1 &amp; N/A</t>
    <phoneticPr fontId="1" type="noConversion"/>
  </si>
  <si>
    <t>1.6.5 &amp; 2021.4.1</t>
    <phoneticPr fontId="1" type="noConversion"/>
  </si>
  <si>
    <t>定数</t>
    <phoneticPr fontId="1" type="noConversion"/>
  </si>
  <si>
    <t>计算区，不要动任何的东西！</t>
    <phoneticPr fontId="1" type="noConversion"/>
  </si>
  <si>
    <t>Max Combo</t>
    <phoneticPr fontId="1" type="noConversion"/>
  </si>
  <si>
    <t>ACC排序区</t>
    <phoneticPr fontId="1" type="noConversion"/>
  </si>
  <si>
    <t>Name</t>
    <phoneticPr fontId="1" type="noConversion"/>
  </si>
  <si>
    <t>\</t>
    <phoneticPr fontId="1" type="noConversion"/>
  </si>
  <si>
    <t>Level</t>
    <phoneticPr fontId="1" type="noConversion"/>
  </si>
  <si>
    <t>ACC罗列区</t>
    <phoneticPr fontId="1" type="noConversion"/>
  </si>
  <si>
    <t>Legacy</t>
  </si>
  <si>
    <t>1.2.4 &amp; N/A</t>
    <phoneticPr fontId="1" type="noConversion"/>
  </si>
  <si>
    <t>Demonkin</t>
    <phoneticPr fontId="1" type="noConversion"/>
  </si>
  <si>
    <t>Re_Nascence (Psystyle Ver.)</t>
  </si>
  <si>
    <t>Ark</t>
    <phoneticPr fontId="1" type="noConversion"/>
  </si>
  <si>
    <t>After Dawn</t>
    <phoneticPr fontId="1" type="noConversion"/>
  </si>
  <si>
    <t>INFiNiTE ENERZY -Overdoze-</t>
    <phoneticPr fontId="1" type="noConversion"/>
  </si>
  <si>
    <t>版本号</t>
    <phoneticPr fontId="1" type="noConversion"/>
  </si>
  <si>
    <t>更新内容</t>
    <phoneticPr fontId="1" type="noConversion"/>
  </si>
  <si>
    <t>beta 0.0.1</t>
    <phoneticPr fontId="1" type="noConversion"/>
  </si>
  <si>
    <t>日期</t>
    <phoneticPr fontId="1" type="noConversion"/>
  </si>
  <si>
    <t>2022.5.4 20:10</t>
    <phoneticPr fontId="1" type="noConversion"/>
  </si>
  <si>
    <t>现在时间:</t>
    <phoneticPr fontId="1" type="noConversion"/>
  </si>
  <si>
    <t>Welcome Page</t>
    <phoneticPr fontId="1" type="noConversion"/>
  </si>
  <si>
    <t>时间计算区</t>
    <phoneticPr fontId="1" type="noConversion"/>
  </si>
  <si>
    <t>拆分</t>
    <phoneticPr fontId="1" type="noConversion"/>
  </si>
  <si>
    <t>时</t>
    <phoneticPr fontId="1" type="noConversion"/>
  </si>
  <si>
    <t>分</t>
    <phoneticPr fontId="1" type="noConversion"/>
  </si>
  <si>
    <t>秒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</si>
  <si>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</si>
  <si>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</si>
  <si>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</si>
  <si>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判断</t>
    <phoneticPr fontId="1" type="noConversion"/>
  </si>
  <si>
    <t>beta 0.0.2</t>
    <phoneticPr fontId="1" type="noConversion"/>
  </si>
  <si>
    <t>1.往欢迎页里塞了点东西</t>
    <phoneticPr fontId="1" type="noConversion"/>
  </si>
  <si>
    <t>beta 0.0.3-pre1</t>
    <phoneticPr fontId="1" type="noConversion"/>
  </si>
  <si>
    <t>1.尝试添加宏(但是很可能失败)  2.改变了后缀名</t>
    <phoneticPr fontId="1" type="noConversion"/>
  </si>
  <si>
    <t>欢迎页</t>
    <phoneticPr fontId="1" type="noConversion"/>
  </si>
  <si>
    <t>beta 0.0.3-pre2</t>
    <phoneticPr fontId="1" type="noConversion"/>
  </si>
  <si>
    <t>1.增加了时间实时显示功能</t>
    <phoneticPr fontId="1" type="noConversion"/>
  </si>
  <si>
    <t>1.修复了实时显示按钮点击后卡死的bug  2.更改了按钮颜色  3.尝试改回原来的后缀名</t>
    <phoneticPr fontId="1" type="noConversion"/>
  </si>
  <si>
    <t>beta 0.0.3-rc1</t>
    <phoneticPr fontId="1" type="noConversion"/>
  </si>
  <si>
    <t>1.修复版本更新区的日期错误</t>
    <phoneticPr fontId="1" type="noConversion"/>
  </si>
  <si>
    <t>2022.5.5 14:15</t>
    <phoneticPr fontId="1" type="noConversion"/>
  </si>
  <si>
    <t>2022.5.5 15:50</t>
    <phoneticPr fontId="1" type="noConversion"/>
  </si>
  <si>
    <t>2022.5.5 16:30</t>
    <phoneticPr fontId="1" type="noConversion"/>
  </si>
  <si>
    <t>2022.5.5 17:00</t>
    <phoneticPr fontId="1" type="noConversion"/>
  </si>
  <si>
    <t>您可以在右侧蓝色框内输入自己的一些信息，这样能够更了解你呢~</t>
    <phoneticPr fontId="1" type="noConversion"/>
  </si>
  <si>
    <t>昵称</t>
    <phoneticPr fontId="1" type="noConversion"/>
  </si>
  <si>
    <t>性别</t>
    <phoneticPr fontId="1" type="noConversion"/>
  </si>
  <si>
    <t>女</t>
    <phoneticPr fontId="1" type="noConversion"/>
  </si>
  <si>
    <t>1.在欢迎页添加了信息输入区，并进行简单输出(后续会更新输出内容)</t>
    <phoneticPr fontId="1" type="noConversion"/>
  </si>
  <si>
    <t>留空区</t>
    <phoneticPr fontId="1" type="noConversion"/>
  </si>
  <si>
    <t>Chapter 5 霓虹灯牌</t>
    <phoneticPr fontId="1" type="noConversion"/>
  </si>
  <si>
    <t>1.3.0前 &amp; N/A</t>
    <phoneticPr fontId="1" type="noConversion"/>
  </si>
  <si>
    <t>1.最基础的Phigros功能,用户只需输入分数和最大连击数即可获得Acc和等级判定(仅过去的章节可知Acc)  2.添加了计算页和欢迎页</t>
    <phoneticPr fontId="1" type="noConversion"/>
  </si>
  <si>
    <t>1.统一了总览页填入区的行高  2.增加了总览页隐藏曲区的一些输出内容  3.修复了总览页第五章题目错误  4.修改了隐藏曲Winter↑Cube↓ (Original mix)所需版本  5.修改了一些更新内容</t>
    <phoneticPr fontId="1" type="noConversion"/>
  </si>
  <si>
    <t>随机数区</t>
    <phoneticPr fontId="1" type="noConversion"/>
  </si>
  <si>
    <t>欢迎页
随机数</t>
    <phoneticPr fontId="1" type="noConversion"/>
  </si>
  <si>
    <t>随机昵称区</t>
    <phoneticPr fontId="1" type="noConversion"/>
  </si>
  <si>
    <t>椰叶</t>
    <phoneticPr fontId="1" type="noConversion"/>
  </si>
  <si>
    <t>GUEST</t>
    <phoneticPr fontId="1" type="noConversion"/>
  </si>
  <si>
    <t>鸠</t>
    <phoneticPr fontId="1" type="noConversion"/>
  </si>
  <si>
    <t>音游萌新</t>
    <phoneticPr fontId="1" type="noConversion"/>
  </si>
  <si>
    <t>音游大佬</t>
    <phoneticPr fontId="1" type="noConversion"/>
  </si>
  <si>
    <t>随机序号</t>
    <phoneticPr fontId="1" type="noConversion"/>
  </si>
  <si>
    <t>输出结果</t>
    <phoneticPr fontId="1" type="noConversion"/>
  </si>
  <si>
    <t>1.修复了Miracle Forest (VIP Mix)的Legacy和AT等级写串了的错误  2.修复了过去的章节的IN等级的Acc计算错误  3.增加了欢迎页的随机昵称功能</t>
    <phoneticPr fontId="1" type="noConversion"/>
  </si>
  <si>
    <t>1.修复了beta0.1.1更新错误</t>
    <phoneticPr fontId="1" type="noConversion"/>
  </si>
  <si>
    <t>MADE BY DRAGON_TS
未经允许，禁止抄袭或修改发布！</t>
    <phoneticPr fontId="1" type="noConversion"/>
  </si>
  <si>
    <t>1.修复版本更新区的日期错误  2.增加了署名以防止抄袭及二次发布</t>
    <phoneticPr fontId="1" type="noConversion"/>
  </si>
  <si>
    <t>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/</t>
    <phoneticPr fontId="1" type="noConversion"/>
  </si>
  <si>
    <t>感谢
-RuiKe-提供计算支持!
Canbcks提供技术支持!</t>
    <phoneticPr fontId="1" type="noConversion"/>
  </si>
  <si>
    <t>感谢名单</t>
    <phoneticPr fontId="1" type="noConversion"/>
  </si>
  <si>
    <t>1.更改了所有曲目HD等级的颜色以区分用户可否在此填写  2.更改了Glaciaxion区的函数用以测试  3.增加了感谢名单</t>
    <phoneticPr fontId="1" type="noConversion"/>
  </si>
  <si>
    <t>1.修复了beta0.1.3更新错误  2.更改了所有Max Combo的单元格格式  3.更改了所有曲目EZ等级的颜色以区分用户可否在此填写</t>
    <phoneticPr fontId="1" type="noConversion"/>
  </si>
  <si>
    <t>1.删去了一些意外留下的字符  2.去掉了位于总览Z1048576的未知填色格以减小文件大小</t>
    <phoneticPr fontId="1" type="noConversion"/>
  </si>
  <si>
    <t>1.添加了过去的章节Max Combo的函数并删除了Acc函数,此后可以通过输入分数和Acc来获得Max Combo  2.删去了Glaciaxion的IN等级的分数</t>
    <phoneticPr fontId="1" type="noConversion"/>
  </si>
  <si>
    <t>Chapter EX-Lanota 精选集</t>
    <phoneticPr fontId="1" type="noConversion"/>
  </si>
  <si>
    <t>Apocalypse</t>
    <phoneticPr fontId="1" type="noConversion"/>
  </si>
  <si>
    <t>Protoflicker</t>
    <phoneticPr fontId="1" type="noConversion"/>
  </si>
  <si>
    <t>Horizon Blue</t>
    <phoneticPr fontId="1" type="noConversion"/>
  </si>
  <si>
    <t>You are the Miserable</t>
    <phoneticPr fontId="1" type="noConversion"/>
  </si>
  <si>
    <t>Stasis</t>
    <phoneticPr fontId="1" type="noConversion"/>
  </si>
  <si>
    <t>1.增加了总览页隐藏曲区的一些输出内容  2.更改了总览页Chapter Ex-Rising Sun Traxx精选集,Side Story 2 弭刻日下的行高  3.增加了Chapter EX-Lanota 精选集</t>
    <phoneticPr fontId="1" type="noConversion"/>
  </si>
  <si>
    <t>I Must Say No</t>
    <phoneticPr fontId="1" type="noConversion"/>
  </si>
  <si>
    <t>opia</t>
    <phoneticPr fontId="1" type="noConversion"/>
  </si>
  <si>
    <t>1.更改了单曲集的排序  2.增加了I Must Say No和opia两首单曲</t>
    <phoneticPr fontId="1" type="noConversion"/>
  </si>
  <si>
    <t>1.增加了Chapter 4 管道迷宫和Chapter 5 霓虹灯牌的Max Combo计算函数</t>
    <phoneticPr fontId="1" type="noConversion"/>
  </si>
  <si>
    <t>2022.7.3 19:00</t>
    <phoneticPr fontId="1" type="noConversion"/>
  </si>
  <si>
    <t>1.增加了Chapter 6 方舟蜃景和Chapter 7 时钟链接的Max Combo计算函数</t>
    <phoneticPr fontId="1" type="noConversion"/>
  </si>
  <si>
    <t>1.增加了Side Story 1 忘忧宫和Side Story 2 弭刻日的Max Combo计算函数  2.更改了所有EZ等级的Acc输入格式(现为百分比格式)</t>
    <phoneticPr fontId="1" type="noConversion"/>
  </si>
  <si>
    <t>2022.7.5 22:00</t>
    <phoneticPr fontId="1" type="noConversion"/>
  </si>
  <si>
    <t>1.增加了Chapter Ex-Rising Sun Traxx精选集,Chapter Ex-HyuN 精选集,Chapter Ex-GOOD 精选集和Chapter Ex-WAVEAT 精选集的Max Combo计算函数</t>
    <phoneticPr fontId="1" type="noConversion"/>
  </si>
  <si>
    <t>1.增加了Chapter Ex-Muse Dash 精选集,Chapter EX-KALPA 精选集和Chapter EX-Lanota 精选集的Max Combo计算函数</t>
    <phoneticPr fontId="1" type="noConversion"/>
  </si>
  <si>
    <t>2022.7.24 15:20</t>
    <phoneticPr fontId="1" type="noConversion"/>
  </si>
  <si>
    <t>*:代表此版本为无宏版</t>
    <phoneticPr fontId="1" type="noConversion"/>
  </si>
  <si>
    <t>beta 0.0.3*</t>
    <phoneticPr fontId="1" type="noConversion"/>
  </si>
  <si>
    <t>2022.5.6 10:20</t>
    <phoneticPr fontId="1" type="noConversion"/>
  </si>
  <si>
    <t>1.又把后缀改了回去  2.去掉了按钮  3.彻底完成了时间实时显示系统  4.为适配手机或无vba插件的用户增添了NoMacro(无宏)版本(NoMacro版本有些功能无法使用)</t>
    <phoneticPr fontId="1" type="noConversion"/>
  </si>
  <si>
    <t>beta 0.0.4*</t>
    <phoneticPr fontId="1" type="noConversion"/>
  </si>
  <si>
    <t>2022.5.6 11:15</t>
    <phoneticPr fontId="1" type="noConversion"/>
  </si>
  <si>
    <t>beta 0.0.5*</t>
    <phoneticPr fontId="1" type="noConversion"/>
  </si>
  <si>
    <t>2022.5.6 16:55</t>
    <phoneticPr fontId="1" type="noConversion"/>
  </si>
  <si>
    <t>beta 0.1.0*</t>
    <phoneticPr fontId="1" type="noConversion"/>
  </si>
  <si>
    <t>2022.5.7 23:25</t>
    <phoneticPr fontId="1" type="noConversion"/>
  </si>
  <si>
    <t>beta 0.1.1*</t>
    <phoneticPr fontId="1" type="noConversion"/>
  </si>
  <si>
    <t>2022.5.10 17:05</t>
    <phoneticPr fontId="1" type="noConversion"/>
  </si>
  <si>
    <t>beta 0.1.2-pre1*</t>
    <phoneticPr fontId="1" type="noConversion"/>
  </si>
  <si>
    <t>2020.5.10 21:35</t>
    <phoneticPr fontId="1" type="noConversion"/>
  </si>
  <si>
    <t>beta 0.1.2-pre2*</t>
    <phoneticPr fontId="1" type="noConversion"/>
  </si>
  <si>
    <t>2022.5.10 22:00</t>
    <phoneticPr fontId="1" type="noConversion"/>
  </si>
  <si>
    <t>beta 0.1.2*</t>
    <phoneticPr fontId="1" type="noConversion"/>
  </si>
  <si>
    <t>2022.6.1 10:20</t>
    <phoneticPr fontId="1" type="noConversion"/>
  </si>
  <si>
    <t>beta 0.1.3*</t>
    <phoneticPr fontId="1" type="noConversion"/>
  </si>
  <si>
    <t>2022.6.19 17:55</t>
    <phoneticPr fontId="1" type="noConversion"/>
  </si>
  <si>
    <t>beta 0.1.4-dev1*</t>
    <phoneticPr fontId="1" type="noConversion"/>
  </si>
  <si>
    <t>2022.6.20 21:55</t>
    <phoneticPr fontId="1" type="noConversion"/>
  </si>
  <si>
    <t>beta 0.1.4-pre1*</t>
    <phoneticPr fontId="1" type="noConversion"/>
  </si>
  <si>
    <t>2022.6.21 21:05</t>
    <phoneticPr fontId="1" type="noConversion"/>
  </si>
  <si>
    <t>1.更改了所有曲目IN,Legacy,AT等级的颜色以区分用户可否在此填写  2.再次增加了更新日志右上角的备注(版本独有)</t>
    <phoneticPr fontId="1" type="noConversion"/>
  </si>
  <si>
    <t>beta 0.1.4-pre2*</t>
    <phoneticPr fontId="1" type="noConversion"/>
  </si>
  <si>
    <t>2022.6.21 21:45</t>
    <phoneticPr fontId="1" type="noConversion"/>
  </si>
  <si>
    <t>beta 0.1.4*</t>
    <phoneticPr fontId="1" type="noConversion"/>
  </si>
  <si>
    <t>2022.6.25 12:55</t>
    <phoneticPr fontId="1" type="noConversion"/>
  </si>
  <si>
    <t>beta 0.1.5-pre1*</t>
    <phoneticPr fontId="1" type="noConversion"/>
  </si>
  <si>
    <t>2022.6.25 20:30</t>
    <phoneticPr fontId="1" type="noConversion"/>
  </si>
  <si>
    <t>1.删除了总览页无用单元格以减小文件大小  2.增加了更新日志beta 0.1.4后的"*"(版本独有)  3.修改了一些更新内容(版本独有)</t>
    <phoneticPr fontId="1" type="noConversion"/>
  </si>
  <si>
    <t>beta 0.1.5*</t>
    <phoneticPr fontId="1" type="noConversion"/>
  </si>
  <si>
    <t>2022.6.28 14:50</t>
    <phoneticPr fontId="1" type="noConversion"/>
  </si>
  <si>
    <t>beta 0.1.6*</t>
    <phoneticPr fontId="1" type="noConversion"/>
  </si>
  <si>
    <t>2022.6.29 8:55</t>
    <phoneticPr fontId="1" type="noConversion"/>
  </si>
  <si>
    <t>beta 0.2.0-dev1*</t>
    <phoneticPr fontId="1" type="noConversion"/>
  </si>
  <si>
    <t>2022.6.30 9:00</t>
    <phoneticPr fontId="1" type="noConversion"/>
  </si>
  <si>
    <t>beta 0.2.0-dev2*</t>
    <phoneticPr fontId="1" type="noConversion"/>
  </si>
  <si>
    <t>beta 0.2.0-dev3*</t>
    <phoneticPr fontId="1" type="noConversion"/>
  </si>
  <si>
    <t>beta 0.2.0-dev4*</t>
    <phoneticPr fontId="1" type="noConversion"/>
  </si>
  <si>
    <t>2022.7.9 21:45</t>
    <phoneticPr fontId="1" type="noConversion"/>
  </si>
  <si>
    <t>beta 0.2.0-dev5*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</si>
</sst>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[$-804]aaaa;@"/>
    <numFmt numFmtId="177" formatCode="yyyy/m/d\ h:mm:ss"/>
    <numFmt numFmtId="178" formatCode="00"/>
    <numFmt numFmtId="179" formatCode="0.00_ "/>
    <numFmt numFmtId="180" formatCode="0_ "/>
    <numFmt numFmtId="181" formatCode="0_);[Red]\(0\)"/>
  </numFmts>
  <fonts count="5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34"/>
      <color theme="1"/>
      <name val="我的小可爱啊"/>
      <family val="3"/>
      <charset val="134"/>
    </font>
    <font>
      <sz val="16"/>
      <color theme="1"/>
      <name val="方正喵呜简体"/>
      <family val="3"/>
      <charset val="134"/>
    </font>
    <font>
      <sz val="14"/>
      <color theme="1"/>
      <name val="方正喵呜简体"/>
      <family val="3"/>
      <charset val="134"/>
    </font>
    <font>
      <sz val="11"/>
      <color theme="1"/>
      <name val="早安晚安体"/>
      <family val="3"/>
      <charset val="134"/>
    </font>
    <font>
      <sz val="9"/>
      <color theme="1"/>
      <name val="等线"/>
      <family val="2"/>
      <scheme val="minor"/>
    </font>
    <font>
      <sz val="7.5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sz val="8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5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9"/>
      <color theme="1"/>
      <name val="等线"/>
      <family val="3"/>
      <charset val="134"/>
      <scheme val="minor"/>
    </font>
    <font>
      <sz val="7"/>
      <color theme="1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8"/>
      <color theme="1"/>
      <name val="方正喵呜简体"/>
      <family val="3"/>
      <charset val="134"/>
    </font>
    <font>
      <sz val="11"/>
      <color rgb="FF222222"/>
      <name val="等线"/>
      <family val="3"/>
      <charset val="134"/>
      <scheme val="minor"/>
    </font>
    <font>
      <sz val="6"/>
      <color rgb="FF22222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6"/>
      <color theme="1"/>
      <name val="等线"/>
      <family val="3"/>
      <charset val="134"/>
      <scheme val="minor"/>
    </font>
    <font>
      <b/>
      <sz val="8"/>
      <color theme="1"/>
      <name val="方正喵呜简体"/>
      <family val="3"/>
      <charset val="134"/>
    </font>
    <font>
      <sz val="48"/>
      <color rgb="FFFF0000"/>
      <name val="等线"/>
      <family val="2"/>
      <scheme val="minor"/>
    </font>
    <font>
      <b/>
      <sz val="10"/>
      <color theme="1"/>
      <name val="方正喵呜简体"/>
      <family val="3"/>
      <charset val="134"/>
    </font>
    <font>
      <sz val="1"/>
      <color rgb="FFEEE685"/>
      <name val="等线"/>
      <family val="2"/>
      <scheme val="minor"/>
    </font>
    <font>
      <sz val="6"/>
      <color theme="1"/>
      <name val="等线"/>
      <family val="3"/>
      <charset val="134"/>
      <scheme val="minor"/>
    </font>
    <font>
      <sz val="24"/>
      <color theme="1"/>
      <name val="等线"/>
      <family val="2"/>
      <scheme val="minor"/>
    </font>
    <font>
      <sz val="24"/>
      <color theme="1"/>
      <name val="等线"/>
      <family val="3"/>
      <charset val="134"/>
      <scheme val="minor"/>
    </font>
    <font>
      <sz val="18"/>
      <color theme="1"/>
      <name val="等线 Light"/>
      <family val="3"/>
      <charset val="134"/>
      <scheme val="major"/>
    </font>
    <font>
      <sz val="14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28"/>
      <color theme="1"/>
      <name val="等线"/>
      <family val="2"/>
      <scheme val="minor"/>
    </font>
    <font>
      <sz val="11"/>
      <name val="等线"/>
      <family val="2"/>
      <scheme val="minor"/>
    </font>
    <font>
      <u/>
      <sz val="11"/>
      <name val="等线"/>
      <family val="3"/>
      <charset val="134"/>
      <scheme val="minor"/>
    </font>
    <font>
      <sz val="7"/>
      <color theme="1"/>
      <name val="等线"/>
      <family val="2"/>
      <scheme val="minor"/>
    </font>
    <font>
      <sz val="20"/>
      <color theme="1"/>
      <name val="幼圆"/>
      <family val="3"/>
      <charset val="134"/>
    </font>
    <font>
      <b/>
      <sz val="18"/>
      <color rgb="FF0070C0"/>
      <name val="等线"/>
      <family val="3"/>
      <charset val="134"/>
      <scheme val="minor"/>
    </font>
    <font>
      <b/>
      <sz val="18"/>
      <color rgb="FFFF797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4"/>
      <color rgb="FF7030A0"/>
      <name val="幼圆"/>
      <family val="3"/>
      <charset val="134"/>
    </font>
    <font>
      <b/>
      <sz val="28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24"/>
      <color rgb="FF99CCFF"/>
      <name val="我的小可爱啊"/>
      <family val="3"/>
      <charset val="134"/>
    </font>
    <font>
      <sz val="10"/>
      <color rgb="FF339966"/>
      <name val="等线"/>
      <family val="3"/>
      <charset val="134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b/>
      <sz val="14"/>
      <color rgb="FF0070C0"/>
      <name val="幼圆"/>
      <family val="3"/>
      <charset val="134"/>
    </font>
    <font>
      <sz val="22"/>
      <color theme="1"/>
      <name val="早安晚安体"/>
      <family val="3"/>
      <charset val="134"/>
    </font>
    <font>
      <b/>
      <sz val="20"/>
      <color rgb="FF7030A0"/>
      <name val="方正喵呜简体"/>
      <family val="3"/>
      <charset val="134"/>
    </font>
    <font>
      <sz val="12"/>
      <color theme="1"/>
      <name val="等线"/>
      <family val="2"/>
      <scheme val="minor"/>
    </font>
    <font>
      <sz val="28"/>
      <color theme="1"/>
      <name val="等线"/>
      <family val="3"/>
      <charset val="134"/>
      <scheme val="minor"/>
    </font>
    <font>
      <sz val="28"/>
      <color theme="1"/>
      <name val="幼圆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EEE6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C99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3E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B870B8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7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vertical="center"/>
    </xf>
    <xf numFmtId="0" fontId="0" fillId="7" borderId="0" xfId="0" applyFill="1"/>
    <xf numFmtId="0" fontId="25" fillId="7" borderId="0" xfId="0" applyFont="1" applyFill="1"/>
    <xf numFmtId="0" fontId="0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0" fillId="4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10" fontId="30" fillId="7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0" fontId="0" fillId="5" borderId="1" xfId="0" applyNumberFormat="1" applyFill="1" applyBorder="1" applyAlignment="1">
      <alignment horizontal="center" vertical="center"/>
    </xf>
    <xf numFmtId="0" fontId="33" fillId="8" borderId="1" xfId="0" applyFont="1" applyFill="1" applyBorder="1" applyAlignment="1">
      <alignment horizontal="center" vertical="center"/>
    </xf>
    <xf numFmtId="0" fontId="31" fillId="8" borderId="1" xfId="0" applyFont="1" applyFill="1" applyBorder="1" applyAlignment="1">
      <alignment horizontal="center" vertical="center"/>
    </xf>
    <xf numFmtId="0" fontId="34" fillId="8" borderId="1" xfId="1" applyFont="1" applyFill="1" applyBorder="1" applyAlignment="1">
      <alignment horizontal="center" vertical="center"/>
    </xf>
    <xf numFmtId="0" fontId="31" fillId="8" borderId="1" xfId="1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0" fillId="15" borderId="0" xfId="0" applyFill="1"/>
    <xf numFmtId="0" fontId="0" fillId="11" borderId="0" xfId="0" applyFill="1"/>
    <xf numFmtId="0" fontId="0" fillId="11" borderId="0" xfId="0" applyFill="1" applyBorder="1"/>
    <xf numFmtId="22" fontId="0" fillId="11" borderId="0" xfId="0" applyNumberFormat="1" applyFill="1"/>
    <xf numFmtId="0" fontId="47" fillId="11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5" fillId="3" borderId="4" xfId="0" applyFont="1" applyFill="1" applyBorder="1" applyAlignment="1">
      <alignment vertical="center"/>
    </xf>
    <xf numFmtId="0" fontId="20" fillId="11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0" xfId="0" applyFill="1"/>
    <xf numFmtId="0" fontId="0" fillId="17" borderId="0" xfId="0" applyFill="1" applyBorder="1" applyAlignment="1">
      <alignment wrapText="1"/>
    </xf>
    <xf numFmtId="0" fontId="0" fillId="7" borderId="0" xfId="0" applyFill="1" applyAlignment="1">
      <alignment horizontal="left"/>
    </xf>
    <xf numFmtId="0" fontId="0" fillId="16" borderId="1" xfId="0" applyFill="1" applyBorder="1" applyAlignment="1">
      <alignment horizontal="center" vertical="center"/>
    </xf>
    <xf numFmtId="181" fontId="0" fillId="16" borderId="1" xfId="0" applyNumberFormat="1" applyFill="1" applyBorder="1" applyAlignment="1">
      <alignment horizontal="center" vertical="center"/>
    </xf>
    <xf numFmtId="180" fontId="20" fillId="16" borderId="1" xfId="0" applyNumberFormat="1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81" fontId="0" fillId="19" borderId="1" xfId="0" applyNumberFormat="1" applyFill="1" applyBorder="1" applyAlignment="1">
      <alignment horizontal="center" vertical="center"/>
    </xf>
    <xf numFmtId="180" fontId="20" fillId="19" borderId="1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181" fontId="0" fillId="20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181" fontId="0" fillId="21" borderId="1" xfId="0" applyNumberFormat="1" applyFill="1" applyBorder="1" applyAlignment="1">
      <alignment horizontal="center" vertical="center"/>
    </xf>
    <xf numFmtId="180" fontId="20" fillId="21" borderId="1" xfId="0" applyNumberFormat="1" applyFont="1" applyFill="1" applyBorder="1" applyAlignment="1">
      <alignment horizontal="center" vertical="center"/>
    </xf>
    <xf numFmtId="180" fontId="20" fillId="20" borderId="1" xfId="0" applyNumberFormat="1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180" fontId="20" fillId="22" borderId="1" xfId="0" applyNumberFormat="1" applyFont="1" applyFill="1" applyBorder="1" applyAlignment="1">
      <alignment horizontal="center" vertical="center"/>
    </xf>
    <xf numFmtId="181" fontId="0" fillId="22" borderId="1" xfId="0" applyNumberFormat="1" applyFill="1" applyBorder="1" applyAlignment="1">
      <alignment horizontal="center" vertical="center"/>
    </xf>
    <xf numFmtId="0" fontId="48" fillId="11" borderId="1" xfId="0" applyFont="1" applyFill="1" applyBorder="1" applyAlignment="1">
      <alignment horizontal="left" vertical="top"/>
    </xf>
    <xf numFmtId="0" fontId="48" fillId="11" borderId="11" xfId="0" applyFont="1" applyFill="1" applyBorder="1" applyAlignment="1">
      <alignment horizontal="left" vertical="top"/>
    </xf>
    <xf numFmtId="0" fontId="49" fillId="16" borderId="1" xfId="0" applyFont="1" applyFill="1" applyBorder="1" applyAlignment="1">
      <alignment horizontal="center" vertical="center"/>
    </xf>
    <xf numFmtId="0" fontId="47" fillId="11" borderId="12" xfId="0" applyFont="1" applyFill="1" applyBorder="1" applyAlignment="1">
      <alignment horizontal="center" vertical="center"/>
    </xf>
    <xf numFmtId="0" fontId="47" fillId="11" borderId="13" xfId="0" applyFont="1" applyFill="1" applyBorder="1" applyAlignment="1">
      <alignment horizontal="center" vertical="center"/>
    </xf>
    <xf numFmtId="0" fontId="47" fillId="11" borderId="11" xfId="0" applyFont="1" applyFill="1" applyBorder="1" applyAlignment="1">
      <alignment horizontal="center" vertical="center"/>
    </xf>
    <xf numFmtId="0" fontId="43" fillId="11" borderId="5" xfId="0" applyFont="1" applyFill="1" applyBorder="1" applyAlignment="1">
      <alignment horizontal="center"/>
    </xf>
    <xf numFmtId="0" fontId="43" fillId="11" borderId="0" xfId="0" applyFont="1" applyFill="1" applyBorder="1" applyAlignment="1">
      <alignment horizontal="center"/>
    </xf>
    <xf numFmtId="0" fontId="43" fillId="11" borderId="6" xfId="0" applyFont="1" applyFill="1" applyBorder="1" applyAlignment="1">
      <alignment horizontal="center"/>
    </xf>
    <xf numFmtId="0" fontId="43" fillId="11" borderId="5" xfId="0" applyFont="1" applyFill="1" applyBorder="1" applyAlignment="1">
      <alignment horizontal="center" vertical="center"/>
    </xf>
    <xf numFmtId="0" fontId="43" fillId="11" borderId="0" xfId="0" applyFont="1" applyFill="1" applyBorder="1" applyAlignment="1">
      <alignment horizontal="center" vertical="center"/>
    </xf>
    <xf numFmtId="0" fontId="43" fillId="11" borderId="6" xfId="0" applyFont="1" applyFill="1" applyBorder="1" applyAlignment="1">
      <alignment horizontal="center" vertical="center"/>
    </xf>
    <xf numFmtId="0" fontId="45" fillId="11" borderId="1" xfId="0" applyFont="1" applyFill="1" applyBorder="1" applyAlignment="1">
      <alignment horizontal="center" vertical="center" wrapText="1"/>
    </xf>
    <xf numFmtId="0" fontId="46" fillId="11" borderId="2" xfId="0" applyFont="1" applyFill="1" applyBorder="1" applyAlignment="1">
      <alignment horizontal="center" vertical="center" wrapText="1"/>
    </xf>
    <xf numFmtId="0" fontId="45" fillId="11" borderId="12" xfId="0" applyFont="1" applyFill="1" applyBorder="1" applyAlignment="1">
      <alignment horizontal="center" vertical="center" wrapText="1"/>
    </xf>
    <xf numFmtId="0" fontId="46" fillId="11" borderId="8" xfId="0" applyFont="1" applyFill="1" applyBorder="1" applyAlignment="1">
      <alignment horizontal="center" vertical="center" wrapText="1"/>
    </xf>
    <xf numFmtId="179" fontId="50" fillId="11" borderId="5" xfId="0" applyNumberFormat="1" applyFont="1" applyFill="1" applyBorder="1" applyAlignment="1">
      <alignment horizontal="left" vertical="center"/>
    </xf>
    <xf numFmtId="0" fontId="41" fillId="11" borderId="0" xfId="0" applyFont="1" applyFill="1" applyBorder="1" applyAlignment="1">
      <alignment horizontal="center" vertical="center"/>
    </xf>
    <xf numFmtId="177" fontId="27" fillId="11" borderId="9" xfId="0" applyNumberFormat="1" applyFont="1" applyFill="1" applyBorder="1" applyAlignment="1">
      <alignment horizontal="center" vertical="center"/>
    </xf>
    <xf numFmtId="177" fontId="27" fillId="11" borderId="0" xfId="0" applyNumberFormat="1" applyFont="1" applyFill="1" applyBorder="1" applyAlignment="1">
      <alignment horizontal="center" vertical="center"/>
    </xf>
    <xf numFmtId="177" fontId="27" fillId="11" borderId="7" xfId="0" applyNumberFormat="1" applyFont="1" applyFill="1" applyBorder="1" applyAlignment="1">
      <alignment horizontal="center" vertical="center"/>
    </xf>
    <xf numFmtId="176" fontId="27" fillId="11" borderId="9" xfId="0" applyNumberFormat="1" applyFont="1" applyFill="1" applyBorder="1" applyAlignment="1">
      <alignment horizontal="center" vertical="center"/>
    </xf>
    <xf numFmtId="176" fontId="27" fillId="11" borderId="10" xfId="0" applyNumberFormat="1" applyFont="1" applyFill="1" applyBorder="1" applyAlignment="1">
      <alignment horizontal="center" vertical="center"/>
    </xf>
    <xf numFmtId="176" fontId="27" fillId="11" borderId="0" xfId="0" applyNumberFormat="1" applyFont="1" applyFill="1" applyBorder="1" applyAlignment="1">
      <alignment horizontal="center" vertical="center"/>
    </xf>
    <xf numFmtId="176" fontId="27" fillId="11" borderId="6" xfId="0" applyNumberFormat="1" applyFont="1" applyFill="1" applyBorder="1" applyAlignment="1">
      <alignment horizontal="center" vertical="center"/>
    </xf>
    <xf numFmtId="19" fontId="40" fillId="11" borderId="0" xfId="0" applyNumberFormat="1" applyFont="1" applyFill="1" applyAlignment="1">
      <alignment horizontal="center" vertical="center"/>
    </xf>
    <xf numFmtId="0" fontId="40" fillId="11" borderId="0" xfId="0" applyFont="1" applyFill="1" applyAlignment="1">
      <alignment horizontal="center" vertical="center"/>
    </xf>
    <xf numFmtId="0" fontId="39" fillId="11" borderId="0" xfId="0" applyFont="1" applyFill="1" applyAlignment="1">
      <alignment horizontal="center"/>
    </xf>
    <xf numFmtId="0" fontId="41" fillId="11" borderId="8" xfId="0" applyFont="1" applyFill="1" applyBorder="1" applyAlignment="1">
      <alignment horizontal="center" vertical="center"/>
    </xf>
    <xf numFmtId="0" fontId="41" fillId="11" borderId="9" xfId="0" applyFont="1" applyFill="1" applyBorder="1" applyAlignment="1">
      <alignment horizontal="center" vertical="center"/>
    </xf>
    <xf numFmtId="0" fontId="41" fillId="11" borderId="10" xfId="0" applyFont="1" applyFill="1" applyBorder="1" applyAlignment="1">
      <alignment horizontal="center" vertical="center"/>
    </xf>
    <xf numFmtId="0" fontId="41" fillId="11" borderId="5" xfId="0" applyFont="1" applyFill="1" applyBorder="1" applyAlignment="1">
      <alignment horizontal="center" vertical="center"/>
    </xf>
    <xf numFmtId="0" fontId="41" fillId="11" borderId="6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 vertical="center"/>
    </xf>
    <xf numFmtId="0" fontId="20" fillId="11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15" fillId="17" borderId="0" xfId="0" applyFont="1" applyFill="1" applyAlignment="1">
      <alignment horizontal="center" wrapText="1"/>
    </xf>
    <xf numFmtId="0" fontId="9" fillId="17" borderId="0" xfId="0" applyFont="1" applyFill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45" fillId="17" borderId="0" xfId="0" applyFont="1" applyFill="1" applyAlignment="1">
      <alignment horizontal="center" vertical="center" wrapText="1"/>
    </xf>
    <xf numFmtId="0" fontId="46" fillId="17" borderId="0" xfId="0" applyFont="1" applyFill="1" applyAlignment="1">
      <alignment horizontal="center" vertical="center"/>
    </xf>
    <xf numFmtId="0" fontId="0" fillId="17" borderId="0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32" fillId="12" borderId="0" xfId="0" applyFont="1" applyFill="1" applyAlignment="1">
      <alignment horizontal="center" vertical="center"/>
    </xf>
    <xf numFmtId="0" fontId="52" fillId="17" borderId="0" xfId="0" applyFont="1" applyFill="1" applyAlignment="1">
      <alignment horizontal="center" vertical="center"/>
    </xf>
    <xf numFmtId="0" fontId="23" fillId="13" borderId="0" xfId="0" applyFont="1" applyFill="1" applyAlignment="1">
      <alignment horizontal="center" vertical="center"/>
    </xf>
    <xf numFmtId="0" fontId="27" fillId="12" borderId="0" xfId="0" quotePrefix="1" applyFont="1" applyFill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0" fillId="17" borderId="5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6" xfId="0" applyFill="1" applyBorder="1" applyAlignment="1">
      <alignment horizontal="center"/>
    </xf>
    <xf numFmtId="0" fontId="42" fillId="12" borderId="11" xfId="0" applyFont="1" applyFill="1" applyBorder="1" applyAlignment="1">
      <alignment horizontal="center" vertical="center"/>
    </xf>
    <xf numFmtId="0" fontId="42" fillId="12" borderId="1" xfId="0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/>
    </xf>
    <xf numFmtId="0" fontId="51" fillId="1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36" fillId="15" borderId="1" xfId="0" applyFont="1" applyFill="1" applyBorder="1" applyAlignment="1">
      <alignment horizontal="center" vertical="center"/>
    </xf>
    <xf numFmtId="0" fontId="37" fillId="12" borderId="1" xfId="0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38" fillId="3" borderId="3" xfId="0" applyFont="1" applyFill="1" applyBorder="1" applyAlignment="1">
      <alignment horizontal="center" vertical="center"/>
    </xf>
    <xf numFmtId="0" fontId="38" fillId="3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6" fillId="15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wrapText="1"/>
    </xf>
    <xf numFmtId="0" fontId="13" fillId="15" borderId="7" xfId="0" applyFont="1" applyFill="1" applyBorder="1" applyAlignment="1">
      <alignment horizont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B870B8"/>
      <color rgb="FFFF7D7D"/>
      <color rgb="FFFF9F9F"/>
      <color rgb="FFFFAFAF"/>
      <color rgb="FFE7F1F9"/>
      <color rgb="FFEEE685"/>
      <color rgb="FF99FF66"/>
      <color rgb="FFCC00CC"/>
      <color rgb="FFFFE3E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314325</xdr:colOff>
          <xdr:row>7</xdr:row>
          <xdr:rowOff>19050</xdr:rowOff>
        </xdr:from>
        <xdr:to>
          <xdr:col>12</xdr:col>
          <xdr:colOff>142875</xdr:colOff>
          <xdr:row>9</xdr:row>
          <xdr:rowOff>161925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9966"/>
                  </a:solidFill>
                  <a:latin typeface="等线"/>
                  <a:ea typeface="等线"/>
                </a:rPr>
                <a:t>点击自动刷新时间</a:t>
              </a:r>
            </a:p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9966"/>
                  </a:solidFill>
                  <a:latin typeface="等线"/>
                  <a:ea typeface="等线"/>
                </a:rPr>
                <a:t>(可能会消耗性能)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D22E-1712-46B1-9EE4-87C2A5E53CA5}">
  <sheetPr codeName="Sheet1"/>
  <dimension ref="A1:W87"/>
  <sheetViews>
    <sheetView zoomScale="85" zoomScaleNormal="85" workbookViewId="0">
      <selection activeCell="G8" sqref="G8:K10"/>
    </sheetView>
  </sheetViews>
  <sheetFormatPr defaultRowHeight="14.25" x14ac:dyDescent="0.2"/>
  <cols>
    <col min="1" max="1" width="24.75" customWidth="1"/>
    <col min="20" max="20" width="18.75" customWidth="1"/>
  </cols>
  <sheetData>
    <row r="1" spans="1:23" x14ac:dyDescent="0.2">
      <c r="A1" s="113" t="s">
        <v>207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64"/>
      <c r="U1" s="62"/>
      <c r="V1" s="62"/>
      <c r="W1" s="62"/>
    </row>
    <row r="2" spans="1:23" x14ac:dyDescent="0.2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62"/>
      <c r="U2" s="62"/>
      <c r="V2" s="62"/>
      <c r="W2" s="62"/>
    </row>
    <row r="3" spans="1:23" x14ac:dyDescent="0.2">
      <c r="A3" s="114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62"/>
      <c r="U3" s="62"/>
      <c r="V3" s="62"/>
      <c r="W3" s="62"/>
    </row>
    <row r="4" spans="1:23" x14ac:dyDescent="0.2">
      <c r="A4" s="114"/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62"/>
      <c r="U4" s="62"/>
      <c r="V4" s="62"/>
      <c r="W4" s="62"/>
    </row>
    <row r="5" spans="1:23" x14ac:dyDescent="0.2">
      <c r="A5" s="115" t="s">
        <v>193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62"/>
      <c r="U5" s="62"/>
      <c r="V5" s="62"/>
      <c r="W5" s="62"/>
    </row>
    <row r="6" spans="1:23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</row>
    <row r="7" spans="1:23" x14ac:dyDescent="0.2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23" ht="14.25" customHeight="1" x14ac:dyDescent="0.2">
      <c r="A8" s="105"/>
      <c r="B8" s="116" t="s">
        <v>192</v>
      </c>
      <c r="C8" s="117"/>
      <c r="D8" s="117"/>
      <c r="E8" s="117"/>
      <c r="F8" s="118"/>
      <c r="G8" s="106">
        <f ca="1">NOW()</f>
        <v>44766.639342939816</v>
      </c>
      <c r="H8" s="106"/>
      <c r="I8" s="106"/>
      <c r="J8" s="106"/>
      <c r="K8" s="106"/>
      <c r="L8" s="109">
        <f ca="1">NOW()</f>
        <v>44766.639342939816</v>
      </c>
      <c r="M8" s="109"/>
      <c r="N8" s="109"/>
      <c r="O8" s="109"/>
      <c r="P8" s="110"/>
      <c r="Q8" s="62"/>
      <c r="R8" s="62"/>
      <c r="S8" s="62"/>
      <c r="T8" s="62"/>
      <c r="U8" s="62"/>
      <c r="V8" s="62"/>
      <c r="W8" s="62"/>
    </row>
    <row r="9" spans="1:23" ht="14.25" customHeight="1" x14ac:dyDescent="0.2">
      <c r="A9" s="105"/>
      <c r="B9" s="119"/>
      <c r="C9" s="105"/>
      <c r="D9" s="105"/>
      <c r="E9" s="105"/>
      <c r="F9" s="120"/>
      <c r="G9" s="107"/>
      <c r="H9" s="107"/>
      <c r="I9" s="107"/>
      <c r="J9" s="107"/>
      <c r="K9" s="107"/>
      <c r="L9" s="111"/>
      <c r="M9" s="111"/>
      <c r="N9" s="111"/>
      <c r="O9" s="111"/>
      <c r="P9" s="112"/>
      <c r="Q9" s="62"/>
      <c r="R9" s="62"/>
      <c r="S9" s="62"/>
      <c r="T9" s="62"/>
      <c r="U9" s="62"/>
      <c r="V9" s="62"/>
      <c r="W9" s="62"/>
    </row>
    <row r="10" spans="1:23" ht="65.25" customHeight="1" x14ac:dyDescent="0.2">
      <c r="A10" s="105"/>
      <c r="B10" s="119"/>
      <c r="C10" s="105"/>
      <c r="D10" s="105"/>
      <c r="E10" s="105"/>
      <c r="F10" s="120"/>
      <c r="G10" s="108"/>
      <c r="H10" s="108"/>
      <c r="I10" s="108"/>
      <c r="J10" s="108"/>
      <c r="K10" s="108"/>
      <c r="L10" s="111"/>
      <c r="M10" s="111"/>
      <c r="N10" s="111"/>
      <c r="O10" s="111"/>
      <c r="P10" s="112"/>
      <c r="Q10" s="62"/>
      <c r="R10" s="62"/>
      <c r="S10" s="62"/>
      <c r="T10" s="62"/>
      <c r="U10" s="62"/>
      <c r="V10" s="62"/>
      <c r="W10" s="62"/>
    </row>
    <row r="11" spans="1:23" x14ac:dyDescent="0.2">
      <c r="A11" s="63"/>
      <c r="B11" s="97" t="str">
        <f ca="1">计算区!T14</f>
        <v>下午好</v>
      </c>
      <c r="C11" s="98"/>
      <c r="D11" s="98"/>
      <c r="E11" s="99"/>
      <c r="F11" s="100" t="s">
        <v>217</v>
      </c>
      <c r="G11" s="100"/>
      <c r="H11" s="100"/>
      <c r="I11" s="100"/>
      <c r="J11" s="100"/>
      <c r="K11" s="101"/>
      <c r="L11" s="91" t="s">
        <v>218</v>
      </c>
      <c r="M11" s="90" t="str">
        <f ca="1">计算区!U34</f>
        <v>音游萌新</v>
      </c>
      <c r="N11" s="90"/>
      <c r="O11" s="90"/>
      <c r="P11" s="90"/>
      <c r="Q11" s="104" t="str">
        <f ca="1">IF(M11="小可爱","←例","")</f>
        <v/>
      </c>
      <c r="R11" s="62"/>
      <c r="S11" s="62"/>
      <c r="T11" s="62"/>
      <c r="U11" s="62"/>
      <c r="V11" s="62"/>
      <c r="W11" s="62"/>
    </row>
    <row r="12" spans="1:23" x14ac:dyDescent="0.2">
      <c r="A12" s="62"/>
      <c r="B12" s="97"/>
      <c r="C12" s="98"/>
      <c r="D12" s="98"/>
      <c r="E12" s="99"/>
      <c r="F12" s="100"/>
      <c r="G12" s="100"/>
      <c r="H12" s="100"/>
      <c r="I12" s="100"/>
      <c r="J12" s="100"/>
      <c r="K12" s="101"/>
      <c r="L12" s="92"/>
      <c r="M12" s="90"/>
      <c r="N12" s="90"/>
      <c r="O12" s="90"/>
      <c r="P12" s="90"/>
      <c r="Q12" s="104"/>
      <c r="R12" s="62"/>
      <c r="S12" s="62"/>
      <c r="T12" s="62"/>
      <c r="U12" s="62"/>
      <c r="V12" s="62"/>
      <c r="W12" s="62"/>
    </row>
    <row r="13" spans="1:23" x14ac:dyDescent="0.2">
      <c r="A13" s="62"/>
      <c r="B13" s="97"/>
      <c r="C13" s="98"/>
      <c r="D13" s="98"/>
      <c r="E13" s="99"/>
      <c r="F13" s="100"/>
      <c r="G13" s="100"/>
      <c r="H13" s="100"/>
      <c r="I13" s="100"/>
      <c r="J13" s="100"/>
      <c r="K13" s="101"/>
      <c r="L13" s="93"/>
      <c r="M13" s="90"/>
      <c r="N13" s="90"/>
      <c r="O13" s="90"/>
      <c r="P13" s="90"/>
      <c r="Q13" s="104"/>
      <c r="R13" s="62"/>
      <c r="S13" s="62"/>
      <c r="T13" s="62"/>
      <c r="U13" s="62"/>
      <c r="V13" s="62"/>
      <c r="W13" s="62"/>
    </row>
    <row r="14" spans="1:23" ht="24.75" customHeight="1" x14ac:dyDescent="0.55000000000000004">
      <c r="A14" s="62"/>
      <c r="B14" s="94" t="str">
        <f ca="1">计算区!T16</f>
        <v>Good Afternoon</v>
      </c>
      <c r="C14" s="95"/>
      <c r="D14" s="95"/>
      <c r="E14" s="96"/>
      <c r="F14" s="102"/>
      <c r="G14" s="102"/>
      <c r="H14" s="102"/>
      <c r="I14" s="102"/>
      <c r="J14" s="102"/>
      <c r="K14" s="103"/>
      <c r="L14" s="65" t="s">
        <v>219</v>
      </c>
      <c r="M14" s="90" t="s">
        <v>220</v>
      </c>
      <c r="N14" s="90"/>
      <c r="O14" s="90"/>
      <c r="P14" s="90"/>
      <c r="Q14" s="104"/>
      <c r="R14" s="62"/>
      <c r="S14" s="62"/>
      <c r="T14" s="62"/>
      <c r="U14" s="62"/>
      <c r="V14" s="62"/>
      <c r="W14" s="62"/>
    </row>
    <row r="15" spans="1:23" x14ac:dyDescent="0.2">
      <c r="A15" s="62"/>
      <c r="B15" s="88" t="str">
        <f ca="1">"\\-OUTPUT-//   "&amp;"昵称: "&amp;M11&amp;"        性别: "&amp;M14&amp;"      rks: ???"</f>
        <v>\\-OUTPUT-//   昵称: 音游萌新        性别: 女      rks: ???</v>
      </c>
      <c r="C15" s="88"/>
      <c r="D15" s="88"/>
      <c r="E15" s="88"/>
      <c r="F15" s="88"/>
      <c r="G15" s="88"/>
      <c r="H15" s="88"/>
      <c r="I15" s="88"/>
      <c r="J15" s="88"/>
      <c r="K15" s="88"/>
      <c r="L15" s="89"/>
      <c r="M15" s="89"/>
      <c r="N15" s="89"/>
      <c r="O15" s="89"/>
      <c r="P15" s="89"/>
      <c r="Q15" s="62"/>
      <c r="R15" s="62"/>
      <c r="S15" s="62"/>
      <c r="T15" s="62"/>
      <c r="U15" s="62"/>
      <c r="V15" s="62"/>
      <c r="W15" s="62"/>
    </row>
    <row r="16" spans="1:23" x14ac:dyDescent="0.2">
      <c r="A16" s="62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62"/>
      <c r="R16" s="62"/>
      <c r="S16" s="62"/>
      <c r="T16" s="62"/>
      <c r="U16" s="62"/>
      <c r="V16" s="62"/>
      <c r="W16" s="62"/>
    </row>
    <row r="17" spans="1:23" x14ac:dyDescent="0.2">
      <c r="A17" s="62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62"/>
      <c r="R17" s="62"/>
      <c r="S17" s="62"/>
      <c r="T17" s="62"/>
      <c r="U17" s="62"/>
      <c r="V17" s="62"/>
      <c r="W17" s="62"/>
    </row>
    <row r="18" spans="1:23" x14ac:dyDescent="0.2">
      <c r="A18" s="62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62"/>
      <c r="R18" s="62"/>
      <c r="S18" s="62"/>
      <c r="T18" s="62"/>
      <c r="U18" s="62"/>
      <c r="V18" s="62"/>
      <c r="W18" s="62"/>
    </row>
    <row r="19" spans="1:23" x14ac:dyDescent="0.2">
      <c r="A19" s="62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62"/>
      <c r="R19" s="62"/>
      <c r="S19" s="62"/>
      <c r="T19" s="62"/>
      <c r="U19" s="62"/>
      <c r="V19" s="62"/>
      <c r="W19" s="62"/>
    </row>
    <row r="20" spans="1:23" x14ac:dyDescent="0.2">
      <c r="A20" s="62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62"/>
      <c r="R20" s="62"/>
      <c r="S20" s="62"/>
      <c r="T20" s="62"/>
      <c r="U20" s="62"/>
      <c r="V20" s="62"/>
      <c r="W20" s="62"/>
    </row>
    <row r="21" spans="1:23" x14ac:dyDescent="0.2">
      <c r="A21" s="62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62"/>
      <c r="R21" s="62"/>
      <c r="S21" s="62"/>
      <c r="T21" s="62"/>
      <c r="U21" s="62"/>
      <c r="V21" s="62"/>
      <c r="W21" s="62"/>
    </row>
    <row r="22" spans="1:23" x14ac:dyDescent="0.2">
      <c r="A22" s="62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62"/>
      <c r="R22" s="62"/>
      <c r="S22" s="62"/>
      <c r="T22" s="62"/>
      <c r="U22" s="62"/>
      <c r="V22" s="62"/>
      <c r="W22" s="62"/>
    </row>
    <row r="23" spans="1:23" x14ac:dyDescent="0.2">
      <c r="A23" s="62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62"/>
      <c r="R23" s="62"/>
      <c r="S23" s="62"/>
      <c r="T23" s="62"/>
      <c r="U23" s="62"/>
      <c r="V23" s="62"/>
      <c r="W23" s="62"/>
    </row>
    <row r="24" spans="1:23" x14ac:dyDescent="0.2">
      <c r="A24" s="62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62"/>
      <c r="R24" s="62"/>
      <c r="S24" s="62"/>
      <c r="T24" s="62"/>
      <c r="U24" s="62"/>
      <c r="V24" s="62"/>
      <c r="W24" s="62"/>
    </row>
    <row r="25" spans="1:23" x14ac:dyDescent="0.2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</row>
    <row r="26" spans="1:23" x14ac:dyDescent="0.2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</row>
    <row r="27" spans="1:23" x14ac:dyDescent="0.2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</row>
    <row r="28" spans="1:23" x14ac:dyDescent="0.2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</row>
    <row r="29" spans="1:23" x14ac:dyDescent="0.2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</row>
    <row r="30" spans="1:23" x14ac:dyDescent="0.2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</row>
    <row r="31" spans="1:23" x14ac:dyDescent="0.2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</row>
    <row r="32" spans="1:23" x14ac:dyDescent="0.2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</row>
    <row r="33" spans="1:23" x14ac:dyDescent="0.2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</row>
    <row r="34" spans="1:23" x14ac:dyDescent="0.2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</row>
    <row r="35" spans="1:23" x14ac:dyDescent="0.2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</row>
    <row r="36" spans="1:23" x14ac:dyDescent="0.2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</row>
    <row r="37" spans="1:23" x14ac:dyDescent="0.2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</row>
    <row r="38" spans="1:23" x14ac:dyDescent="0.2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</row>
    <row r="39" spans="1:23" x14ac:dyDescent="0.2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</row>
    <row r="40" spans="1:23" x14ac:dyDescent="0.2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</row>
    <row r="41" spans="1:23" x14ac:dyDescent="0.2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</row>
    <row r="42" spans="1:23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</row>
    <row r="43" spans="1:23" x14ac:dyDescent="0.2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</row>
    <row r="44" spans="1:23" x14ac:dyDescent="0.2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</row>
    <row r="45" spans="1:23" x14ac:dyDescent="0.2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</row>
    <row r="46" spans="1:23" x14ac:dyDescent="0.2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</row>
    <row r="47" spans="1:23" x14ac:dyDescent="0.2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</row>
    <row r="48" spans="1:23" x14ac:dyDescent="0.2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</row>
    <row r="49" spans="1:23" x14ac:dyDescent="0.2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</row>
    <row r="50" spans="1:23" x14ac:dyDescent="0.2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</row>
    <row r="51" spans="1:23" x14ac:dyDescent="0.2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</row>
    <row r="52" spans="1:23" x14ac:dyDescent="0.2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</row>
    <row r="53" spans="1:23" x14ac:dyDescent="0.2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</row>
    <row r="54" spans="1:23" x14ac:dyDescent="0.2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</row>
    <row r="55" spans="1:23" x14ac:dyDescent="0.2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</row>
    <row r="56" spans="1:23" x14ac:dyDescent="0.2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</row>
    <row r="57" spans="1:23" x14ac:dyDescent="0.2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</row>
    <row r="58" spans="1:23" x14ac:dyDescent="0.2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</row>
    <row r="59" spans="1:23" x14ac:dyDescent="0.2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</row>
    <row r="60" spans="1:23" x14ac:dyDescent="0.2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</row>
    <row r="61" spans="1:23" x14ac:dyDescent="0.2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</row>
    <row r="62" spans="1:23" x14ac:dyDescent="0.2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</row>
    <row r="63" spans="1:23" x14ac:dyDescent="0.2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</row>
    <row r="64" spans="1:23" x14ac:dyDescent="0.2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</row>
    <row r="65" spans="1:23" x14ac:dyDescent="0.2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</row>
    <row r="66" spans="1:23" x14ac:dyDescent="0.2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</row>
    <row r="67" spans="1:23" x14ac:dyDescent="0.2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</row>
    <row r="68" spans="1:23" x14ac:dyDescent="0.2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</row>
    <row r="69" spans="1:23" x14ac:dyDescent="0.2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</row>
    <row r="70" spans="1:23" x14ac:dyDescent="0.2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</row>
    <row r="71" spans="1:23" x14ac:dyDescent="0.2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</row>
    <row r="72" spans="1:23" x14ac:dyDescent="0.2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</row>
    <row r="73" spans="1:23" x14ac:dyDescent="0.2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</row>
    <row r="74" spans="1:23" x14ac:dyDescent="0.2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</row>
    <row r="75" spans="1:23" x14ac:dyDescent="0.2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</row>
    <row r="76" spans="1:23" x14ac:dyDescent="0.2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</row>
    <row r="77" spans="1:23" x14ac:dyDescent="0.2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</row>
    <row r="78" spans="1:23" x14ac:dyDescent="0.2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</row>
    <row r="79" spans="1:23" x14ac:dyDescent="0.2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</row>
    <row r="80" spans="1:23" x14ac:dyDescent="0.2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</row>
    <row r="81" spans="1:23" x14ac:dyDescent="0.2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</row>
    <row r="82" spans="1:23" x14ac:dyDescent="0.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</row>
    <row r="83" spans="1:23" x14ac:dyDescent="0.2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</row>
    <row r="84" spans="1:23" x14ac:dyDescent="0.2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</row>
    <row r="85" spans="1:23" x14ac:dyDescent="0.2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</row>
    <row r="86" spans="1:23" x14ac:dyDescent="0.2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</row>
    <row r="87" spans="1:23" x14ac:dyDescent="0.2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</row>
  </sheetData>
  <mergeCells count="14">
    <mergeCell ref="Q11:Q14"/>
    <mergeCell ref="A8:A10"/>
    <mergeCell ref="G8:K10"/>
    <mergeCell ref="L8:P10"/>
    <mergeCell ref="A1:S4"/>
    <mergeCell ref="A5:S5"/>
    <mergeCell ref="B8:F10"/>
    <mergeCell ref="B15:P24"/>
    <mergeCell ref="M14:P14"/>
    <mergeCell ref="M11:P13"/>
    <mergeCell ref="L11:L13"/>
    <mergeCell ref="B14:E14"/>
    <mergeCell ref="B11:E13"/>
    <mergeCell ref="F11:K14"/>
  </mergeCells>
  <phoneticPr fontId="1" type="noConversion"/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aaa">
                <anchor moveWithCells="1" sizeWithCells="1">
                  <from>
                    <xdr:col>10</xdr:col>
                    <xdr:colOff>314325</xdr:colOff>
                    <xdr:row>7</xdr:row>
                    <xdr:rowOff>19050</xdr:rowOff>
                  </from>
                  <to>
                    <xdr:col>12</xdr:col>
                    <xdr:colOff>142875</xdr:colOff>
                    <xdr:row>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T258"/>
  <sheetViews>
    <sheetView tabSelected="1" zoomScaleNormal="100" workbookViewId="0">
      <selection activeCell="A93" sqref="A93:Z93"/>
    </sheetView>
  </sheetViews>
  <sheetFormatPr defaultRowHeight="14.25" x14ac:dyDescent="0.2"/>
  <cols>
    <col min="1" max="1" width="16.125" customWidth="1"/>
    <col min="2" max="2" width="5.625" customWidth="1"/>
    <col min="3" max="3" width="13.625" customWidth="1"/>
    <col min="4" max="4" width="3.625" customWidth="1"/>
    <col min="5" max="5" width="8.125" customWidth="1"/>
    <col min="6" max="6" width="7.625" customWidth="1"/>
    <col min="7" max="7" width="5.625" customWidth="1"/>
    <col min="8" max="8" width="13.625" customWidth="1"/>
    <col min="9" max="9" width="3.625" customWidth="1"/>
    <col min="10" max="10" width="8.125" customWidth="1"/>
    <col min="11" max="11" width="7.625" customWidth="1"/>
    <col min="12" max="12" width="5.625" customWidth="1"/>
    <col min="13" max="13" width="13.625" customWidth="1"/>
    <col min="14" max="14" width="3.625" customWidth="1"/>
    <col min="15" max="15" width="8.125" customWidth="1"/>
    <col min="16" max="16" width="7.625" customWidth="1"/>
    <col min="17" max="17" width="5.625" customWidth="1"/>
    <col min="18" max="18" width="13.625" customWidth="1"/>
    <col min="19" max="19" width="3.625" customWidth="1"/>
    <col min="20" max="20" width="8.125" customWidth="1"/>
    <col min="21" max="21" width="7.625" customWidth="1"/>
    <col min="22" max="22" width="5.625" customWidth="1"/>
    <col min="23" max="23" width="13.625" customWidth="1"/>
    <col min="24" max="24" width="3.625" customWidth="1"/>
    <col min="25" max="25" width="8.125" customWidth="1"/>
    <col min="26" max="26" width="7.625" customWidth="1"/>
    <col min="29" max="29" width="68.5" customWidth="1"/>
  </cols>
  <sheetData>
    <row r="1" spans="1:46" ht="36" customHeight="1" x14ac:dyDescent="0.2">
      <c r="A1" s="132" t="s">
        <v>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24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</row>
    <row r="2" spans="1:46" ht="20.25" x14ac:dyDescent="0.2">
      <c r="A2" s="133" t="s">
        <v>1</v>
      </c>
      <c r="B2" s="133" t="s">
        <v>2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</row>
    <row r="3" spans="1:46" ht="18" customHeight="1" x14ac:dyDescent="0.2">
      <c r="A3" s="133"/>
      <c r="B3" s="136" t="s">
        <v>3</v>
      </c>
      <c r="C3" s="136"/>
      <c r="D3" s="136"/>
      <c r="E3" s="136"/>
      <c r="F3" s="136"/>
      <c r="G3" s="136" t="s">
        <v>4</v>
      </c>
      <c r="H3" s="136"/>
      <c r="I3" s="136"/>
      <c r="J3" s="136"/>
      <c r="K3" s="136"/>
      <c r="L3" s="136" t="s">
        <v>5</v>
      </c>
      <c r="M3" s="136"/>
      <c r="N3" s="136"/>
      <c r="O3" s="136"/>
      <c r="P3" s="136"/>
      <c r="Q3" s="136" t="s">
        <v>6</v>
      </c>
      <c r="R3" s="136"/>
      <c r="S3" s="136"/>
      <c r="T3" s="136"/>
      <c r="U3" s="136"/>
      <c r="V3" s="136" t="s">
        <v>7</v>
      </c>
      <c r="W3" s="136"/>
      <c r="X3" s="136"/>
      <c r="Y3" s="136"/>
      <c r="Z3" s="137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46" ht="20.25" customHeight="1" x14ac:dyDescent="0.2">
      <c r="A4" s="133"/>
      <c r="B4" s="16" t="s">
        <v>172</v>
      </c>
      <c r="C4" s="17" t="s">
        <v>76</v>
      </c>
      <c r="D4" s="16" t="s">
        <v>164</v>
      </c>
      <c r="E4" s="18" t="s">
        <v>174</v>
      </c>
      <c r="F4" s="17" t="s">
        <v>77</v>
      </c>
      <c r="G4" s="19" t="s">
        <v>172</v>
      </c>
      <c r="H4" s="17" t="s">
        <v>76</v>
      </c>
      <c r="I4" s="16" t="s">
        <v>164</v>
      </c>
      <c r="J4" s="18" t="s">
        <v>174</v>
      </c>
      <c r="K4" s="17" t="s">
        <v>77</v>
      </c>
      <c r="L4" s="16" t="s">
        <v>172</v>
      </c>
      <c r="M4" s="17" t="s">
        <v>76</v>
      </c>
      <c r="N4" s="16" t="s">
        <v>164</v>
      </c>
      <c r="O4" s="18" t="s">
        <v>174</v>
      </c>
      <c r="P4" s="17" t="s">
        <v>77</v>
      </c>
      <c r="Q4" s="16" t="s">
        <v>172</v>
      </c>
      <c r="R4" s="17" t="s">
        <v>76</v>
      </c>
      <c r="S4" s="16" t="s">
        <v>164</v>
      </c>
      <c r="T4" s="18" t="s">
        <v>174</v>
      </c>
      <c r="U4" s="17" t="s">
        <v>77</v>
      </c>
      <c r="V4" s="16" t="s">
        <v>172</v>
      </c>
      <c r="W4" s="17" t="s">
        <v>76</v>
      </c>
      <c r="X4" s="16" t="s">
        <v>164</v>
      </c>
      <c r="Y4" s="18" t="s">
        <v>174</v>
      </c>
      <c r="Z4" s="17" t="s">
        <v>77</v>
      </c>
      <c r="AA4" s="25"/>
      <c r="AB4" s="25"/>
      <c r="AC4" s="72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</row>
    <row r="5" spans="1:46" ht="16.5" customHeight="1" x14ac:dyDescent="0.2">
      <c r="A5" s="134" t="s">
        <v>9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</row>
    <row r="6" spans="1:46" ht="21" customHeight="1" x14ac:dyDescent="0.2">
      <c r="A6" s="9" t="s">
        <v>8</v>
      </c>
      <c r="B6" s="4">
        <v>1.1000000000000001</v>
      </c>
      <c r="C6" s="7"/>
      <c r="D6" s="76" t="str">
        <f>IF(C6="","",IF(AND(C6&gt;=960000,C6&lt;=999999),"V",IF(AND(C6&gt;=920000,C6&lt;=959999),"S",IF(AND(C6&gt;=880000,C6&lt;=919999),"A",IF(AND(C6&gt;=820000,C6&lt;=879999),"B",IF(AND(C6&gt;=700000,C6&lt;=819999),"C",IF(AND(C6&gt;=1,C6&lt;=699999),"F",IF(AND(C6=1000000),"φ",IF(AND(C6=0),"",C6)))))))))</f>
        <v/>
      </c>
      <c r="E6" s="77">
        <f>(C6-900000*F6)/100000*418</f>
        <v>0</v>
      </c>
      <c r="F6" s="8"/>
      <c r="G6" s="4">
        <v>6.7</v>
      </c>
      <c r="H6" s="1"/>
      <c r="I6" s="73" t="str">
        <f>IF(H6="","",IF(AND(H6&gt;=960000,H6&lt;=999999),"V",IF(AND(H6&gt;=920000,H6&lt;=959999),"S",IF(AND(H6&gt;=880000,H6&lt;=919999),"A",IF(AND(H6&gt;=820000,H6&lt;=879999),"B",IF(AND(H6&gt;=700000,H6&lt;=819999),"C",IF(AND(H6&gt;=1,H6&lt;=699999),"F",IF(AND(H6=1000000),"φ",IF(AND(H6=0),"",H6)))))))))</f>
        <v/>
      </c>
      <c r="J6" s="74">
        <f>(H6-900000*K6)/100000*418</f>
        <v>0</v>
      </c>
      <c r="K6" s="44"/>
      <c r="L6" s="4">
        <v>12.5</v>
      </c>
      <c r="M6" s="14"/>
      <c r="N6" s="79" t="str">
        <f>IF(M6="","",IF(AND(M6&gt;=960000,M6&lt;=999999),"V",IF(AND(M6&gt;=920000,M6&lt;=959999),"S",IF(AND(M6&gt;=880000,M6&lt;=919999),"A",IF(AND(M6&gt;=820000,M6&lt;=879999),"B",IF(AND(M6&gt;=700000,M6&lt;=819999),"C",IF(AND(M6&gt;=1,M6&lt;=699999),"F",IF(AND(M6=1000000),"φ",IF(AND(M6=0),"",M6)))))))))</f>
        <v/>
      </c>
      <c r="O6" s="80">
        <f>(M6-900000*P6)/100000*729</f>
        <v>0</v>
      </c>
      <c r="P6" s="45"/>
      <c r="Q6" s="4">
        <v>11.2</v>
      </c>
      <c r="R6" s="21"/>
      <c r="S6" s="81" t="str">
        <f>IF(R6="","",IF(AND(R6&gt;=960000,R6&lt;=999999),"V",IF(AND(R6&gt;=920000,R6&lt;=959999),"S",IF(AND(R6&gt;=880000,R6&lt;=919999),"A",IF(AND(R6&gt;=820000,R6&lt;=879999),"B",IF(AND(R6&gt;=700000,R6&lt;=819999),"C",IF(AND(R6&gt;=1,R6&lt;=699999),"F",IF(AND(R6=1000000),"φ",IF(AND(R6=0),"",R6)))))))))</f>
        <v/>
      </c>
      <c r="T6" s="82">
        <f>(R6-900000*U6)/100000*611</f>
        <v>0</v>
      </c>
      <c r="U6" s="46"/>
      <c r="V6" s="49" t="s">
        <v>177</v>
      </c>
      <c r="W6" s="53" t="s">
        <v>177</v>
      </c>
      <c r="X6" s="53" t="s">
        <v>177</v>
      </c>
      <c r="Y6" s="53" t="s">
        <v>177</v>
      </c>
      <c r="Z6" s="53" t="s">
        <v>177</v>
      </c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46" ht="21" customHeight="1" x14ac:dyDescent="0.2">
      <c r="A7" s="10" t="s">
        <v>11</v>
      </c>
      <c r="B7" s="4">
        <v>3.5</v>
      </c>
      <c r="C7" s="7"/>
      <c r="D7" s="76" t="str">
        <f>IF(C7="","",IF(AND(C7&gt;=960000,C7&lt;=999999),"V",IF(AND(C7&gt;=920000,C7&lt;=959999),"S",IF(AND(C7&gt;=880000,C7&lt;=919999),"A",IF(AND(C7&gt;=820000,C7&lt;=879999),"B",IF(AND(C7&gt;=700000,C7&lt;=819999),"C",IF(AND(C7&gt;=1,C7&lt;=699999),"F",IF(AND(C7=1000000),"φ",IF(AND(C7=0),"",C7)))))))))</f>
        <v/>
      </c>
      <c r="E7" s="77">
        <f>(C7-900000*F7)/100000*111</f>
        <v>0</v>
      </c>
      <c r="F7" s="8"/>
      <c r="G7" s="4">
        <v>7.5</v>
      </c>
      <c r="H7" s="1"/>
      <c r="I7" s="73" t="str">
        <f t="shared" ref="I7:I70" si="0">IF(H7="","",IF(AND(H7&gt;=960000,H7&lt;=999999),"V",IF(AND(H7&gt;=920000,H7&lt;=959999),"S",IF(AND(H7&gt;=880000,H7&lt;=919999),"A",IF(AND(H7&gt;=820000,H7&lt;=879999),"B",IF(AND(H7&gt;=700000,H7&lt;=819999),"C",IF(AND(H7&gt;=1,H7&lt;=699999),"F",IF(AND(H7=1000000),"φ",IF(AND(H7=0),"",H7)))))))))</f>
        <v/>
      </c>
      <c r="J7" s="74">
        <f>(H7-900000*K7)/100000*319</f>
        <v>0</v>
      </c>
      <c r="K7" s="44"/>
      <c r="L7" s="4">
        <v>11.6</v>
      </c>
      <c r="M7" s="14"/>
      <c r="N7" s="79" t="str">
        <f t="shared" ref="N7:N20" si="1">IF(M7="","",IF(AND(M7&gt;=960000,M7&lt;=999999),"V",IF(AND(M7&gt;=920000,M7&lt;=959999),"S",IF(AND(M7&gt;=880000,M7&lt;=919999),"A",IF(AND(M7&gt;=820000,M7&lt;=879999),"B",IF(AND(M7&gt;=700000,M7&lt;=819999),"C",IF(AND(M7&gt;=1,M7&lt;=699999),"F",IF(AND(M7=1000000),"φ",IF(AND(M7=0),"",M7)))))))))</f>
        <v/>
      </c>
      <c r="O7" s="80">
        <f>(M7-900000*P7)/100000*463</f>
        <v>0</v>
      </c>
      <c r="P7" s="45"/>
      <c r="Q7" s="4" t="s">
        <v>177</v>
      </c>
      <c r="R7" s="20" t="s">
        <v>177</v>
      </c>
      <c r="S7" s="20" t="s">
        <v>177</v>
      </c>
      <c r="T7" s="20" t="s">
        <v>177</v>
      </c>
      <c r="U7" s="47" t="s">
        <v>177</v>
      </c>
      <c r="V7" s="4" t="s">
        <v>177</v>
      </c>
      <c r="W7" s="54" t="s">
        <v>177</v>
      </c>
      <c r="X7" s="54" t="s">
        <v>177</v>
      </c>
      <c r="Y7" s="54" t="s">
        <v>177</v>
      </c>
      <c r="Z7" s="54" t="s">
        <v>177</v>
      </c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</row>
    <row r="8" spans="1:46" ht="21" customHeight="1" x14ac:dyDescent="0.2">
      <c r="A8" s="9" t="s">
        <v>10</v>
      </c>
      <c r="B8" s="4">
        <v>4.4000000000000004</v>
      </c>
      <c r="C8" s="7"/>
      <c r="D8" s="76" t="str">
        <f t="shared" ref="D8:D11" si="2">IF(C8="","",IF(AND(C8&gt;=960000,C8&lt;=999999),"V",IF(AND(C8&gt;=920000,C8&lt;=959999),"S",IF(AND(C8&gt;=880000,C8&lt;=919999),"A",IF(AND(C8&gt;=820000,C8&lt;=879999),"B",IF(AND(C8&gt;=700000,C8&lt;=819999),"C",IF(AND(C8&gt;=1,C8&lt;=699999),"F",IF(AND(C8=1000000),"φ",IF(AND(C8=0),"",C8)))))))))</f>
        <v/>
      </c>
      <c r="E8" s="77">
        <f>(C8-900000*F8)/100000*188</f>
        <v>0</v>
      </c>
      <c r="F8" s="8"/>
      <c r="G8" s="4">
        <v>10.4</v>
      </c>
      <c r="H8" s="1"/>
      <c r="I8" s="73" t="str">
        <f t="shared" si="0"/>
        <v/>
      </c>
      <c r="J8" s="74">
        <f>(H8-900000*K8)/100000*355</f>
        <v>0</v>
      </c>
      <c r="K8" s="44"/>
      <c r="L8" s="4">
        <v>13.7</v>
      </c>
      <c r="M8" s="14"/>
      <c r="N8" s="79" t="str">
        <f t="shared" si="1"/>
        <v/>
      </c>
      <c r="O8" s="80">
        <f>(M8-900000*P8)/100000*535</f>
        <v>0</v>
      </c>
      <c r="P8" s="45"/>
      <c r="Q8" s="4" t="s">
        <v>177</v>
      </c>
      <c r="R8" s="20" t="s">
        <v>177</v>
      </c>
      <c r="S8" s="20" t="s">
        <v>177</v>
      </c>
      <c r="T8" s="20" t="s">
        <v>177</v>
      </c>
      <c r="U8" s="47" t="s">
        <v>177</v>
      </c>
      <c r="V8" s="4" t="s">
        <v>177</v>
      </c>
      <c r="W8" s="54" t="s">
        <v>177</v>
      </c>
      <c r="X8" s="54" t="s">
        <v>177</v>
      </c>
      <c r="Y8" s="54" t="s">
        <v>177</v>
      </c>
      <c r="Z8" s="54" t="s">
        <v>177</v>
      </c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46" ht="21" customHeight="1" x14ac:dyDescent="0.2">
      <c r="A9" s="9" t="s">
        <v>12</v>
      </c>
      <c r="B9" s="4">
        <v>6.5</v>
      </c>
      <c r="C9" s="7"/>
      <c r="D9" s="76" t="str">
        <f t="shared" si="2"/>
        <v/>
      </c>
      <c r="E9" s="77">
        <f>(C9-900000*F9)/100000*279</f>
        <v>0</v>
      </c>
      <c r="F9" s="8"/>
      <c r="G9" s="4">
        <v>11.7</v>
      </c>
      <c r="H9" s="1"/>
      <c r="I9" s="73" t="str">
        <f t="shared" si="0"/>
        <v/>
      </c>
      <c r="J9" s="74">
        <f>(H9-900000*K9)/100000*382</f>
        <v>0</v>
      </c>
      <c r="K9" s="44"/>
      <c r="L9" s="4">
        <v>14.6</v>
      </c>
      <c r="M9" s="14"/>
      <c r="N9" s="79" t="str">
        <f t="shared" si="1"/>
        <v/>
      </c>
      <c r="O9" s="80">
        <f>(M9-900000*P9)/100000*764</f>
        <v>0</v>
      </c>
      <c r="P9" s="45"/>
      <c r="Q9" s="4" t="s">
        <v>177</v>
      </c>
      <c r="R9" s="20" t="s">
        <v>177</v>
      </c>
      <c r="S9" s="20" t="s">
        <v>177</v>
      </c>
      <c r="T9" s="20" t="s">
        <v>177</v>
      </c>
      <c r="U9" s="47" t="s">
        <v>177</v>
      </c>
      <c r="V9" s="4" t="s">
        <v>177</v>
      </c>
      <c r="W9" s="55" t="s">
        <v>177</v>
      </c>
      <c r="X9" s="54" t="s">
        <v>177</v>
      </c>
      <c r="Y9" s="54" t="s">
        <v>177</v>
      </c>
      <c r="Z9" s="54" t="s">
        <v>177</v>
      </c>
      <c r="AA9" s="25"/>
      <c r="AB9" s="25"/>
      <c r="AC9" s="26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46" ht="21" customHeight="1" x14ac:dyDescent="0.2">
      <c r="A10" s="11" t="s">
        <v>13</v>
      </c>
      <c r="B10" s="4">
        <v>4.7</v>
      </c>
      <c r="C10" s="7"/>
      <c r="D10" s="76" t="str">
        <f t="shared" si="2"/>
        <v/>
      </c>
      <c r="E10" s="77">
        <f>(C10-900000*F10)/100000*126</f>
        <v>0</v>
      </c>
      <c r="F10" s="8"/>
      <c r="G10" s="4">
        <v>10.5</v>
      </c>
      <c r="H10" s="1"/>
      <c r="I10" s="73" t="str">
        <f t="shared" si="0"/>
        <v/>
      </c>
      <c r="J10" s="74">
        <f>(H10-900000*K10)/100000*262</f>
        <v>0</v>
      </c>
      <c r="K10" s="44"/>
      <c r="L10" s="4">
        <v>13.4</v>
      </c>
      <c r="M10" s="14"/>
      <c r="N10" s="79" t="str">
        <f t="shared" si="1"/>
        <v/>
      </c>
      <c r="O10" s="80">
        <f>(M10-900000*P10)/100000*433</f>
        <v>0</v>
      </c>
      <c r="P10" s="45"/>
      <c r="Q10" s="4">
        <v>15.2</v>
      </c>
      <c r="R10" s="21"/>
      <c r="S10" s="81" t="str">
        <f t="shared" ref="S10:S20" si="3">IF(R10="","",IF(AND(R10&gt;=960000,R10&lt;=999999),"V",IF(AND(R10&gt;=920000,R10&lt;=959999),"S",IF(AND(R10&gt;=880000,R10&lt;=919999),"A",IF(AND(R10&gt;=820000,R10&lt;=879999),"B",IF(AND(R10&gt;=700000,R10&lt;=819999),"C",IF(AND(R10&gt;=1,R10&lt;=699999),"F",IF(AND(R10=1000000),"φ",IF(AND(R10=0),"",R10)))))))))</f>
        <v/>
      </c>
      <c r="T10" s="82">
        <f>(R10-900000*U10)/100000*564</f>
        <v>0</v>
      </c>
      <c r="U10" s="46"/>
      <c r="V10" s="4" t="s">
        <v>177</v>
      </c>
      <c r="W10" s="54" t="s">
        <v>177</v>
      </c>
      <c r="X10" s="54" t="s">
        <v>177</v>
      </c>
      <c r="Y10" s="54" t="s">
        <v>177</v>
      </c>
      <c r="Z10" s="54" t="s">
        <v>177</v>
      </c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1:46" ht="21" customHeight="1" x14ac:dyDescent="0.2">
      <c r="A11" s="9" t="s">
        <v>14</v>
      </c>
      <c r="B11" s="4">
        <v>4.9000000000000004</v>
      </c>
      <c r="C11" s="7"/>
      <c r="D11" s="76" t="str">
        <f t="shared" si="2"/>
        <v/>
      </c>
      <c r="E11" s="77">
        <f>(C11-900000*F11)/100000*249</f>
        <v>0</v>
      </c>
      <c r="F11" s="8"/>
      <c r="G11" s="4">
        <v>8.4</v>
      </c>
      <c r="H11" s="1"/>
      <c r="I11" s="73" t="str">
        <f t="shared" si="0"/>
        <v/>
      </c>
      <c r="J11" s="74">
        <f>(H11-900000*K11)/100000*453</f>
        <v>0</v>
      </c>
      <c r="K11" s="44"/>
      <c r="L11" s="4">
        <v>12.8</v>
      </c>
      <c r="M11" s="14"/>
      <c r="N11" s="79" t="str">
        <f t="shared" si="1"/>
        <v/>
      </c>
      <c r="O11" s="80">
        <f>(M11-900000*P11)/100000*517</f>
        <v>0</v>
      </c>
      <c r="P11" s="45"/>
      <c r="Q11" s="4">
        <v>13.8</v>
      </c>
      <c r="R11" s="21"/>
      <c r="S11" s="81" t="str">
        <f t="shared" si="3"/>
        <v/>
      </c>
      <c r="T11" s="82">
        <f>(R11-900000*U11)/100000*532</f>
        <v>0</v>
      </c>
      <c r="U11" s="46"/>
      <c r="V11" s="4" t="s">
        <v>177</v>
      </c>
      <c r="W11" s="54" t="s">
        <v>177</v>
      </c>
      <c r="X11" s="54" t="s">
        <v>177</v>
      </c>
      <c r="Y11" s="54" t="s">
        <v>177</v>
      </c>
      <c r="Z11" s="54" t="s">
        <v>177</v>
      </c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1:46" ht="21" customHeight="1" x14ac:dyDescent="0.2">
      <c r="A12" s="9" t="s">
        <v>15</v>
      </c>
      <c r="B12" s="4">
        <v>6.7</v>
      </c>
      <c r="C12" s="7"/>
      <c r="D12" s="76" t="str">
        <f>IF(C12="","",IF(AND(C12&gt;=960000,C12&lt;=999999),"V",IF(AND(C12&gt;=920000,C12&lt;=959999),"S",IF(AND(C12&gt;=880000,C12&lt;=919999),"A",IF(AND(C12&gt;=820000,C12&lt;=879999),"B",IF(AND(C12&gt;=700000,C12&lt;=819999),"C",IF(AND(C12&gt;=1,C12&lt;=699999),"F",IF(AND(C12=1000000),"φ",IF(AND(C12=0),"",C12)))))))))</f>
        <v/>
      </c>
      <c r="E12" s="77">
        <f>(C12-900000*F12)/100000*401</f>
        <v>0</v>
      </c>
      <c r="F12" s="8"/>
      <c r="G12" s="4">
        <v>10.7</v>
      </c>
      <c r="H12" s="1"/>
      <c r="I12" s="73" t="str">
        <f t="shared" si="0"/>
        <v/>
      </c>
      <c r="J12" s="74">
        <f>(H12-900000*K12)/100000*696</f>
        <v>0</v>
      </c>
      <c r="K12" s="44"/>
      <c r="L12" s="4">
        <v>13.4</v>
      </c>
      <c r="M12" s="14"/>
      <c r="N12" s="79" t="str">
        <f t="shared" si="1"/>
        <v/>
      </c>
      <c r="O12" s="80">
        <f>(M12-900000*P12)/100000*733</f>
        <v>0</v>
      </c>
      <c r="P12" s="45"/>
      <c r="Q12" s="4">
        <v>13.4</v>
      </c>
      <c r="R12" s="21"/>
      <c r="S12" s="81" t="str">
        <f t="shared" si="3"/>
        <v/>
      </c>
      <c r="T12" s="82">
        <f>(R12-900000*U12)/100000*909</f>
        <v>0</v>
      </c>
      <c r="U12" s="46"/>
      <c r="V12" s="4" t="s">
        <v>177</v>
      </c>
      <c r="W12" s="54" t="s">
        <v>177</v>
      </c>
      <c r="X12" s="54" t="s">
        <v>177</v>
      </c>
      <c r="Y12" s="54" t="s">
        <v>177</v>
      </c>
      <c r="Z12" s="54" t="s">
        <v>177</v>
      </c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1:46" ht="21" customHeight="1" x14ac:dyDescent="0.2">
      <c r="A13" s="9" t="s">
        <v>16</v>
      </c>
      <c r="B13" s="4">
        <v>5.3</v>
      </c>
      <c r="C13" s="7"/>
      <c r="D13" s="76" t="str">
        <f>IF(C13="","",IF(AND(C13&gt;=960000,C13&lt;=999999),"V",IF(AND(C13&gt;=920000,C13&lt;=959999),"S",IF(AND(C13&gt;=880000,C13&lt;=919999),"A",IF(AND(C13&gt;=820000,C13&lt;=879999),"B",IF(AND(C13&gt;=700000,C13&lt;=819999),"C",IF(AND(C13&gt;=1,C13&lt;=699999),"F",IF(AND(C13=1000000),"φ",IF(AND(C13=0),"",C13)))))))))</f>
        <v/>
      </c>
      <c r="E13" s="77">
        <f>(C13-900000*F13)/100000*290</f>
        <v>0</v>
      </c>
      <c r="F13" s="8"/>
      <c r="G13" s="4">
        <v>11.4</v>
      </c>
      <c r="H13" s="1"/>
      <c r="I13" s="73" t="str">
        <f t="shared" si="0"/>
        <v/>
      </c>
      <c r="J13" s="74">
        <f>(H13-900000*K13)/100000*602</f>
        <v>0</v>
      </c>
      <c r="K13" s="44"/>
      <c r="L13" s="4">
        <v>14.8</v>
      </c>
      <c r="M13" s="14"/>
      <c r="N13" s="79" t="str">
        <f t="shared" si="1"/>
        <v/>
      </c>
      <c r="O13" s="80">
        <f>(M13-900000*P13)/100000*978</f>
        <v>0</v>
      </c>
      <c r="P13" s="45"/>
      <c r="Q13" s="4">
        <v>13.9</v>
      </c>
      <c r="R13" s="21"/>
      <c r="S13" s="81" t="str">
        <f t="shared" si="3"/>
        <v/>
      </c>
      <c r="T13" s="82">
        <f>(R13-900000*U13)/100000*753</f>
        <v>0</v>
      </c>
      <c r="U13" s="46"/>
      <c r="V13" s="4" t="s">
        <v>177</v>
      </c>
      <c r="W13" s="54" t="s">
        <v>177</v>
      </c>
      <c r="X13" s="54" t="s">
        <v>177</v>
      </c>
      <c r="Y13" s="54" t="s">
        <v>177</v>
      </c>
      <c r="Z13" s="54" t="s">
        <v>177</v>
      </c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spans="1:46" ht="21" customHeight="1" x14ac:dyDescent="0.2">
      <c r="A14" s="9" t="s">
        <v>17</v>
      </c>
      <c r="B14" s="4">
        <v>6.8</v>
      </c>
      <c r="C14" s="7"/>
      <c r="D14" s="76" t="str">
        <f t="shared" ref="D14" si="4">IF(C14="","",IF(AND(C14&gt;=960000,C14&lt;=999999),"V",IF(AND(C14&gt;=920000,C14&lt;=959999),"S",IF(AND(C14&gt;=880000,C14&lt;=919999),"A",IF(AND(C14&gt;=820000,C14&lt;=879999),"B",IF(AND(C14&gt;=700000,C14&lt;=819999),"C",IF(AND(C14&gt;=1,C14&lt;=699999),"F",IF(AND(C14=1000000),"φ",IF(AND(C14=0),"",C14)))))))))</f>
        <v/>
      </c>
      <c r="E14" s="77">
        <f>(C14-900000*F14)/100000*380</f>
        <v>0</v>
      </c>
      <c r="F14" s="8"/>
      <c r="G14" s="4">
        <v>10.8</v>
      </c>
      <c r="H14" s="1"/>
      <c r="I14" s="73" t="str">
        <f t="shared" si="0"/>
        <v/>
      </c>
      <c r="J14" s="74">
        <f>(H14-900000*K14)/100000*526</f>
        <v>0</v>
      </c>
      <c r="K14" s="44"/>
      <c r="L14" s="4">
        <v>14.7</v>
      </c>
      <c r="M14" s="14"/>
      <c r="N14" s="79" t="str">
        <f t="shared" si="1"/>
        <v/>
      </c>
      <c r="O14" s="80">
        <f>(M14-900000*P14)/100000*969</f>
        <v>0</v>
      </c>
      <c r="P14" s="45"/>
      <c r="Q14" s="4" t="s">
        <v>177</v>
      </c>
      <c r="R14" s="20" t="s">
        <v>177</v>
      </c>
      <c r="S14" s="20" t="s">
        <v>177</v>
      </c>
      <c r="T14" s="20" t="s">
        <v>177</v>
      </c>
      <c r="U14" s="47" t="s">
        <v>177</v>
      </c>
      <c r="V14" s="4" t="s">
        <v>177</v>
      </c>
      <c r="W14" s="54" t="s">
        <v>177</v>
      </c>
      <c r="X14" s="54" t="s">
        <v>177</v>
      </c>
      <c r="Y14" s="54" t="s">
        <v>177</v>
      </c>
      <c r="Z14" s="54" t="s">
        <v>177</v>
      </c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1:46" ht="21" customHeight="1" x14ac:dyDescent="0.2">
      <c r="A15" s="12" t="s">
        <v>18</v>
      </c>
      <c r="B15" s="4">
        <v>4.0999999999999996</v>
      </c>
      <c r="C15" s="7"/>
      <c r="D15" s="76" t="str">
        <f>IF(C15="","",IF(AND(C15&gt;=960000,C15&lt;=999999),"V",IF(AND(C15&gt;=920000,C15&lt;=959999),"S",IF(AND(C15&gt;=880000,C15&lt;=919999),"A",IF(AND(C15&gt;=820000,C15&lt;=879999),"B",IF(AND(C15&gt;=700000,C15&lt;=819999),"C",IF(AND(C15&gt;=1,C15&lt;=699999),"F",IF(AND(C15=1000000),"φ",IF(AND(C15=0),"",C15)))))))))</f>
        <v/>
      </c>
      <c r="E15" s="77">
        <f>(C15-900000*F15)/100000*165</f>
        <v>0</v>
      </c>
      <c r="F15" s="8"/>
      <c r="G15" s="4">
        <v>11.3</v>
      </c>
      <c r="H15" s="1"/>
      <c r="I15" s="73" t="str">
        <f t="shared" si="0"/>
        <v/>
      </c>
      <c r="J15" s="74">
        <f>(H15-900000*K15)/100000*537</f>
        <v>0</v>
      </c>
      <c r="K15" s="44"/>
      <c r="L15" s="4">
        <v>14.8</v>
      </c>
      <c r="M15" s="14"/>
      <c r="N15" s="79" t="str">
        <f t="shared" si="1"/>
        <v/>
      </c>
      <c r="O15" s="80">
        <f>(M15-900000*P15)/100000*843</f>
        <v>0</v>
      </c>
      <c r="P15" s="45"/>
      <c r="Q15" s="4" t="s">
        <v>177</v>
      </c>
      <c r="R15" s="20" t="s">
        <v>177</v>
      </c>
      <c r="S15" s="20" t="s">
        <v>177</v>
      </c>
      <c r="T15" s="20" t="s">
        <v>177</v>
      </c>
      <c r="U15" s="47" t="s">
        <v>177</v>
      </c>
      <c r="V15" s="4" t="s">
        <v>177</v>
      </c>
      <c r="W15" s="54" t="s">
        <v>177</v>
      </c>
      <c r="X15" s="56" t="s">
        <v>177</v>
      </c>
      <c r="Y15" s="54" t="s">
        <v>177</v>
      </c>
      <c r="Z15" s="54" t="s">
        <v>177</v>
      </c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6" ht="21" customHeight="1" x14ac:dyDescent="0.2">
      <c r="A16" s="9" t="s">
        <v>19</v>
      </c>
      <c r="B16" s="4">
        <v>5.6</v>
      </c>
      <c r="C16" s="7"/>
      <c r="D16" s="76" t="str">
        <f t="shared" ref="D16:D19" si="5">IF(C16="","",IF(AND(C16&gt;=960000,C16&lt;=999999),"V",IF(AND(C16&gt;=920000,C16&lt;=959999),"S",IF(AND(C16&gt;=880000,C16&lt;=919999),"A",IF(AND(C16&gt;=820000,C16&lt;=879999),"B",IF(AND(C16&gt;=700000,C16&lt;=819999),"C",IF(AND(C16&gt;=1,C16&lt;=699999),"F",IF(AND(C16=1000000),"φ",IF(AND(C16=0),"",C16)))))))))</f>
        <v/>
      </c>
      <c r="E16" s="77">
        <f>(C16-900000*F16)/100000*182</f>
        <v>0</v>
      </c>
      <c r="F16" s="8"/>
      <c r="G16" s="4">
        <v>8.8000000000000007</v>
      </c>
      <c r="H16" s="1"/>
      <c r="I16" s="73" t="str">
        <f t="shared" si="0"/>
        <v/>
      </c>
      <c r="J16" s="74">
        <f>(H16-900000*K16)/100000*382</f>
        <v>0</v>
      </c>
      <c r="K16" s="44"/>
      <c r="L16" s="4">
        <v>12.6</v>
      </c>
      <c r="M16" s="14"/>
      <c r="N16" s="79" t="str">
        <f t="shared" si="1"/>
        <v/>
      </c>
      <c r="O16" s="80">
        <f>(M16-900000*P16)/100000*651</f>
        <v>0</v>
      </c>
      <c r="P16" s="45"/>
      <c r="Q16" s="4">
        <v>12.9</v>
      </c>
      <c r="R16" s="21"/>
      <c r="S16" s="81" t="str">
        <f t="shared" si="3"/>
        <v/>
      </c>
      <c r="T16" s="82">
        <f>(R16-900000*U16)/100000*651</f>
        <v>0</v>
      </c>
      <c r="U16" s="46"/>
      <c r="V16" s="4" t="s">
        <v>177</v>
      </c>
      <c r="W16" s="54" t="s">
        <v>177</v>
      </c>
      <c r="X16" s="54" t="s">
        <v>177</v>
      </c>
      <c r="Y16" s="54" t="s">
        <v>177</v>
      </c>
      <c r="Z16" s="54" t="s">
        <v>177</v>
      </c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ht="21" customHeight="1" x14ac:dyDescent="0.2">
      <c r="A17" s="9" t="s">
        <v>20</v>
      </c>
      <c r="B17" s="4">
        <v>4.4000000000000004</v>
      </c>
      <c r="C17" s="7"/>
      <c r="D17" s="76" t="str">
        <f t="shared" si="5"/>
        <v/>
      </c>
      <c r="E17" s="77">
        <f>(C17-900000*F17)/100000*419</f>
        <v>0</v>
      </c>
      <c r="F17" s="8"/>
      <c r="G17" s="4">
        <v>11.8</v>
      </c>
      <c r="H17" s="1"/>
      <c r="I17" s="73" t="str">
        <f t="shared" si="0"/>
        <v/>
      </c>
      <c r="J17" s="74">
        <f>(H17-900000*K17)/100000*692</f>
        <v>0</v>
      </c>
      <c r="K17" s="44"/>
      <c r="L17" s="4">
        <v>14.9</v>
      </c>
      <c r="M17" s="14"/>
      <c r="N17" s="79" t="str">
        <f t="shared" si="1"/>
        <v/>
      </c>
      <c r="O17" s="80">
        <f>(M17-900000*P17)/100000*817</f>
        <v>0</v>
      </c>
      <c r="P17" s="45"/>
      <c r="Q17" s="4">
        <v>13.9</v>
      </c>
      <c r="R17" s="21"/>
      <c r="S17" s="81" t="str">
        <f t="shared" si="3"/>
        <v/>
      </c>
      <c r="T17" s="82">
        <f>(R17-900000*U17)/100000*817</f>
        <v>0</v>
      </c>
      <c r="U17" s="46"/>
      <c r="V17" s="4" t="s">
        <v>177</v>
      </c>
      <c r="W17" s="54" t="s">
        <v>177</v>
      </c>
      <c r="X17" s="56" t="s">
        <v>177</v>
      </c>
      <c r="Y17" s="54" t="s">
        <v>177</v>
      </c>
      <c r="Z17" s="54" t="s">
        <v>177</v>
      </c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</row>
    <row r="18" spans="1:46" ht="21" customHeight="1" x14ac:dyDescent="0.2">
      <c r="A18" s="9" t="s">
        <v>21</v>
      </c>
      <c r="B18" s="4">
        <v>6.9</v>
      </c>
      <c r="C18" s="7"/>
      <c r="D18" s="76" t="str">
        <f t="shared" si="5"/>
        <v/>
      </c>
      <c r="E18" s="77">
        <f>(C18-900000*F18)/100000*470</f>
        <v>0</v>
      </c>
      <c r="F18" s="8"/>
      <c r="G18" s="4">
        <v>10.5</v>
      </c>
      <c r="H18" s="1"/>
      <c r="I18" s="73" t="str">
        <f t="shared" si="0"/>
        <v/>
      </c>
      <c r="J18" s="74">
        <f>(H18-900000*K18)/100000*703</f>
        <v>0</v>
      </c>
      <c r="K18" s="44"/>
      <c r="L18" s="4">
        <v>14.8</v>
      </c>
      <c r="M18" s="14"/>
      <c r="N18" s="79" t="str">
        <f t="shared" si="1"/>
        <v/>
      </c>
      <c r="O18" s="80">
        <f>(M18-900000*P18)/100000*898</f>
        <v>0</v>
      </c>
      <c r="P18" s="45"/>
      <c r="Q18" s="4" t="s">
        <v>177</v>
      </c>
      <c r="R18" s="20" t="s">
        <v>177</v>
      </c>
      <c r="S18" s="20" t="s">
        <v>177</v>
      </c>
      <c r="T18" s="20" t="s">
        <v>177</v>
      </c>
      <c r="U18" s="47" t="s">
        <v>177</v>
      </c>
      <c r="V18" s="4" t="s">
        <v>177</v>
      </c>
      <c r="W18" s="54" t="s">
        <v>177</v>
      </c>
      <c r="X18" s="54" t="s">
        <v>177</v>
      </c>
      <c r="Y18" s="54" t="s">
        <v>177</v>
      </c>
      <c r="Z18" s="54" t="s">
        <v>177</v>
      </c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</row>
    <row r="19" spans="1:46" ht="21" customHeight="1" x14ac:dyDescent="0.2">
      <c r="A19" s="9" t="s">
        <v>22</v>
      </c>
      <c r="B19" s="4">
        <v>4.5</v>
      </c>
      <c r="C19" s="7"/>
      <c r="D19" s="76" t="str">
        <f t="shared" si="5"/>
        <v/>
      </c>
      <c r="E19" s="77">
        <f>(C19-900000*F19)/100000*250</f>
        <v>0</v>
      </c>
      <c r="F19" s="8"/>
      <c r="G19" s="4">
        <v>11.9</v>
      </c>
      <c r="H19" s="1"/>
      <c r="I19" s="73" t="str">
        <f t="shared" si="0"/>
        <v/>
      </c>
      <c r="J19" s="74">
        <f>(H19-900000*K19)/100000*698</f>
        <v>0</v>
      </c>
      <c r="K19" s="44"/>
      <c r="L19" s="4">
        <v>15.2</v>
      </c>
      <c r="M19" s="14"/>
      <c r="N19" s="79" t="str">
        <f t="shared" si="1"/>
        <v/>
      </c>
      <c r="O19" s="80">
        <f>(M19-900000*P19)/100000*941</f>
        <v>0</v>
      </c>
      <c r="P19" s="45"/>
      <c r="Q19" s="4">
        <v>14.6</v>
      </c>
      <c r="R19" s="21"/>
      <c r="S19" s="81" t="str">
        <f t="shared" si="3"/>
        <v/>
      </c>
      <c r="T19" s="82">
        <f>(R19-900000*U19)/100000*961</f>
        <v>0</v>
      </c>
      <c r="U19" s="46"/>
      <c r="V19" s="4" t="s">
        <v>177</v>
      </c>
      <c r="W19" s="54" t="s">
        <v>177</v>
      </c>
      <c r="X19" s="54" t="s">
        <v>177</v>
      </c>
      <c r="Y19" s="54" t="s">
        <v>177</v>
      </c>
      <c r="Z19" s="54" t="s">
        <v>177</v>
      </c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</row>
    <row r="20" spans="1:46" ht="21" customHeight="1" x14ac:dyDescent="0.2">
      <c r="A20" s="13" t="s">
        <v>23</v>
      </c>
      <c r="B20" s="4">
        <v>5.8</v>
      </c>
      <c r="C20" s="7"/>
      <c r="D20" s="76" t="str">
        <f>IF(C20="","",IF(AND(C20&gt;=960000,C20&lt;=999999),"V",IF(AND(C20&gt;=920000,C20&lt;=959999),"S",IF(AND(C20&gt;=880000,C20&lt;=919999),"A",IF(AND(C20&gt;=820000,C20&lt;=879999),"B",IF(AND(C20&gt;=700000,C20&lt;=819999),"C",IF(AND(C20&gt;=1,C20&lt;=699999),"F",IF(AND(C20=1000000),"φ",IF(AND(C20=0),"",C20)))))))))</f>
        <v/>
      </c>
      <c r="E20" s="77">
        <f>(C20-900000*F20)/100000*221</f>
        <v>0</v>
      </c>
      <c r="F20" s="8"/>
      <c r="G20" s="4">
        <v>10.5</v>
      </c>
      <c r="H20" s="1"/>
      <c r="I20" s="73" t="str">
        <f t="shared" si="0"/>
        <v/>
      </c>
      <c r="J20" s="74">
        <f>(H20-900000*K20)/100000*604</f>
        <v>0</v>
      </c>
      <c r="K20" s="44"/>
      <c r="L20" s="4">
        <v>15.8</v>
      </c>
      <c r="M20" s="14"/>
      <c r="N20" s="79" t="str">
        <f t="shared" si="1"/>
        <v/>
      </c>
      <c r="O20" s="80">
        <f>(M20-900000*P20)/100000*1235</f>
        <v>0</v>
      </c>
      <c r="P20" s="45"/>
      <c r="Q20" s="4">
        <v>15.8</v>
      </c>
      <c r="R20" s="21"/>
      <c r="S20" s="81" t="str">
        <f t="shared" si="3"/>
        <v/>
      </c>
      <c r="T20" s="82">
        <f>(R20-900000*U20)/100000*1028</f>
        <v>0</v>
      </c>
      <c r="U20" s="46"/>
      <c r="V20" s="4" t="s">
        <v>177</v>
      </c>
      <c r="W20" s="54" t="s">
        <v>177</v>
      </c>
      <c r="X20" s="54" t="s">
        <v>177</v>
      </c>
      <c r="Y20" s="54" t="s">
        <v>177</v>
      </c>
      <c r="Z20" s="54" t="s">
        <v>177</v>
      </c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</row>
    <row r="21" spans="1:46" ht="16.5" customHeight="1" x14ac:dyDescent="0.2">
      <c r="A21" s="121" t="s">
        <v>24</v>
      </c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3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</row>
    <row r="22" spans="1:46" ht="21" customHeight="1" x14ac:dyDescent="0.2">
      <c r="A22" s="13" t="s">
        <v>25</v>
      </c>
      <c r="B22" s="4">
        <v>3.9</v>
      </c>
      <c r="C22" s="7"/>
      <c r="D22" s="76" t="str">
        <f>IF(C22="","",IF(AND(C22&gt;=960000,C22&lt;=999999),"V",IF(AND(C22&gt;=920000,C22&lt;=959999),"S",IF(AND(C22&gt;=880000,C22&lt;=919999),"A",IF(AND(C22&gt;=820000,C22&lt;=879999),"B",IF(AND(C22&gt;=700000,C22&lt;=819999),"C",IF(AND(C22&gt;=1,C22&lt;=699999),"F",IF(AND(C22=1000000),"φ",IF(AND(C22=0),"",C22)))))))))</f>
        <v/>
      </c>
      <c r="E22" s="77">
        <f>(C22-900000*F22)/100000*159</f>
        <v>0</v>
      </c>
      <c r="F22" s="8"/>
      <c r="G22" s="4">
        <v>8.5</v>
      </c>
      <c r="H22" s="1"/>
      <c r="I22" s="73" t="str">
        <f t="shared" si="0"/>
        <v/>
      </c>
      <c r="J22" s="74">
        <f>(H22-900000*K22)/100000*334</f>
        <v>0</v>
      </c>
      <c r="K22" s="1"/>
      <c r="L22" s="4">
        <v>12.5</v>
      </c>
      <c r="M22" s="14"/>
      <c r="N22" s="79" t="str">
        <f>IF(M22="","",IF(AND(M22&gt;=960000,M22&lt;=999999),"V",IF(AND(M22&gt;=920000,M22&lt;=959999),"S",IF(AND(M22&gt;=880000,M22&lt;=919999),"A",IF(AND(M22&gt;=820000,M22&lt;=879999),"B",IF(AND(M22&gt;=700000,M22&lt;=819999),"C",IF(AND(M22&gt;=1,M22&lt;=699999),"F",IF(AND(M22=1000000),"φ",IF(AND(M22=0),"",M22)))))))))</f>
        <v/>
      </c>
      <c r="O22" s="80">
        <f>(M22-900000*P22)/100000*485</f>
        <v>0</v>
      </c>
      <c r="P22" s="14"/>
      <c r="Q22" s="4" t="s">
        <v>177</v>
      </c>
      <c r="R22" s="20" t="s">
        <v>177</v>
      </c>
      <c r="S22" s="20" t="s">
        <v>177</v>
      </c>
      <c r="T22" s="20" t="s">
        <v>177</v>
      </c>
      <c r="U22" s="20" t="s">
        <v>177</v>
      </c>
      <c r="V22" s="4" t="s">
        <v>177</v>
      </c>
      <c r="W22" s="20" t="s">
        <v>177</v>
      </c>
      <c r="X22" s="20" t="s">
        <v>177</v>
      </c>
      <c r="Y22" s="20" t="s">
        <v>177</v>
      </c>
      <c r="Z22" s="20" t="s">
        <v>177</v>
      </c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</row>
    <row r="23" spans="1:46" ht="21" customHeight="1" x14ac:dyDescent="0.2">
      <c r="A23" s="13" t="s">
        <v>26</v>
      </c>
      <c r="B23" s="4">
        <v>4.5</v>
      </c>
      <c r="C23" s="7"/>
      <c r="D23" s="76" t="str">
        <f t="shared" ref="D23:D92" si="6">IF(C23="","",IF(AND(C23&gt;=960000,C23&lt;=999999),"V",IF(AND(C23&gt;=920000,C23&lt;=959999),"S",IF(AND(C23&gt;=880000,C23&lt;=919999),"A",IF(AND(C23&gt;=820000,C23&lt;=879999),"B",IF(AND(C23&gt;=700000,C23&lt;=819999),"C",IF(AND(C23&gt;=1,C23&lt;=699999),"F",IF(AND(C23=1000000),"φ",IF(AND(C23=0),"",C23)))))))))</f>
        <v/>
      </c>
      <c r="E23" s="77">
        <f>(C23-900000*F23)/100000*612</f>
        <v>0</v>
      </c>
      <c r="F23" s="8"/>
      <c r="G23" s="4">
        <v>8.9</v>
      </c>
      <c r="H23" s="1"/>
      <c r="I23" s="73" t="str">
        <f t="shared" si="0"/>
        <v/>
      </c>
      <c r="J23" s="74">
        <f>(H23-900000*K23)/100000*801</f>
        <v>0</v>
      </c>
      <c r="K23" s="1"/>
      <c r="L23" s="4">
        <v>13.5</v>
      </c>
      <c r="M23" s="14"/>
      <c r="N23" s="79" t="str">
        <f t="shared" ref="N23:N25" si="7">IF(M23="","",IF(AND(M23&gt;=960000,M23&lt;=999999),"V",IF(AND(M23&gt;=920000,M23&lt;=959999),"S",IF(AND(M23&gt;=880000,M23&lt;=919999),"A",IF(AND(M23&gt;=820000,M23&lt;=879999),"B",IF(AND(M23&gt;=700000,M23&lt;=819999),"C",IF(AND(M23&gt;=1,M23&lt;=699999),"F",IF(AND(M23=1000000),"φ",IF(AND(M23=0),"",M23)))))))))</f>
        <v/>
      </c>
      <c r="O23" s="80">
        <f>(M23-900000*P23)/100000*1194</f>
        <v>0</v>
      </c>
      <c r="P23" s="14"/>
      <c r="Q23" s="4" t="s">
        <v>177</v>
      </c>
      <c r="R23" s="20" t="s">
        <v>177</v>
      </c>
      <c r="S23" s="20" t="s">
        <v>177</v>
      </c>
      <c r="T23" s="20" t="s">
        <v>177</v>
      </c>
      <c r="U23" s="20" t="s">
        <v>177</v>
      </c>
      <c r="V23" s="4" t="s">
        <v>177</v>
      </c>
      <c r="W23" s="20" t="s">
        <v>177</v>
      </c>
      <c r="X23" s="20" t="s">
        <v>177</v>
      </c>
      <c r="Y23" s="20" t="s">
        <v>177</v>
      </c>
      <c r="Z23" s="20" t="s">
        <v>177</v>
      </c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</row>
    <row r="24" spans="1:46" ht="21" customHeight="1" x14ac:dyDescent="0.2">
      <c r="A24" s="13" t="s">
        <v>27</v>
      </c>
      <c r="B24" s="4">
        <v>4.5999999999999996</v>
      </c>
      <c r="C24" s="7"/>
      <c r="D24" s="76" t="str">
        <f t="shared" si="6"/>
        <v/>
      </c>
      <c r="E24" s="77">
        <f>(C24-900000*F24)/100000*302</f>
        <v>0</v>
      </c>
      <c r="F24" s="8"/>
      <c r="G24" s="4">
        <v>7.7</v>
      </c>
      <c r="H24" s="1"/>
      <c r="I24" s="73" t="str">
        <f t="shared" si="0"/>
        <v/>
      </c>
      <c r="J24" s="74">
        <f>(H24-900000*K24)/100000*532</f>
        <v>0</v>
      </c>
      <c r="K24" s="1"/>
      <c r="L24" s="4">
        <v>13.4</v>
      </c>
      <c r="M24" s="14"/>
      <c r="N24" s="79" t="str">
        <f t="shared" si="7"/>
        <v/>
      </c>
      <c r="O24" s="80">
        <f>(M24-900000*P24)/100000*914</f>
        <v>0</v>
      </c>
      <c r="P24" s="14"/>
      <c r="Q24" s="4" t="s">
        <v>177</v>
      </c>
      <c r="R24" s="20" t="s">
        <v>177</v>
      </c>
      <c r="S24" s="20" t="s">
        <v>177</v>
      </c>
      <c r="T24" s="20" t="s">
        <v>177</v>
      </c>
      <c r="U24" s="20" t="s">
        <v>177</v>
      </c>
      <c r="V24" s="4" t="s">
        <v>177</v>
      </c>
      <c r="W24" s="20" t="s">
        <v>177</v>
      </c>
      <c r="X24" s="20" t="s">
        <v>177</v>
      </c>
      <c r="Y24" s="20" t="s">
        <v>177</v>
      </c>
      <c r="Z24" s="20" t="s">
        <v>177</v>
      </c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spans="1:46" ht="21" customHeight="1" x14ac:dyDescent="0.2">
      <c r="A25" s="13" t="s">
        <v>28</v>
      </c>
      <c r="B25" s="4">
        <v>4.7</v>
      </c>
      <c r="C25" s="7"/>
      <c r="D25" s="76" t="str">
        <f t="shared" si="6"/>
        <v/>
      </c>
      <c r="E25" s="77">
        <f>(C25-900000*F25)/100000*190</f>
        <v>0</v>
      </c>
      <c r="F25" s="8"/>
      <c r="G25" s="4">
        <v>9.3000000000000007</v>
      </c>
      <c r="H25" s="1"/>
      <c r="I25" s="73" t="str">
        <f t="shared" si="0"/>
        <v/>
      </c>
      <c r="J25" s="74">
        <f>(H25-900000*K25)/100000*319</f>
        <v>0</v>
      </c>
      <c r="K25" s="1"/>
      <c r="L25" s="4">
        <v>14.2</v>
      </c>
      <c r="M25" s="14"/>
      <c r="N25" s="79" t="str">
        <f t="shared" si="7"/>
        <v/>
      </c>
      <c r="O25" s="80">
        <f>(M25-900000*P25)/100000*689</f>
        <v>0</v>
      </c>
      <c r="P25" s="14"/>
      <c r="Q25" s="4">
        <v>13.5</v>
      </c>
      <c r="R25" s="21"/>
      <c r="S25" s="81" t="str">
        <f>IF(R25="","",IF(AND(R25&gt;=960000,R25&lt;=999999),"V",IF(AND(R25&gt;=920000,R25&lt;=959999),"S",IF(AND(R25&gt;=880000,R25&lt;=919999),"A",IF(AND(R25&gt;=820000,R25&lt;=879999),"B",IF(AND(R25&gt;=700000,R25&lt;=819999),"C",IF(AND(R25&gt;=1,R25&lt;=699999),"F",IF(AND(R25=1000000),"φ",IF(AND(R25=0),"",R25)))))))))</f>
        <v/>
      </c>
      <c r="T25" s="82">
        <f>(R25-900000*U25)/100000*762</f>
        <v>0</v>
      </c>
      <c r="U25" s="21"/>
      <c r="V25" s="4" t="s">
        <v>177</v>
      </c>
      <c r="W25" s="20" t="s">
        <v>177</v>
      </c>
      <c r="X25" s="20" t="s">
        <v>177</v>
      </c>
      <c r="Y25" s="20" t="s">
        <v>177</v>
      </c>
      <c r="Z25" s="20" t="s">
        <v>177</v>
      </c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</row>
    <row r="26" spans="1:46" ht="21" customHeight="1" x14ac:dyDescent="0.2">
      <c r="A26" s="28" t="s">
        <v>29</v>
      </c>
      <c r="B26" s="4">
        <v>5.9</v>
      </c>
      <c r="C26" s="7"/>
      <c r="D26" s="76" t="str">
        <f t="shared" si="6"/>
        <v/>
      </c>
      <c r="E26" s="77">
        <f>(C26-900000*F26)/100000*190</f>
        <v>0</v>
      </c>
      <c r="F26" s="8"/>
      <c r="G26" s="4">
        <v>10.7</v>
      </c>
      <c r="H26" s="1"/>
      <c r="I26" s="73" t="str">
        <f t="shared" si="0"/>
        <v/>
      </c>
      <c r="J26" s="74">
        <f>(H26-900000*K26)/100000*468</f>
        <v>0</v>
      </c>
      <c r="K26" s="1"/>
      <c r="L26" s="4">
        <v>14.8</v>
      </c>
      <c r="M26" s="14"/>
      <c r="N26" s="79" t="str">
        <f>IF(M26="","",IF(AND(M26&gt;=960000,M26&lt;=999999),"V",IF(AND(M26&gt;=920000,M26&lt;=959999),"S",IF(AND(M26&gt;=880000,M26&lt;=919999),"A",IF(AND(M26&gt;=820000,M26&lt;=879999),"B",IF(AND(M26&gt;=700000,M26&lt;=819999),"C",IF(AND(M26&gt;=1,M26&lt;=699999),"F",IF(AND(M26=1000000),"φ",IF(AND(M26=0),"",M26)))))))))</f>
        <v/>
      </c>
      <c r="O26" s="80">
        <f>(M26-900000*P26)/100000*750</f>
        <v>0</v>
      </c>
      <c r="P26" s="14"/>
      <c r="Q26" s="4">
        <v>14.8</v>
      </c>
      <c r="R26" s="21"/>
      <c r="S26" s="81" t="str">
        <f>IF(R26="","",IF(AND(R26&gt;=960000,R26&lt;=999999),"V",IF(AND(R26&gt;=920000,R26&lt;=959999),"S",IF(AND(R26&gt;=880000,R26&lt;=919999),"A",IF(AND(R26&gt;=820000,R26&lt;=879999),"B",IF(AND(R26&gt;=700000,R26&lt;=819999),"C",IF(AND(R26&gt;=1,R26&lt;=699999),"F",IF(AND(R26=1000000),"φ",IF(AND(R26=0),"",R26)))))))))</f>
        <v/>
      </c>
      <c r="T26" s="82">
        <f>(R26-900000*U26)/100000*615</f>
        <v>0</v>
      </c>
      <c r="U26" s="21"/>
      <c r="V26" s="4" t="s">
        <v>177</v>
      </c>
      <c r="W26" s="20" t="s">
        <v>177</v>
      </c>
      <c r="X26" s="20" t="s">
        <v>177</v>
      </c>
      <c r="Y26" s="20" t="s">
        <v>177</v>
      </c>
      <c r="Z26" s="20" t="s">
        <v>177</v>
      </c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1:46" ht="16.5" customHeight="1" x14ac:dyDescent="0.2">
      <c r="A27" s="121" t="s">
        <v>223</v>
      </c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3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1:46" ht="21" customHeight="1" x14ac:dyDescent="0.2">
      <c r="A28" s="9" t="s">
        <v>30</v>
      </c>
      <c r="B28" s="4">
        <v>1.8</v>
      </c>
      <c r="C28" s="7"/>
      <c r="D28" s="76" t="str">
        <f t="shared" si="6"/>
        <v/>
      </c>
      <c r="E28" s="77">
        <f>(C28-900000*F28)/100000*122</f>
        <v>0</v>
      </c>
      <c r="F28" s="8"/>
      <c r="G28" s="4">
        <v>8.6</v>
      </c>
      <c r="H28" s="1"/>
      <c r="I28" s="73" t="str">
        <f t="shared" si="0"/>
        <v/>
      </c>
      <c r="J28" s="74">
        <f>(H28-900000*K28)/100000*428</f>
        <v>0</v>
      </c>
      <c r="K28" s="1"/>
      <c r="L28" s="4">
        <v>12.9</v>
      </c>
      <c r="M28" s="14"/>
      <c r="N28" s="79" t="str">
        <f>IF(M28="","",IF(AND(M28&gt;=960000,M28&lt;=999999),"V",IF(AND(M28&gt;=920000,M28&lt;=959999),"S",IF(AND(M28&gt;=880000,M28&lt;=919999),"A",IF(AND(M28&gt;=820000,M28&lt;=879999),"B",IF(AND(M28&gt;=700000,M28&lt;=819999),"C",IF(AND(M28&gt;=1,M28&lt;=699999),"F",IF(AND(M28=1000000),"φ",IF(AND(M28=0),"",M28)))))))))</f>
        <v/>
      </c>
      <c r="O28" s="80">
        <f>(M28-900000*P28)/100000*666</f>
        <v>0</v>
      </c>
      <c r="P28" s="14"/>
      <c r="Q28" s="4" t="s">
        <v>177</v>
      </c>
      <c r="R28" s="20" t="s">
        <v>177</v>
      </c>
      <c r="S28" s="20" t="s">
        <v>177</v>
      </c>
      <c r="T28" s="20" t="s">
        <v>177</v>
      </c>
      <c r="U28" s="20" t="s">
        <v>177</v>
      </c>
      <c r="V28" s="4" t="s">
        <v>177</v>
      </c>
      <c r="W28" s="20" t="s">
        <v>177</v>
      </c>
      <c r="X28" s="20" t="s">
        <v>177</v>
      </c>
      <c r="Y28" s="20" t="s">
        <v>177</v>
      </c>
      <c r="Z28" s="20" t="s">
        <v>177</v>
      </c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</row>
    <row r="29" spans="1:46" ht="21" customHeight="1" x14ac:dyDescent="0.2">
      <c r="A29" s="29" t="s">
        <v>31</v>
      </c>
      <c r="B29" s="4">
        <v>3.2</v>
      </c>
      <c r="C29" s="7"/>
      <c r="D29" s="76" t="str">
        <f t="shared" si="6"/>
        <v/>
      </c>
      <c r="E29" s="77">
        <f>(C29-900000*F29)/100000*262</f>
        <v>0</v>
      </c>
      <c r="F29" s="8"/>
      <c r="G29" s="4">
        <v>8.6999999999999993</v>
      </c>
      <c r="H29" s="1"/>
      <c r="I29" s="73" t="str">
        <f t="shared" si="0"/>
        <v/>
      </c>
      <c r="J29" s="74">
        <f>(H29-900000*K29)/100000*593</f>
        <v>0</v>
      </c>
      <c r="K29" s="1"/>
      <c r="L29" s="4">
        <v>13.3</v>
      </c>
      <c r="M29" s="14"/>
      <c r="N29" s="79" t="str">
        <f t="shared" ref="N29:N92" si="8">IF(M29="","",IF(AND(M29&gt;=960000,M29&lt;=999999),"V",IF(AND(M29&gt;=920000,M29&lt;=959999),"S",IF(AND(M29&gt;=880000,M29&lt;=919999),"A",IF(AND(M29&gt;=820000,M29&lt;=879999),"B",IF(AND(M29&gt;=700000,M29&lt;=819999),"C",IF(AND(M29&gt;=1,M29&lt;=699999),"F",IF(AND(M29=1000000),"φ",IF(AND(M29=0),"",M29)))))))))</f>
        <v/>
      </c>
      <c r="O29" s="80">
        <f>(M29-900000*P29)/100000*722</f>
        <v>0</v>
      </c>
      <c r="P29" s="14"/>
      <c r="Q29" s="4" t="s">
        <v>177</v>
      </c>
      <c r="R29" s="20" t="s">
        <v>177</v>
      </c>
      <c r="S29" s="20" t="s">
        <v>177</v>
      </c>
      <c r="T29" s="20" t="s">
        <v>177</v>
      </c>
      <c r="U29" s="20" t="s">
        <v>177</v>
      </c>
      <c r="V29" s="4" t="s">
        <v>177</v>
      </c>
      <c r="W29" s="20" t="s">
        <v>177</v>
      </c>
      <c r="X29" s="20" t="s">
        <v>177</v>
      </c>
      <c r="Y29" s="20" t="s">
        <v>177</v>
      </c>
      <c r="Z29" s="20" t="s">
        <v>177</v>
      </c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</row>
    <row r="30" spans="1:46" ht="21" customHeight="1" x14ac:dyDescent="0.2">
      <c r="A30" s="9" t="s">
        <v>32</v>
      </c>
      <c r="B30" s="4">
        <v>4.3</v>
      </c>
      <c r="C30" s="7"/>
      <c r="D30" s="76" t="str">
        <f t="shared" si="6"/>
        <v/>
      </c>
      <c r="E30" s="77">
        <f>(C30-900000*F30)/100000*221</f>
        <v>0</v>
      </c>
      <c r="F30" s="8"/>
      <c r="G30" s="4">
        <v>9.9</v>
      </c>
      <c r="H30" s="1"/>
      <c r="I30" s="73" t="str">
        <f t="shared" si="0"/>
        <v/>
      </c>
      <c r="J30" s="74">
        <f>(H30-900000*K30)/100000*529</f>
        <v>0</v>
      </c>
      <c r="K30" s="1"/>
      <c r="L30" s="4">
        <v>13.7</v>
      </c>
      <c r="M30" s="14"/>
      <c r="N30" s="79" t="str">
        <f t="shared" si="8"/>
        <v/>
      </c>
      <c r="O30" s="80">
        <f>(M30-900000*P30)/100000*733</f>
        <v>0</v>
      </c>
      <c r="P30" s="14"/>
      <c r="Q30" s="4" t="s">
        <v>177</v>
      </c>
      <c r="R30" s="20" t="s">
        <v>177</v>
      </c>
      <c r="S30" s="20" t="s">
        <v>177</v>
      </c>
      <c r="T30" s="20" t="s">
        <v>177</v>
      </c>
      <c r="U30" s="20" t="s">
        <v>177</v>
      </c>
      <c r="V30" s="4" t="s">
        <v>177</v>
      </c>
      <c r="W30" s="20" t="s">
        <v>177</v>
      </c>
      <c r="X30" s="20"/>
      <c r="Y30" s="20" t="s">
        <v>177</v>
      </c>
      <c r="Z30" s="20" t="s">
        <v>177</v>
      </c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</row>
    <row r="31" spans="1:46" ht="21" customHeight="1" x14ac:dyDescent="0.2">
      <c r="A31" s="9" t="s">
        <v>33</v>
      </c>
      <c r="B31" s="4">
        <v>6.8</v>
      </c>
      <c r="C31" s="7"/>
      <c r="D31" s="76" t="str">
        <f t="shared" si="6"/>
        <v/>
      </c>
      <c r="E31" s="77">
        <f>(C31-900000*F31)/100000*325</f>
        <v>0</v>
      </c>
      <c r="F31" s="8"/>
      <c r="G31" s="4">
        <v>11.9</v>
      </c>
      <c r="H31" s="1"/>
      <c r="I31" s="73" t="str">
        <f t="shared" si="0"/>
        <v/>
      </c>
      <c r="J31" s="74">
        <f>(H31-900000*K31)/100000*644</f>
        <v>0</v>
      </c>
      <c r="K31" s="1"/>
      <c r="L31" s="4">
        <v>15.1</v>
      </c>
      <c r="M31" s="14"/>
      <c r="N31" s="79" t="str">
        <f t="shared" si="8"/>
        <v/>
      </c>
      <c r="O31" s="80">
        <f>(M31-900000*P31)/100000*983</f>
        <v>0</v>
      </c>
      <c r="P31" s="14"/>
      <c r="Q31" s="4" t="s">
        <v>177</v>
      </c>
      <c r="R31" s="20" t="s">
        <v>177</v>
      </c>
      <c r="S31" s="20" t="s">
        <v>177</v>
      </c>
      <c r="T31" s="20" t="s">
        <v>177</v>
      </c>
      <c r="U31" s="20" t="s">
        <v>177</v>
      </c>
      <c r="V31" s="4" t="s">
        <v>177</v>
      </c>
      <c r="W31" s="20" t="s">
        <v>177</v>
      </c>
      <c r="X31" s="20" t="s">
        <v>177</v>
      </c>
      <c r="Y31" s="20" t="s">
        <v>177</v>
      </c>
      <c r="Z31" s="20" t="s">
        <v>177</v>
      </c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</row>
    <row r="32" spans="1:46" ht="21" customHeight="1" x14ac:dyDescent="0.2">
      <c r="A32" s="9" t="s">
        <v>34</v>
      </c>
      <c r="B32" s="4">
        <v>3.6</v>
      </c>
      <c r="C32" s="7"/>
      <c r="D32" s="76" t="str">
        <f t="shared" si="6"/>
        <v/>
      </c>
      <c r="E32" s="77">
        <f>(C32-900000*F32)/100000*180</f>
        <v>0</v>
      </c>
      <c r="F32" s="8"/>
      <c r="G32" s="4">
        <v>9.4</v>
      </c>
      <c r="H32" s="1"/>
      <c r="I32" s="73" t="str">
        <f t="shared" si="0"/>
        <v/>
      </c>
      <c r="J32" s="74">
        <f>(H32-900000*K32)/100000*346</f>
        <v>0</v>
      </c>
      <c r="K32" s="1"/>
      <c r="L32" s="4">
        <v>15.2</v>
      </c>
      <c r="M32" s="14"/>
      <c r="N32" s="79" t="str">
        <f t="shared" si="8"/>
        <v/>
      </c>
      <c r="O32" s="80">
        <f>(M32-900000*P32)/100000*738</f>
        <v>0</v>
      </c>
      <c r="P32" s="14"/>
      <c r="Q32" s="4" t="s">
        <v>177</v>
      </c>
      <c r="R32" s="20" t="s">
        <v>177</v>
      </c>
      <c r="S32" s="20" t="s">
        <v>177</v>
      </c>
      <c r="T32" s="20" t="s">
        <v>177</v>
      </c>
      <c r="U32" s="20" t="s">
        <v>177</v>
      </c>
      <c r="V32" s="4" t="s">
        <v>177</v>
      </c>
      <c r="W32" s="20" t="s">
        <v>177</v>
      </c>
      <c r="X32" s="20" t="s">
        <v>177</v>
      </c>
      <c r="Y32" s="20" t="s">
        <v>177</v>
      </c>
      <c r="Z32" s="20" t="s">
        <v>177</v>
      </c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</row>
    <row r="33" spans="1:46" ht="21" customHeight="1" x14ac:dyDescent="0.2">
      <c r="A33" s="9" t="s">
        <v>35</v>
      </c>
      <c r="B33" s="4">
        <v>7.9</v>
      </c>
      <c r="C33" s="7"/>
      <c r="D33" s="76" t="str">
        <f t="shared" si="6"/>
        <v/>
      </c>
      <c r="E33" s="77">
        <f>(C33-900000*F33)/100000*637</f>
        <v>0</v>
      </c>
      <c r="F33" s="8"/>
      <c r="G33" s="4">
        <v>12.6</v>
      </c>
      <c r="H33" s="1"/>
      <c r="I33" s="73" t="str">
        <f t="shared" si="0"/>
        <v/>
      </c>
      <c r="J33" s="74">
        <f>(H33-900000*K33)/100000*904</f>
        <v>0</v>
      </c>
      <c r="K33" s="1"/>
      <c r="L33" s="4">
        <v>15.2</v>
      </c>
      <c r="M33" s="14"/>
      <c r="N33" s="79" t="str">
        <f t="shared" si="8"/>
        <v/>
      </c>
      <c r="O33" s="80">
        <f>(M33-900000*P33)/100000*1389</f>
        <v>0</v>
      </c>
      <c r="P33" s="14"/>
      <c r="Q33" s="4" t="s">
        <v>177</v>
      </c>
      <c r="R33" s="20" t="s">
        <v>177</v>
      </c>
      <c r="S33" s="20" t="s">
        <v>177</v>
      </c>
      <c r="T33" s="20" t="s">
        <v>177</v>
      </c>
      <c r="U33" s="20" t="s">
        <v>177</v>
      </c>
      <c r="V33" s="4">
        <v>16.399999999999999</v>
      </c>
      <c r="W33" s="59"/>
      <c r="X33" s="85" t="str">
        <f>IF(W33="","",IF(AND(W33&gt;=960000,W33&lt;=999999),"V",IF(AND(W33&gt;=920000,W33&lt;=959999),"S",IF(AND(W33&gt;=880000,W33&lt;=919999),"A",IF(AND(W33&gt;=820000,W33&lt;=879999),"B",IF(AND(W33&gt;=700000,W33&lt;=819999),"C",IF(AND(W33&gt;=1,W33&lt;=699999),"F",IF(AND(W33=1000000),"φ",IF(AND(W33=0),"",W33)))))))))</f>
        <v/>
      </c>
      <c r="Y33" s="87">
        <f>(W33-900000*Z33)/100000*1671</f>
        <v>0</v>
      </c>
      <c r="Z33" s="59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</row>
    <row r="34" spans="1:46" ht="21" customHeight="1" x14ac:dyDescent="0.2">
      <c r="A34" s="9" t="s">
        <v>36</v>
      </c>
      <c r="B34" s="4">
        <v>2.5</v>
      </c>
      <c r="C34" s="7"/>
      <c r="D34" s="76" t="str">
        <f t="shared" si="6"/>
        <v/>
      </c>
      <c r="E34" s="77">
        <f>(C34-900000*F34)/100000*210</f>
        <v>0</v>
      </c>
      <c r="F34" s="8"/>
      <c r="G34" s="4">
        <v>6.4</v>
      </c>
      <c r="H34" s="1"/>
      <c r="I34" s="73" t="str">
        <f t="shared" si="0"/>
        <v/>
      </c>
      <c r="J34" s="74">
        <f>(H34-900000*K34)/100000*394</f>
        <v>0</v>
      </c>
      <c r="K34" s="1"/>
      <c r="L34" s="4">
        <v>12.7</v>
      </c>
      <c r="M34" s="14"/>
      <c r="N34" s="79" t="str">
        <f t="shared" si="8"/>
        <v/>
      </c>
      <c r="O34" s="80">
        <f>(M34-900000*P34)/100000*528</f>
        <v>0</v>
      </c>
      <c r="P34" s="14"/>
      <c r="Q34" s="4" t="s">
        <v>177</v>
      </c>
      <c r="R34" s="20" t="s">
        <v>177</v>
      </c>
      <c r="S34" s="20" t="s">
        <v>177</v>
      </c>
      <c r="T34" s="20" t="s">
        <v>177</v>
      </c>
      <c r="U34" s="20" t="s">
        <v>177</v>
      </c>
      <c r="V34" s="4" t="s">
        <v>177</v>
      </c>
      <c r="W34" s="20" t="s">
        <v>177</v>
      </c>
      <c r="X34" s="20" t="s">
        <v>177</v>
      </c>
      <c r="Y34" s="20" t="s">
        <v>177</v>
      </c>
      <c r="Z34" s="20" t="s">
        <v>177</v>
      </c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</row>
    <row r="35" spans="1:46" ht="16.5" customHeight="1" x14ac:dyDescent="0.2">
      <c r="A35" s="121" t="s">
        <v>37</v>
      </c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3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</row>
    <row r="36" spans="1:46" ht="21" customHeight="1" x14ac:dyDescent="0.2">
      <c r="A36" s="9" t="s">
        <v>38</v>
      </c>
      <c r="B36" s="4">
        <v>4.5999999999999996</v>
      </c>
      <c r="C36" s="7"/>
      <c r="D36" s="76" t="str">
        <f t="shared" si="6"/>
        <v/>
      </c>
      <c r="E36" s="77">
        <f>(C36-900000*F36)/100000*156</f>
        <v>0</v>
      </c>
      <c r="F36" s="8"/>
      <c r="G36" s="4">
        <v>7.1</v>
      </c>
      <c r="H36" s="1"/>
      <c r="I36" s="73" t="str">
        <f t="shared" si="0"/>
        <v/>
      </c>
      <c r="J36" s="74">
        <f>(H36-900000*K36)/100000*186</f>
        <v>0</v>
      </c>
      <c r="K36" s="1"/>
      <c r="L36" s="4">
        <v>12.7</v>
      </c>
      <c r="M36" s="14"/>
      <c r="N36" s="79" t="str">
        <f t="shared" si="8"/>
        <v/>
      </c>
      <c r="O36" s="80">
        <f>(M36-900000*P36)/100000*407</f>
        <v>0</v>
      </c>
      <c r="P36" s="14"/>
      <c r="Q36" s="4" t="s">
        <v>177</v>
      </c>
      <c r="R36" s="20" t="s">
        <v>177</v>
      </c>
      <c r="S36" s="20" t="s">
        <v>177</v>
      </c>
      <c r="T36" s="20" t="s">
        <v>177</v>
      </c>
      <c r="U36" s="20" t="s">
        <v>177</v>
      </c>
      <c r="V36" s="4" t="s">
        <v>177</v>
      </c>
      <c r="W36" s="20" t="s">
        <v>177</v>
      </c>
      <c r="X36" s="20" t="s">
        <v>177</v>
      </c>
      <c r="Y36" s="20" t="s">
        <v>177</v>
      </c>
      <c r="Z36" s="20" t="s">
        <v>177</v>
      </c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</row>
    <row r="37" spans="1:46" ht="21" customHeight="1" x14ac:dyDescent="0.2">
      <c r="A37" s="9" t="s">
        <v>39</v>
      </c>
      <c r="B37" s="4">
        <v>6.2</v>
      </c>
      <c r="C37" s="7"/>
      <c r="D37" s="76" t="str">
        <f t="shared" si="6"/>
        <v/>
      </c>
      <c r="E37" s="77">
        <f>(C37-900000*F37)/100000*196</f>
        <v>0</v>
      </c>
      <c r="F37" s="8"/>
      <c r="G37" s="4">
        <v>10.7</v>
      </c>
      <c r="H37" s="1"/>
      <c r="I37" s="73" t="str">
        <f t="shared" si="0"/>
        <v/>
      </c>
      <c r="J37" s="74">
        <f>(H37-900000*K37)/100000*459</f>
        <v>0</v>
      </c>
      <c r="K37" s="1"/>
      <c r="L37" s="4">
        <v>14.5</v>
      </c>
      <c r="M37" s="14"/>
      <c r="N37" s="79" t="str">
        <f t="shared" si="8"/>
        <v/>
      </c>
      <c r="O37" s="80">
        <f>(M37-900000*P37)/100000*649</f>
        <v>0</v>
      </c>
      <c r="P37" s="14"/>
      <c r="Q37" s="4" t="s">
        <v>177</v>
      </c>
      <c r="R37" s="20" t="s">
        <v>177</v>
      </c>
      <c r="S37" s="20" t="s">
        <v>177</v>
      </c>
      <c r="T37" s="20" t="s">
        <v>177</v>
      </c>
      <c r="U37" s="20" t="s">
        <v>177</v>
      </c>
      <c r="V37" s="4" t="s">
        <v>177</v>
      </c>
      <c r="W37" s="20" t="s">
        <v>177</v>
      </c>
      <c r="X37" s="20" t="s">
        <v>177</v>
      </c>
      <c r="Y37" s="20" t="s">
        <v>177</v>
      </c>
      <c r="Z37" s="20" t="s">
        <v>177</v>
      </c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</row>
    <row r="38" spans="1:46" ht="21" customHeight="1" x14ac:dyDescent="0.2">
      <c r="A38" s="9" t="s">
        <v>40</v>
      </c>
      <c r="B38" s="4">
        <v>5.8</v>
      </c>
      <c r="C38" s="7"/>
      <c r="D38" s="76" t="str">
        <f t="shared" si="6"/>
        <v/>
      </c>
      <c r="E38" s="77">
        <f>(C38-900000*F38)/100000*354</f>
        <v>0</v>
      </c>
      <c r="F38" s="8"/>
      <c r="G38" s="4">
        <v>9.3000000000000007</v>
      </c>
      <c r="H38" s="1"/>
      <c r="I38" s="73" t="str">
        <f t="shared" si="0"/>
        <v/>
      </c>
      <c r="J38" s="74">
        <f>(H38-900000*K38)/100000*650</f>
        <v>0</v>
      </c>
      <c r="K38" s="1"/>
      <c r="L38" s="4">
        <v>14.6</v>
      </c>
      <c r="M38" s="14"/>
      <c r="N38" s="79" t="str">
        <f t="shared" si="8"/>
        <v/>
      </c>
      <c r="O38" s="80">
        <f>(M38-900000*P38)/100000*900</f>
        <v>0</v>
      </c>
      <c r="P38" s="14"/>
      <c r="Q38" s="4" t="s">
        <v>177</v>
      </c>
      <c r="R38" s="20" t="s">
        <v>177</v>
      </c>
      <c r="S38" s="20" t="s">
        <v>177</v>
      </c>
      <c r="T38" s="20" t="s">
        <v>177</v>
      </c>
      <c r="U38" s="20" t="s">
        <v>177</v>
      </c>
      <c r="V38" s="4" t="s">
        <v>177</v>
      </c>
      <c r="W38" s="20" t="s">
        <v>177</v>
      </c>
      <c r="X38" s="20"/>
      <c r="Y38" s="20" t="s">
        <v>177</v>
      </c>
      <c r="Z38" s="20" t="s">
        <v>177</v>
      </c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</row>
    <row r="39" spans="1:46" ht="21" customHeight="1" x14ac:dyDescent="0.2">
      <c r="A39" s="9" t="s">
        <v>41</v>
      </c>
      <c r="B39" s="4">
        <v>5.5</v>
      </c>
      <c r="C39" s="7"/>
      <c r="D39" s="76" t="str">
        <f t="shared" si="6"/>
        <v/>
      </c>
      <c r="E39" s="77">
        <f>(C39-900000*F39)/100000*394</f>
        <v>0</v>
      </c>
      <c r="F39" s="8"/>
      <c r="G39" s="4">
        <v>11.8</v>
      </c>
      <c r="H39" s="1"/>
      <c r="I39" s="73" t="str">
        <f t="shared" si="0"/>
        <v/>
      </c>
      <c r="J39" s="74">
        <f>(H39-900000*K39)/100000*612</f>
        <v>0</v>
      </c>
      <c r="K39" s="1"/>
      <c r="L39" s="4">
        <v>15.4</v>
      </c>
      <c r="M39" s="14"/>
      <c r="N39" s="79" t="str">
        <f t="shared" si="8"/>
        <v/>
      </c>
      <c r="O39" s="80">
        <f>(M39-900000*P39)/100000*844</f>
        <v>0</v>
      </c>
      <c r="P39" s="14"/>
      <c r="Q39" s="4" t="s">
        <v>177</v>
      </c>
      <c r="R39" s="20" t="s">
        <v>177</v>
      </c>
      <c r="S39" s="20" t="s">
        <v>177</v>
      </c>
      <c r="T39" s="20" t="s">
        <v>177</v>
      </c>
      <c r="U39" s="20" t="s">
        <v>177</v>
      </c>
      <c r="V39" s="4" t="s">
        <v>177</v>
      </c>
      <c r="W39" s="20" t="s">
        <v>177</v>
      </c>
      <c r="X39" s="20" t="s">
        <v>177</v>
      </c>
      <c r="Y39" s="20" t="s">
        <v>177</v>
      </c>
      <c r="Z39" s="20" t="s">
        <v>177</v>
      </c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</row>
    <row r="40" spans="1:46" ht="21" customHeight="1" x14ac:dyDescent="0.2">
      <c r="A40" s="9" t="s">
        <v>42</v>
      </c>
      <c r="B40" s="4">
        <v>6.3</v>
      </c>
      <c r="C40" s="7"/>
      <c r="D40" s="76" t="str">
        <f t="shared" si="6"/>
        <v/>
      </c>
      <c r="E40" s="77">
        <f>(C40-900000*F40)/100000*276</f>
        <v>0</v>
      </c>
      <c r="F40" s="8"/>
      <c r="G40" s="4">
        <v>12.9</v>
      </c>
      <c r="H40" s="1"/>
      <c r="I40" s="73" t="str">
        <f t="shared" si="0"/>
        <v/>
      </c>
      <c r="J40" s="74">
        <f>(H40-900000*K40)/100000*526</f>
        <v>0</v>
      </c>
      <c r="K40" s="1"/>
      <c r="L40" s="4">
        <v>15.7</v>
      </c>
      <c r="M40" s="14"/>
      <c r="N40" s="79" t="str">
        <f t="shared" si="8"/>
        <v/>
      </c>
      <c r="O40" s="80">
        <f>(M40-900000*P40)/100000*1066</f>
        <v>0</v>
      </c>
      <c r="P40" s="14"/>
      <c r="Q40" s="4" t="s">
        <v>177</v>
      </c>
      <c r="R40" s="20" t="s">
        <v>177</v>
      </c>
      <c r="S40" s="20" t="s">
        <v>177</v>
      </c>
      <c r="T40" s="20" t="s">
        <v>177</v>
      </c>
      <c r="U40" s="20" t="s">
        <v>177</v>
      </c>
      <c r="V40" s="4" t="s">
        <v>177</v>
      </c>
      <c r="W40" s="20" t="s">
        <v>177</v>
      </c>
      <c r="X40" s="20" t="s">
        <v>177</v>
      </c>
      <c r="Y40" s="20" t="s">
        <v>177</v>
      </c>
      <c r="Z40" s="20" t="s">
        <v>177</v>
      </c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</row>
    <row r="41" spans="1:46" ht="21" customHeight="1" x14ac:dyDescent="0.2">
      <c r="A41" s="9" t="s">
        <v>43</v>
      </c>
      <c r="B41" s="4">
        <v>7.7</v>
      </c>
      <c r="C41" s="7"/>
      <c r="D41" s="76" t="str">
        <f t="shared" si="6"/>
        <v/>
      </c>
      <c r="E41" s="77">
        <f>(C41-900000*F41)/100000*414</f>
        <v>0</v>
      </c>
      <c r="F41" s="8"/>
      <c r="G41" s="4">
        <v>12.7</v>
      </c>
      <c r="H41" s="1"/>
      <c r="I41" s="73" t="str">
        <f t="shared" si="0"/>
        <v/>
      </c>
      <c r="J41" s="74">
        <f>(H41-900000*K41)/100000*601</f>
        <v>0</v>
      </c>
      <c r="K41" s="1"/>
      <c r="L41" s="4">
        <v>15.6</v>
      </c>
      <c r="M41" s="14"/>
      <c r="N41" s="79" t="str">
        <f t="shared" si="8"/>
        <v/>
      </c>
      <c r="O41" s="80">
        <f>(M41-900000*P41)/100000*1018</f>
        <v>0</v>
      </c>
      <c r="P41" s="14"/>
      <c r="Q41" s="4" t="s">
        <v>177</v>
      </c>
      <c r="R41" s="20" t="s">
        <v>177</v>
      </c>
      <c r="S41" s="20" t="s">
        <v>177</v>
      </c>
      <c r="T41" s="20" t="s">
        <v>177</v>
      </c>
      <c r="U41" s="20" t="s">
        <v>177</v>
      </c>
      <c r="V41" s="4">
        <v>16.7</v>
      </c>
      <c r="W41" s="59"/>
      <c r="X41" s="85" t="str">
        <f>IF(W41="","",IF(AND(W41&gt;=960000,W41&lt;=999999),"V",IF(AND(W41&gt;=920000,W41&lt;=959999),"S",IF(AND(W41&gt;=880000,W41&lt;=919999),"A",IF(AND(W41&gt;=820000,W41&lt;=879999),"B",IF(AND(W41&gt;=700000,W41&lt;=819999),"C",IF(AND(W41&gt;=1,W41&lt;=699999),"F",IF(AND(W41=1000000),"φ",IF(AND(W41=0),"",W41)))))))))</f>
        <v/>
      </c>
      <c r="Y41" s="87">
        <f>(W41-900000*Z41)/100000*1114</f>
        <v>0</v>
      </c>
      <c r="Z41" s="59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</row>
    <row r="42" spans="1:46" ht="16.5" customHeight="1" x14ac:dyDescent="0.2">
      <c r="A42" s="121" t="s">
        <v>78</v>
      </c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3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</row>
    <row r="43" spans="1:46" ht="21" customHeight="1" x14ac:dyDescent="0.2">
      <c r="A43" s="9" t="s">
        <v>79</v>
      </c>
      <c r="B43" s="5">
        <v>2.2999999999999998</v>
      </c>
      <c r="C43" s="36"/>
      <c r="D43" s="76" t="str">
        <f t="shared" si="6"/>
        <v/>
      </c>
      <c r="E43" s="77">
        <f>(C43-900000*F43)/100000*188</f>
        <v>0</v>
      </c>
      <c r="F43" s="8"/>
      <c r="G43" s="5">
        <v>5.8</v>
      </c>
      <c r="H43" s="3"/>
      <c r="I43" s="73" t="str">
        <f t="shared" si="0"/>
        <v/>
      </c>
      <c r="J43" s="74">
        <f>(H43-900000*K43)/100000*312</f>
        <v>0</v>
      </c>
      <c r="K43" s="3"/>
      <c r="L43" s="5">
        <v>12.6</v>
      </c>
      <c r="M43" s="15"/>
      <c r="N43" s="79" t="str">
        <f t="shared" si="8"/>
        <v/>
      </c>
      <c r="O43" s="80">
        <f>(M43-900000*P43)/100000*520</f>
        <v>0</v>
      </c>
      <c r="P43" s="15"/>
      <c r="Q43" s="5" t="s">
        <v>177</v>
      </c>
      <c r="R43" s="22" t="s">
        <v>177</v>
      </c>
      <c r="S43" s="22" t="s">
        <v>177</v>
      </c>
      <c r="T43" s="22" t="s">
        <v>177</v>
      </c>
      <c r="U43" s="22" t="s">
        <v>177</v>
      </c>
      <c r="V43" s="5" t="s">
        <v>177</v>
      </c>
      <c r="W43" s="22" t="s">
        <v>177</v>
      </c>
      <c r="X43" s="22" t="s">
        <v>177</v>
      </c>
      <c r="Y43" s="22" t="s">
        <v>177</v>
      </c>
      <c r="Z43" s="22" t="s">
        <v>177</v>
      </c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</row>
    <row r="44" spans="1:46" ht="21" customHeight="1" x14ac:dyDescent="0.2">
      <c r="A44" s="9" t="s">
        <v>80</v>
      </c>
      <c r="B44" s="5">
        <v>3.7</v>
      </c>
      <c r="C44" s="36"/>
      <c r="D44" s="76" t="str">
        <f t="shared" si="6"/>
        <v/>
      </c>
      <c r="E44" s="77">
        <f>(C44-900000*F44)/100000*271</f>
        <v>0</v>
      </c>
      <c r="F44" s="8"/>
      <c r="G44" s="5">
        <v>9.8000000000000007</v>
      </c>
      <c r="H44" s="3"/>
      <c r="I44" s="73" t="str">
        <f t="shared" si="0"/>
        <v/>
      </c>
      <c r="J44" s="74">
        <f>(H44-900000*K44)/100000*456</f>
        <v>0</v>
      </c>
      <c r="K44" s="3"/>
      <c r="L44" s="5">
        <v>13.9</v>
      </c>
      <c r="M44" s="15"/>
      <c r="N44" s="79" t="str">
        <f t="shared" si="8"/>
        <v/>
      </c>
      <c r="O44" s="80">
        <f>(M44-900000*P44)/100000*776</f>
        <v>0</v>
      </c>
      <c r="P44" s="15"/>
      <c r="Q44" s="5" t="s">
        <v>177</v>
      </c>
      <c r="R44" s="22" t="s">
        <v>177</v>
      </c>
      <c r="S44" s="22" t="s">
        <v>177</v>
      </c>
      <c r="T44" s="22" t="s">
        <v>177</v>
      </c>
      <c r="U44" s="22" t="s">
        <v>177</v>
      </c>
      <c r="V44" s="5" t="s">
        <v>177</v>
      </c>
      <c r="W44" s="22" t="s">
        <v>177</v>
      </c>
      <c r="X44" s="22" t="s">
        <v>177</v>
      </c>
      <c r="Y44" s="22" t="s">
        <v>177</v>
      </c>
      <c r="Z44" s="22" t="s">
        <v>177</v>
      </c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</row>
    <row r="45" spans="1:46" ht="21" customHeight="1" x14ac:dyDescent="0.2">
      <c r="A45" s="9" t="s">
        <v>81</v>
      </c>
      <c r="B45" s="5">
        <v>4.4000000000000004</v>
      </c>
      <c r="C45" s="36"/>
      <c r="D45" s="76" t="str">
        <f t="shared" si="6"/>
        <v/>
      </c>
      <c r="E45" s="77">
        <f>(C45-900000*F45)/100000*328</f>
        <v>0</v>
      </c>
      <c r="F45" s="8"/>
      <c r="G45" s="5">
        <v>8.1</v>
      </c>
      <c r="H45" s="3"/>
      <c r="I45" s="73" t="str">
        <f t="shared" si="0"/>
        <v/>
      </c>
      <c r="J45" s="74">
        <f>(H45-900000*K45)/100000*429</f>
        <v>0</v>
      </c>
      <c r="K45" s="3"/>
      <c r="L45" s="5">
        <v>14.4</v>
      </c>
      <c r="M45" s="15"/>
      <c r="N45" s="79" t="str">
        <f t="shared" si="8"/>
        <v/>
      </c>
      <c r="O45" s="80">
        <f>(M45-900000*P45)/100000*745</f>
        <v>0</v>
      </c>
      <c r="P45" s="15"/>
      <c r="Q45" s="5" t="s">
        <v>177</v>
      </c>
      <c r="R45" s="22" t="s">
        <v>177</v>
      </c>
      <c r="S45" s="22" t="s">
        <v>177</v>
      </c>
      <c r="T45" s="22" t="s">
        <v>177</v>
      </c>
      <c r="U45" s="22" t="s">
        <v>177</v>
      </c>
      <c r="V45" s="5" t="s">
        <v>177</v>
      </c>
      <c r="W45" s="22" t="s">
        <v>177</v>
      </c>
      <c r="X45" s="22" t="s">
        <v>177</v>
      </c>
      <c r="Y45" s="22" t="s">
        <v>177</v>
      </c>
      <c r="Z45" s="22" t="s">
        <v>177</v>
      </c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</row>
    <row r="46" spans="1:46" ht="21" customHeight="1" x14ac:dyDescent="0.2">
      <c r="A46" s="9" t="s">
        <v>82</v>
      </c>
      <c r="B46" s="5">
        <v>4.7</v>
      </c>
      <c r="C46" s="36"/>
      <c r="D46" s="76" t="str">
        <f t="shared" si="6"/>
        <v/>
      </c>
      <c r="E46" s="77">
        <f>(C46-900000*F46)/100000*338</f>
        <v>0</v>
      </c>
      <c r="F46" s="8"/>
      <c r="G46" s="5">
        <v>10.4</v>
      </c>
      <c r="H46" s="3"/>
      <c r="I46" s="73" t="str">
        <f t="shared" si="0"/>
        <v/>
      </c>
      <c r="J46" s="74">
        <f>(H46-900000*K46)/100000*663</f>
        <v>0</v>
      </c>
      <c r="K46" s="3"/>
      <c r="L46" s="5">
        <v>15.3</v>
      </c>
      <c r="M46" s="15"/>
      <c r="N46" s="79" t="str">
        <f t="shared" si="8"/>
        <v/>
      </c>
      <c r="O46" s="80">
        <f>(M46-900000*P46)/100000*992</f>
        <v>0</v>
      </c>
      <c r="P46" s="15"/>
      <c r="Q46" s="5" t="s">
        <v>177</v>
      </c>
      <c r="R46" s="22" t="s">
        <v>177</v>
      </c>
      <c r="S46" s="22" t="s">
        <v>177</v>
      </c>
      <c r="T46" s="22" t="s">
        <v>177</v>
      </c>
      <c r="U46" s="22" t="s">
        <v>177</v>
      </c>
      <c r="V46" s="5" t="s">
        <v>177</v>
      </c>
      <c r="W46" s="22" t="s">
        <v>177</v>
      </c>
      <c r="X46" s="22" t="s">
        <v>177</v>
      </c>
      <c r="Y46" s="22" t="s">
        <v>177</v>
      </c>
      <c r="Z46" s="22" t="s">
        <v>177</v>
      </c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</row>
    <row r="47" spans="1:46" ht="21" customHeight="1" x14ac:dyDescent="0.2">
      <c r="A47" s="30" t="s">
        <v>83</v>
      </c>
      <c r="B47" s="5">
        <v>2.8</v>
      </c>
      <c r="C47" s="36"/>
      <c r="D47" s="76" t="str">
        <f t="shared" si="6"/>
        <v/>
      </c>
      <c r="E47" s="77">
        <f>(C47-900000*F47)/100000*350</f>
        <v>0</v>
      </c>
      <c r="F47" s="8"/>
      <c r="G47" s="5">
        <v>10.6</v>
      </c>
      <c r="H47" s="3"/>
      <c r="I47" s="73" t="str">
        <f t="shared" si="0"/>
        <v/>
      </c>
      <c r="J47" s="74">
        <f>(H47-900000*K47)/100000*773</f>
        <v>0</v>
      </c>
      <c r="K47" s="3"/>
      <c r="L47" s="5">
        <v>15.9</v>
      </c>
      <c r="M47" s="15"/>
      <c r="N47" s="79" t="str">
        <f t="shared" si="8"/>
        <v/>
      </c>
      <c r="O47" s="80">
        <f>(M47-900000*P47)/100000*1500</f>
        <v>0</v>
      </c>
      <c r="P47" s="15"/>
      <c r="Q47" s="5" t="s">
        <v>177</v>
      </c>
      <c r="R47" s="22" t="s">
        <v>177</v>
      </c>
      <c r="S47" s="22" t="s">
        <v>177</v>
      </c>
      <c r="T47" s="22" t="s">
        <v>177</v>
      </c>
      <c r="U47" s="22" t="s">
        <v>177</v>
      </c>
      <c r="V47" s="5" t="s">
        <v>177</v>
      </c>
      <c r="W47" s="22" t="s">
        <v>177</v>
      </c>
      <c r="X47" s="22" t="s">
        <v>177</v>
      </c>
      <c r="Y47" s="22" t="s">
        <v>177</v>
      </c>
      <c r="Z47" s="22" t="s">
        <v>177</v>
      </c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</row>
    <row r="48" spans="1:46" ht="21" customHeight="1" x14ac:dyDescent="0.2">
      <c r="A48" s="9" t="s">
        <v>84</v>
      </c>
      <c r="B48" s="5">
        <v>7.2</v>
      </c>
      <c r="C48" s="36"/>
      <c r="D48" s="76" t="str">
        <f t="shared" si="6"/>
        <v/>
      </c>
      <c r="E48" s="77">
        <f>(C48-900000*F48)/100000*446</f>
        <v>0</v>
      </c>
      <c r="F48" s="8"/>
      <c r="G48" s="5">
        <v>12.7</v>
      </c>
      <c r="H48" s="3"/>
      <c r="I48" s="73" t="str">
        <f t="shared" si="0"/>
        <v/>
      </c>
      <c r="J48" s="74">
        <f>(H48-900000*K48)/100000*700</f>
        <v>0</v>
      </c>
      <c r="K48" s="3"/>
      <c r="L48" s="5">
        <v>15.7</v>
      </c>
      <c r="M48" s="15"/>
      <c r="N48" s="79" t="str">
        <f t="shared" si="8"/>
        <v/>
      </c>
      <c r="O48" s="80">
        <f>(M48-900000*P48)/100000*1300</f>
        <v>0</v>
      </c>
      <c r="P48" s="15"/>
      <c r="Q48" s="5" t="s">
        <v>177</v>
      </c>
      <c r="R48" s="22" t="s">
        <v>177</v>
      </c>
      <c r="S48" s="22" t="s">
        <v>177</v>
      </c>
      <c r="T48" s="22" t="s">
        <v>177</v>
      </c>
      <c r="U48" s="22" t="s">
        <v>177</v>
      </c>
      <c r="V48" s="5">
        <v>16.8</v>
      </c>
      <c r="W48" s="57"/>
      <c r="X48" s="85" t="str">
        <f>IF(W48="","",IF(AND(W48&gt;=960000,W48&lt;=999999),"V",IF(AND(W48&gt;=920000,W48&lt;=959999),"S",IF(AND(W48&gt;=880000,W48&lt;=919999),"A",IF(AND(W48&gt;=820000,W48&lt;=879999),"B",IF(AND(W48&gt;=700000,W48&lt;=819999),"C",IF(AND(W48&gt;=1,W48&lt;=699999),"F",IF(AND(W48=1000000),"φ",IF(AND(W48=0),"",W48)))))))))</f>
        <v/>
      </c>
      <c r="Y48" s="87">
        <f>(W48-900000*Z48)/100000*1300</f>
        <v>0</v>
      </c>
      <c r="Z48" s="57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</row>
    <row r="49" spans="1:46" ht="16.5" customHeight="1" x14ac:dyDescent="0.2">
      <c r="A49" s="121" t="s">
        <v>44</v>
      </c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3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</row>
    <row r="50" spans="1:46" ht="21" customHeight="1" x14ac:dyDescent="0.2">
      <c r="A50" s="27" t="s">
        <v>45</v>
      </c>
      <c r="B50" s="6">
        <v>4.7</v>
      </c>
      <c r="C50" s="37"/>
      <c r="D50" s="76" t="str">
        <f t="shared" si="6"/>
        <v/>
      </c>
      <c r="E50" s="77">
        <f>(C50-900000*F50)/100000*533</f>
        <v>0</v>
      </c>
      <c r="F50" s="8"/>
      <c r="G50" s="6">
        <v>8.4</v>
      </c>
      <c r="H50" s="38"/>
      <c r="I50" s="73" t="str">
        <f t="shared" si="0"/>
        <v/>
      </c>
      <c r="J50" s="74">
        <f>(H50-900000*K50)/100000*397</f>
        <v>0</v>
      </c>
      <c r="K50" s="2"/>
      <c r="L50" s="6">
        <v>12.8</v>
      </c>
      <c r="M50" s="40"/>
      <c r="N50" s="79" t="str">
        <f t="shared" si="8"/>
        <v/>
      </c>
      <c r="O50" s="80">
        <f>(M50-900000*P50)/100000*450</f>
        <v>0</v>
      </c>
      <c r="P50" s="40"/>
      <c r="Q50" s="6" t="s">
        <v>177</v>
      </c>
      <c r="R50" s="23" t="s">
        <v>177</v>
      </c>
      <c r="S50" s="23" t="s">
        <v>177</v>
      </c>
      <c r="T50" s="23" t="s">
        <v>177</v>
      </c>
      <c r="U50" s="23" t="s">
        <v>177</v>
      </c>
      <c r="V50" s="6" t="s">
        <v>177</v>
      </c>
      <c r="W50" s="23" t="s">
        <v>177</v>
      </c>
      <c r="X50" s="23" t="s">
        <v>177</v>
      </c>
      <c r="Y50" s="23" t="s">
        <v>177</v>
      </c>
      <c r="Z50" s="23" t="s">
        <v>177</v>
      </c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</row>
    <row r="51" spans="1:46" ht="21" customHeight="1" x14ac:dyDescent="0.2">
      <c r="A51" s="27" t="s">
        <v>46</v>
      </c>
      <c r="B51" s="6">
        <v>4.5</v>
      </c>
      <c r="C51" s="37"/>
      <c r="D51" s="76" t="str">
        <f t="shared" si="6"/>
        <v/>
      </c>
      <c r="E51" s="77">
        <f>(C51-900000*F51)/100000*338</f>
        <v>0</v>
      </c>
      <c r="F51" s="8"/>
      <c r="G51" s="6">
        <v>9.4</v>
      </c>
      <c r="H51" s="38"/>
      <c r="I51" s="73" t="str">
        <f t="shared" si="0"/>
        <v/>
      </c>
      <c r="J51" s="74">
        <f>(H51-900000*K51)/100000*703</f>
        <v>0</v>
      </c>
      <c r="K51" s="2"/>
      <c r="L51" s="6">
        <v>13.6</v>
      </c>
      <c r="M51" s="40"/>
      <c r="N51" s="79" t="str">
        <f t="shared" si="8"/>
        <v/>
      </c>
      <c r="O51" s="80">
        <f>(M51-900000*P51)/100000*643</f>
        <v>0</v>
      </c>
      <c r="P51" s="40"/>
      <c r="Q51" s="6" t="s">
        <v>177</v>
      </c>
      <c r="R51" s="23" t="s">
        <v>177</v>
      </c>
      <c r="S51" s="23" t="s">
        <v>177</v>
      </c>
      <c r="T51" s="23" t="s">
        <v>177</v>
      </c>
      <c r="U51" s="23" t="s">
        <v>177</v>
      </c>
      <c r="V51" s="6" t="s">
        <v>177</v>
      </c>
      <c r="W51" s="23" t="s">
        <v>177</v>
      </c>
      <c r="X51" s="23" t="s">
        <v>177</v>
      </c>
      <c r="Y51" s="23" t="s">
        <v>177</v>
      </c>
      <c r="Z51" s="23" t="s">
        <v>177</v>
      </c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</row>
    <row r="52" spans="1:46" ht="21" customHeight="1" x14ac:dyDescent="0.2">
      <c r="A52" s="31" t="s">
        <v>47</v>
      </c>
      <c r="B52" s="6">
        <v>2.6</v>
      </c>
      <c r="C52" s="37"/>
      <c r="D52" s="76" t="str">
        <f t="shared" si="6"/>
        <v/>
      </c>
      <c r="E52" s="77">
        <f>(C52-900000*F52)/100000*323</f>
        <v>0</v>
      </c>
      <c r="F52" s="8"/>
      <c r="G52" s="6">
        <v>9.8000000000000007</v>
      </c>
      <c r="H52" s="38"/>
      <c r="I52" s="73" t="str">
        <f t="shared" si="0"/>
        <v/>
      </c>
      <c r="J52" s="74">
        <f>(H52-900000*K52)/100000*586</f>
        <v>0</v>
      </c>
      <c r="K52" s="2"/>
      <c r="L52" s="6">
        <v>13.7</v>
      </c>
      <c r="M52" s="40"/>
      <c r="N52" s="79" t="str">
        <f t="shared" si="8"/>
        <v/>
      </c>
      <c r="O52" s="80">
        <f>(M52-900000*P52)/100000*839</f>
        <v>0</v>
      </c>
      <c r="P52" s="40"/>
      <c r="Q52" s="6">
        <v>14.1</v>
      </c>
      <c r="R52" s="41"/>
      <c r="S52" s="81" t="str">
        <f>IF(R52="","",IF(AND(R52&gt;=960000,R52&lt;=999999),"V",IF(AND(R52&gt;=920000,R52&lt;=959999),"S",IF(AND(R52&gt;=880000,R52&lt;=919999),"A",IF(AND(R52&gt;=820000,R52&lt;=879999),"B",IF(AND(R52&gt;=700000,R52&lt;=819999),"C",IF(AND(R52&gt;=1,R52&lt;=699999),"F",IF(AND(R52=1000000),"φ",IF(AND(R52=0),"",R52)))))))))</f>
        <v/>
      </c>
      <c r="T52" s="82">
        <f>(R52-900000*U52)/100000*917</f>
        <v>0</v>
      </c>
      <c r="U52" s="41"/>
      <c r="V52" s="6" t="s">
        <v>177</v>
      </c>
      <c r="W52" s="23" t="s">
        <v>177</v>
      </c>
      <c r="X52" s="23" t="s">
        <v>177</v>
      </c>
      <c r="Y52" s="23" t="s">
        <v>177</v>
      </c>
      <c r="Z52" s="23" t="s">
        <v>177</v>
      </c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</row>
    <row r="53" spans="1:46" ht="21" customHeight="1" x14ac:dyDescent="0.2">
      <c r="A53" s="27" t="s">
        <v>48</v>
      </c>
      <c r="B53" s="6">
        <v>4.8</v>
      </c>
      <c r="C53" s="37"/>
      <c r="D53" s="76" t="str">
        <f t="shared" si="6"/>
        <v/>
      </c>
      <c r="E53" s="77">
        <f>(C53-900000*F53)/100000*311</f>
        <v>0</v>
      </c>
      <c r="F53" s="8"/>
      <c r="G53" s="6">
        <v>9.6999999999999993</v>
      </c>
      <c r="H53" s="38"/>
      <c r="I53" s="73" t="str">
        <f t="shared" si="0"/>
        <v/>
      </c>
      <c r="J53" s="74">
        <f>(H53-900000*K53)/100000*530</f>
        <v>0</v>
      </c>
      <c r="K53" s="2"/>
      <c r="L53" s="6">
        <v>14.4</v>
      </c>
      <c r="M53" s="40"/>
      <c r="N53" s="79" t="str">
        <f t="shared" si="8"/>
        <v/>
      </c>
      <c r="O53" s="80">
        <f>(M53-900000*P53)/100000*938</f>
        <v>0</v>
      </c>
      <c r="P53" s="40"/>
      <c r="Q53" s="6" t="s">
        <v>177</v>
      </c>
      <c r="R53" s="23" t="s">
        <v>177</v>
      </c>
      <c r="S53" s="23" t="s">
        <v>177</v>
      </c>
      <c r="T53" s="23" t="s">
        <v>177</v>
      </c>
      <c r="U53" s="23" t="s">
        <v>177</v>
      </c>
      <c r="V53" s="6" t="s">
        <v>177</v>
      </c>
      <c r="W53" s="23" t="s">
        <v>177</v>
      </c>
      <c r="X53" s="23" t="s">
        <v>177</v>
      </c>
      <c r="Y53" s="23" t="s">
        <v>177</v>
      </c>
      <c r="Z53" s="23" t="s">
        <v>177</v>
      </c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</row>
    <row r="54" spans="1:46" ht="21" customHeight="1" x14ac:dyDescent="0.2">
      <c r="A54" s="27" t="s">
        <v>49</v>
      </c>
      <c r="B54" s="6">
        <v>5.2</v>
      </c>
      <c r="C54" s="37"/>
      <c r="D54" s="76" t="str">
        <f t="shared" si="6"/>
        <v/>
      </c>
      <c r="E54" s="77">
        <f>(C54-900000*F54)/100000*248</f>
        <v>0</v>
      </c>
      <c r="F54" s="8"/>
      <c r="G54" s="6">
        <v>11.6</v>
      </c>
      <c r="H54" s="38"/>
      <c r="I54" s="73" t="str">
        <f t="shared" si="0"/>
        <v/>
      </c>
      <c r="J54" s="74">
        <f>(H54-900000*K54)/100000*700</f>
        <v>0</v>
      </c>
      <c r="K54" s="2"/>
      <c r="L54" s="6">
        <v>15.9</v>
      </c>
      <c r="M54" s="40"/>
      <c r="N54" s="79" t="str">
        <f t="shared" si="8"/>
        <v/>
      </c>
      <c r="O54" s="80">
        <f>(M54-900000*P54)/100000*1122</f>
        <v>0</v>
      </c>
      <c r="P54" s="40"/>
      <c r="Q54" s="6" t="s">
        <v>177</v>
      </c>
      <c r="R54" s="23" t="s">
        <v>177</v>
      </c>
      <c r="S54" s="23" t="s">
        <v>177</v>
      </c>
      <c r="T54" s="23" t="s">
        <v>177</v>
      </c>
      <c r="U54" s="23" t="s">
        <v>177</v>
      </c>
      <c r="V54" s="6">
        <v>16.3</v>
      </c>
      <c r="W54" s="58"/>
      <c r="X54" s="85" t="str">
        <f>IF(W54="","",IF(AND(W54&gt;=960000,W54&lt;=999999),"V",IF(AND(W54&gt;=920000,W54&lt;=959999),"S",IF(AND(W54&gt;=880000,W54&lt;=919999),"A",IF(AND(W54&gt;=820000,W54&lt;=879999),"B",IF(AND(W54&gt;=700000,W54&lt;=819999),"C",IF(AND(W54&gt;=1,W54&lt;=699999),"F",IF(AND(W54=1000000),"φ",IF(AND(W54=0),"",W54)))))))))</f>
        <v/>
      </c>
      <c r="Y54" s="87">
        <f>(W54-900000*Z54)/100000*1300</f>
        <v>0</v>
      </c>
      <c r="Z54" s="58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</row>
    <row r="55" spans="1:46" ht="16.5" customHeight="1" x14ac:dyDescent="0.2">
      <c r="A55" s="121" t="s">
        <v>85</v>
      </c>
      <c r="B55" s="122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3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</row>
    <row r="56" spans="1:46" ht="21" customHeight="1" x14ac:dyDescent="0.2">
      <c r="A56" s="27" t="s">
        <v>86</v>
      </c>
      <c r="B56" s="6">
        <v>1.4</v>
      </c>
      <c r="C56" s="37"/>
      <c r="D56" s="76" t="str">
        <f t="shared" si="6"/>
        <v/>
      </c>
      <c r="E56" s="77">
        <f>(C56-900000*F56)/100000*100</f>
        <v>0</v>
      </c>
      <c r="F56" s="8"/>
      <c r="G56" s="6">
        <v>7.4</v>
      </c>
      <c r="H56" s="2"/>
      <c r="I56" s="73" t="str">
        <f t="shared" si="0"/>
        <v/>
      </c>
      <c r="J56" s="74">
        <f>(H56-900000*K56)/100000*445</f>
        <v>0</v>
      </c>
      <c r="K56" s="2"/>
      <c r="L56" s="6">
        <v>11.8</v>
      </c>
      <c r="M56" s="40"/>
      <c r="N56" s="79" t="str">
        <f t="shared" si="8"/>
        <v/>
      </c>
      <c r="O56" s="80">
        <f t="shared" ref="O56:O61" si="9">(M56-900000*P56)/100000*1122</f>
        <v>0</v>
      </c>
      <c r="P56" s="40"/>
      <c r="Q56" s="6" t="s">
        <v>177</v>
      </c>
      <c r="R56" s="23" t="s">
        <v>177</v>
      </c>
      <c r="S56" s="23" t="s">
        <v>177</v>
      </c>
      <c r="T56" s="23" t="s">
        <v>177</v>
      </c>
      <c r="U56" s="23" t="s">
        <v>177</v>
      </c>
      <c r="V56" s="6" t="s">
        <v>177</v>
      </c>
      <c r="W56" s="23" t="s">
        <v>177</v>
      </c>
      <c r="X56" s="23" t="s">
        <v>177</v>
      </c>
      <c r="Y56" s="23" t="s">
        <v>177</v>
      </c>
      <c r="Z56" s="23" t="s">
        <v>177</v>
      </c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</row>
    <row r="57" spans="1:46" ht="21" customHeight="1" x14ac:dyDescent="0.2">
      <c r="A57" s="27" t="s">
        <v>182</v>
      </c>
      <c r="B57" s="6">
        <v>6.1</v>
      </c>
      <c r="C57" s="37"/>
      <c r="D57" s="76" t="str">
        <f t="shared" si="6"/>
        <v/>
      </c>
      <c r="E57" s="77">
        <f>(C57-900000*F57)/100000*426</f>
        <v>0</v>
      </c>
      <c r="F57" s="8"/>
      <c r="G57" s="6">
        <v>10.7</v>
      </c>
      <c r="H57" s="2"/>
      <c r="I57" s="73" t="str">
        <f t="shared" si="0"/>
        <v/>
      </c>
      <c r="J57" s="74">
        <f>(H57-900000*K57)/100000*513</f>
        <v>0</v>
      </c>
      <c r="K57" s="2"/>
      <c r="L57" s="6">
        <v>13.7</v>
      </c>
      <c r="M57" s="40"/>
      <c r="N57" s="79" t="str">
        <f t="shared" si="8"/>
        <v/>
      </c>
      <c r="O57" s="80">
        <f t="shared" si="9"/>
        <v>0</v>
      </c>
      <c r="P57" s="40"/>
      <c r="Q57" s="6" t="s">
        <v>177</v>
      </c>
      <c r="R57" s="23" t="s">
        <v>177</v>
      </c>
      <c r="S57" s="23" t="s">
        <v>177</v>
      </c>
      <c r="T57" s="23" t="s">
        <v>177</v>
      </c>
      <c r="U57" s="23" t="s">
        <v>177</v>
      </c>
      <c r="V57" s="6" t="s">
        <v>177</v>
      </c>
      <c r="W57" s="23" t="s">
        <v>177</v>
      </c>
      <c r="X57" s="23" t="s">
        <v>177</v>
      </c>
      <c r="Y57" s="23" t="s">
        <v>177</v>
      </c>
      <c r="Z57" s="23" t="s">
        <v>177</v>
      </c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</row>
    <row r="58" spans="1:46" ht="21" customHeight="1" x14ac:dyDescent="0.2">
      <c r="A58" s="60" t="s">
        <v>183</v>
      </c>
      <c r="B58" s="6">
        <v>4.7</v>
      </c>
      <c r="C58" s="37"/>
      <c r="D58" s="76" t="str">
        <f t="shared" si="6"/>
        <v/>
      </c>
      <c r="E58" s="77">
        <f>(C58-900000*F58)/100000*378</f>
        <v>0</v>
      </c>
      <c r="F58" s="8"/>
      <c r="G58" s="6">
        <v>11.4</v>
      </c>
      <c r="H58" s="2"/>
      <c r="I58" s="73" t="str">
        <f t="shared" si="0"/>
        <v/>
      </c>
      <c r="J58" s="74">
        <f>(H58-900000*K58)/100000*806</f>
        <v>0</v>
      </c>
      <c r="K58" s="2"/>
      <c r="L58" s="6">
        <v>14.6</v>
      </c>
      <c r="M58" s="40"/>
      <c r="N58" s="79" t="str">
        <f t="shared" si="8"/>
        <v/>
      </c>
      <c r="O58" s="80">
        <f t="shared" si="9"/>
        <v>0</v>
      </c>
      <c r="P58" s="40"/>
      <c r="Q58" s="6" t="s">
        <v>177</v>
      </c>
      <c r="R58" s="23" t="s">
        <v>177</v>
      </c>
      <c r="S58" s="23" t="s">
        <v>177</v>
      </c>
      <c r="T58" s="23" t="s">
        <v>177</v>
      </c>
      <c r="U58" s="23" t="s">
        <v>177</v>
      </c>
      <c r="V58" s="6" t="s">
        <v>177</v>
      </c>
      <c r="W58" s="23" t="s">
        <v>177</v>
      </c>
      <c r="X58" s="23" t="s">
        <v>177</v>
      </c>
      <c r="Y58" s="23" t="s">
        <v>177</v>
      </c>
      <c r="Z58" s="23" t="s">
        <v>177</v>
      </c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</row>
    <row r="59" spans="1:46" ht="21" customHeight="1" x14ac:dyDescent="0.2">
      <c r="A59" s="27" t="s">
        <v>184</v>
      </c>
      <c r="B59" s="6">
        <v>4.4000000000000004</v>
      </c>
      <c r="C59" s="37"/>
      <c r="D59" s="76" t="str">
        <f t="shared" si="6"/>
        <v/>
      </c>
      <c r="E59" s="77">
        <f>(C59-900000*F59)/100000*290</f>
        <v>0</v>
      </c>
      <c r="F59" s="8"/>
      <c r="G59" s="6">
        <v>10.9</v>
      </c>
      <c r="H59" s="2"/>
      <c r="I59" s="73" t="str">
        <f t="shared" si="0"/>
        <v/>
      </c>
      <c r="J59" s="74">
        <f>(H59-900000*K59)/100000*523</f>
        <v>0</v>
      </c>
      <c r="K59" s="2"/>
      <c r="L59" s="6">
        <v>14.9</v>
      </c>
      <c r="M59" s="40"/>
      <c r="N59" s="79" t="str">
        <f t="shared" si="8"/>
        <v/>
      </c>
      <c r="O59" s="80">
        <f t="shared" si="9"/>
        <v>0</v>
      </c>
      <c r="P59" s="40"/>
      <c r="Q59" s="6" t="s">
        <v>177</v>
      </c>
      <c r="R59" s="23" t="s">
        <v>177</v>
      </c>
      <c r="S59" s="23" t="s">
        <v>177</v>
      </c>
      <c r="T59" s="23" t="s">
        <v>177</v>
      </c>
      <c r="U59" s="23" t="s">
        <v>177</v>
      </c>
      <c r="V59" s="6" t="s">
        <v>177</v>
      </c>
      <c r="W59" s="23" t="s">
        <v>177</v>
      </c>
      <c r="X59" s="23" t="s">
        <v>177</v>
      </c>
      <c r="Y59" s="23" t="s">
        <v>177</v>
      </c>
      <c r="Z59" s="23" t="s">
        <v>177</v>
      </c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</row>
    <row r="60" spans="1:46" ht="21" customHeight="1" x14ac:dyDescent="0.2">
      <c r="A60" s="27" t="s">
        <v>185</v>
      </c>
      <c r="B60" s="6">
        <v>4.2</v>
      </c>
      <c r="C60" s="37"/>
      <c r="D60" s="76" t="str">
        <f t="shared" si="6"/>
        <v/>
      </c>
      <c r="E60" s="77">
        <f>(C60-900000*F60)/100000*194</f>
        <v>0</v>
      </c>
      <c r="F60" s="8"/>
      <c r="G60" s="6">
        <v>11.1</v>
      </c>
      <c r="H60" s="2"/>
      <c r="I60" s="73" t="str">
        <f t="shared" si="0"/>
        <v/>
      </c>
      <c r="J60" s="74">
        <f>(H60-900000*K60)/100000*975</f>
        <v>0</v>
      </c>
      <c r="K60" s="2"/>
      <c r="L60" s="6">
        <v>15.3</v>
      </c>
      <c r="M60" s="40"/>
      <c r="N60" s="79" t="str">
        <f t="shared" si="8"/>
        <v/>
      </c>
      <c r="O60" s="80">
        <f t="shared" si="9"/>
        <v>0</v>
      </c>
      <c r="P60" s="40"/>
      <c r="Q60" s="6" t="s">
        <v>177</v>
      </c>
      <c r="R60" s="23" t="s">
        <v>177</v>
      </c>
      <c r="S60" s="23" t="s">
        <v>177</v>
      </c>
      <c r="T60" s="23" t="s">
        <v>177</v>
      </c>
      <c r="U60" s="23" t="s">
        <v>177</v>
      </c>
      <c r="V60" s="6" t="s">
        <v>177</v>
      </c>
      <c r="W60" s="23" t="s">
        <v>177</v>
      </c>
      <c r="X60" s="23" t="s">
        <v>177</v>
      </c>
      <c r="Y60" s="23" t="s">
        <v>177</v>
      </c>
      <c r="Z60" s="23" t="s">
        <v>177</v>
      </c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</row>
    <row r="61" spans="1:46" ht="21" customHeight="1" x14ac:dyDescent="0.2">
      <c r="A61" s="60" t="s">
        <v>186</v>
      </c>
      <c r="B61" s="6">
        <v>7.5</v>
      </c>
      <c r="C61" s="37"/>
      <c r="D61" s="76" t="str">
        <f t="shared" si="6"/>
        <v/>
      </c>
      <c r="E61" s="77">
        <f>(C61-900000*F61)/100000*333</f>
        <v>0</v>
      </c>
      <c r="F61" s="8"/>
      <c r="G61" s="6">
        <v>12.4</v>
      </c>
      <c r="H61" s="2"/>
      <c r="I61" s="73" t="str">
        <f t="shared" si="0"/>
        <v/>
      </c>
      <c r="J61" s="74">
        <f>(H61-900000*K61)/100000*888</f>
        <v>0</v>
      </c>
      <c r="K61" s="2"/>
      <c r="L61" s="6">
        <v>14.6</v>
      </c>
      <c r="M61" s="40"/>
      <c r="N61" s="79" t="str">
        <f t="shared" si="8"/>
        <v/>
      </c>
      <c r="O61" s="80">
        <f t="shared" si="9"/>
        <v>0</v>
      </c>
      <c r="P61" s="40"/>
      <c r="Q61" s="6" t="s">
        <v>177</v>
      </c>
      <c r="R61" s="23" t="s">
        <v>177</v>
      </c>
      <c r="S61" s="23" t="s">
        <v>177</v>
      </c>
      <c r="T61" s="23" t="s">
        <v>177</v>
      </c>
      <c r="U61" s="23" t="s">
        <v>177</v>
      </c>
      <c r="V61" s="6">
        <v>16.3</v>
      </c>
      <c r="W61" s="58"/>
      <c r="X61" s="85" t="str">
        <f>IF(W61="","",IF(AND(W61&gt;=960000,W61&lt;=999999),"V",IF(AND(W61&gt;=920000,W61&lt;=959999),"S",IF(AND(W61&gt;=880000,W61&lt;=919999),"A",IF(AND(W61&gt;=820000,W61&lt;=879999),"B",IF(AND(W61&gt;=700000,W61&lt;=819999),"C",IF(AND(W61&gt;=1,W61&lt;=699999),"F",IF(AND(W61=1000000),"φ",IF(AND(W61=0),"",W61)))))))))</f>
        <v/>
      </c>
      <c r="Y61" s="87">
        <f>(W61-900000*Z61)/100000*888</f>
        <v>0</v>
      </c>
      <c r="Z61" s="58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</row>
    <row r="62" spans="1:46" ht="21" customHeight="1" x14ac:dyDescent="0.2">
      <c r="A62" s="121" t="s">
        <v>50</v>
      </c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3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</row>
    <row r="63" spans="1:46" ht="21" customHeight="1" x14ac:dyDescent="0.2">
      <c r="A63" s="27" t="s">
        <v>51</v>
      </c>
      <c r="B63" s="6">
        <v>1.7</v>
      </c>
      <c r="C63" s="37"/>
      <c r="D63" s="76" t="str">
        <f t="shared" si="6"/>
        <v/>
      </c>
      <c r="E63" s="77">
        <f>(C63-900000*F63)/100000*111</f>
        <v>0</v>
      </c>
      <c r="F63" s="8"/>
      <c r="G63" s="6">
        <v>5.6</v>
      </c>
      <c r="H63" s="2"/>
      <c r="I63" s="73" t="str">
        <f t="shared" si="0"/>
        <v/>
      </c>
      <c r="J63" s="74">
        <f>(H63-900000*K63)/100000*259</f>
        <v>0</v>
      </c>
      <c r="K63" s="2"/>
      <c r="L63" s="6">
        <v>13.6</v>
      </c>
      <c r="M63" s="40"/>
      <c r="N63" s="79" t="str">
        <f t="shared" si="8"/>
        <v/>
      </c>
      <c r="O63" s="80">
        <f>(M63-900000*P63)/100000*564</f>
        <v>0</v>
      </c>
      <c r="P63" s="40"/>
      <c r="Q63" s="6">
        <v>13.2</v>
      </c>
      <c r="R63" s="41"/>
      <c r="S63" s="81" t="str">
        <f>IF(R63="","",IF(AND(R63&gt;=960000,R63&lt;=999999),"V",IF(AND(R63&gt;=920000,R63&lt;=959999),"S",IF(AND(R63&gt;=880000,R63&lt;=919999),"A",IF(AND(R63&gt;=820000,R63&lt;=879999),"B",IF(AND(R63&gt;=700000,R63&lt;=819999),"C",IF(AND(R63&gt;=1,R63&lt;=699999),"F",IF(AND(R63=1000000),"φ",IF(AND(R63=0),"",R63)))))))))</f>
        <v/>
      </c>
      <c r="T63" s="82">
        <f>(R63-900000*U63)/100000*549</f>
        <v>0</v>
      </c>
      <c r="U63" s="41"/>
      <c r="V63" s="6" t="s">
        <v>177</v>
      </c>
      <c r="W63" s="23" t="s">
        <v>177</v>
      </c>
      <c r="X63" s="23" t="s">
        <v>177</v>
      </c>
      <c r="Y63" s="23" t="s">
        <v>177</v>
      </c>
      <c r="Z63" s="23" t="s">
        <v>177</v>
      </c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</row>
    <row r="64" spans="1:46" ht="21" customHeight="1" x14ac:dyDescent="0.2">
      <c r="A64" s="27" t="s">
        <v>52</v>
      </c>
      <c r="B64" s="6">
        <v>2.7</v>
      </c>
      <c r="C64" s="37"/>
      <c r="D64" s="76" t="str">
        <f t="shared" si="6"/>
        <v/>
      </c>
      <c r="E64" s="77">
        <f>(C64-900000*F64)/100000*184</f>
        <v>0</v>
      </c>
      <c r="F64" s="8"/>
      <c r="G64" s="6">
        <v>11.3</v>
      </c>
      <c r="H64" s="2"/>
      <c r="I64" s="73" t="str">
        <f t="shared" si="0"/>
        <v/>
      </c>
      <c r="J64" s="74">
        <f>(H64-900000*K64)/100000*500</f>
        <v>0</v>
      </c>
      <c r="K64" s="2"/>
      <c r="L64" s="6">
        <v>14.7</v>
      </c>
      <c r="M64" s="40"/>
      <c r="N64" s="79" t="str">
        <f t="shared" si="8"/>
        <v/>
      </c>
      <c r="O64" s="80">
        <f>(M64-900000*P64)/100000*662</f>
        <v>0</v>
      </c>
      <c r="P64" s="40"/>
      <c r="Q64" s="6" t="s">
        <v>177</v>
      </c>
      <c r="R64" s="23" t="s">
        <v>177</v>
      </c>
      <c r="S64" s="23" t="s">
        <v>177</v>
      </c>
      <c r="T64" s="23" t="s">
        <v>177</v>
      </c>
      <c r="U64" s="23" t="s">
        <v>177</v>
      </c>
      <c r="V64" s="6" t="s">
        <v>177</v>
      </c>
      <c r="W64" s="23" t="s">
        <v>177</v>
      </c>
      <c r="X64" s="23" t="s">
        <v>177</v>
      </c>
      <c r="Y64" s="23" t="s">
        <v>177</v>
      </c>
      <c r="Z64" s="23" t="s">
        <v>177</v>
      </c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</row>
    <row r="65" spans="1:46" ht="21" customHeight="1" x14ac:dyDescent="0.2">
      <c r="A65" s="32" t="s">
        <v>53</v>
      </c>
      <c r="B65" s="6">
        <v>6.6</v>
      </c>
      <c r="C65" s="37"/>
      <c r="D65" s="76" t="str">
        <f t="shared" si="6"/>
        <v/>
      </c>
      <c r="E65" s="77">
        <f>(C65-900000*F65)/100000*567</f>
        <v>0</v>
      </c>
      <c r="F65" s="8"/>
      <c r="G65" s="6">
        <v>11.9</v>
      </c>
      <c r="H65" s="2"/>
      <c r="I65" s="73" t="str">
        <f t="shared" si="0"/>
        <v/>
      </c>
      <c r="J65" s="74">
        <f>(H65-900000*K65)/100000*960</f>
        <v>0</v>
      </c>
      <c r="K65" s="2"/>
      <c r="L65" s="6">
        <v>14.8</v>
      </c>
      <c r="M65" s="40"/>
      <c r="N65" s="79" t="str">
        <f t="shared" si="8"/>
        <v/>
      </c>
      <c r="O65" s="80">
        <f>(M65-900000*P65)/100000*1065</f>
        <v>0</v>
      </c>
      <c r="P65" s="40"/>
      <c r="Q65" s="6" t="s">
        <v>177</v>
      </c>
      <c r="R65" s="23" t="s">
        <v>177</v>
      </c>
      <c r="S65" s="23" t="s">
        <v>177</v>
      </c>
      <c r="T65" s="23" t="s">
        <v>177</v>
      </c>
      <c r="U65" s="23" t="s">
        <v>177</v>
      </c>
      <c r="V65" s="6" t="s">
        <v>177</v>
      </c>
      <c r="W65" s="23" t="s">
        <v>177</v>
      </c>
      <c r="X65" s="23" t="s">
        <v>177</v>
      </c>
      <c r="Y65" s="23" t="s">
        <v>177</v>
      </c>
      <c r="Z65" s="23" t="s">
        <v>177</v>
      </c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</row>
    <row r="66" spans="1:46" ht="21" customHeight="1" x14ac:dyDescent="0.2">
      <c r="A66" s="33" t="s">
        <v>54</v>
      </c>
      <c r="B66" s="6">
        <v>5.9</v>
      </c>
      <c r="C66" s="37"/>
      <c r="D66" s="76" t="str">
        <f t="shared" si="6"/>
        <v/>
      </c>
      <c r="E66" s="77">
        <f>(C66-900000*F66)/100000*384</f>
        <v>0</v>
      </c>
      <c r="F66" s="8"/>
      <c r="G66" s="6">
        <v>10.8</v>
      </c>
      <c r="H66" s="2"/>
      <c r="I66" s="73" t="str">
        <f t="shared" si="0"/>
        <v/>
      </c>
      <c r="J66" s="74">
        <f>(H66-900000*K66)/100000*623</f>
        <v>0</v>
      </c>
      <c r="K66" s="2"/>
      <c r="L66" s="6">
        <v>14.9</v>
      </c>
      <c r="M66" s="40"/>
      <c r="N66" s="79" t="str">
        <f t="shared" si="8"/>
        <v/>
      </c>
      <c r="O66" s="80">
        <f>(M66-900000*P66)/100000*1090</f>
        <v>0</v>
      </c>
      <c r="P66" s="40"/>
      <c r="Q66" s="6">
        <v>15.1</v>
      </c>
      <c r="R66" s="41"/>
      <c r="S66" s="81" t="str">
        <f>IF(R66="","",IF(AND(R66&gt;=960000,R66&lt;=999999),"V",IF(AND(R66&gt;=920000,R66&lt;=959999),"S",IF(AND(R66&gt;=880000,R66&lt;=919999),"A",IF(AND(R66&gt;=820000,R66&lt;=879999),"B",IF(AND(R66&gt;=700000,R66&lt;=819999),"C",IF(AND(R66&gt;=1,R66&lt;=699999),"F",IF(AND(R66=1000000),"φ",IF(AND(R66=0),"",R66)))))))))</f>
        <v/>
      </c>
      <c r="T66" s="82">
        <f>(R66-900000*U66)/100000*1293</f>
        <v>0</v>
      </c>
      <c r="U66" s="41"/>
      <c r="V66" s="6" t="s">
        <v>177</v>
      </c>
      <c r="W66" s="23" t="s">
        <v>177</v>
      </c>
      <c r="X66" s="23" t="s">
        <v>177</v>
      </c>
      <c r="Y66" s="23" t="s">
        <v>177</v>
      </c>
      <c r="Z66" s="23" t="s">
        <v>177</v>
      </c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</row>
    <row r="67" spans="1:46" ht="21" customHeight="1" x14ac:dyDescent="0.2">
      <c r="A67" s="27" t="s">
        <v>55</v>
      </c>
      <c r="B67" s="6">
        <v>6.8</v>
      </c>
      <c r="C67" s="37"/>
      <c r="D67" s="76" t="str">
        <f t="shared" si="6"/>
        <v/>
      </c>
      <c r="E67" s="77">
        <f>(C67-900000*F67)/100000*596</f>
        <v>0</v>
      </c>
      <c r="F67" s="8"/>
      <c r="G67" s="6">
        <v>11.6</v>
      </c>
      <c r="H67" s="2"/>
      <c r="I67" s="73" t="str">
        <f t="shared" si="0"/>
        <v/>
      </c>
      <c r="J67" s="74">
        <f>(H67-900000*K67)/100000*596</f>
        <v>0</v>
      </c>
      <c r="K67" s="2"/>
      <c r="L67" s="6">
        <v>15.9</v>
      </c>
      <c r="M67" s="40"/>
      <c r="N67" s="79" t="str">
        <f t="shared" si="8"/>
        <v/>
      </c>
      <c r="O67" s="80">
        <f>(M67-900000*P67)/100000*1156</f>
        <v>0</v>
      </c>
      <c r="P67" s="40"/>
      <c r="Q67" s="6" t="s">
        <v>177</v>
      </c>
      <c r="R67" s="23" t="s">
        <v>177</v>
      </c>
      <c r="S67" s="23" t="s">
        <v>177</v>
      </c>
      <c r="T67" s="23" t="s">
        <v>177</v>
      </c>
      <c r="U67" s="23" t="s">
        <v>177</v>
      </c>
      <c r="V67" s="6" t="s">
        <v>177</v>
      </c>
      <c r="W67" s="23" t="s">
        <v>177</v>
      </c>
      <c r="X67" s="23" t="s">
        <v>177</v>
      </c>
      <c r="Y67" s="23" t="s">
        <v>177</v>
      </c>
      <c r="Z67" s="23" t="s">
        <v>177</v>
      </c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</row>
    <row r="68" spans="1:46" ht="21" customHeight="1" x14ac:dyDescent="0.2">
      <c r="A68" s="121" t="s">
        <v>56</v>
      </c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3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</row>
    <row r="69" spans="1:46" ht="21" customHeight="1" x14ac:dyDescent="0.2">
      <c r="A69" s="27" t="s">
        <v>57</v>
      </c>
      <c r="B69" s="6">
        <v>3.3</v>
      </c>
      <c r="C69" s="37"/>
      <c r="D69" s="76" t="str">
        <f t="shared" si="6"/>
        <v/>
      </c>
      <c r="E69" s="77">
        <f>(C69-900000*F69)/100000*164</f>
        <v>0</v>
      </c>
      <c r="F69" s="8"/>
      <c r="G69" s="6">
        <v>8.4</v>
      </c>
      <c r="H69" s="2"/>
      <c r="I69" s="73" t="str">
        <f t="shared" si="0"/>
        <v/>
      </c>
      <c r="J69" s="74">
        <f>(H69-900000*K69)/100000*422</f>
        <v>0</v>
      </c>
      <c r="K69" s="2"/>
      <c r="L69" s="6">
        <v>13.6</v>
      </c>
      <c r="M69" s="40"/>
      <c r="N69" s="79" t="str">
        <f t="shared" si="8"/>
        <v/>
      </c>
      <c r="O69" s="80">
        <f>(M69-900000*P69)/100000*1029</f>
        <v>0</v>
      </c>
      <c r="P69" s="40"/>
      <c r="Q69" s="6" t="s">
        <v>177</v>
      </c>
      <c r="R69" s="23" t="s">
        <v>177</v>
      </c>
      <c r="S69" s="23" t="s">
        <v>177</v>
      </c>
      <c r="T69" s="23" t="s">
        <v>177</v>
      </c>
      <c r="U69" s="23" t="s">
        <v>177</v>
      </c>
      <c r="V69" s="6" t="s">
        <v>177</v>
      </c>
      <c r="W69" s="23" t="s">
        <v>177</v>
      </c>
      <c r="X69" s="23" t="s">
        <v>177</v>
      </c>
      <c r="Y69" s="23" t="s">
        <v>177</v>
      </c>
      <c r="Z69" s="23" t="s">
        <v>177</v>
      </c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</row>
    <row r="70" spans="1:46" ht="21" customHeight="1" x14ac:dyDescent="0.2">
      <c r="A70" s="27" t="s">
        <v>58</v>
      </c>
      <c r="B70" s="6">
        <v>5.4</v>
      </c>
      <c r="C70" s="37"/>
      <c r="D70" s="76" t="str">
        <f t="shared" si="6"/>
        <v/>
      </c>
      <c r="E70" s="77">
        <f>(C70-900000*F70)/100000*444</f>
        <v>0</v>
      </c>
      <c r="F70" s="8"/>
      <c r="G70" s="6">
        <v>9.8000000000000007</v>
      </c>
      <c r="H70" s="2"/>
      <c r="I70" s="73" t="str">
        <f t="shared" si="0"/>
        <v/>
      </c>
      <c r="J70" s="74">
        <f>(H70-900000*K70)/100000*629</f>
        <v>0</v>
      </c>
      <c r="K70" s="2"/>
      <c r="L70" s="6">
        <v>14.7</v>
      </c>
      <c r="M70" s="40"/>
      <c r="N70" s="79" t="str">
        <f t="shared" si="8"/>
        <v/>
      </c>
      <c r="O70" s="80">
        <f>(M70-900000*P70)/100000*918</f>
        <v>0</v>
      </c>
      <c r="P70" s="40"/>
      <c r="Q70" s="6" t="s">
        <v>177</v>
      </c>
      <c r="R70" s="23" t="s">
        <v>177</v>
      </c>
      <c r="S70" s="23" t="s">
        <v>177</v>
      </c>
      <c r="T70" s="23" t="s">
        <v>177</v>
      </c>
      <c r="U70" s="23" t="s">
        <v>177</v>
      </c>
      <c r="V70" s="6" t="s">
        <v>177</v>
      </c>
      <c r="W70" s="23" t="s">
        <v>177</v>
      </c>
      <c r="X70" s="23" t="s">
        <v>177</v>
      </c>
      <c r="Y70" s="23" t="s">
        <v>177</v>
      </c>
      <c r="Z70" s="23" t="s">
        <v>177</v>
      </c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</row>
    <row r="71" spans="1:46" ht="21" customHeight="1" x14ac:dyDescent="0.2">
      <c r="A71" s="27" t="s">
        <v>59</v>
      </c>
      <c r="B71" s="6">
        <v>7.7</v>
      </c>
      <c r="C71" s="37"/>
      <c r="D71" s="76" t="str">
        <f t="shared" si="6"/>
        <v/>
      </c>
      <c r="E71" s="77">
        <f>(C71-900000*F71)/100000*517</f>
        <v>0</v>
      </c>
      <c r="F71" s="8"/>
      <c r="G71" s="6">
        <v>12.8</v>
      </c>
      <c r="H71" s="2"/>
      <c r="I71" s="73" t="str">
        <f t="shared" ref="I71:I141" si="10">IF(H71="","",IF(AND(H71&gt;=960000,H71&lt;=999999),"V",IF(AND(H71&gt;=920000,H71&lt;=959999),"S",IF(AND(H71&gt;=880000,H71&lt;=919999),"A",IF(AND(H71&gt;=820000,H71&lt;=879999),"B",IF(AND(H71&gt;=700000,H71&lt;=819999),"C",IF(AND(H71&gt;=1,H71&lt;=699999),"F",IF(AND(H71=1000000),"φ",IF(AND(H71=0),"",H71)))))))))</f>
        <v/>
      </c>
      <c r="J71" s="74">
        <f>(H71-900000*K71)/100000*892</f>
        <v>0</v>
      </c>
      <c r="K71" s="2"/>
      <c r="L71" s="6">
        <v>15.9</v>
      </c>
      <c r="M71" s="40"/>
      <c r="N71" s="79" t="str">
        <f t="shared" si="8"/>
        <v/>
      </c>
      <c r="O71" s="80">
        <f>(M71-900000*P71)/100000*1305</f>
        <v>0</v>
      </c>
      <c r="P71" s="40"/>
      <c r="Q71" s="6" t="s">
        <v>177</v>
      </c>
      <c r="R71" s="23" t="s">
        <v>177</v>
      </c>
      <c r="S71" s="23" t="s">
        <v>177</v>
      </c>
      <c r="T71" s="23" t="s">
        <v>177</v>
      </c>
      <c r="U71" s="23" t="s">
        <v>177</v>
      </c>
      <c r="V71" s="6" t="s">
        <v>177</v>
      </c>
      <c r="W71" s="23" t="s">
        <v>177</v>
      </c>
      <c r="X71" s="23" t="s">
        <v>177</v>
      </c>
      <c r="Y71" s="23" t="s">
        <v>177</v>
      </c>
      <c r="Z71" s="23" t="s">
        <v>177</v>
      </c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</row>
    <row r="72" spans="1:46" ht="21" customHeight="1" x14ac:dyDescent="0.2">
      <c r="A72" s="121" t="s">
        <v>60</v>
      </c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3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</row>
    <row r="73" spans="1:46" ht="16.5" customHeight="1" x14ac:dyDescent="0.2">
      <c r="A73" s="27" t="s">
        <v>61</v>
      </c>
      <c r="B73" s="6">
        <v>5.4</v>
      </c>
      <c r="C73" s="37"/>
      <c r="D73" s="76" t="str">
        <f t="shared" si="6"/>
        <v/>
      </c>
      <c r="E73" s="77">
        <f>(C73-900000*F73)/100000*295</f>
        <v>0</v>
      </c>
      <c r="F73" s="8"/>
      <c r="G73" s="6">
        <v>10.8</v>
      </c>
      <c r="H73" s="2"/>
      <c r="I73" s="73" t="str">
        <f t="shared" si="10"/>
        <v/>
      </c>
      <c r="J73" s="74">
        <f>(H73-900000*K73)/100000*609</f>
        <v>0</v>
      </c>
      <c r="K73" s="2"/>
      <c r="L73" s="6">
        <v>14.2</v>
      </c>
      <c r="M73" s="40"/>
      <c r="N73" s="79" t="str">
        <f t="shared" si="8"/>
        <v/>
      </c>
      <c r="O73" s="80">
        <f>(M73-900000*P73)/100000*873</f>
        <v>0</v>
      </c>
      <c r="P73" s="40"/>
      <c r="Q73" s="6" t="s">
        <v>177</v>
      </c>
      <c r="R73" s="23" t="s">
        <v>177</v>
      </c>
      <c r="S73" s="23" t="s">
        <v>177</v>
      </c>
      <c r="T73" s="23" t="s">
        <v>177</v>
      </c>
      <c r="U73" s="23" t="s">
        <v>177</v>
      </c>
      <c r="V73" s="6" t="s">
        <v>177</v>
      </c>
      <c r="W73" s="23" t="s">
        <v>177</v>
      </c>
      <c r="X73" s="23" t="s">
        <v>177</v>
      </c>
      <c r="Y73" s="23" t="s">
        <v>177</v>
      </c>
      <c r="Z73" s="23" t="s">
        <v>177</v>
      </c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</row>
    <row r="74" spans="1:46" ht="21" customHeight="1" x14ac:dyDescent="0.2">
      <c r="A74" s="27" t="s">
        <v>62</v>
      </c>
      <c r="B74" s="6">
        <v>5.7</v>
      </c>
      <c r="C74" s="37"/>
      <c r="D74" s="76" t="str">
        <f t="shared" si="6"/>
        <v/>
      </c>
      <c r="E74" s="77">
        <f>(C74-900000*F74)/100000*588</f>
        <v>0</v>
      </c>
      <c r="F74" s="8"/>
      <c r="G74" s="6">
        <v>11.6</v>
      </c>
      <c r="H74" s="2"/>
      <c r="I74" s="73" t="str">
        <f t="shared" si="10"/>
        <v/>
      </c>
      <c r="J74" s="74">
        <f>(H74-900000*K74)/100000*797</f>
        <v>0</v>
      </c>
      <c r="K74" s="2"/>
      <c r="L74" s="6">
        <v>14.4</v>
      </c>
      <c r="M74" s="40"/>
      <c r="N74" s="79" t="str">
        <f t="shared" si="8"/>
        <v/>
      </c>
      <c r="O74" s="80">
        <f>(M74-900000*P74)/100000*898</f>
        <v>0</v>
      </c>
      <c r="P74" s="40"/>
      <c r="Q74" s="6" t="s">
        <v>177</v>
      </c>
      <c r="R74" s="23" t="s">
        <v>177</v>
      </c>
      <c r="S74" s="23" t="s">
        <v>177</v>
      </c>
      <c r="T74" s="23" t="s">
        <v>177</v>
      </c>
      <c r="U74" s="23" t="s">
        <v>177</v>
      </c>
      <c r="V74" s="6" t="s">
        <v>177</v>
      </c>
      <c r="W74" s="23" t="s">
        <v>177</v>
      </c>
      <c r="X74" s="23" t="s">
        <v>177</v>
      </c>
      <c r="Y74" s="23" t="s">
        <v>177</v>
      </c>
      <c r="Z74" s="23" t="s">
        <v>177</v>
      </c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</row>
    <row r="75" spans="1:46" ht="21" customHeight="1" x14ac:dyDescent="0.2">
      <c r="A75" s="27" t="s">
        <v>63</v>
      </c>
      <c r="B75" s="6">
        <v>3.2</v>
      </c>
      <c r="C75" s="37"/>
      <c r="D75" s="76" t="str">
        <f t="shared" si="6"/>
        <v/>
      </c>
      <c r="E75" s="77">
        <f>(C75-900000*F75)/100000*215</f>
        <v>0</v>
      </c>
      <c r="F75" s="8"/>
      <c r="G75" s="6">
        <v>11.4</v>
      </c>
      <c r="H75" s="2"/>
      <c r="I75" s="73" t="str">
        <f t="shared" si="10"/>
        <v/>
      </c>
      <c r="J75" s="74">
        <f>(H75-900000*K75)/100000*805</f>
        <v>0</v>
      </c>
      <c r="K75" s="2"/>
      <c r="L75" s="6">
        <v>14.5</v>
      </c>
      <c r="M75" s="40"/>
      <c r="N75" s="79" t="str">
        <f t="shared" si="8"/>
        <v/>
      </c>
      <c r="O75" s="80">
        <f>(M75-900000*P75)/100000*960</f>
        <v>0</v>
      </c>
      <c r="P75" s="40"/>
      <c r="Q75" s="6" t="s">
        <v>177</v>
      </c>
      <c r="R75" s="23" t="s">
        <v>177</v>
      </c>
      <c r="S75" s="23" t="s">
        <v>177</v>
      </c>
      <c r="T75" s="23" t="s">
        <v>177</v>
      </c>
      <c r="U75" s="23" t="s">
        <v>177</v>
      </c>
      <c r="V75" s="6" t="s">
        <v>177</v>
      </c>
      <c r="W75" s="23" t="s">
        <v>177</v>
      </c>
      <c r="X75" s="23" t="s">
        <v>177</v>
      </c>
      <c r="Y75" s="23" t="s">
        <v>177</v>
      </c>
      <c r="Z75" s="23" t="s">
        <v>177</v>
      </c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</row>
    <row r="76" spans="1:46" ht="21" customHeight="1" x14ac:dyDescent="0.2">
      <c r="A76" s="27" t="s">
        <v>64</v>
      </c>
      <c r="B76" s="6">
        <v>7.3</v>
      </c>
      <c r="C76" s="37"/>
      <c r="D76" s="76" t="str">
        <f t="shared" si="6"/>
        <v/>
      </c>
      <c r="E76" s="77">
        <f>(C76-900000*F76)/100000*455</f>
        <v>0</v>
      </c>
      <c r="F76" s="8"/>
      <c r="G76" s="6">
        <v>8.6999999999999993</v>
      </c>
      <c r="H76" s="2"/>
      <c r="I76" s="73" t="str">
        <f t="shared" si="10"/>
        <v/>
      </c>
      <c r="J76" s="74">
        <f>(H76-900000*K76)/100000*733</f>
        <v>0</v>
      </c>
      <c r="K76" s="2"/>
      <c r="L76" s="6">
        <v>15.4</v>
      </c>
      <c r="M76" s="40"/>
      <c r="N76" s="79" t="str">
        <f t="shared" si="8"/>
        <v/>
      </c>
      <c r="O76" s="80">
        <f>(M76-900000*P76)/100000*1011</f>
        <v>0</v>
      </c>
      <c r="P76" s="40"/>
      <c r="Q76" s="6" t="s">
        <v>177</v>
      </c>
      <c r="R76" s="23" t="s">
        <v>177</v>
      </c>
      <c r="S76" s="23" t="s">
        <v>177</v>
      </c>
      <c r="T76" s="23" t="s">
        <v>177</v>
      </c>
      <c r="U76" s="23" t="s">
        <v>177</v>
      </c>
      <c r="V76" s="6" t="s">
        <v>177</v>
      </c>
      <c r="W76" s="23" t="s">
        <v>177</v>
      </c>
      <c r="X76" s="23" t="s">
        <v>177</v>
      </c>
      <c r="Y76" s="23" t="s">
        <v>177</v>
      </c>
      <c r="Z76" s="23" t="s">
        <v>177</v>
      </c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</row>
    <row r="77" spans="1:46" ht="21" customHeight="1" x14ac:dyDescent="0.2">
      <c r="A77" s="27" t="s">
        <v>65</v>
      </c>
      <c r="B77" s="6">
        <v>4.5999999999999996</v>
      </c>
      <c r="C77" s="37"/>
      <c r="D77" s="76" t="str">
        <f t="shared" si="6"/>
        <v/>
      </c>
      <c r="E77" s="77">
        <f>(C77-900000*F77)/100000*308</f>
        <v>0</v>
      </c>
      <c r="F77" s="8"/>
      <c r="G77" s="6">
        <v>7.8</v>
      </c>
      <c r="H77" s="2"/>
      <c r="I77" s="73" t="str">
        <f t="shared" si="10"/>
        <v/>
      </c>
      <c r="J77" s="74">
        <f>(H77-900000*K77)/100000*628</f>
        <v>0</v>
      </c>
      <c r="K77" s="2"/>
      <c r="L77" s="6">
        <v>15.8</v>
      </c>
      <c r="M77" s="40"/>
      <c r="N77" s="79" t="str">
        <f t="shared" si="8"/>
        <v/>
      </c>
      <c r="O77" s="80">
        <f>(M77-900000*P77)/100000*1034</f>
        <v>0</v>
      </c>
      <c r="P77" s="40"/>
      <c r="Q77" s="6" t="s">
        <v>177</v>
      </c>
      <c r="R77" s="23" t="s">
        <v>177</v>
      </c>
      <c r="S77" s="23" t="s">
        <v>177</v>
      </c>
      <c r="T77" s="23" t="s">
        <v>177</v>
      </c>
      <c r="U77" s="23" t="s">
        <v>177</v>
      </c>
      <c r="V77" s="6" t="s">
        <v>177</v>
      </c>
      <c r="W77" s="23" t="s">
        <v>177</v>
      </c>
      <c r="X77" s="23" t="s">
        <v>177</v>
      </c>
      <c r="Y77" s="23" t="s">
        <v>177</v>
      </c>
      <c r="Z77" s="23" t="s">
        <v>177</v>
      </c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</row>
    <row r="78" spans="1:46" ht="16.5" customHeight="1" x14ac:dyDescent="0.2">
      <c r="A78" s="121" t="s">
        <v>66</v>
      </c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3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</row>
    <row r="79" spans="1:46" ht="21" customHeight="1" x14ac:dyDescent="0.2">
      <c r="A79" s="27" t="s">
        <v>67</v>
      </c>
      <c r="B79" s="6">
        <v>2.5</v>
      </c>
      <c r="C79" s="37"/>
      <c r="D79" s="76" t="str">
        <f t="shared" si="6"/>
        <v/>
      </c>
      <c r="E79" s="77">
        <f>(C79-900000*F79)/100000*117</f>
        <v>0</v>
      </c>
      <c r="F79" s="8"/>
      <c r="G79" s="6">
        <v>7.2</v>
      </c>
      <c r="H79" s="2"/>
      <c r="I79" s="73" t="str">
        <f t="shared" si="10"/>
        <v/>
      </c>
      <c r="J79" s="74">
        <f>(H79-900000*K79)/100000*354</f>
        <v>0</v>
      </c>
      <c r="K79" s="2"/>
      <c r="L79" s="6">
        <v>11.6</v>
      </c>
      <c r="M79" s="40"/>
      <c r="N79" s="79" t="str">
        <f t="shared" si="8"/>
        <v/>
      </c>
      <c r="O79" s="80">
        <f>(M79-900000*P79)/100000*581</f>
        <v>0</v>
      </c>
      <c r="P79" s="40"/>
      <c r="Q79" s="6" t="s">
        <v>177</v>
      </c>
      <c r="R79" s="23" t="s">
        <v>177</v>
      </c>
      <c r="S79" s="23" t="s">
        <v>177</v>
      </c>
      <c r="T79" s="23" t="s">
        <v>177</v>
      </c>
      <c r="U79" s="23" t="s">
        <v>177</v>
      </c>
      <c r="V79" s="6" t="s">
        <v>177</v>
      </c>
      <c r="W79" s="23" t="s">
        <v>177</v>
      </c>
      <c r="X79" s="23" t="s">
        <v>177</v>
      </c>
      <c r="Y79" s="23" t="s">
        <v>177</v>
      </c>
      <c r="Z79" s="23" t="s">
        <v>177</v>
      </c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</row>
    <row r="80" spans="1:46" ht="21" customHeight="1" x14ac:dyDescent="0.2">
      <c r="A80" s="27" t="s">
        <v>68</v>
      </c>
      <c r="B80" s="6">
        <v>3.6</v>
      </c>
      <c r="C80" s="37"/>
      <c r="D80" s="76" t="str">
        <f t="shared" si="6"/>
        <v/>
      </c>
      <c r="E80" s="77">
        <f>(C80-900000*F80)/100000*292</f>
        <v>0</v>
      </c>
      <c r="F80" s="8"/>
      <c r="G80" s="6">
        <v>7.4</v>
      </c>
      <c r="H80" s="2"/>
      <c r="I80" s="73" t="str">
        <f t="shared" si="10"/>
        <v/>
      </c>
      <c r="J80" s="74">
        <f>(H80-900000*K80)/100000*421</f>
        <v>0</v>
      </c>
      <c r="K80" s="2"/>
      <c r="L80" s="6">
        <v>12.6</v>
      </c>
      <c r="M80" s="40"/>
      <c r="N80" s="79" t="str">
        <f t="shared" si="8"/>
        <v/>
      </c>
      <c r="O80" s="80">
        <f>(M80-900000*P80)/100000*459</f>
        <v>0</v>
      </c>
      <c r="P80" s="40"/>
      <c r="Q80" s="6" t="s">
        <v>177</v>
      </c>
      <c r="R80" s="23" t="s">
        <v>177</v>
      </c>
      <c r="S80" s="23" t="s">
        <v>177</v>
      </c>
      <c r="T80" s="23" t="s">
        <v>177</v>
      </c>
      <c r="U80" s="23" t="s">
        <v>177</v>
      </c>
      <c r="V80" s="6" t="s">
        <v>177</v>
      </c>
      <c r="W80" s="23" t="s">
        <v>177</v>
      </c>
      <c r="X80" s="23" t="s">
        <v>177</v>
      </c>
      <c r="Y80" s="23" t="s">
        <v>177</v>
      </c>
      <c r="Z80" s="23" t="s">
        <v>177</v>
      </c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</row>
    <row r="81" spans="1:46" ht="21" customHeight="1" x14ac:dyDescent="0.2">
      <c r="A81" s="27" t="s">
        <v>69</v>
      </c>
      <c r="B81" s="6">
        <v>4.5</v>
      </c>
      <c r="C81" s="37"/>
      <c r="D81" s="76" t="str">
        <f t="shared" si="6"/>
        <v/>
      </c>
      <c r="E81" s="77">
        <f>(C81-900000*F81)/100000*363</f>
        <v>0</v>
      </c>
      <c r="F81" s="8"/>
      <c r="G81" s="6">
        <v>8.6999999999999993</v>
      </c>
      <c r="H81" s="2"/>
      <c r="I81" s="73" t="str">
        <f t="shared" si="10"/>
        <v/>
      </c>
      <c r="J81" s="74">
        <f>(H81-900000*K81)/100000*584</f>
        <v>0</v>
      </c>
      <c r="K81" s="2"/>
      <c r="L81" s="6">
        <v>13.5</v>
      </c>
      <c r="M81" s="40"/>
      <c r="N81" s="79" t="str">
        <f t="shared" si="8"/>
        <v/>
      </c>
      <c r="O81" s="80">
        <f>(M81-900000*P81)/100000*819</f>
        <v>0</v>
      </c>
      <c r="P81" s="40"/>
      <c r="Q81" s="6" t="s">
        <v>177</v>
      </c>
      <c r="R81" s="23" t="s">
        <v>177</v>
      </c>
      <c r="S81" s="23" t="s">
        <v>177</v>
      </c>
      <c r="T81" s="23" t="s">
        <v>177</v>
      </c>
      <c r="U81" s="23" t="s">
        <v>177</v>
      </c>
      <c r="V81" s="6" t="s">
        <v>177</v>
      </c>
      <c r="W81" s="23" t="s">
        <v>177</v>
      </c>
      <c r="X81" s="23" t="s">
        <v>177</v>
      </c>
      <c r="Y81" s="23" t="s">
        <v>177</v>
      </c>
      <c r="Z81" s="23" t="s">
        <v>177</v>
      </c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</row>
    <row r="82" spans="1:46" ht="16.5" customHeight="1" x14ac:dyDescent="0.2">
      <c r="A82" s="27" t="s">
        <v>70</v>
      </c>
      <c r="B82" s="6">
        <v>7.3</v>
      </c>
      <c r="C82" s="37"/>
      <c r="D82" s="76" t="str">
        <f t="shared" si="6"/>
        <v/>
      </c>
      <c r="E82" s="77">
        <f>(C82-900000*F82)/100000*1052</f>
        <v>0</v>
      </c>
      <c r="F82" s="8"/>
      <c r="G82" s="6">
        <v>11.9</v>
      </c>
      <c r="H82" s="2"/>
      <c r="I82" s="73" t="str">
        <f t="shared" si="10"/>
        <v/>
      </c>
      <c r="J82" s="74">
        <f>(H82-900000*K82)/100000*985</f>
        <v>0</v>
      </c>
      <c r="K82" s="2"/>
      <c r="L82" s="6">
        <v>14.8</v>
      </c>
      <c r="M82" s="40"/>
      <c r="N82" s="79" t="str">
        <f t="shared" si="8"/>
        <v/>
      </c>
      <c r="O82" s="80">
        <f>(M82-900000*P82)/100000*1178</f>
        <v>0</v>
      </c>
      <c r="P82" s="40"/>
      <c r="Q82" s="6" t="s">
        <v>177</v>
      </c>
      <c r="R82" s="23" t="s">
        <v>177</v>
      </c>
      <c r="S82" s="23" t="s">
        <v>177</v>
      </c>
      <c r="T82" s="23" t="s">
        <v>177</v>
      </c>
      <c r="U82" s="23" t="s">
        <v>177</v>
      </c>
      <c r="V82" s="6">
        <v>16.2</v>
      </c>
      <c r="W82" s="58"/>
      <c r="X82" s="85" t="str">
        <f>IF(W82="","",IF(AND(W82&gt;=960000,W82&lt;=999999),"V",IF(AND(W82&gt;=920000,W82&lt;=959999),"S",IF(AND(W82&gt;=880000,W82&lt;=919999),"A",IF(AND(W82&gt;=820000,W82&lt;=879999),"B",IF(AND(W82&gt;=700000,W82&lt;=819999),"C",IF(AND(W82&gt;=1,W82&lt;=699999),"F",IF(AND(W82=1000000),"φ",IF(AND(W82=0),"",W82)))))))))</f>
        <v/>
      </c>
      <c r="Y82" s="87">
        <f>(W82-900000*Z82)/100000*1650</f>
        <v>0</v>
      </c>
      <c r="Z82" s="58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</row>
    <row r="83" spans="1:46" ht="21" customHeight="1" x14ac:dyDescent="0.2">
      <c r="A83" s="121" t="s">
        <v>71</v>
      </c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3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</row>
    <row r="84" spans="1:46" ht="21" customHeight="1" x14ac:dyDescent="0.2">
      <c r="A84" s="27" t="s">
        <v>72</v>
      </c>
      <c r="B84" s="6">
        <v>5.5</v>
      </c>
      <c r="C84" s="37"/>
      <c r="D84" s="76" t="str">
        <f t="shared" si="6"/>
        <v/>
      </c>
      <c r="E84" s="77">
        <f>(C84-900000*F84)/100000*310</f>
        <v>0</v>
      </c>
      <c r="F84" s="8"/>
      <c r="G84" s="6">
        <v>9.9</v>
      </c>
      <c r="H84" s="2"/>
      <c r="I84" s="73" t="str">
        <f t="shared" si="10"/>
        <v/>
      </c>
      <c r="J84" s="74">
        <f>(H84-900000*K84)/100000*587</f>
        <v>0</v>
      </c>
      <c r="K84" s="2"/>
      <c r="L84" s="6">
        <v>13.8</v>
      </c>
      <c r="M84" s="40"/>
      <c r="N84" s="79" t="str">
        <f t="shared" si="8"/>
        <v/>
      </c>
      <c r="O84" s="80">
        <f>(M84-900000*P84)/100000*711</f>
        <v>0</v>
      </c>
      <c r="P84" s="40"/>
      <c r="Q84" s="6" t="s">
        <v>177</v>
      </c>
      <c r="R84" s="23" t="s">
        <v>177</v>
      </c>
      <c r="S84" s="23" t="s">
        <v>177</v>
      </c>
      <c r="T84" s="23" t="s">
        <v>177</v>
      </c>
      <c r="U84" s="23" t="s">
        <v>177</v>
      </c>
      <c r="V84" s="6" t="s">
        <v>177</v>
      </c>
      <c r="W84" s="23" t="s">
        <v>177</v>
      </c>
      <c r="X84" s="23" t="s">
        <v>177</v>
      </c>
      <c r="Y84" s="23" t="s">
        <v>177</v>
      </c>
      <c r="Z84" s="23" t="s">
        <v>177</v>
      </c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</row>
    <row r="85" spans="1:46" ht="21" customHeight="1" x14ac:dyDescent="0.2">
      <c r="A85" s="27" t="s">
        <v>73</v>
      </c>
      <c r="B85" s="6">
        <v>5.9</v>
      </c>
      <c r="C85" s="37"/>
      <c r="D85" s="76" t="str">
        <f t="shared" si="6"/>
        <v/>
      </c>
      <c r="E85" s="77">
        <f>(C85-900000*F85)/100000*355</f>
        <v>0</v>
      </c>
      <c r="F85" s="8"/>
      <c r="G85" s="6">
        <v>11.8</v>
      </c>
      <c r="H85" s="2"/>
      <c r="I85" s="73" t="str">
        <f t="shared" si="10"/>
        <v/>
      </c>
      <c r="J85" s="74">
        <f>(H85-900000*K85)/100000*604</f>
        <v>0</v>
      </c>
      <c r="K85" s="2"/>
      <c r="L85" s="6">
        <v>14.3</v>
      </c>
      <c r="M85" s="40"/>
      <c r="N85" s="79" t="str">
        <f t="shared" si="8"/>
        <v/>
      </c>
      <c r="O85" s="80">
        <f>(M85-900000*P85)/100000*931</f>
        <v>0</v>
      </c>
      <c r="P85" s="40"/>
      <c r="Q85" s="6" t="s">
        <v>177</v>
      </c>
      <c r="R85" s="23" t="s">
        <v>177</v>
      </c>
      <c r="S85" s="23" t="s">
        <v>177</v>
      </c>
      <c r="T85" s="23" t="s">
        <v>177</v>
      </c>
      <c r="U85" s="23" t="s">
        <v>177</v>
      </c>
      <c r="V85" s="6" t="s">
        <v>177</v>
      </c>
      <c r="W85" s="23" t="s">
        <v>177</v>
      </c>
      <c r="X85" s="23" t="s">
        <v>177</v>
      </c>
      <c r="Y85" s="23" t="s">
        <v>177</v>
      </c>
      <c r="Z85" s="23" t="s">
        <v>177</v>
      </c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</row>
    <row r="86" spans="1:46" ht="21" customHeight="1" x14ac:dyDescent="0.2">
      <c r="A86" s="27" t="s">
        <v>74</v>
      </c>
      <c r="B86" s="6">
        <v>7.2</v>
      </c>
      <c r="C86" s="37"/>
      <c r="D86" s="76" t="str">
        <f t="shared" si="6"/>
        <v/>
      </c>
      <c r="E86" s="77">
        <f>(C86-900000*F86)/100000*378</f>
        <v>0</v>
      </c>
      <c r="F86" s="8"/>
      <c r="G86" s="6">
        <v>12.3</v>
      </c>
      <c r="H86" s="2"/>
      <c r="I86" s="73" t="str">
        <f t="shared" si="10"/>
        <v/>
      </c>
      <c r="J86" s="74">
        <f>(H86-900000*K86)/100000*697</f>
        <v>0</v>
      </c>
      <c r="K86" s="2"/>
      <c r="L86" s="6">
        <v>15.7</v>
      </c>
      <c r="M86" s="40"/>
      <c r="N86" s="79" t="str">
        <f t="shared" si="8"/>
        <v/>
      </c>
      <c r="O86" s="80">
        <f>(M86-900000*P86)/100000*1333</f>
        <v>0</v>
      </c>
      <c r="P86" s="40"/>
      <c r="Q86" s="6" t="s">
        <v>177</v>
      </c>
      <c r="R86" s="23" t="s">
        <v>177</v>
      </c>
      <c r="S86" s="23" t="s">
        <v>177</v>
      </c>
      <c r="T86" s="23" t="s">
        <v>177</v>
      </c>
      <c r="U86" s="23" t="s">
        <v>177</v>
      </c>
      <c r="V86" s="6">
        <v>15.9</v>
      </c>
      <c r="W86" s="58"/>
      <c r="X86" s="85" t="str">
        <f>IF(W86="","",IF(AND(W86&gt;=960000,W86&lt;=999999),"V",IF(AND(W86&gt;=920000,W86&lt;=959999),"S",IF(AND(W86&gt;=880000,W86&lt;=919999),"A",IF(AND(W86&gt;=820000,W86&lt;=879999),"B",IF(AND(W86&gt;=700000,W86&lt;=819999),"C",IF(AND(W86&gt;=1,W86&lt;=699999),"F",IF(AND(W86=1000000),"φ",IF(AND(W86=0),"",W86)))))))))</f>
        <v/>
      </c>
      <c r="Y86" s="87">
        <f>(W86-900000*Z86)/100000*1444</f>
        <v>0</v>
      </c>
      <c r="Z86" s="58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</row>
    <row r="87" spans="1:46" ht="21" customHeight="1" x14ac:dyDescent="0.2">
      <c r="A87" s="121" t="s">
        <v>87</v>
      </c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3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</row>
    <row r="88" spans="1:46" ht="21" customHeight="1" x14ac:dyDescent="0.2">
      <c r="A88" s="43" t="s">
        <v>89</v>
      </c>
      <c r="B88" s="39">
        <v>2.7</v>
      </c>
      <c r="C88" s="36"/>
      <c r="D88" s="76" t="str">
        <f t="shared" si="6"/>
        <v/>
      </c>
      <c r="E88" s="77">
        <f>(C88-900000*F88)/100000*165</f>
        <v>0</v>
      </c>
      <c r="F88" s="8"/>
      <c r="G88" s="5">
        <v>9.1</v>
      </c>
      <c r="H88" s="3"/>
      <c r="I88" s="73" t="str">
        <f t="shared" si="10"/>
        <v/>
      </c>
      <c r="J88" s="74">
        <f>(H88-900000*K88)/100000*559</f>
        <v>0</v>
      </c>
      <c r="K88" s="3"/>
      <c r="L88" s="5">
        <v>13.6</v>
      </c>
      <c r="M88" s="15"/>
      <c r="N88" s="79" t="str">
        <f t="shared" si="8"/>
        <v/>
      </c>
      <c r="O88" s="80">
        <f>(M88-900000*P88)/100000*540</f>
        <v>0</v>
      </c>
      <c r="P88" s="15"/>
      <c r="Q88" s="5" t="s">
        <v>177</v>
      </c>
      <c r="R88" s="22" t="s">
        <v>177</v>
      </c>
      <c r="S88" s="22" t="s">
        <v>177</v>
      </c>
      <c r="T88" s="22" t="s">
        <v>177</v>
      </c>
      <c r="U88" s="22" t="s">
        <v>177</v>
      </c>
      <c r="V88" s="5" t="s">
        <v>177</v>
      </c>
      <c r="W88" s="22" t="s">
        <v>177</v>
      </c>
      <c r="X88" s="22" t="s">
        <v>177</v>
      </c>
      <c r="Y88" s="22" t="s">
        <v>177</v>
      </c>
      <c r="Z88" s="22" t="s">
        <v>177</v>
      </c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</row>
    <row r="89" spans="1:46" ht="21" customHeight="1" x14ac:dyDescent="0.2">
      <c r="A89" s="35" t="s">
        <v>88</v>
      </c>
      <c r="B89" s="5">
        <v>3.6</v>
      </c>
      <c r="C89" s="36"/>
      <c r="D89" s="76" t="str">
        <f t="shared" si="6"/>
        <v/>
      </c>
      <c r="E89" s="77">
        <f>(C89-900000*F89)/100000*283</f>
        <v>0</v>
      </c>
      <c r="F89" s="8"/>
      <c r="G89" s="5">
        <v>10.9</v>
      </c>
      <c r="H89" s="3"/>
      <c r="I89" s="73" t="str">
        <f t="shared" si="10"/>
        <v/>
      </c>
      <c r="J89" s="74">
        <f>(H89-900000*K89)/100000*507</f>
        <v>0</v>
      </c>
      <c r="K89" s="3"/>
      <c r="L89" s="5">
        <v>14.7</v>
      </c>
      <c r="M89" s="15"/>
      <c r="N89" s="79" t="str">
        <f t="shared" si="8"/>
        <v/>
      </c>
      <c r="O89" s="80">
        <f>(M89-900000*P89)/100000*588</f>
        <v>0</v>
      </c>
      <c r="P89" s="15"/>
      <c r="Q89" s="5" t="s">
        <v>177</v>
      </c>
      <c r="R89" s="22" t="s">
        <v>177</v>
      </c>
      <c r="S89" s="22" t="s">
        <v>177</v>
      </c>
      <c r="T89" s="22" t="s">
        <v>177</v>
      </c>
      <c r="U89" s="22" t="s">
        <v>177</v>
      </c>
      <c r="V89" s="5" t="s">
        <v>177</v>
      </c>
      <c r="W89" s="22" t="s">
        <v>177</v>
      </c>
      <c r="X89" s="22" t="s">
        <v>177</v>
      </c>
      <c r="Y89" s="22" t="s">
        <v>177</v>
      </c>
      <c r="Z89" s="22" t="s">
        <v>177</v>
      </c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</row>
    <row r="90" spans="1:46" ht="21" customHeight="1" x14ac:dyDescent="0.2">
      <c r="A90" s="35" t="s">
        <v>51</v>
      </c>
      <c r="B90" s="5">
        <v>4.8</v>
      </c>
      <c r="C90" s="36"/>
      <c r="D90" s="76" t="str">
        <f t="shared" si="6"/>
        <v/>
      </c>
      <c r="E90" s="77">
        <f>(C90-900000*F90)/100000*455</f>
        <v>0</v>
      </c>
      <c r="F90" s="8"/>
      <c r="G90" s="5">
        <v>9.1999999999999993</v>
      </c>
      <c r="H90" s="3"/>
      <c r="I90" s="73" t="str">
        <f t="shared" si="10"/>
        <v/>
      </c>
      <c r="J90" s="74">
        <f>(H90-900000*K90)/100000*715</f>
        <v>0</v>
      </c>
      <c r="K90" s="3"/>
      <c r="L90" s="5">
        <v>15.5</v>
      </c>
      <c r="M90" s="15"/>
      <c r="N90" s="79" t="str">
        <f t="shared" si="8"/>
        <v/>
      </c>
      <c r="O90" s="80">
        <f>(M90-900000*P90)/100000*1449</f>
        <v>0</v>
      </c>
      <c r="P90" s="15"/>
      <c r="Q90" s="5" t="s">
        <v>177</v>
      </c>
      <c r="R90" s="22" t="s">
        <v>177</v>
      </c>
      <c r="S90" s="22" t="s">
        <v>177</v>
      </c>
      <c r="T90" s="22" t="s">
        <v>177</v>
      </c>
      <c r="U90" s="22" t="s">
        <v>177</v>
      </c>
      <c r="V90" s="5" t="s">
        <v>177</v>
      </c>
      <c r="W90" s="22" t="s">
        <v>177</v>
      </c>
      <c r="X90" s="22" t="s">
        <v>177</v>
      </c>
      <c r="Y90" s="22" t="s">
        <v>177</v>
      </c>
      <c r="Z90" s="22" t="s">
        <v>177</v>
      </c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</row>
    <row r="91" spans="1:46" ht="21" customHeight="1" x14ac:dyDescent="0.2">
      <c r="A91" s="35" t="s">
        <v>90</v>
      </c>
      <c r="B91" s="5">
        <v>4.4000000000000004</v>
      </c>
      <c r="C91" s="36"/>
      <c r="D91" s="76" t="str">
        <f t="shared" si="6"/>
        <v/>
      </c>
      <c r="E91" s="77">
        <f>(C91-900000*F91)/100000*308</f>
        <v>0</v>
      </c>
      <c r="F91" s="8"/>
      <c r="G91" s="5">
        <v>11.7</v>
      </c>
      <c r="H91" s="3"/>
      <c r="I91" s="73" t="str">
        <f t="shared" si="10"/>
        <v/>
      </c>
      <c r="J91" s="74">
        <f>(H91-900000*K91)/100000*639</f>
        <v>0</v>
      </c>
      <c r="K91" s="3"/>
      <c r="L91" s="5">
        <v>15.6</v>
      </c>
      <c r="M91" s="15"/>
      <c r="N91" s="79" t="str">
        <f t="shared" si="8"/>
        <v/>
      </c>
      <c r="O91" s="80">
        <f>(M91-900000*P91)/100000*1028</f>
        <v>0</v>
      </c>
      <c r="P91" s="15"/>
      <c r="Q91" s="5" t="s">
        <v>177</v>
      </c>
      <c r="R91" s="22" t="s">
        <v>177</v>
      </c>
      <c r="S91" s="22" t="s">
        <v>177</v>
      </c>
      <c r="T91" s="22" t="s">
        <v>177</v>
      </c>
      <c r="U91" s="22" t="s">
        <v>177</v>
      </c>
      <c r="V91" s="5" t="s">
        <v>177</v>
      </c>
      <c r="W91" s="22" t="s">
        <v>177</v>
      </c>
      <c r="X91" s="22" t="s">
        <v>177</v>
      </c>
      <c r="Y91" s="22" t="s">
        <v>177</v>
      </c>
      <c r="Z91" s="22" t="s">
        <v>177</v>
      </c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</row>
    <row r="92" spans="1:46" ht="21" customHeight="1" x14ac:dyDescent="0.2">
      <c r="A92" s="35" t="s">
        <v>91</v>
      </c>
      <c r="B92" s="5">
        <v>6.1</v>
      </c>
      <c r="C92" s="36"/>
      <c r="D92" s="76" t="str">
        <f t="shared" si="6"/>
        <v/>
      </c>
      <c r="E92" s="77">
        <f>(C92-900000*F92)/100000*499</f>
        <v>0</v>
      </c>
      <c r="F92" s="8"/>
      <c r="G92" s="5">
        <v>10.6</v>
      </c>
      <c r="H92" s="3"/>
      <c r="I92" s="73" t="str">
        <f t="shared" si="10"/>
        <v/>
      </c>
      <c r="J92" s="74">
        <f>(H92-900000*K92)/100000*744</f>
        <v>0</v>
      </c>
      <c r="K92" s="3"/>
      <c r="L92" s="5">
        <v>15.8</v>
      </c>
      <c r="M92" s="15"/>
      <c r="N92" s="79" t="str">
        <f t="shared" si="8"/>
        <v/>
      </c>
      <c r="O92" s="80">
        <f>(M92-900000*P92)/100000*1026</f>
        <v>0</v>
      </c>
      <c r="P92" s="15"/>
      <c r="Q92" s="5" t="s">
        <v>177</v>
      </c>
      <c r="R92" s="22" t="s">
        <v>177</v>
      </c>
      <c r="S92" s="22" t="s">
        <v>177</v>
      </c>
      <c r="T92" s="22" t="s">
        <v>177</v>
      </c>
      <c r="U92" s="22" t="s">
        <v>177</v>
      </c>
      <c r="V92" s="5" t="s">
        <v>177</v>
      </c>
      <c r="W92" s="22" t="s">
        <v>177</v>
      </c>
      <c r="X92" s="22" t="s">
        <v>177</v>
      </c>
      <c r="Y92" s="22" t="s">
        <v>177</v>
      </c>
      <c r="Z92" s="22" t="s">
        <v>177</v>
      </c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</row>
    <row r="93" spans="1:46" ht="21" customHeight="1" x14ac:dyDescent="0.2">
      <c r="A93" s="121" t="s">
        <v>248</v>
      </c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3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</row>
    <row r="94" spans="1:46" ht="21" customHeight="1" x14ac:dyDescent="0.2">
      <c r="A94" s="27" t="s">
        <v>249</v>
      </c>
      <c r="B94" s="5">
        <v>3.8</v>
      </c>
      <c r="C94" s="36"/>
      <c r="D94" s="76"/>
      <c r="E94" s="77">
        <f>(C94-900000*F94)/100000*207</f>
        <v>0</v>
      </c>
      <c r="F94" s="8"/>
      <c r="G94" s="5">
        <v>8.6</v>
      </c>
      <c r="H94" s="3"/>
      <c r="I94" s="73"/>
      <c r="J94" s="74">
        <f>(H94-900000*K94)/100000*382</f>
        <v>0</v>
      </c>
      <c r="K94" s="3"/>
      <c r="L94" s="5">
        <v>13.5</v>
      </c>
      <c r="M94" s="15"/>
      <c r="N94" s="79"/>
      <c r="O94" s="80">
        <f>(M94-900000*P94)/100000*676</f>
        <v>0</v>
      </c>
      <c r="P94" s="15"/>
      <c r="Q94" s="5" t="s">
        <v>177</v>
      </c>
      <c r="R94" s="22" t="s">
        <v>177</v>
      </c>
      <c r="S94" s="22" t="s">
        <v>177</v>
      </c>
      <c r="T94" s="22" t="s">
        <v>177</v>
      </c>
      <c r="U94" s="22" t="s">
        <v>177</v>
      </c>
      <c r="V94" s="5" t="s">
        <v>177</v>
      </c>
      <c r="W94" s="22" t="s">
        <v>177</v>
      </c>
      <c r="X94" s="22" t="s">
        <v>177</v>
      </c>
      <c r="Y94" s="22" t="s">
        <v>177</v>
      </c>
      <c r="Z94" s="22" t="s">
        <v>177</v>
      </c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</row>
    <row r="95" spans="1:46" ht="21" customHeight="1" x14ac:dyDescent="0.2">
      <c r="A95" s="27" t="s">
        <v>250</v>
      </c>
      <c r="B95" s="5">
        <v>3.6</v>
      </c>
      <c r="C95" s="36"/>
      <c r="D95" s="76"/>
      <c r="E95" s="77">
        <f>(C95-900000*F95)/100000*259</f>
        <v>0</v>
      </c>
      <c r="F95" s="8"/>
      <c r="G95" s="5">
        <v>10.6</v>
      </c>
      <c r="H95" s="3"/>
      <c r="I95" s="73"/>
      <c r="J95" s="74">
        <f>(H95-900000*K95)/100000*511</f>
        <v>0</v>
      </c>
      <c r="K95" s="3"/>
      <c r="L95" s="5">
        <v>15.2</v>
      </c>
      <c r="M95" s="15"/>
      <c r="N95" s="79"/>
      <c r="O95" s="80">
        <f>(M95-900000*P95)/100000*1210</f>
        <v>0</v>
      </c>
      <c r="P95" s="15"/>
      <c r="Q95" s="5" t="s">
        <v>177</v>
      </c>
      <c r="R95" s="22" t="s">
        <v>177</v>
      </c>
      <c r="S95" s="22" t="s">
        <v>177</v>
      </c>
      <c r="T95" s="22" t="s">
        <v>177</v>
      </c>
      <c r="U95" s="22" t="s">
        <v>177</v>
      </c>
      <c r="V95" s="5" t="s">
        <v>177</v>
      </c>
      <c r="W95" s="22" t="s">
        <v>177</v>
      </c>
      <c r="X95" s="22" t="s">
        <v>177</v>
      </c>
      <c r="Y95" s="22" t="s">
        <v>177</v>
      </c>
      <c r="Z95" s="22" t="s">
        <v>177</v>
      </c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</row>
    <row r="96" spans="1:46" ht="21" customHeight="1" x14ac:dyDescent="0.2">
      <c r="A96" s="27" t="s">
        <v>251</v>
      </c>
      <c r="B96" s="5">
        <v>6.5</v>
      </c>
      <c r="C96" s="36"/>
      <c r="D96" s="76"/>
      <c r="E96" s="77">
        <f>(C96-900000*F96)/100000*519</f>
        <v>0</v>
      </c>
      <c r="F96" s="8"/>
      <c r="G96" s="5">
        <v>12.2</v>
      </c>
      <c r="H96" s="3"/>
      <c r="I96" s="73"/>
      <c r="J96" s="74">
        <f>(H96-900000*K96)/100000*733</f>
        <v>0</v>
      </c>
      <c r="K96" s="3"/>
      <c r="L96" s="5">
        <v>15.4</v>
      </c>
      <c r="M96" s="15"/>
      <c r="N96" s="79"/>
      <c r="O96" s="80">
        <f>(M96-900000*P96)/100000*1084</f>
        <v>0</v>
      </c>
      <c r="P96" s="15"/>
      <c r="Q96" s="5" t="s">
        <v>177</v>
      </c>
      <c r="R96" s="22" t="s">
        <v>177</v>
      </c>
      <c r="S96" s="22" t="s">
        <v>177</v>
      </c>
      <c r="T96" s="22" t="s">
        <v>177</v>
      </c>
      <c r="U96" s="22" t="s">
        <v>177</v>
      </c>
      <c r="V96" s="5" t="s">
        <v>177</v>
      </c>
      <c r="W96" s="22" t="s">
        <v>177</v>
      </c>
      <c r="X96" s="22" t="s">
        <v>177</v>
      </c>
      <c r="Y96" s="22" t="s">
        <v>177</v>
      </c>
      <c r="Z96" s="22" t="s">
        <v>177</v>
      </c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</row>
    <row r="97" spans="1:46" ht="21" customHeight="1" x14ac:dyDescent="0.2">
      <c r="A97" s="10" t="s">
        <v>252</v>
      </c>
      <c r="B97" s="5">
        <v>5.8</v>
      </c>
      <c r="C97" s="36"/>
      <c r="D97" s="76"/>
      <c r="E97" s="77">
        <f>(C97-900000*F97)/100000*486</f>
        <v>0</v>
      </c>
      <c r="F97" s="8"/>
      <c r="G97" s="5">
        <v>11.7</v>
      </c>
      <c r="H97" s="3"/>
      <c r="I97" s="73"/>
      <c r="J97" s="74">
        <f>(H97-900000*K97)/100000*762</f>
        <v>0</v>
      </c>
      <c r="K97" s="3"/>
      <c r="L97" s="5">
        <v>14.6</v>
      </c>
      <c r="M97" s="15"/>
      <c r="N97" s="79"/>
      <c r="O97" s="80">
        <f>(M97-900000*P97)/100000*893</f>
        <v>0</v>
      </c>
      <c r="P97" s="15"/>
      <c r="Q97" s="5" t="s">
        <v>177</v>
      </c>
      <c r="R97" s="22" t="s">
        <v>177</v>
      </c>
      <c r="S97" s="22" t="s">
        <v>177</v>
      </c>
      <c r="T97" s="22" t="s">
        <v>177</v>
      </c>
      <c r="U97" s="22" t="s">
        <v>177</v>
      </c>
      <c r="V97" s="5">
        <v>15.8</v>
      </c>
      <c r="W97" s="57"/>
      <c r="X97" s="85"/>
      <c r="Y97" s="87">
        <f>(W97-900000*Z97)/100000*1344</f>
        <v>0</v>
      </c>
      <c r="Z97" s="57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</row>
    <row r="98" spans="1:46" ht="21" customHeight="1" x14ac:dyDescent="0.2">
      <c r="A98" s="27" t="s">
        <v>253</v>
      </c>
      <c r="B98" s="5">
        <v>5.2</v>
      </c>
      <c r="C98" s="36"/>
      <c r="D98" s="76"/>
      <c r="E98" s="77">
        <f>(C98-900000*F98)/100000*446</f>
        <v>0</v>
      </c>
      <c r="F98" s="8"/>
      <c r="G98" s="5">
        <v>11.1</v>
      </c>
      <c r="H98" s="3"/>
      <c r="I98" s="73"/>
      <c r="J98" s="74">
        <f>(H98-900000*K98)/100000*902</f>
        <v>0</v>
      </c>
      <c r="K98" s="3"/>
      <c r="L98" s="5">
        <v>15.5</v>
      </c>
      <c r="M98" s="15"/>
      <c r="N98" s="79"/>
      <c r="O98" s="80">
        <f>(M98-900000*P98)/100000*1322</f>
        <v>0</v>
      </c>
      <c r="P98" s="15"/>
      <c r="Q98" s="5" t="s">
        <v>177</v>
      </c>
      <c r="R98" s="22" t="s">
        <v>177</v>
      </c>
      <c r="S98" s="22" t="s">
        <v>177</v>
      </c>
      <c r="T98" s="22" t="s">
        <v>177</v>
      </c>
      <c r="U98" s="22" t="s">
        <v>177</v>
      </c>
      <c r="V98" s="5">
        <v>16.399999999999999</v>
      </c>
      <c r="W98" s="57"/>
      <c r="X98" s="85"/>
      <c r="Y98" s="87">
        <f>(W98-900000*Z98)/100000*1700</f>
        <v>0</v>
      </c>
      <c r="Z98" s="57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</row>
    <row r="99" spans="1:46" ht="21" customHeight="1" x14ac:dyDescent="0.2">
      <c r="A99" s="121" t="s">
        <v>75</v>
      </c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3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</row>
    <row r="100" spans="1:46" ht="21" customHeight="1" x14ac:dyDescent="0.2">
      <c r="A100" s="35" t="s">
        <v>135</v>
      </c>
      <c r="B100" s="5">
        <v>4.8</v>
      </c>
      <c r="C100" s="36"/>
      <c r="D100" s="76" t="str">
        <f t="shared" ref="D100:D109" si="11">IF(C100="","",IF(AND(C100&gt;=960000,C100&lt;=999999),"V",IF(AND(C100&gt;=920000,C100&lt;=959999),"S",IF(AND(C100&gt;=880000,C100&lt;=919999),"A",IF(AND(C100&gt;=820000,C100&lt;=879999),"B",IF(AND(C100&gt;=700000,C100&lt;=819999),"C",IF(AND(C100&gt;=1,C100&lt;=699999),"F",IF(AND(C100=1000000),"φ",IF(AND(C100=0),"",C100)))))))))</f>
        <v/>
      </c>
      <c r="E100" s="78"/>
      <c r="F100" s="8"/>
      <c r="G100" s="5">
        <v>9.4</v>
      </c>
      <c r="H100" s="3"/>
      <c r="I100" s="73" t="str">
        <f t="shared" ref="I100:I109" si="12">IF(H100="","",IF(AND(H100&gt;=960000,H100&lt;=999999),"V",IF(AND(H100&gt;=920000,H100&lt;=959999),"S",IF(AND(H100&gt;=880000,H100&lt;=919999),"A",IF(AND(H100&gt;=820000,H100&lt;=879999),"B",IF(AND(H100&gt;=700000,H100&lt;=819999),"C",IF(AND(H100&gt;=1,H100&lt;=699999),"F",IF(AND(H100=1000000),"φ",IF(AND(H100=0),"",H100)))))))))</f>
        <v/>
      </c>
      <c r="J100" s="75"/>
      <c r="K100" s="3"/>
      <c r="L100" s="5">
        <v>14.8</v>
      </c>
      <c r="M100" s="15"/>
      <c r="N100" s="79" t="str">
        <f t="shared" ref="N100:N109" si="13">IF(M100="","",IF(AND(M100&gt;=960000,M100&lt;=999999),"V",IF(AND(M100&gt;=920000,M100&lt;=959999),"S",IF(AND(M100&gt;=880000,M100&lt;=919999),"A",IF(AND(M100&gt;=820000,M100&lt;=879999),"B",IF(AND(M100&gt;=700000,M100&lt;=819999),"C",IF(AND(M100&gt;=1,M100&lt;=699999),"F",IF(AND(M100=1000000),"φ",IF(AND(M100=0),"",M100)))))))))</f>
        <v/>
      </c>
      <c r="O100" s="84"/>
      <c r="P100" s="15"/>
      <c r="Q100" s="5">
        <v>13.3</v>
      </c>
      <c r="R100" s="42"/>
      <c r="S100" s="81" t="str">
        <f>IF(R100="","",IF(AND(R100&gt;=960000,R100&lt;=999999),"V",IF(AND(R100&gt;=920000,R100&lt;=959999),"S",IF(AND(R100&gt;=880000,R100&lt;=919999),"A",IF(AND(R100&gt;=820000,R100&lt;=879999),"B",IF(AND(R100&gt;=700000,R100&lt;=819999),"C",IF(AND(R100&gt;=1,R100&lt;=699999),"F",IF(AND(R100=1000000),"φ",IF(AND(R100=0),"",R100)))))))))</f>
        <v/>
      </c>
      <c r="T100" s="83"/>
      <c r="U100" s="42"/>
      <c r="V100" s="5" t="s">
        <v>177</v>
      </c>
      <c r="W100" s="22" t="s">
        <v>177</v>
      </c>
      <c r="X100" s="22" t="s">
        <v>177</v>
      </c>
      <c r="Y100" s="22" t="s">
        <v>177</v>
      </c>
      <c r="Z100" s="22" t="s">
        <v>177</v>
      </c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</row>
    <row r="101" spans="1:46" ht="21" customHeight="1" x14ac:dyDescent="0.2">
      <c r="A101" s="35" t="s">
        <v>93</v>
      </c>
      <c r="B101" s="5">
        <v>3.4</v>
      </c>
      <c r="C101" s="36"/>
      <c r="D101" s="76" t="str">
        <f t="shared" si="11"/>
        <v/>
      </c>
      <c r="E101" s="78"/>
      <c r="F101" s="8"/>
      <c r="G101" s="5">
        <v>8.5</v>
      </c>
      <c r="H101" s="3"/>
      <c r="I101" s="73" t="str">
        <f t="shared" si="12"/>
        <v/>
      </c>
      <c r="J101" s="75"/>
      <c r="K101" s="3"/>
      <c r="L101" s="5">
        <v>11.1</v>
      </c>
      <c r="M101" s="15"/>
      <c r="N101" s="79" t="str">
        <f t="shared" si="13"/>
        <v/>
      </c>
      <c r="O101" s="84"/>
      <c r="P101" s="15"/>
      <c r="Q101" s="5" t="s">
        <v>177</v>
      </c>
      <c r="R101" s="22" t="s">
        <v>177</v>
      </c>
      <c r="S101" s="22" t="s">
        <v>177</v>
      </c>
      <c r="T101" s="22" t="s">
        <v>177</v>
      </c>
      <c r="U101" s="22" t="s">
        <v>177</v>
      </c>
      <c r="V101" s="5">
        <v>14.9</v>
      </c>
      <c r="W101" s="57"/>
      <c r="X101" s="85" t="str">
        <f>IF(W101="","",IF(AND(W101&gt;=960000,W101&lt;=999999),"V",IF(AND(W101&gt;=920000,W101&lt;=959999),"S",IF(AND(W101&gt;=880000,W101&lt;=919999),"A",IF(AND(W101&gt;=820000,W101&lt;=879999),"B",IF(AND(W101&gt;=700000,W101&lt;=819999),"C",IF(AND(W101&gt;=1,W101&lt;=699999),"F",IF(AND(W101=1000000),"φ",IF(AND(W101=0),"",W101)))))))))</f>
        <v/>
      </c>
      <c r="Y101" s="86"/>
      <c r="Z101" s="57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</row>
    <row r="102" spans="1:46" ht="21" customHeight="1" x14ac:dyDescent="0.2">
      <c r="A102" s="35" t="s">
        <v>124</v>
      </c>
      <c r="B102" s="5">
        <v>1.9</v>
      </c>
      <c r="C102" s="36"/>
      <c r="D102" s="76" t="str">
        <f t="shared" si="11"/>
        <v/>
      </c>
      <c r="E102" s="78"/>
      <c r="F102" s="8"/>
      <c r="G102" s="5">
        <v>10.199999999999999</v>
      </c>
      <c r="H102" s="3"/>
      <c r="I102" s="73" t="str">
        <f t="shared" si="12"/>
        <v/>
      </c>
      <c r="J102" s="75"/>
      <c r="K102" s="3"/>
      <c r="L102" s="5">
        <v>14.2</v>
      </c>
      <c r="M102" s="15"/>
      <c r="N102" s="79" t="str">
        <f t="shared" si="13"/>
        <v/>
      </c>
      <c r="O102" s="84"/>
      <c r="P102" s="15"/>
      <c r="Q102" s="5">
        <v>14.5</v>
      </c>
      <c r="R102" s="42"/>
      <c r="S102" s="81" t="str">
        <f>IF(R102="","",IF(AND(R102&gt;=960000,R102&lt;=999999),"V",IF(AND(R102&gt;=920000,R102&lt;=959999),"S",IF(AND(R102&gt;=880000,R102&lt;=919999),"A",IF(AND(R102&gt;=820000,R102&lt;=879999),"B",IF(AND(R102&gt;=700000,R102&lt;=819999),"C",IF(AND(R102&gt;=1,R102&lt;=699999),"F",IF(AND(R102=1000000),"φ",IF(AND(R102=0),"",R102)))))))))</f>
        <v/>
      </c>
      <c r="T102" s="83"/>
      <c r="U102" s="42"/>
      <c r="V102" s="5" t="s">
        <v>177</v>
      </c>
      <c r="W102" s="22" t="s">
        <v>177</v>
      </c>
      <c r="X102" s="22" t="s">
        <v>177</v>
      </c>
      <c r="Y102" s="22" t="s">
        <v>177</v>
      </c>
      <c r="Z102" s="22" t="s">
        <v>177</v>
      </c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</row>
    <row r="103" spans="1:46" ht="21" customHeight="1" x14ac:dyDescent="0.2">
      <c r="A103" s="35" t="s">
        <v>154</v>
      </c>
      <c r="B103" s="5">
        <v>4.3</v>
      </c>
      <c r="C103" s="36"/>
      <c r="D103" s="76" t="str">
        <f t="shared" si="11"/>
        <v/>
      </c>
      <c r="E103" s="78"/>
      <c r="F103" s="8"/>
      <c r="G103" s="5">
        <v>10.6</v>
      </c>
      <c r="H103" s="3"/>
      <c r="I103" s="73" t="str">
        <f t="shared" si="12"/>
        <v/>
      </c>
      <c r="J103" s="75"/>
      <c r="K103" s="3"/>
      <c r="L103" s="5">
        <v>13.1</v>
      </c>
      <c r="M103" s="15"/>
      <c r="N103" s="79" t="str">
        <f t="shared" si="13"/>
        <v/>
      </c>
      <c r="O103" s="84"/>
      <c r="P103" s="15"/>
      <c r="Q103" s="5">
        <v>13.4</v>
      </c>
      <c r="R103" s="42"/>
      <c r="S103" s="81" t="str">
        <f>IF(R103="","",IF(AND(R103&gt;=960000,R103&lt;=999999),"V",IF(AND(R103&gt;=920000,R103&lt;=959999),"S",IF(AND(R103&gt;=880000,R103&lt;=919999),"A",IF(AND(R103&gt;=820000,R103&lt;=879999),"B",IF(AND(R103&gt;=700000,R103&lt;=819999),"C",IF(AND(R103&gt;=1,R103&lt;=699999),"F",IF(AND(R103=1000000),"φ",IF(AND(R103=0),"",R103)))))))))</f>
        <v/>
      </c>
      <c r="T103" s="83"/>
      <c r="U103" s="42"/>
      <c r="V103" s="5" t="s">
        <v>177</v>
      </c>
      <c r="W103" s="22" t="s">
        <v>177</v>
      </c>
      <c r="X103" s="22" t="s">
        <v>177</v>
      </c>
      <c r="Y103" s="22" t="s">
        <v>177</v>
      </c>
      <c r="Z103" s="22" t="s">
        <v>177</v>
      </c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</row>
    <row r="104" spans="1:46" ht="21" customHeight="1" x14ac:dyDescent="0.2">
      <c r="A104" s="35" t="s">
        <v>108</v>
      </c>
      <c r="B104" s="5">
        <v>5.7</v>
      </c>
      <c r="C104" s="36"/>
      <c r="D104" s="76" t="str">
        <f t="shared" si="11"/>
        <v/>
      </c>
      <c r="E104" s="78"/>
      <c r="F104" s="8"/>
      <c r="G104" s="5">
        <v>9.6999999999999993</v>
      </c>
      <c r="H104" s="3"/>
      <c r="I104" s="73" t="str">
        <f t="shared" si="12"/>
        <v/>
      </c>
      <c r="J104" s="75"/>
      <c r="K104" s="3"/>
      <c r="L104" s="5">
        <v>13.3</v>
      </c>
      <c r="M104" s="15"/>
      <c r="N104" s="79" t="str">
        <f t="shared" si="13"/>
        <v/>
      </c>
      <c r="O104" s="84"/>
      <c r="P104" s="15"/>
      <c r="Q104" s="5">
        <v>13.6</v>
      </c>
      <c r="R104" s="42"/>
      <c r="S104" s="81" t="str">
        <f>IF(R104="","",IF(AND(R104&gt;=960000,R104&lt;=999999),"V",IF(AND(R104&gt;=920000,R104&lt;=959999),"S",IF(AND(R104&gt;=880000,R104&lt;=919999),"A",IF(AND(R104&gt;=820000,R104&lt;=879999),"B",IF(AND(R104&gt;=700000,R104&lt;=819999),"C",IF(AND(R104&gt;=1,R104&lt;=699999),"F",IF(AND(R104=1000000),"φ",IF(AND(R104=0),"",R104)))))))))</f>
        <v/>
      </c>
      <c r="T104" s="83"/>
      <c r="U104" s="42"/>
      <c r="V104" s="5" t="s">
        <v>177</v>
      </c>
      <c r="W104" s="22" t="s">
        <v>177</v>
      </c>
      <c r="X104" s="22" t="s">
        <v>177</v>
      </c>
      <c r="Y104" s="22" t="s">
        <v>177</v>
      </c>
      <c r="Z104" s="22" t="s">
        <v>177</v>
      </c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</row>
    <row r="105" spans="1:46" ht="21" customHeight="1" x14ac:dyDescent="0.2">
      <c r="A105" s="35" t="s">
        <v>111</v>
      </c>
      <c r="B105" s="5">
        <v>5.9</v>
      </c>
      <c r="C105" s="36"/>
      <c r="D105" s="76" t="str">
        <f t="shared" si="11"/>
        <v/>
      </c>
      <c r="E105" s="78"/>
      <c r="F105" s="8"/>
      <c r="G105" s="5">
        <v>10.3</v>
      </c>
      <c r="H105" s="3"/>
      <c r="I105" s="73" t="str">
        <f t="shared" si="12"/>
        <v/>
      </c>
      <c r="J105" s="75"/>
      <c r="K105" s="3"/>
      <c r="L105" s="5">
        <v>13.7</v>
      </c>
      <c r="M105" s="15"/>
      <c r="N105" s="79" t="str">
        <f t="shared" si="13"/>
        <v/>
      </c>
      <c r="O105" s="84"/>
      <c r="P105" s="15"/>
      <c r="Q105" s="5" t="s">
        <v>177</v>
      </c>
      <c r="R105" s="22" t="s">
        <v>177</v>
      </c>
      <c r="S105" s="22" t="s">
        <v>177</v>
      </c>
      <c r="T105" s="22" t="s">
        <v>177</v>
      </c>
      <c r="U105" s="22" t="s">
        <v>177</v>
      </c>
      <c r="V105" s="5" t="s">
        <v>177</v>
      </c>
      <c r="W105" s="22" t="s">
        <v>177</v>
      </c>
      <c r="X105" s="22" t="s">
        <v>177</v>
      </c>
      <c r="Y105" s="22" t="s">
        <v>177</v>
      </c>
      <c r="Z105" s="22" t="s">
        <v>177</v>
      </c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</row>
    <row r="106" spans="1:46" ht="21" customHeight="1" x14ac:dyDescent="0.2">
      <c r="A106" s="27" t="s">
        <v>92</v>
      </c>
      <c r="B106" s="5">
        <v>1.3</v>
      </c>
      <c r="C106" s="36"/>
      <c r="D106" s="76" t="str">
        <f t="shared" si="11"/>
        <v/>
      </c>
      <c r="E106" s="78"/>
      <c r="F106" s="8"/>
      <c r="G106" s="5">
        <v>3.6</v>
      </c>
      <c r="H106" s="3"/>
      <c r="I106" s="73" t="str">
        <f t="shared" si="12"/>
        <v/>
      </c>
      <c r="J106" s="75"/>
      <c r="K106" s="3"/>
      <c r="L106" s="5">
        <v>6.2</v>
      </c>
      <c r="M106" s="15"/>
      <c r="N106" s="79" t="str">
        <f t="shared" si="13"/>
        <v/>
      </c>
      <c r="O106" s="84"/>
      <c r="P106" s="15"/>
      <c r="Q106" s="5" t="s">
        <v>177</v>
      </c>
      <c r="R106" s="22" t="s">
        <v>177</v>
      </c>
      <c r="S106" s="22" t="s">
        <v>177</v>
      </c>
      <c r="T106" s="22" t="s">
        <v>177</v>
      </c>
      <c r="U106" s="22" t="s">
        <v>177</v>
      </c>
      <c r="V106" s="5">
        <v>13.6</v>
      </c>
      <c r="W106" s="57"/>
      <c r="X106" s="85" t="str">
        <f>IF(W106="","",IF(AND(W106&gt;=960000,W106&lt;=999999),"V",IF(AND(W106&gt;=920000,W106&lt;=959999),"S",IF(AND(W106&gt;=880000,W106&lt;=919999),"A",IF(AND(W106&gt;=820000,W106&lt;=879999),"B",IF(AND(W106&gt;=700000,W106&lt;=819999),"C",IF(AND(W106&gt;=1,W106&lt;=699999),"F",IF(AND(W106=1000000),"φ",IF(AND(W106=0),"",W106)))))))))</f>
        <v/>
      </c>
      <c r="Y106" s="86"/>
      <c r="Z106" s="57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</row>
    <row r="107" spans="1:46" ht="21" customHeight="1" x14ac:dyDescent="0.2">
      <c r="A107" s="35" t="s">
        <v>96</v>
      </c>
      <c r="B107" s="5">
        <v>2.5</v>
      </c>
      <c r="C107" s="36"/>
      <c r="D107" s="76" t="str">
        <f t="shared" si="11"/>
        <v/>
      </c>
      <c r="E107" s="78"/>
      <c r="F107" s="8"/>
      <c r="G107" s="5">
        <v>5.7</v>
      </c>
      <c r="H107" s="3"/>
      <c r="I107" s="73" t="str">
        <f t="shared" si="12"/>
        <v/>
      </c>
      <c r="J107" s="75"/>
      <c r="K107" s="3"/>
      <c r="L107" s="5">
        <v>11.7</v>
      </c>
      <c r="M107" s="15"/>
      <c r="N107" s="79" t="str">
        <f t="shared" si="13"/>
        <v/>
      </c>
      <c r="O107" s="84"/>
      <c r="P107" s="15"/>
      <c r="Q107" s="5">
        <v>11.5</v>
      </c>
      <c r="R107" s="42"/>
      <c r="S107" s="81" t="str">
        <f>IF(R107="","",IF(AND(R107&gt;=960000,R107&lt;=999999),"V",IF(AND(R107&gt;=920000,R107&lt;=959999),"S",IF(AND(R107&gt;=880000,R107&lt;=919999),"A",IF(AND(R107&gt;=820000,R107&lt;=879999),"B",IF(AND(R107&gt;=700000,R107&lt;=819999),"C",IF(AND(R107&gt;=1,R107&lt;=699999),"F",IF(AND(R107=1000000),"φ",IF(AND(R107=0),"",R107)))))))))</f>
        <v/>
      </c>
      <c r="T107" s="83"/>
      <c r="U107" s="42"/>
      <c r="V107" s="5" t="s">
        <v>177</v>
      </c>
      <c r="W107" s="22" t="s">
        <v>177</v>
      </c>
      <c r="X107" s="22" t="s">
        <v>177</v>
      </c>
      <c r="Y107" s="22" t="s">
        <v>177</v>
      </c>
      <c r="Z107" s="22" t="s">
        <v>177</v>
      </c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</row>
    <row r="108" spans="1:46" ht="21" customHeight="1" x14ac:dyDescent="0.2">
      <c r="A108" s="35" t="s">
        <v>98</v>
      </c>
      <c r="B108" s="5">
        <v>2.8</v>
      </c>
      <c r="C108" s="36"/>
      <c r="D108" s="76" t="str">
        <f t="shared" si="11"/>
        <v/>
      </c>
      <c r="E108" s="78"/>
      <c r="F108" s="8"/>
      <c r="G108" s="5">
        <v>9.9</v>
      </c>
      <c r="H108" s="3"/>
      <c r="I108" s="73" t="str">
        <f t="shared" si="12"/>
        <v/>
      </c>
      <c r="J108" s="75"/>
      <c r="K108" s="3"/>
      <c r="L108" s="5">
        <v>12.6</v>
      </c>
      <c r="M108" s="15"/>
      <c r="N108" s="79" t="str">
        <f t="shared" si="13"/>
        <v/>
      </c>
      <c r="O108" s="84"/>
      <c r="P108" s="15"/>
      <c r="Q108" s="5">
        <v>12.8</v>
      </c>
      <c r="R108" s="42"/>
      <c r="S108" s="81" t="str">
        <f>IF(R108="","",IF(AND(R108&gt;=960000,R108&lt;=999999),"V",IF(AND(R108&gt;=920000,R108&lt;=959999),"S",IF(AND(R108&gt;=880000,R108&lt;=919999),"A",IF(AND(R108&gt;=820000,R108&lt;=879999),"B",IF(AND(R108&gt;=700000,R108&lt;=819999),"C",IF(AND(R108&gt;=1,R108&lt;=699999),"F",IF(AND(R108=1000000),"φ",IF(AND(R108=0),"",R108)))))))))</f>
        <v/>
      </c>
      <c r="T108" s="83"/>
      <c r="U108" s="42"/>
      <c r="V108" s="5" t="s">
        <v>177</v>
      </c>
      <c r="W108" s="22" t="s">
        <v>177</v>
      </c>
      <c r="X108" s="22" t="s">
        <v>177</v>
      </c>
      <c r="Y108" s="22" t="s">
        <v>177</v>
      </c>
      <c r="Z108" s="22" t="s">
        <v>177</v>
      </c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</row>
    <row r="109" spans="1:46" ht="21" customHeight="1" x14ac:dyDescent="0.2">
      <c r="A109" s="35" t="s">
        <v>122</v>
      </c>
      <c r="B109" s="5">
        <v>3.8</v>
      </c>
      <c r="C109" s="36"/>
      <c r="D109" s="76" t="str">
        <f t="shared" si="11"/>
        <v/>
      </c>
      <c r="E109" s="78"/>
      <c r="F109" s="8"/>
      <c r="G109" s="5">
        <v>9.6</v>
      </c>
      <c r="H109" s="3"/>
      <c r="I109" s="73" t="str">
        <f t="shared" si="12"/>
        <v/>
      </c>
      <c r="J109" s="75"/>
      <c r="K109" s="3"/>
      <c r="L109" s="5">
        <v>14.1</v>
      </c>
      <c r="M109" s="15"/>
      <c r="N109" s="79" t="str">
        <f t="shared" si="13"/>
        <v/>
      </c>
      <c r="O109" s="84"/>
      <c r="P109" s="15"/>
      <c r="Q109" s="5">
        <v>14.4</v>
      </c>
      <c r="R109" s="42"/>
      <c r="S109" s="81" t="str">
        <f>IF(R109="","",IF(AND(R109&gt;=960000,R109&lt;=999999),"V",IF(AND(R109&gt;=920000,R109&lt;=959999),"S",IF(AND(R109&gt;=880000,R109&lt;=919999),"A",IF(AND(R109&gt;=820000,R109&lt;=879999),"B",IF(AND(R109&gt;=700000,R109&lt;=819999),"C",IF(AND(R109&gt;=1,R109&lt;=699999),"F",IF(AND(R109=1000000),"φ",IF(AND(R109=0),"",R109)))))))))</f>
        <v/>
      </c>
      <c r="T109" s="83"/>
      <c r="U109" s="42"/>
      <c r="V109" s="5" t="s">
        <v>177</v>
      </c>
      <c r="W109" s="22" t="s">
        <v>177</v>
      </c>
      <c r="X109" s="22" t="s">
        <v>177</v>
      </c>
      <c r="Y109" s="22" t="s">
        <v>177</v>
      </c>
      <c r="Z109" s="22" t="s">
        <v>177</v>
      </c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</row>
    <row r="110" spans="1:46" ht="21" customHeight="1" x14ac:dyDescent="0.2">
      <c r="A110" s="35" t="s">
        <v>139</v>
      </c>
      <c r="B110" s="5">
        <v>7.8</v>
      </c>
      <c r="C110" s="36"/>
      <c r="D110" s="76" t="str">
        <f t="shared" ref="D110:D140" si="14">IF(C110="","",IF(AND(C110&gt;=960000,C110&lt;=999999),"V",IF(AND(C110&gt;=920000,C110&lt;=959999),"S",IF(AND(C110&gt;=880000,C110&lt;=919999),"A",IF(AND(C110&gt;=820000,C110&lt;=879999),"B",IF(AND(C110&gt;=700000,C110&lt;=819999),"C",IF(AND(C110&gt;=1,C110&lt;=699999),"F",IF(AND(C110=1000000),"φ",IF(AND(C110=0),"",C110)))))))))</f>
        <v/>
      </c>
      <c r="E110" s="78"/>
      <c r="F110" s="8"/>
      <c r="G110" s="5">
        <v>11.2</v>
      </c>
      <c r="H110" s="3"/>
      <c r="I110" s="73" t="str">
        <f t="shared" ref="I110:I140" si="15">IF(H110="","",IF(AND(H110&gt;=960000,H110&lt;=999999),"V",IF(AND(H110&gt;=920000,H110&lt;=959999),"S",IF(AND(H110&gt;=880000,H110&lt;=919999),"A",IF(AND(H110&gt;=820000,H110&lt;=879999),"B",IF(AND(H110&gt;=700000,H110&lt;=819999),"C",IF(AND(H110&gt;=1,H110&lt;=699999),"F",IF(AND(H110=1000000),"φ",IF(AND(H110=0),"",H110)))))))))</f>
        <v/>
      </c>
      <c r="J110" s="75"/>
      <c r="K110" s="3"/>
      <c r="L110" s="5">
        <v>15.2</v>
      </c>
      <c r="M110" s="15"/>
      <c r="N110" s="79" t="str">
        <f t="shared" ref="N110:N140" si="16">IF(M110="","",IF(AND(M110&gt;=960000,M110&lt;=999999),"V",IF(AND(M110&gt;=920000,M110&lt;=959999),"S",IF(AND(M110&gt;=880000,M110&lt;=919999),"A",IF(AND(M110&gt;=820000,M110&lt;=879999),"B",IF(AND(M110&gt;=700000,M110&lt;=819999),"C",IF(AND(M110&gt;=1,M110&lt;=699999),"F",IF(AND(M110=1000000),"φ",IF(AND(M110=0),"",M110)))))))))</f>
        <v/>
      </c>
      <c r="O110" s="84"/>
      <c r="P110" s="15"/>
      <c r="Q110" s="5">
        <v>15.7</v>
      </c>
      <c r="R110" s="42"/>
      <c r="S110" s="81" t="str">
        <f>IF(R110="","",IF(AND(R110&gt;=960000,R110&lt;=999999),"V",IF(AND(R110&gt;=920000,R110&lt;=959999),"S",IF(AND(R110&gt;=880000,R110&lt;=919999),"A",IF(AND(R110&gt;=820000,R110&lt;=879999),"B",IF(AND(R110&gt;=700000,R110&lt;=819999),"C",IF(AND(R110&gt;=1,R110&lt;=699999),"F",IF(AND(R110=1000000),"φ",IF(AND(R110=0),"",R110)))))))))</f>
        <v/>
      </c>
      <c r="T110" s="83"/>
      <c r="U110" s="42"/>
      <c r="V110" s="5" t="s">
        <v>177</v>
      </c>
      <c r="W110" s="22" t="s">
        <v>177</v>
      </c>
      <c r="X110" s="22" t="s">
        <v>177</v>
      </c>
      <c r="Y110" s="22" t="s">
        <v>177</v>
      </c>
      <c r="Z110" s="22" t="s">
        <v>177</v>
      </c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</row>
    <row r="111" spans="1:46" ht="21" customHeight="1" x14ac:dyDescent="0.2">
      <c r="A111" s="35" t="s">
        <v>100</v>
      </c>
      <c r="B111" s="5">
        <v>4.2</v>
      </c>
      <c r="C111" s="36"/>
      <c r="D111" s="76" t="str">
        <f t="shared" si="14"/>
        <v/>
      </c>
      <c r="E111" s="78"/>
      <c r="F111" s="8"/>
      <c r="G111" s="5">
        <v>8.8000000000000007</v>
      </c>
      <c r="H111" s="3"/>
      <c r="I111" s="73" t="str">
        <f t="shared" si="15"/>
        <v/>
      </c>
      <c r="J111" s="75"/>
      <c r="K111" s="3"/>
      <c r="L111" s="5">
        <v>13.1</v>
      </c>
      <c r="M111" s="15"/>
      <c r="N111" s="79" t="str">
        <f t="shared" si="16"/>
        <v/>
      </c>
      <c r="O111" s="84"/>
      <c r="P111" s="15"/>
      <c r="Q111" s="5" t="s">
        <v>177</v>
      </c>
      <c r="R111" s="22" t="s">
        <v>177</v>
      </c>
      <c r="S111" s="22" t="s">
        <v>177</v>
      </c>
      <c r="T111" s="22" t="s">
        <v>177</v>
      </c>
      <c r="U111" s="22" t="s">
        <v>177</v>
      </c>
      <c r="V111" s="5" t="s">
        <v>177</v>
      </c>
      <c r="W111" s="22" t="s">
        <v>177</v>
      </c>
      <c r="X111" s="22" t="s">
        <v>177</v>
      </c>
      <c r="Y111" s="22" t="s">
        <v>177</v>
      </c>
      <c r="Z111" s="22" t="s">
        <v>177</v>
      </c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</row>
    <row r="112" spans="1:46" ht="21" customHeight="1" x14ac:dyDescent="0.2">
      <c r="A112" s="35" t="s">
        <v>110</v>
      </c>
      <c r="B112" s="5">
        <v>3.7</v>
      </c>
      <c r="C112" s="36"/>
      <c r="D112" s="76" t="str">
        <f t="shared" si="14"/>
        <v/>
      </c>
      <c r="E112" s="78"/>
      <c r="F112" s="8"/>
      <c r="G112" s="5">
        <v>9.8000000000000007</v>
      </c>
      <c r="H112" s="3"/>
      <c r="I112" s="73" t="str">
        <f t="shared" si="15"/>
        <v/>
      </c>
      <c r="J112" s="75"/>
      <c r="K112" s="3"/>
      <c r="L112" s="5">
        <v>14.4</v>
      </c>
      <c r="M112" s="15"/>
      <c r="N112" s="79" t="str">
        <f t="shared" si="16"/>
        <v/>
      </c>
      <c r="O112" s="84"/>
      <c r="P112" s="15"/>
      <c r="Q112" s="5">
        <v>13.7</v>
      </c>
      <c r="R112" s="42"/>
      <c r="S112" s="81" t="str">
        <f>IF(R112="","",IF(AND(R112&gt;=960000,R112&lt;=999999),"V",IF(AND(R112&gt;=920000,R112&lt;=959999),"S",IF(AND(R112&gt;=880000,R112&lt;=919999),"A",IF(AND(R112&gt;=820000,R112&lt;=879999),"B",IF(AND(R112&gt;=700000,R112&lt;=819999),"C",IF(AND(R112&gt;=1,R112&lt;=699999),"F",IF(AND(R112=1000000),"φ",IF(AND(R112=0),"",R112)))))))))</f>
        <v/>
      </c>
      <c r="T112" s="83"/>
      <c r="U112" s="42"/>
      <c r="V112" s="5" t="s">
        <v>177</v>
      </c>
      <c r="W112" s="22" t="s">
        <v>177</v>
      </c>
      <c r="X112" s="22" t="s">
        <v>177</v>
      </c>
      <c r="Y112" s="22" t="s">
        <v>177</v>
      </c>
      <c r="Z112" s="22" t="s">
        <v>177</v>
      </c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</row>
    <row r="113" spans="1:46" ht="21" customHeight="1" x14ac:dyDescent="0.2">
      <c r="A113" s="35" t="s">
        <v>113</v>
      </c>
      <c r="B113" s="5">
        <v>5.5</v>
      </c>
      <c r="C113" s="36"/>
      <c r="D113" s="76" t="str">
        <f t="shared" si="14"/>
        <v/>
      </c>
      <c r="E113" s="78"/>
      <c r="F113" s="8"/>
      <c r="G113" s="5">
        <v>9.3000000000000007</v>
      </c>
      <c r="H113" s="3"/>
      <c r="I113" s="73" t="str">
        <f t="shared" si="15"/>
        <v/>
      </c>
      <c r="J113" s="75"/>
      <c r="K113" s="3"/>
      <c r="L113" s="5">
        <v>14.1</v>
      </c>
      <c r="M113" s="15"/>
      <c r="N113" s="79" t="str">
        <f t="shared" si="16"/>
        <v/>
      </c>
      <c r="O113" s="84"/>
      <c r="P113" s="15"/>
      <c r="Q113" s="5">
        <v>13.8</v>
      </c>
      <c r="R113" s="42"/>
      <c r="S113" s="81" t="str">
        <f>IF(R113="","",IF(AND(R113&gt;=960000,R113&lt;=999999),"V",IF(AND(R113&gt;=920000,R113&lt;=959999),"S",IF(AND(R113&gt;=880000,R113&lt;=919999),"A",IF(AND(R113&gt;=820000,R113&lt;=879999),"B",IF(AND(R113&gt;=700000,R113&lt;=819999),"C",IF(AND(R113&gt;=1,R113&lt;=699999),"F",IF(AND(R113=1000000),"φ",IF(AND(R113=0),"",R113)))))))))</f>
        <v/>
      </c>
      <c r="T113" s="83"/>
      <c r="U113" s="42"/>
      <c r="V113" s="5" t="s">
        <v>177</v>
      </c>
      <c r="W113" s="22" t="s">
        <v>177</v>
      </c>
      <c r="X113" s="22" t="s">
        <v>177</v>
      </c>
      <c r="Y113" s="22" t="s">
        <v>177</v>
      </c>
      <c r="Z113" s="22" t="s">
        <v>177</v>
      </c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</row>
    <row r="114" spans="1:46" ht="21" customHeight="1" x14ac:dyDescent="0.2">
      <c r="A114" s="35" t="s">
        <v>121</v>
      </c>
      <c r="B114" s="5">
        <v>5.7</v>
      </c>
      <c r="C114" s="36"/>
      <c r="D114" s="76" t="str">
        <f t="shared" si="14"/>
        <v/>
      </c>
      <c r="E114" s="78"/>
      <c r="F114" s="8"/>
      <c r="G114" s="5">
        <v>10.5</v>
      </c>
      <c r="H114" s="3"/>
      <c r="I114" s="73" t="str">
        <f t="shared" si="15"/>
        <v/>
      </c>
      <c r="J114" s="75"/>
      <c r="K114" s="3"/>
      <c r="L114" s="5">
        <v>14.4</v>
      </c>
      <c r="M114" s="15"/>
      <c r="N114" s="79" t="str">
        <f t="shared" si="16"/>
        <v/>
      </c>
      <c r="O114" s="84"/>
      <c r="P114" s="15"/>
      <c r="Q114" s="5" t="s">
        <v>177</v>
      </c>
      <c r="R114" s="22" t="s">
        <v>177</v>
      </c>
      <c r="S114" s="22" t="s">
        <v>177</v>
      </c>
      <c r="T114" s="22" t="s">
        <v>177</v>
      </c>
      <c r="U114" s="22" t="s">
        <v>177</v>
      </c>
      <c r="V114" s="5" t="s">
        <v>177</v>
      </c>
      <c r="W114" s="22" t="s">
        <v>177</v>
      </c>
      <c r="X114" s="22" t="s">
        <v>177</v>
      </c>
      <c r="Y114" s="22" t="s">
        <v>177</v>
      </c>
      <c r="Z114" s="22" t="s">
        <v>177</v>
      </c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</row>
    <row r="115" spans="1:46" ht="21" customHeight="1" x14ac:dyDescent="0.2">
      <c r="A115" s="35" t="s">
        <v>136</v>
      </c>
      <c r="B115" s="5">
        <v>4.5999999999999996</v>
      </c>
      <c r="C115" s="36"/>
      <c r="D115" s="76" t="str">
        <f t="shared" si="14"/>
        <v/>
      </c>
      <c r="E115" s="78"/>
      <c r="F115" s="8"/>
      <c r="G115" s="5">
        <v>9.1999999999999993</v>
      </c>
      <c r="H115" s="3"/>
      <c r="I115" s="73" t="str">
        <f t="shared" si="15"/>
        <v/>
      </c>
      <c r="J115" s="75"/>
      <c r="K115" s="3"/>
      <c r="L115" s="5">
        <v>14.9</v>
      </c>
      <c r="M115" s="15"/>
      <c r="N115" s="79" t="str">
        <f t="shared" si="16"/>
        <v/>
      </c>
      <c r="O115" s="84"/>
      <c r="P115" s="15"/>
      <c r="Q115" s="5" t="s">
        <v>177</v>
      </c>
      <c r="R115" s="22" t="s">
        <v>177</v>
      </c>
      <c r="S115" s="22" t="s">
        <v>177</v>
      </c>
      <c r="T115" s="22" t="s">
        <v>177</v>
      </c>
      <c r="U115" s="22" t="s">
        <v>177</v>
      </c>
      <c r="V115" s="5" t="s">
        <v>177</v>
      </c>
      <c r="W115" s="22" t="s">
        <v>177</v>
      </c>
      <c r="X115" s="22" t="s">
        <v>177</v>
      </c>
      <c r="Y115" s="22" t="s">
        <v>177</v>
      </c>
      <c r="Z115" s="22" t="s">
        <v>177</v>
      </c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</row>
    <row r="116" spans="1:46" ht="21" customHeight="1" x14ac:dyDescent="0.2">
      <c r="A116" s="35" t="s">
        <v>118</v>
      </c>
      <c r="B116" s="5">
        <v>6.8</v>
      </c>
      <c r="C116" s="36"/>
      <c r="D116" s="76" t="str">
        <f t="shared" si="14"/>
        <v/>
      </c>
      <c r="E116" s="78"/>
      <c r="F116" s="8"/>
      <c r="G116" s="5">
        <v>10.8</v>
      </c>
      <c r="H116" s="3"/>
      <c r="I116" s="73" t="str">
        <f t="shared" si="15"/>
        <v/>
      </c>
      <c r="J116" s="75"/>
      <c r="K116" s="3"/>
      <c r="L116" s="5">
        <v>14.4</v>
      </c>
      <c r="M116" s="15"/>
      <c r="N116" s="79" t="str">
        <f t="shared" si="16"/>
        <v/>
      </c>
      <c r="O116" s="84"/>
      <c r="P116" s="15"/>
      <c r="Q116" s="5">
        <v>14.4</v>
      </c>
      <c r="R116" s="42"/>
      <c r="S116" s="81" t="str">
        <f>IF(R116="","",IF(AND(R116&gt;=960000,R116&lt;=999999),"V",IF(AND(R116&gt;=920000,R116&lt;=959999),"S",IF(AND(R116&gt;=880000,R116&lt;=919999),"A",IF(AND(R116&gt;=820000,R116&lt;=879999),"B",IF(AND(R116&gt;=700000,R116&lt;=819999),"C",IF(AND(R116&gt;=1,R116&lt;=699999),"F",IF(AND(R116=1000000),"φ",IF(AND(R116=0),"",R116)))))))))</f>
        <v/>
      </c>
      <c r="T116" s="83"/>
      <c r="U116" s="42"/>
      <c r="V116" s="5">
        <v>16.100000000000001</v>
      </c>
      <c r="W116" s="57"/>
      <c r="X116" s="85" t="str">
        <f>IF(W116="","",IF(AND(W116&gt;=960000,W116&lt;=999999),"V",IF(AND(W116&gt;=920000,W116&lt;=959999),"S",IF(AND(W116&gt;=880000,W116&lt;=919999),"A",IF(AND(W116&gt;=820000,W116&lt;=879999),"B",IF(AND(W116&gt;=700000,W116&lt;=819999),"C",IF(AND(W116&gt;=1,W116&lt;=699999),"F",IF(AND(W116=1000000),"φ",IF(AND(W116=0),"",W116)))))))))</f>
        <v/>
      </c>
      <c r="Y116" s="86"/>
      <c r="Z116" s="57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</row>
    <row r="117" spans="1:46" ht="21" customHeight="1" x14ac:dyDescent="0.2">
      <c r="A117" s="35" t="s">
        <v>99</v>
      </c>
      <c r="B117" s="5">
        <v>4.2</v>
      </c>
      <c r="C117" s="36"/>
      <c r="D117" s="76" t="str">
        <f t="shared" si="14"/>
        <v/>
      </c>
      <c r="E117" s="78"/>
      <c r="F117" s="8"/>
      <c r="G117" s="5">
        <v>9.1999999999999993</v>
      </c>
      <c r="H117" s="3"/>
      <c r="I117" s="73" t="str">
        <f t="shared" si="15"/>
        <v/>
      </c>
      <c r="J117" s="75"/>
      <c r="K117" s="3"/>
      <c r="L117" s="5">
        <v>12.4</v>
      </c>
      <c r="M117" s="15"/>
      <c r="N117" s="79" t="str">
        <f t="shared" si="16"/>
        <v/>
      </c>
      <c r="O117" s="84"/>
      <c r="P117" s="15"/>
      <c r="Q117" s="5" t="s">
        <v>177</v>
      </c>
      <c r="R117" s="22" t="s">
        <v>177</v>
      </c>
      <c r="S117" s="22" t="s">
        <v>177</v>
      </c>
      <c r="T117" s="22" t="s">
        <v>177</v>
      </c>
      <c r="U117" s="22" t="s">
        <v>177</v>
      </c>
      <c r="V117" s="5" t="s">
        <v>177</v>
      </c>
      <c r="W117" s="22" t="s">
        <v>177</v>
      </c>
      <c r="X117" s="22" t="s">
        <v>177</v>
      </c>
      <c r="Y117" s="22" t="s">
        <v>177</v>
      </c>
      <c r="Z117" s="22" t="s">
        <v>177</v>
      </c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</row>
    <row r="118" spans="1:46" ht="21" customHeight="1" x14ac:dyDescent="0.2">
      <c r="A118" s="31" t="s">
        <v>132</v>
      </c>
      <c r="B118" s="5">
        <v>5.2</v>
      </c>
      <c r="C118" s="36"/>
      <c r="D118" s="76" t="str">
        <f t="shared" si="14"/>
        <v/>
      </c>
      <c r="E118" s="78"/>
      <c r="F118" s="8"/>
      <c r="G118" s="5">
        <v>10.8</v>
      </c>
      <c r="H118" s="3"/>
      <c r="I118" s="73" t="str">
        <f t="shared" si="15"/>
        <v/>
      </c>
      <c r="J118" s="75"/>
      <c r="K118" s="3"/>
      <c r="L118" s="5">
        <v>14.2</v>
      </c>
      <c r="M118" s="15"/>
      <c r="N118" s="79" t="str">
        <f t="shared" si="16"/>
        <v/>
      </c>
      <c r="O118" s="84"/>
      <c r="P118" s="15"/>
      <c r="Q118" s="5">
        <v>14.7</v>
      </c>
      <c r="R118" s="42"/>
      <c r="S118" s="81" t="str">
        <f>IF(R118="","",IF(AND(R118&gt;=960000,R118&lt;=999999),"V",IF(AND(R118&gt;=920000,R118&lt;=959999),"S",IF(AND(R118&gt;=880000,R118&lt;=919999),"A",IF(AND(R118&gt;=820000,R118&lt;=879999),"B",IF(AND(R118&gt;=700000,R118&lt;=819999),"C",IF(AND(R118&gt;=1,R118&lt;=699999),"F",IF(AND(R118=1000000),"φ",IF(AND(R118=0),"",R118)))))))))</f>
        <v/>
      </c>
      <c r="T118" s="83"/>
      <c r="U118" s="42"/>
      <c r="V118" s="5" t="s">
        <v>177</v>
      </c>
      <c r="W118" s="22" t="s">
        <v>177</v>
      </c>
      <c r="X118" s="22" t="s">
        <v>177</v>
      </c>
      <c r="Y118" s="22" t="s">
        <v>177</v>
      </c>
      <c r="Z118" s="22" t="s">
        <v>177</v>
      </c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</row>
    <row r="119" spans="1:46" ht="21" customHeight="1" x14ac:dyDescent="0.2">
      <c r="A119" s="35" t="s">
        <v>106</v>
      </c>
      <c r="B119" s="5">
        <v>5.0999999999999996</v>
      </c>
      <c r="C119" s="36"/>
      <c r="D119" s="76" t="str">
        <f t="shared" si="14"/>
        <v/>
      </c>
      <c r="E119" s="78"/>
      <c r="F119" s="8"/>
      <c r="G119" s="5">
        <v>9.6</v>
      </c>
      <c r="H119" s="3"/>
      <c r="I119" s="73" t="str">
        <f t="shared" si="15"/>
        <v/>
      </c>
      <c r="J119" s="75"/>
      <c r="K119" s="3"/>
      <c r="L119" s="5">
        <v>13.6</v>
      </c>
      <c r="M119" s="15"/>
      <c r="N119" s="79" t="str">
        <f t="shared" si="16"/>
        <v/>
      </c>
      <c r="O119" s="84"/>
      <c r="P119" s="15"/>
      <c r="Q119" s="5" t="s">
        <v>177</v>
      </c>
      <c r="R119" s="22" t="s">
        <v>177</v>
      </c>
      <c r="S119" s="22" t="s">
        <v>177</v>
      </c>
      <c r="T119" s="22" t="s">
        <v>177</v>
      </c>
      <c r="U119" s="22" t="s">
        <v>177</v>
      </c>
      <c r="V119" s="5" t="s">
        <v>177</v>
      </c>
      <c r="W119" s="22" t="s">
        <v>177</v>
      </c>
      <c r="X119" s="22" t="s">
        <v>177</v>
      </c>
      <c r="Y119" s="22" t="s">
        <v>177</v>
      </c>
      <c r="Z119" s="22" t="s">
        <v>177</v>
      </c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</row>
    <row r="120" spans="1:46" ht="21" customHeight="1" x14ac:dyDescent="0.2">
      <c r="A120" s="35" t="s">
        <v>134</v>
      </c>
      <c r="B120" s="5">
        <v>4.2</v>
      </c>
      <c r="C120" s="36"/>
      <c r="D120" s="76" t="str">
        <f t="shared" si="14"/>
        <v/>
      </c>
      <c r="E120" s="78"/>
      <c r="F120" s="8"/>
      <c r="G120" s="5">
        <v>10.6</v>
      </c>
      <c r="H120" s="3"/>
      <c r="I120" s="73" t="str">
        <f t="shared" si="15"/>
        <v/>
      </c>
      <c r="J120" s="75"/>
      <c r="K120" s="3"/>
      <c r="L120" s="5">
        <v>14.8</v>
      </c>
      <c r="M120" s="15"/>
      <c r="N120" s="79" t="str">
        <f t="shared" si="16"/>
        <v/>
      </c>
      <c r="O120" s="84"/>
      <c r="P120" s="15"/>
      <c r="Q120" s="5" t="s">
        <v>177</v>
      </c>
      <c r="R120" s="22" t="s">
        <v>177</v>
      </c>
      <c r="S120" s="22" t="s">
        <v>177</v>
      </c>
      <c r="T120" s="22" t="s">
        <v>177</v>
      </c>
      <c r="U120" s="22" t="s">
        <v>177</v>
      </c>
      <c r="V120" s="5" t="s">
        <v>177</v>
      </c>
      <c r="W120" s="22" t="s">
        <v>177</v>
      </c>
      <c r="X120" s="22" t="s">
        <v>177</v>
      </c>
      <c r="Y120" s="22" t="s">
        <v>177</v>
      </c>
      <c r="Z120" s="22" t="s">
        <v>177</v>
      </c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</row>
    <row r="121" spans="1:46" ht="21" customHeight="1" x14ac:dyDescent="0.2">
      <c r="A121" s="35" t="s">
        <v>146</v>
      </c>
      <c r="B121" s="5">
        <v>4.5</v>
      </c>
      <c r="C121" s="36"/>
      <c r="D121" s="76" t="str">
        <f t="shared" si="14"/>
        <v/>
      </c>
      <c r="E121" s="78"/>
      <c r="F121" s="8"/>
      <c r="G121" s="5">
        <v>11.6</v>
      </c>
      <c r="H121" s="3"/>
      <c r="I121" s="73" t="str">
        <f t="shared" si="15"/>
        <v/>
      </c>
      <c r="J121" s="75"/>
      <c r="K121" s="3"/>
      <c r="L121" s="5">
        <v>15.6</v>
      </c>
      <c r="M121" s="15"/>
      <c r="N121" s="79" t="str">
        <f t="shared" si="16"/>
        <v/>
      </c>
      <c r="O121" s="84"/>
      <c r="P121" s="15"/>
      <c r="Q121" s="5" t="s">
        <v>177</v>
      </c>
      <c r="R121" s="22" t="s">
        <v>177</v>
      </c>
      <c r="S121" s="22" t="s">
        <v>177</v>
      </c>
      <c r="T121" s="22" t="s">
        <v>177</v>
      </c>
      <c r="U121" s="22" t="s">
        <v>177</v>
      </c>
      <c r="V121" s="5" t="s">
        <v>177</v>
      </c>
      <c r="W121" s="22" t="s">
        <v>177</v>
      </c>
      <c r="X121" s="22" t="s">
        <v>177</v>
      </c>
      <c r="Y121" s="22" t="s">
        <v>177</v>
      </c>
      <c r="Z121" s="22" t="s">
        <v>177</v>
      </c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</row>
    <row r="122" spans="1:46" ht="21" customHeight="1" x14ac:dyDescent="0.2">
      <c r="A122" s="35" t="s">
        <v>95</v>
      </c>
      <c r="B122" s="5">
        <v>4.8</v>
      </c>
      <c r="C122" s="36"/>
      <c r="D122" s="76" t="str">
        <f t="shared" si="14"/>
        <v/>
      </c>
      <c r="E122" s="78"/>
      <c r="F122" s="8"/>
      <c r="G122" s="5">
        <v>9.1999999999999993</v>
      </c>
      <c r="H122" s="3"/>
      <c r="I122" s="73" t="str">
        <f t="shared" si="15"/>
        <v/>
      </c>
      <c r="J122" s="75"/>
      <c r="K122" s="3"/>
      <c r="L122" s="5">
        <v>12.6</v>
      </c>
      <c r="M122" s="15"/>
      <c r="N122" s="79" t="str">
        <f t="shared" si="16"/>
        <v/>
      </c>
      <c r="O122" s="84"/>
      <c r="P122" s="15"/>
      <c r="Q122" s="5" t="s">
        <v>177</v>
      </c>
      <c r="R122" s="22" t="s">
        <v>177</v>
      </c>
      <c r="S122" s="22" t="s">
        <v>177</v>
      </c>
      <c r="T122" s="22" t="s">
        <v>177</v>
      </c>
      <c r="U122" s="22" t="s">
        <v>177</v>
      </c>
      <c r="V122" s="5" t="s">
        <v>177</v>
      </c>
      <c r="W122" s="22" t="s">
        <v>177</v>
      </c>
      <c r="X122" s="22" t="s">
        <v>177</v>
      </c>
      <c r="Y122" s="22" t="s">
        <v>177</v>
      </c>
      <c r="Z122" s="22" t="s">
        <v>177</v>
      </c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</row>
    <row r="123" spans="1:46" ht="21" customHeight="1" x14ac:dyDescent="0.2">
      <c r="A123" s="35" t="s">
        <v>97</v>
      </c>
      <c r="B123" s="5">
        <v>3.3</v>
      </c>
      <c r="C123" s="36"/>
      <c r="D123" s="76" t="str">
        <f t="shared" si="14"/>
        <v/>
      </c>
      <c r="E123" s="78"/>
      <c r="F123" s="8"/>
      <c r="G123" s="5">
        <v>9.4</v>
      </c>
      <c r="H123" s="3"/>
      <c r="I123" s="73" t="str">
        <f t="shared" si="15"/>
        <v/>
      </c>
      <c r="J123" s="75"/>
      <c r="K123" s="3"/>
      <c r="L123" s="5">
        <v>12.8</v>
      </c>
      <c r="M123" s="15"/>
      <c r="N123" s="79" t="str">
        <f t="shared" si="16"/>
        <v/>
      </c>
      <c r="O123" s="84"/>
      <c r="P123" s="15"/>
      <c r="Q123" s="5" t="s">
        <v>177</v>
      </c>
      <c r="R123" s="22" t="s">
        <v>177</v>
      </c>
      <c r="S123" s="22" t="s">
        <v>177</v>
      </c>
      <c r="T123" s="22" t="s">
        <v>177</v>
      </c>
      <c r="U123" s="22" t="s">
        <v>177</v>
      </c>
      <c r="V123" s="5" t="s">
        <v>177</v>
      </c>
      <c r="W123" s="22" t="s">
        <v>177</v>
      </c>
      <c r="X123" s="22" t="s">
        <v>177</v>
      </c>
      <c r="Y123" s="22" t="s">
        <v>177</v>
      </c>
      <c r="Z123" s="22" t="s">
        <v>177</v>
      </c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</row>
    <row r="124" spans="1:46" ht="21" customHeight="1" x14ac:dyDescent="0.2">
      <c r="A124" s="35" t="s">
        <v>105</v>
      </c>
      <c r="B124" s="5">
        <v>4.3</v>
      </c>
      <c r="C124" s="36"/>
      <c r="D124" s="76" t="str">
        <f t="shared" si="14"/>
        <v/>
      </c>
      <c r="E124" s="78"/>
      <c r="F124" s="8"/>
      <c r="G124" s="5">
        <v>11.7</v>
      </c>
      <c r="H124" s="3"/>
      <c r="I124" s="73" t="str">
        <f t="shared" si="15"/>
        <v/>
      </c>
      <c r="J124" s="75"/>
      <c r="K124" s="3"/>
      <c r="L124" s="5">
        <v>14.4</v>
      </c>
      <c r="M124" s="15"/>
      <c r="N124" s="79" t="str">
        <f t="shared" si="16"/>
        <v/>
      </c>
      <c r="O124" s="84"/>
      <c r="P124" s="15"/>
      <c r="Q124" s="5" t="s">
        <v>177</v>
      </c>
      <c r="R124" s="22" t="s">
        <v>177</v>
      </c>
      <c r="S124" s="22" t="s">
        <v>177</v>
      </c>
      <c r="T124" s="22" t="s">
        <v>177</v>
      </c>
      <c r="U124" s="22" t="s">
        <v>177</v>
      </c>
      <c r="V124" s="5" t="s">
        <v>177</v>
      </c>
      <c r="W124" s="22" t="s">
        <v>177</v>
      </c>
      <c r="X124" s="22" t="s">
        <v>177</v>
      </c>
      <c r="Y124" s="22" t="s">
        <v>177</v>
      </c>
      <c r="Z124" s="22" t="s">
        <v>177</v>
      </c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</row>
    <row r="125" spans="1:46" ht="21" customHeight="1" x14ac:dyDescent="0.2">
      <c r="A125" s="35" t="s">
        <v>130</v>
      </c>
      <c r="B125" s="5">
        <v>4.3</v>
      </c>
      <c r="C125" s="36"/>
      <c r="D125" s="76" t="str">
        <f t="shared" si="14"/>
        <v/>
      </c>
      <c r="E125" s="78"/>
      <c r="F125" s="8"/>
      <c r="G125" s="5">
        <v>10.3</v>
      </c>
      <c r="H125" s="3"/>
      <c r="I125" s="73" t="str">
        <f t="shared" si="15"/>
        <v/>
      </c>
      <c r="J125" s="75"/>
      <c r="K125" s="3"/>
      <c r="L125" s="5">
        <v>14.3</v>
      </c>
      <c r="M125" s="15"/>
      <c r="N125" s="79" t="str">
        <f t="shared" si="16"/>
        <v/>
      </c>
      <c r="O125" s="84"/>
      <c r="P125" s="15"/>
      <c r="Q125" s="5" t="s">
        <v>177</v>
      </c>
      <c r="R125" s="22" t="s">
        <v>177</v>
      </c>
      <c r="S125" s="22" t="s">
        <v>177</v>
      </c>
      <c r="T125" s="22" t="s">
        <v>177</v>
      </c>
      <c r="U125" s="22" t="s">
        <v>177</v>
      </c>
      <c r="V125" s="5" t="s">
        <v>177</v>
      </c>
      <c r="W125" s="22" t="s">
        <v>177</v>
      </c>
      <c r="X125" s="22" t="s">
        <v>177</v>
      </c>
      <c r="Y125" s="22" t="s">
        <v>177</v>
      </c>
      <c r="Z125" s="22" t="s">
        <v>177</v>
      </c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</row>
    <row r="126" spans="1:46" ht="21" customHeight="1" x14ac:dyDescent="0.2">
      <c r="A126" s="35" t="s">
        <v>125</v>
      </c>
      <c r="B126" s="5">
        <v>6.3</v>
      </c>
      <c r="C126" s="36"/>
      <c r="D126" s="76" t="str">
        <f t="shared" si="14"/>
        <v/>
      </c>
      <c r="E126" s="78"/>
      <c r="F126" s="8"/>
      <c r="G126" s="5">
        <v>11.3</v>
      </c>
      <c r="H126" s="3"/>
      <c r="I126" s="73" t="str">
        <f t="shared" si="15"/>
        <v/>
      </c>
      <c r="J126" s="75"/>
      <c r="K126" s="3"/>
      <c r="L126" s="5">
        <v>14.5</v>
      </c>
      <c r="M126" s="15"/>
      <c r="N126" s="79" t="str">
        <f t="shared" si="16"/>
        <v/>
      </c>
      <c r="O126" s="84"/>
      <c r="P126" s="15"/>
      <c r="Q126" s="5" t="s">
        <v>177</v>
      </c>
      <c r="R126" s="22" t="s">
        <v>177</v>
      </c>
      <c r="S126" s="22" t="s">
        <v>177</v>
      </c>
      <c r="T126" s="22" t="s">
        <v>177</v>
      </c>
      <c r="U126" s="22" t="s">
        <v>177</v>
      </c>
      <c r="V126" s="5" t="s">
        <v>177</v>
      </c>
      <c r="W126" s="22" t="s">
        <v>177</v>
      </c>
      <c r="X126" s="22" t="s">
        <v>177</v>
      </c>
      <c r="Y126" s="22" t="s">
        <v>177</v>
      </c>
      <c r="Z126" s="22" t="s">
        <v>177</v>
      </c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</row>
    <row r="127" spans="1:46" ht="21" customHeight="1" x14ac:dyDescent="0.2">
      <c r="A127" s="35" t="s">
        <v>112</v>
      </c>
      <c r="B127" s="5">
        <v>6.6</v>
      </c>
      <c r="C127" s="36"/>
      <c r="D127" s="76" t="str">
        <f t="shared" si="14"/>
        <v/>
      </c>
      <c r="E127" s="78"/>
      <c r="F127" s="8"/>
      <c r="G127" s="5">
        <v>11.4</v>
      </c>
      <c r="H127" s="3"/>
      <c r="I127" s="73" t="str">
        <f t="shared" si="15"/>
        <v/>
      </c>
      <c r="J127" s="75"/>
      <c r="K127" s="3"/>
      <c r="L127" s="5">
        <v>13.8</v>
      </c>
      <c r="M127" s="15"/>
      <c r="N127" s="79" t="str">
        <f t="shared" si="16"/>
        <v/>
      </c>
      <c r="O127" s="84"/>
      <c r="P127" s="15"/>
      <c r="Q127" s="5" t="s">
        <v>177</v>
      </c>
      <c r="R127" s="22" t="s">
        <v>177</v>
      </c>
      <c r="S127" s="22" t="s">
        <v>177</v>
      </c>
      <c r="T127" s="22" t="s">
        <v>177</v>
      </c>
      <c r="U127" s="22" t="s">
        <v>177</v>
      </c>
      <c r="V127" s="5" t="s">
        <v>177</v>
      </c>
      <c r="W127" s="22" t="s">
        <v>177</v>
      </c>
      <c r="X127" s="22" t="s">
        <v>177</v>
      </c>
      <c r="Y127" s="22" t="s">
        <v>177</v>
      </c>
      <c r="Z127" s="22" t="s">
        <v>177</v>
      </c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</row>
    <row r="128" spans="1:46" ht="21" customHeight="1" x14ac:dyDescent="0.2">
      <c r="A128" s="35" t="s">
        <v>148</v>
      </c>
      <c r="B128" s="5">
        <v>5.6</v>
      </c>
      <c r="C128" s="36"/>
      <c r="D128" s="76" t="str">
        <f t="shared" si="14"/>
        <v/>
      </c>
      <c r="E128" s="78"/>
      <c r="F128" s="8"/>
      <c r="G128" s="5">
        <v>11.8</v>
      </c>
      <c r="H128" s="3"/>
      <c r="I128" s="73" t="str">
        <f t="shared" si="15"/>
        <v/>
      </c>
      <c r="J128" s="75"/>
      <c r="K128" s="3"/>
      <c r="L128" s="5">
        <v>15.7</v>
      </c>
      <c r="M128" s="15"/>
      <c r="N128" s="79" t="str">
        <f t="shared" si="16"/>
        <v/>
      </c>
      <c r="O128" s="84"/>
      <c r="P128" s="15"/>
      <c r="Q128" s="5" t="s">
        <v>177</v>
      </c>
      <c r="R128" s="22" t="s">
        <v>177</v>
      </c>
      <c r="S128" s="22" t="s">
        <v>177</v>
      </c>
      <c r="T128" s="22" t="s">
        <v>177</v>
      </c>
      <c r="U128" s="22" t="s">
        <v>177</v>
      </c>
      <c r="V128" s="5" t="s">
        <v>177</v>
      </c>
      <c r="W128" s="22" t="s">
        <v>177</v>
      </c>
      <c r="X128" s="22" t="s">
        <v>177</v>
      </c>
      <c r="Y128" s="22" t="s">
        <v>177</v>
      </c>
      <c r="Z128" s="22" t="s">
        <v>177</v>
      </c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</row>
    <row r="129" spans="1:46" ht="21" customHeight="1" x14ac:dyDescent="0.2">
      <c r="A129" s="35" t="s">
        <v>120</v>
      </c>
      <c r="B129" s="5">
        <v>4.3</v>
      </c>
      <c r="C129" s="36"/>
      <c r="D129" s="76" t="str">
        <f t="shared" si="14"/>
        <v/>
      </c>
      <c r="E129" s="78"/>
      <c r="F129" s="8"/>
      <c r="G129" s="5">
        <v>9.1</v>
      </c>
      <c r="H129" s="3"/>
      <c r="I129" s="73" t="str">
        <f t="shared" si="15"/>
        <v/>
      </c>
      <c r="J129" s="75"/>
      <c r="K129" s="3"/>
      <c r="L129" s="5">
        <v>14.4</v>
      </c>
      <c r="M129" s="15"/>
      <c r="N129" s="79" t="str">
        <f t="shared" si="16"/>
        <v/>
      </c>
      <c r="O129" s="84"/>
      <c r="P129" s="15"/>
      <c r="Q129" s="5" t="s">
        <v>177</v>
      </c>
      <c r="R129" s="22" t="s">
        <v>177</v>
      </c>
      <c r="S129" s="22" t="s">
        <v>177</v>
      </c>
      <c r="T129" s="22" t="s">
        <v>177</v>
      </c>
      <c r="U129" s="22" t="s">
        <v>177</v>
      </c>
      <c r="V129" s="5" t="s">
        <v>177</v>
      </c>
      <c r="W129" s="22" t="s">
        <v>177</v>
      </c>
      <c r="X129" s="22" t="s">
        <v>177</v>
      </c>
      <c r="Y129" s="22" t="s">
        <v>177</v>
      </c>
      <c r="Z129" s="22" t="s">
        <v>177</v>
      </c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</row>
    <row r="130" spans="1:46" ht="21" customHeight="1" x14ac:dyDescent="0.2">
      <c r="A130" s="35" t="s">
        <v>114</v>
      </c>
      <c r="B130" s="5">
        <v>4.7</v>
      </c>
      <c r="C130" s="36"/>
      <c r="D130" s="76" t="str">
        <f t="shared" si="14"/>
        <v/>
      </c>
      <c r="E130" s="78"/>
      <c r="F130" s="8"/>
      <c r="G130" s="5">
        <v>10.6</v>
      </c>
      <c r="H130" s="3"/>
      <c r="I130" s="73" t="str">
        <f t="shared" si="15"/>
        <v/>
      </c>
      <c r="J130" s="75"/>
      <c r="K130" s="3"/>
      <c r="L130" s="5">
        <v>14.2</v>
      </c>
      <c r="M130" s="15"/>
      <c r="N130" s="79" t="str">
        <f t="shared" si="16"/>
        <v/>
      </c>
      <c r="O130" s="84"/>
      <c r="P130" s="15"/>
      <c r="Q130" s="5" t="s">
        <v>177</v>
      </c>
      <c r="R130" s="22" t="s">
        <v>177</v>
      </c>
      <c r="S130" s="22" t="s">
        <v>177</v>
      </c>
      <c r="T130" s="22" t="s">
        <v>177</v>
      </c>
      <c r="U130" s="22" t="s">
        <v>177</v>
      </c>
      <c r="V130" s="5" t="s">
        <v>177</v>
      </c>
      <c r="W130" s="22" t="s">
        <v>177</v>
      </c>
      <c r="X130" s="22" t="s">
        <v>177</v>
      </c>
      <c r="Y130" s="22" t="s">
        <v>177</v>
      </c>
      <c r="Z130" s="22" t="s">
        <v>177</v>
      </c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</row>
    <row r="131" spans="1:46" ht="21" customHeight="1" x14ac:dyDescent="0.2">
      <c r="A131" s="35" t="s">
        <v>115</v>
      </c>
      <c r="B131" s="5">
        <v>5.8</v>
      </c>
      <c r="C131" s="36"/>
      <c r="D131" s="76" t="str">
        <f t="shared" si="14"/>
        <v/>
      </c>
      <c r="E131" s="78"/>
      <c r="F131" s="8"/>
      <c r="G131" s="5">
        <v>7.5</v>
      </c>
      <c r="H131" s="3"/>
      <c r="I131" s="73" t="str">
        <f t="shared" si="15"/>
        <v/>
      </c>
      <c r="J131" s="75"/>
      <c r="K131" s="3"/>
      <c r="L131" s="5">
        <v>14.3</v>
      </c>
      <c r="M131" s="15"/>
      <c r="N131" s="79" t="str">
        <f t="shared" si="16"/>
        <v/>
      </c>
      <c r="O131" s="84"/>
      <c r="P131" s="15"/>
      <c r="Q131" s="5" t="s">
        <v>177</v>
      </c>
      <c r="R131" s="22" t="s">
        <v>177</v>
      </c>
      <c r="S131" s="22" t="s">
        <v>177</v>
      </c>
      <c r="T131" s="22" t="s">
        <v>177</v>
      </c>
      <c r="U131" s="22" t="s">
        <v>177</v>
      </c>
      <c r="V131" s="5" t="s">
        <v>177</v>
      </c>
      <c r="W131" s="22" t="s">
        <v>177</v>
      </c>
      <c r="X131" s="22" t="s">
        <v>177</v>
      </c>
      <c r="Y131" s="22" t="s">
        <v>177</v>
      </c>
      <c r="Z131" s="22" t="s">
        <v>177</v>
      </c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</row>
    <row r="132" spans="1:46" ht="21" customHeight="1" x14ac:dyDescent="0.2">
      <c r="A132" s="34" t="s">
        <v>119</v>
      </c>
      <c r="B132" s="5">
        <v>6.8</v>
      </c>
      <c r="C132" s="36"/>
      <c r="D132" s="76" t="str">
        <f t="shared" si="14"/>
        <v/>
      </c>
      <c r="E132" s="78"/>
      <c r="F132" s="8"/>
      <c r="G132" s="5">
        <v>10.7</v>
      </c>
      <c r="H132" s="3"/>
      <c r="I132" s="73" t="str">
        <f t="shared" si="15"/>
        <v/>
      </c>
      <c r="J132" s="75"/>
      <c r="K132" s="3"/>
      <c r="L132" s="5">
        <v>14.4</v>
      </c>
      <c r="M132" s="15"/>
      <c r="N132" s="79" t="str">
        <f t="shared" si="16"/>
        <v/>
      </c>
      <c r="O132" s="84"/>
      <c r="P132" s="15"/>
      <c r="Q132" s="5" t="s">
        <v>177</v>
      </c>
      <c r="R132" s="22" t="s">
        <v>177</v>
      </c>
      <c r="S132" s="22" t="s">
        <v>177</v>
      </c>
      <c r="T132" s="22" t="s">
        <v>177</v>
      </c>
      <c r="U132" s="22" t="s">
        <v>177</v>
      </c>
      <c r="V132" s="5" t="s">
        <v>177</v>
      </c>
      <c r="W132" s="22" t="s">
        <v>177</v>
      </c>
      <c r="X132" s="22" t="s">
        <v>177</v>
      </c>
      <c r="Y132" s="22" t="s">
        <v>177</v>
      </c>
      <c r="Z132" s="22" t="s">
        <v>177</v>
      </c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</row>
    <row r="133" spans="1:46" ht="21" customHeight="1" x14ac:dyDescent="0.2">
      <c r="A133" s="35" t="s">
        <v>138</v>
      </c>
      <c r="B133" s="5">
        <v>5.6</v>
      </c>
      <c r="C133" s="36"/>
      <c r="D133" s="76" t="str">
        <f t="shared" si="14"/>
        <v/>
      </c>
      <c r="E133" s="78"/>
      <c r="F133" s="8"/>
      <c r="G133" s="5">
        <v>11.4</v>
      </c>
      <c r="H133" s="3"/>
      <c r="I133" s="73" t="str">
        <f t="shared" si="15"/>
        <v/>
      </c>
      <c r="J133" s="75"/>
      <c r="K133" s="3"/>
      <c r="L133" s="5">
        <v>15.1</v>
      </c>
      <c r="M133" s="15"/>
      <c r="N133" s="79" t="str">
        <f t="shared" si="16"/>
        <v/>
      </c>
      <c r="O133" s="84"/>
      <c r="P133" s="15"/>
      <c r="Q133" s="5" t="s">
        <v>177</v>
      </c>
      <c r="R133" s="22" t="s">
        <v>177</v>
      </c>
      <c r="S133" s="22" t="s">
        <v>177</v>
      </c>
      <c r="T133" s="22" t="s">
        <v>177</v>
      </c>
      <c r="U133" s="22" t="s">
        <v>177</v>
      </c>
      <c r="V133" s="5" t="s">
        <v>177</v>
      </c>
      <c r="W133" s="22" t="s">
        <v>177</v>
      </c>
      <c r="X133" s="22" t="s">
        <v>177</v>
      </c>
      <c r="Y133" s="22" t="s">
        <v>177</v>
      </c>
      <c r="Z133" s="22" t="s">
        <v>177</v>
      </c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</row>
    <row r="134" spans="1:46" ht="21" customHeight="1" x14ac:dyDescent="0.2">
      <c r="A134" s="35" t="s">
        <v>107</v>
      </c>
      <c r="B134" s="5">
        <v>3.7</v>
      </c>
      <c r="C134" s="36"/>
      <c r="D134" s="76" t="str">
        <f t="shared" si="14"/>
        <v/>
      </c>
      <c r="E134" s="78"/>
      <c r="F134" s="8"/>
      <c r="G134" s="5">
        <v>10.4</v>
      </c>
      <c r="H134" s="3"/>
      <c r="I134" s="73" t="str">
        <f t="shared" si="15"/>
        <v/>
      </c>
      <c r="J134" s="75"/>
      <c r="K134" s="3"/>
      <c r="L134" s="5">
        <v>13.2</v>
      </c>
      <c r="M134" s="15"/>
      <c r="N134" s="79" t="str">
        <f t="shared" si="16"/>
        <v/>
      </c>
      <c r="O134" s="84"/>
      <c r="P134" s="15"/>
      <c r="Q134" s="5" t="s">
        <v>177</v>
      </c>
      <c r="R134" s="22" t="s">
        <v>177</v>
      </c>
      <c r="S134" s="22" t="s">
        <v>177</v>
      </c>
      <c r="T134" s="22" t="s">
        <v>177</v>
      </c>
      <c r="U134" s="22" t="s">
        <v>177</v>
      </c>
      <c r="V134" s="5" t="s">
        <v>177</v>
      </c>
      <c r="W134" s="22" t="s">
        <v>177</v>
      </c>
      <c r="X134" s="22" t="s">
        <v>177</v>
      </c>
      <c r="Y134" s="22" t="s">
        <v>177</v>
      </c>
      <c r="Z134" s="22" t="s">
        <v>177</v>
      </c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</row>
    <row r="135" spans="1:46" ht="21" customHeight="1" x14ac:dyDescent="0.2">
      <c r="A135" s="35" t="s">
        <v>147</v>
      </c>
      <c r="B135" s="5">
        <v>4.8</v>
      </c>
      <c r="C135" s="36"/>
      <c r="D135" s="76" t="str">
        <f t="shared" si="14"/>
        <v/>
      </c>
      <c r="E135" s="78"/>
      <c r="F135" s="8"/>
      <c r="G135" s="5">
        <v>11.5</v>
      </c>
      <c r="H135" s="3"/>
      <c r="I135" s="73" t="str">
        <f t="shared" si="15"/>
        <v/>
      </c>
      <c r="J135" s="75"/>
      <c r="K135" s="3"/>
      <c r="L135" s="5">
        <v>15.6</v>
      </c>
      <c r="M135" s="15"/>
      <c r="N135" s="79" t="str">
        <f t="shared" si="16"/>
        <v/>
      </c>
      <c r="O135" s="84"/>
      <c r="P135" s="15"/>
      <c r="Q135" s="5" t="s">
        <v>177</v>
      </c>
      <c r="R135" s="22" t="s">
        <v>177</v>
      </c>
      <c r="S135" s="22" t="s">
        <v>177</v>
      </c>
      <c r="T135" s="22" t="s">
        <v>177</v>
      </c>
      <c r="U135" s="22" t="s">
        <v>177</v>
      </c>
      <c r="V135" s="5" t="s">
        <v>177</v>
      </c>
      <c r="W135" s="22" t="s">
        <v>177</v>
      </c>
      <c r="X135" s="22" t="s">
        <v>177</v>
      </c>
      <c r="Y135" s="22" t="s">
        <v>177</v>
      </c>
      <c r="Z135" s="22" t="s">
        <v>177</v>
      </c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</row>
    <row r="136" spans="1:46" ht="21" customHeight="1" x14ac:dyDescent="0.2">
      <c r="A136" s="35" t="s">
        <v>127</v>
      </c>
      <c r="B136" s="5">
        <v>4.3</v>
      </c>
      <c r="C136" s="36"/>
      <c r="D136" s="76" t="str">
        <f t="shared" si="14"/>
        <v/>
      </c>
      <c r="E136" s="78"/>
      <c r="F136" s="8"/>
      <c r="G136" s="5">
        <v>9.1999999999999993</v>
      </c>
      <c r="H136" s="3"/>
      <c r="I136" s="73" t="str">
        <f t="shared" si="15"/>
        <v/>
      </c>
      <c r="J136" s="75"/>
      <c r="K136" s="3"/>
      <c r="L136" s="5">
        <v>14.6</v>
      </c>
      <c r="M136" s="15"/>
      <c r="N136" s="79" t="str">
        <f t="shared" si="16"/>
        <v/>
      </c>
      <c r="O136" s="84"/>
      <c r="P136" s="15"/>
      <c r="Q136" s="5" t="s">
        <v>177</v>
      </c>
      <c r="R136" s="22" t="s">
        <v>177</v>
      </c>
      <c r="S136" s="22" t="s">
        <v>177</v>
      </c>
      <c r="T136" s="22" t="s">
        <v>177</v>
      </c>
      <c r="U136" s="22" t="s">
        <v>177</v>
      </c>
      <c r="V136" s="5" t="s">
        <v>177</v>
      </c>
      <c r="W136" s="22" t="s">
        <v>177</v>
      </c>
      <c r="X136" s="22" t="s">
        <v>177</v>
      </c>
      <c r="Y136" s="22" t="s">
        <v>177</v>
      </c>
      <c r="Z136" s="22" t="s">
        <v>177</v>
      </c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</row>
    <row r="137" spans="1:46" ht="21" customHeight="1" x14ac:dyDescent="0.2">
      <c r="A137" s="35" t="s">
        <v>109</v>
      </c>
      <c r="B137" s="5">
        <v>2.2999999999999998</v>
      </c>
      <c r="C137" s="36"/>
      <c r="D137" s="76" t="str">
        <f t="shared" si="14"/>
        <v/>
      </c>
      <c r="E137" s="78"/>
      <c r="F137" s="8"/>
      <c r="G137" s="5">
        <v>9.4</v>
      </c>
      <c r="H137" s="3"/>
      <c r="I137" s="73" t="str">
        <f t="shared" si="15"/>
        <v/>
      </c>
      <c r="J137" s="75"/>
      <c r="K137" s="3"/>
      <c r="L137" s="5">
        <v>13.7</v>
      </c>
      <c r="M137" s="15"/>
      <c r="N137" s="79" t="str">
        <f t="shared" si="16"/>
        <v/>
      </c>
      <c r="O137" s="84"/>
      <c r="P137" s="15"/>
      <c r="Q137" s="5" t="s">
        <v>177</v>
      </c>
      <c r="R137" s="22" t="s">
        <v>177</v>
      </c>
      <c r="S137" s="22" t="s">
        <v>177</v>
      </c>
      <c r="T137" s="22" t="s">
        <v>177</v>
      </c>
      <c r="U137" s="22" t="s">
        <v>177</v>
      </c>
      <c r="V137" s="5" t="s">
        <v>177</v>
      </c>
      <c r="W137" s="22" t="s">
        <v>177</v>
      </c>
      <c r="X137" s="22" t="s">
        <v>177</v>
      </c>
      <c r="Y137" s="22" t="s">
        <v>177</v>
      </c>
      <c r="Z137" s="22" t="s">
        <v>177</v>
      </c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</row>
    <row r="138" spans="1:46" ht="21" customHeight="1" x14ac:dyDescent="0.2">
      <c r="A138" s="35" t="s">
        <v>129</v>
      </c>
      <c r="B138" s="5">
        <v>1.5</v>
      </c>
      <c r="C138" s="36"/>
      <c r="D138" s="76" t="str">
        <f t="shared" si="14"/>
        <v/>
      </c>
      <c r="E138" s="78"/>
      <c r="F138" s="8"/>
      <c r="G138" s="5">
        <v>6.7</v>
      </c>
      <c r="H138" s="3"/>
      <c r="I138" s="73" t="str">
        <f t="shared" si="15"/>
        <v/>
      </c>
      <c r="J138" s="75"/>
      <c r="K138" s="3"/>
      <c r="L138" s="5">
        <v>14.5</v>
      </c>
      <c r="M138" s="15"/>
      <c r="N138" s="79" t="str">
        <f t="shared" si="16"/>
        <v/>
      </c>
      <c r="O138" s="84"/>
      <c r="P138" s="15"/>
      <c r="Q138" s="5" t="s">
        <v>177</v>
      </c>
      <c r="R138" s="22" t="s">
        <v>177</v>
      </c>
      <c r="S138" s="22" t="s">
        <v>177</v>
      </c>
      <c r="T138" s="22" t="s">
        <v>177</v>
      </c>
      <c r="U138" s="22" t="s">
        <v>177</v>
      </c>
      <c r="V138" s="5" t="s">
        <v>177</v>
      </c>
      <c r="W138" s="22" t="s">
        <v>177</v>
      </c>
      <c r="X138" s="22" t="s">
        <v>177</v>
      </c>
      <c r="Y138" s="22" t="s">
        <v>177</v>
      </c>
      <c r="Z138" s="22" t="s">
        <v>177</v>
      </c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</row>
    <row r="139" spans="1:46" ht="21" customHeight="1" x14ac:dyDescent="0.2">
      <c r="A139" s="35" t="s">
        <v>142</v>
      </c>
      <c r="B139" s="5">
        <v>5.6</v>
      </c>
      <c r="C139" s="36"/>
      <c r="D139" s="76" t="str">
        <f t="shared" si="14"/>
        <v/>
      </c>
      <c r="E139" s="78"/>
      <c r="F139" s="8"/>
      <c r="G139" s="5">
        <v>9.3000000000000007</v>
      </c>
      <c r="H139" s="3"/>
      <c r="I139" s="73" t="str">
        <f t="shared" si="15"/>
        <v/>
      </c>
      <c r="J139" s="75"/>
      <c r="K139" s="3"/>
      <c r="L139" s="5">
        <v>15.3</v>
      </c>
      <c r="M139" s="15"/>
      <c r="N139" s="79" t="str">
        <f t="shared" si="16"/>
        <v/>
      </c>
      <c r="O139" s="84"/>
      <c r="P139" s="15"/>
      <c r="Q139" s="5" t="s">
        <v>177</v>
      </c>
      <c r="R139" s="22" t="s">
        <v>177</v>
      </c>
      <c r="S139" s="22" t="s">
        <v>177</v>
      </c>
      <c r="T139" s="22" t="s">
        <v>177</v>
      </c>
      <c r="U139" s="22" t="s">
        <v>177</v>
      </c>
      <c r="V139" s="5" t="s">
        <v>177</v>
      </c>
      <c r="W139" s="22" t="s">
        <v>177</v>
      </c>
      <c r="X139" s="22" t="s">
        <v>177</v>
      </c>
      <c r="Y139" s="22" t="s">
        <v>177</v>
      </c>
      <c r="Z139" s="22" t="s">
        <v>177</v>
      </c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</row>
    <row r="140" spans="1:46" ht="21" customHeight="1" x14ac:dyDescent="0.2">
      <c r="A140" s="35" t="s">
        <v>128</v>
      </c>
      <c r="B140" s="5">
        <v>4.8</v>
      </c>
      <c r="C140" s="36"/>
      <c r="D140" s="76" t="str">
        <f t="shared" si="14"/>
        <v/>
      </c>
      <c r="E140" s="78"/>
      <c r="F140" s="8"/>
      <c r="G140" s="5">
        <v>11.3</v>
      </c>
      <c r="H140" s="3"/>
      <c r="I140" s="73" t="str">
        <f t="shared" si="15"/>
        <v/>
      </c>
      <c r="J140" s="75"/>
      <c r="K140" s="3"/>
      <c r="L140" s="5">
        <v>14.5</v>
      </c>
      <c r="M140" s="15"/>
      <c r="N140" s="79" t="str">
        <f t="shared" si="16"/>
        <v/>
      </c>
      <c r="O140" s="84"/>
      <c r="P140" s="15"/>
      <c r="Q140" s="5" t="s">
        <v>177</v>
      </c>
      <c r="R140" s="22" t="s">
        <v>177</v>
      </c>
      <c r="S140" s="22" t="s">
        <v>177</v>
      </c>
      <c r="T140" s="22" t="s">
        <v>177</v>
      </c>
      <c r="U140" s="22" t="s">
        <v>177</v>
      </c>
      <c r="V140" s="5" t="s">
        <v>177</v>
      </c>
      <c r="W140" s="22" t="s">
        <v>177</v>
      </c>
      <c r="X140" s="22" t="s">
        <v>177</v>
      </c>
      <c r="Y140" s="22" t="s">
        <v>177</v>
      </c>
      <c r="Z140" s="22" t="s">
        <v>177</v>
      </c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</row>
    <row r="141" spans="1:46" ht="21" customHeight="1" x14ac:dyDescent="0.2">
      <c r="A141" s="35" t="s">
        <v>131</v>
      </c>
      <c r="B141" s="5">
        <v>3.7</v>
      </c>
      <c r="C141" s="36"/>
      <c r="D141" s="76" t="str">
        <f t="shared" ref="D141:D154" si="17">IF(C141="","",IF(AND(C141&gt;=960000,C141&lt;=999999),"V",IF(AND(C141&gt;=920000,C141&lt;=959999),"S",IF(AND(C141&gt;=880000,C141&lt;=919999),"A",IF(AND(C141&gt;=820000,C141&lt;=879999),"B",IF(AND(C141&gt;=700000,C141&lt;=819999),"C",IF(AND(C141&gt;=1,C141&lt;=699999),"F",IF(AND(C141=1000000),"φ",IF(AND(C141=0),"",C141)))))))))</f>
        <v/>
      </c>
      <c r="E141" s="78"/>
      <c r="F141" s="8"/>
      <c r="G141" s="5">
        <v>10.1</v>
      </c>
      <c r="H141" s="3"/>
      <c r="I141" s="73" t="str">
        <f t="shared" si="10"/>
        <v/>
      </c>
      <c r="J141" s="75"/>
      <c r="K141" s="3"/>
      <c r="L141" s="5">
        <v>14.7</v>
      </c>
      <c r="M141" s="15"/>
      <c r="N141" s="79" t="str">
        <f t="shared" ref="N141:N154" si="18">IF(M141="","",IF(AND(M141&gt;=960000,M141&lt;=999999),"V",IF(AND(M141&gt;=920000,M141&lt;=959999),"S",IF(AND(M141&gt;=880000,M141&lt;=919999),"A",IF(AND(M141&gt;=820000,M141&lt;=879999),"B",IF(AND(M141&gt;=700000,M141&lt;=819999),"C",IF(AND(M141&gt;=1,M141&lt;=699999),"F",IF(AND(M141=1000000),"φ",IF(AND(M141=0),"",M141)))))))))</f>
        <v/>
      </c>
      <c r="O141" s="84"/>
      <c r="P141" s="15"/>
      <c r="Q141" s="5" t="s">
        <v>177</v>
      </c>
      <c r="R141" s="22" t="s">
        <v>177</v>
      </c>
      <c r="S141" s="22" t="s">
        <v>177</v>
      </c>
      <c r="T141" s="22" t="s">
        <v>177</v>
      </c>
      <c r="U141" s="22" t="s">
        <v>177</v>
      </c>
      <c r="V141" s="5" t="s">
        <v>177</v>
      </c>
      <c r="W141" s="22" t="s">
        <v>177</v>
      </c>
      <c r="X141" s="22" t="s">
        <v>177</v>
      </c>
      <c r="Y141" s="22" t="s">
        <v>177</v>
      </c>
      <c r="Z141" s="22" t="s">
        <v>177</v>
      </c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</row>
    <row r="142" spans="1:46" ht="21" customHeight="1" x14ac:dyDescent="0.2">
      <c r="A142" s="35" t="s">
        <v>123</v>
      </c>
      <c r="B142" s="5">
        <v>4.7</v>
      </c>
      <c r="C142" s="36"/>
      <c r="D142" s="76" t="str">
        <f t="shared" ref="D142:D150" si="19">IF(C142="","",IF(AND(C142&gt;=960000,C142&lt;=999999),"V",IF(AND(C142&gt;=920000,C142&lt;=959999),"S",IF(AND(C142&gt;=880000,C142&lt;=919999),"A",IF(AND(C142&gt;=820000,C142&lt;=879999),"B",IF(AND(C142&gt;=700000,C142&lt;=819999),"C",IF(AND(C142&gt;=1,C142&lt;=699999),"F",IF(AND(C142=1000000),"φ",IF(AND(C142=0),"",C142)))))))))</f>
        <v/>
      </c>
      <c r="E142" s="78"/>
      <c r="F142" s="8"/>
      <c r="G142" s="5">
        <v>10.3</v>
      </c>
      <c r="H142" s="3"/>
      <c r="I142" s="73" t="str">
        <f t="shared" ref="I142:I150" si="20">IF(H142="","",IF(AND(H142&gt;=960000,H142&lt;=999999),"V",IF(AND(H142&gt;=920000,H142&lt;=959999),"S",IF(AND(H142&gt;=880000,H142&lt;=919999),"A",IF(AND(H142&gt;=820000,H142&lt;=879999),"B",IF(AND(H142&gt;=700000,H142&lt;=819999),"C",IF(AND(H142&gt;=1,H142&lt;=699999),"F",IF(AND(H142=1000000),"φ",IF(AND(H142=0),"",H142)))))))))</f>
        <v/>
      </c>
      <c r="J142" s="75"/>
      <c r="K142" s="3"/>
      <c r="L142" s="5">
        <v>14.5</v>
      </c>
      <c r="M142" s="15"/>
      <c r="N142" s="79" t="str">
        <f t="shared" ref="N142:N150" si="21">IF(M142="","",IF(AND(M142&gt;=960000,M142&lt;=999999),"V",IF(AND(M142&gt;=920000,M142&lt;=959999),"S",IF(AND(M142&gt;=880000,M142&lt;=919999),"A",IF(AND(M142&gt;=820000,M142&lt;=879999),"B",IF(AND(M142&gt;=700000,M142&lt;=819999),"C",IF(AND(M142&gt;=1,M142&lt;=699999),"F",IF(AND(M142=1000000),"φ",IF(AND(M142=0),"",M142)))))))))</f>
        <v/>
      </c>
      <c r="O142" s="84"/>
      <c r="P142" s="15"/>
      <c r="Q142" s="5" t="s">
        <v>177</v>
      </c>
      <c r="R142" s="22" t="s">
        <v>177</v>
      </c>
      <c r="S142" s="22" t="s">
        <v>177</v>
      </c>
      <c r="T142" s="22" t="s">
        <v>177</v>
      </c>
      <c r="U142" s="22" t="s">
        <v>177</v>
      </c>
      <c r="V142" s="5" t="s">
        <v>177</v>
      </c>
      <c r="W142" s="22" t="s">
        <v>177</v>
      </c>
      <c r="X142" s="22" t="s">
        <v>177</v>
      </c>
      <c r="Y142" s="22" t="s">
        <v>177</v>
      </c>
      <c r="Z142" s="22" t="s">
        <v>177</v>
      </c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</row>
    <row r="143" spans="1:46" ht="21" customHeight="1" x14ac:dyDescent="0.2">
      <c r="A143" s="35" t="s">
        <v>101</v>
      </c>
      <c r="B143" s="5">
        <v>4.4000000000000004</v>
      </c>
      <c r="C143" s="36"/>
      <c r="D143" s="76" t="str">
        <f t="shared" si="19"/>
        <v/>
      </c>
      <c r="E143" s="78"/>
      <c r="F143" s="8"/>
      <c r="G143" s="5">
        <v>6.9</v>
      </c>
      <c r="H143" s="3"/>
      <c r="I143" s="73" t="str">
        <f t="shared" si="20"/>
        <v/>
      </c>
      <c r="J143" s="75"/>
      <c r="K143" s="3"/>
      <c r="L143" s="5">
        <v>13.8</v>
      </c>
      <c r="M143" s="15"/>
      <c r="N143" s="79" t="str">
        <f t="shared" si="21"/>
        <v/>
      </c>
      <c r="O143" s="84"/>
      <c r="P143" s="15"/>
      <c r="Q143" s="5" t="s">
        <v>177</v>
      </c>
      <c r="R143" s="22" t="s">
        <v>177</v>
      </c>
      <c r="S143" s="22" t="s">
        <v>177</v>
      </c>
      <c r="T143" s="22" t="s">
        <v>177</v>
      </c>
      <c r="U143" s="22" t="s">
        <v>177</v>
      </c>
      <c r="V143" s="5" t="s">
        <v>177</v>
      </c>
      <c r="W143" s="22" t="s">
        <v>177</v>
      </c>
      <c r="X143" s="22" t="s">
        <v>177</v>
      </c>
      <c r="Y143" s="22" t="s">
        <v>177</v>
      </c>
      <c r="Z143" s="22" t="s">
        <v>177</v>
      </c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</row>
    <row r="144" spans="1:46" ht="21" customHeight="1" x14ac:dyDescent="0.2">
      <c r="A144" s="28" t="s">
        <v>137</v>
      </c>
      <c r="B144" s="5">
        <v>5.7</v>
      </c>
      <c r="C144" s="36"/>
      <c r="D144" s="76" t="str">
        <f t="shared" si="19"/>
        <v/>
      </c>
      <c r="E144" s="78"/>
      <c r="F144" s="8"/>
      <c r="G144" s="5">
        <v>11.8</v>
      </c>
      <c r="H144" s="3"/>
      <c r="I144" s="73" t="str">
        <f t="shared" si="20"/>
        <v/>
      </c>
      <c r="J144" s="75"/>
      <c r="K144" s="3"/>
      <c r="L144" s="5">
        <v>14.8</v>
      </c>
      <c r="M144" s="15"/>
      <c r="N144" s="79" t="str">
        <f t="shared" si="21"/>
        <v/>
      </c>
      <c r="O144" s="84"/>
      <c r="P144" s="15"/>
      <c r="Q144" s="5" t="s">
        <v>177</v>
      </c>
      <c r="R144" s="22" t="s">
        <v>177</v>
      </c>
      <c r="S144" s="22" t="s">
        <v>177</v>
      </c>
      <c r="T144" s="22" t="s">
        <v>177</v>
      </c>
      <c r="U144" s="22" t="s">
        <v>177</v>
      </c>
      <c r="V144" s="5" t="s">
        <v>177</v>
      </c>
      <c r="W144" s="22" t="s">
        <v>177</v>
      </c>
      <c r="X144" s="22" t="s">
        <v>177</v>
      </c>
      <c r="Y144" s="22" t="s">
        <v>177</v>
      </c>
      <c r="Z144" s="22" t="s">
        <v>177</v>
      </c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</row>
    <row r="145" spans="1:46" ht="21" customHeight="1" x14ac:dyDescent="0.2">
      <c r="A145" s="35" t="s">
        <v>117</v>
      </c>
      <c r="B145" s="5">
        <v>5.8</v>
      </c>
      <c r="C145" s="36"/>
      <c r="D145" s="76" t="str">
        <f t="shared" si="19"/>
        <v/>
      </c>
      <c r="E145" s="78"/>
      <c r="F145" s="8"/>
      <c r="G145" s="5">
        <v>10.5</v>
      </c>
      <c r="H145" s="3"/>
      <c r="I145" s="73" t="str">
        <f t="shared" si="20"/>
        <v/>
      </c>
      <c r="J145" s="75"/>
      <c r="K145" s="3"/>
      <c r="L145" s="5">
        <v>14.4</v>
      </c>
      <c r="M145" s="15"/>
      <c r="N145" s="79" t="str">
        <f t="shared" si="21"/>
        <v/>
      </c>
      <c r="O145" s="84"/>
      <c r="P145" s="15"/>
      <c r="Q145" s="5" t="s">
        <v>177</v>
      </c>
      <c r="R145" s="22" t="s">
        <v>177</v>
      </c>
      <c r="S145" s="22" t="s">
        <v>177</v>
      </c>
      <c r="T145" s="22" t="s">
        <v>177</v>
      </c>
      <c r="U145" s="22" t="s">
        <v>177</v>
      </c>
      <c r="V145" s="5" t="s">
        <v>177</v>
      </c>
      <c r="W145" s="22" t="s">
        <v>177</v>
      </c>
      <c r="X145" s="22" t="s">
        <v>177</v>
      </c>
      <c r="Y145" s="22" t="s">
        <v>177</v>
      </c>
      <c r="Z145" s="22" t="s">
        <v>177</v>
      </c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</row>
    <row r="146" spans="1:46" ht="21" customHeight="1" x14ac:dyDescent="0.2">
      <c r="A146" s="28" t="s">
        <v>140</v>
      </c>
      <c r="B146" s="5">
        <v>6.4</v>
      </c>
      <c r="C146" s="36"/>
      <c r="D146" s="76" t="str">
        <f t="shared" si="19"/>
        <v/>
      </c>
      <c r="E146" s="78"/>
      <c r="F146" s="8"/>
      <c r="G146" s="5">
        <v>11.7</v>
      </c>
      <c r="H146" s="3"/>
      <c r="I146" s="73" t="str">
        <f t="shared" si="20"/>
        <v/>
      </c>
      <c r="J146" s="75"/>
      <c r="K146" s="3"/>
      <c r="L146" s="5">
        <v>15.3</v>
      </c>
      <c r="M146" s="15"/>
      <c r="N146" s="79" t="str">
        <f t="shared" si="21"/>
        <v/>
      </c>
      <c r="O146" s="84"/>
      <c r="P146" s="15"/>
      <c r="Q146" s="5" t="s">
        <v>177</v>
      </c>
      <c r="R146" s="22" t="s">
        <v>177</v>
      </c>
      <c r="S146" s="22" t="s">
        <v>177</v>
      </c>
      <c r="T146" s="22" t="s">
        <v>177</v>
      </c>
      <c r="U146" s="22" t="s">
        <v>177</v>
      </c>
      <c r="V146" s="5" t="s">
        <v>177</v>
      </c>
      <c r="W146" s="22" t="s">
        <v>177</v>
      </c>
      <c r="X146" s="22" t="s">
        <v>177</v>
      </c>
      <c r="Y146" s="22" t="s">
        <v>177</v>
      </c>
      <c r="Z146" s="22" t="s">
        <v>177</v>
      </c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</row>
    <row r="147" spans="1:46" ht="21" customHeight="1" x14ac:dyDescent="0.2">
      <c r="A147" s="35" t="s">
        <v>104</v>
      </c>
      <c r="B147" s="5">
        <v>3.5</v>
      </c>
      <c r="C147" s="36"/>
      <c r="D147" s="76" t="str">
        <f t="shared" si="19"/>
        <v/>
      </c>
      <c r="E147" s="78"/>
      <c r="F147" s="8"/>
      <c r="G147" s="5">
        <v>9.3000000000000007</v>
      </c>
      <c r="H147" s="3"/>
      <c r="I147" s="73" t="str">
        <f t="shared" si="20"/>
        <v/>
      </c>
      <c r="J147" s="75"/>
      <c r="K147" s="3"/>
      <c r="L147" s="5">
        <v>13.4</v>
      </c>
      <c r="M147" s="15"/>
      <c r="N147" s="79" t="str">
        <f t="shared" si="21"/>
        <v/>
      </c>
      <c r="O147" s="84"/>
      <c r="P147" s="15"/>
      <c r="Q147" s="5" t="s">
        <v>177</v>
      </c>
      <c r="R147" s="22" t="s">
        <v>177</v>
      </c>
      <c r="S147" s="22" t="s">
        <v>177</v>
      </c>
      <c r="T147" s="22" t="s">
        <v>177</v>
      </c>
      <c r="U147" s="22" t="s">
        <v>177</v>
      </c>
      <c r="V147" s="5" t="s">
        <v>177</v>
      </c>
      <c r="W147" s="22" t="s">
        <v>177</v>
      </c>
      <c r="X147" s="22" t="s">
        <v>177</v>
      </c>
      <c r="Y147" s="22" t="s">
        <v>177</v>
      </c>
      <c r="Z147" s="22" t="s">
        <v>177</v>
      </c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</row>
    <row r="148" spans="1:46" ht="21" customHeight="1" x14ac:dyDescent="0.2">
      <c r="A148" s="31" t="s">
        <v>116</v>
      </c>
      <c r="B148" s="5">
        <v>4.7</v>
      </c>
      <c r="C148" s="36"/>
      <c r="D148" s="76" t="str">
        <f t="shared" si="19"/>
        <v/>
      </c>
      <c r="E148" s="78"/>
      <c r="F148" s="8"/>
      <c r="G148" s="5">
        <v>11.3</v>
      </c>
      <c r="H148" s="3"/>
      <c r="I148" s="73" t="str">
        <f t="shared" si="20"/>
        <v/>
      </c>
      <c r="J148" s="75"/>
      <c r="K148" s="3"/>
      <c r="L148" s="5">
        <v>14.4</v>
      </c>
      <c r="M148" s="15"/>
      <c r="N148" s="79" t="str">
        <f t="shared" si="21"/>
        <v/>
      </c>
      <c r="O148" s="84"/>
      <c r="P148" s="15"/>
      <c r="Q148" s="5" t="s">
        <v>177</v>
      </c>
      <c r="R148" s="22" t="s">
        <v>177</v>
      </c>
      <c r="S148" s="22" t="s">
        <v>177</v>
      </c>
      <c r="T148" s="22" t="s">
        <v>177</v>
      </c>
      <c r="U148" s="22" t="s">
        <v>177</v>
      </c>
      <c r="V148" s="5" t="s">
        <v>177</v>
      </c>
      <c r="W148" s="22" t="s">
        <v>177</v>
      </c>
      <c r="X148" s="22" t="s">
        <v>177</v>
      </c>
      <c r="Y148" s="22" t="s">
        <v>177</v>
      </c>
      <c r="Z148" s="22" t="s">
        <v>177</v>
      </c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</row>
    <row r="149" spans="1:46" ht="21" customHeight="1" x14ac:dyDescent="0.2">
      <c r="A149" s="35" t="s">
        <v>103</v>
      </c>
      <c r="B149" s="5">
        <v>3.2</v>
      </c>
      <c r="C149" s="36"/>
      <c r="D149" s="76" t="str">
        <f t="shared" si="19"/>
        <v/>
      </c>
      <c r="E149" s="78"/>
      <c r="F149" s="8"/>
      <c r="G149" s="5">
        <v>9.6</v>
      </c>
      <c r="H149" s="3"/>
      <c r="I149" s="73" t="str">
        <f t="shared" si="20"/>
        <v/>
      </c>
      <c r="J149" s="75"/>
      <c r="K149" s="3"/>
      <c r="L149" s="5">
        <v>13.4</v>
      </c>
      <c r="M149" s="15"/>
      <c r="N149" s="79" t="str">
        <f t="shared" si="21"/>
        <v/>
      </c>
      <c r="O149" s="84"/>
      <c r="P149" s="15"/>
      <c r="Q149" s="5" t="s">
        <v>177</v>
      </c>
      <c r="R149" s="22" t="s">
        <v>177</v>
      </c>
      <c r="S149" s="22" t="s">
        <v>177</v>
      </c>
      <c r="T149" s="22" t="s">
        <v>177</v>
      </c>
      <c r="U149" s="22" t="s">
        <v>177</v>
      </c>
      <c r="V149" s="5" t="s">
        <v>177</v>
      </c>
      <c r="W149" s="22" t="s">
        <v>177</v>
      </c>
      <c r="X149" s="22" t="s">
        <v>177</v>
      </c>
      <c r="Y149" s="22" t="s">
        <v>177</v>
      </c>
      <c r="Z149" s="22" t="s">
        <v>177</v>
      </c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</row>
    <row r="150" spans="1:46" ht="21" customHeight="1" x14ac:dyDescent="0.2">
      <c r="A150" s="35" t="s">
        <v>102</v>
      </c>
      <c r="B150" s="5">
        <v>2.8</v>
      </c>
      <c r="C150" s="36"/>
      <c r="D150" s="76" t="str">
        <f t="shared" si="19"/>
        <v/>
      </c>
      <c r="E150" s="78"/>
      <c r="F150" s="8"/>
      <c r="G150" s="5">
        <v>7.7</v>
      </c>
      <c r="H150" s="3"/>
      <c r="I150" s="73" t="str">
        <f t="shared" si="20"/>
        <v/>
      </c>
      <c r="J150" s="75"/>
      <c r="K150" s="3"/>
      <c r="L150" s="5">
        <v>13.2</v>
      </c>
      <c r="M150" s="15"/>
      <c r="N150" s="79" t="str">
        <f t="shared" si="21"/>
        <v/>
      </c>
      <c r="O150" s="84"/>
      <c r="P150" s="15"/>
      <c r="Q150" s="5" t="s">
        <v>177</v>
      </c>
      <c r="R150" s="22" t="s">
        <v>177</v>
      </c>
      <c r="S150" s="22" t="s">
        <v>177</v>
      </c>
      <c r="T150" s="22" t="s">
        <v>177</v>
      </c>
      <c r="U150" s="22" t="s">
        <v>177</v>
      </c>
      <c r="V150" s="5" t="s">
        <v>177</v>
      </c>
      <c r="W150" s="22" t="s">
        <v>177</v>
      </c>
      <c r="X150" s="22" t="s">
        <v>177</v>
      </c>
      <c r="Y150" s="22" t="s">
        <v>177</v>
      </c>
      <c r="Z150" s="22" t="s">
        <v>177</v>
      </c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</row>
    <row r="151" spans="1:46" ht="21" customHeight="1" x14ac:dyDescent="0.2">
      <c r="A151" s="35" t="s">
        <v>141</v>
      </c>
      <c r="B151" s="5">
        <v>4.3</v>
      </c>
      <c r="C151" s="36"/>
      <c r="D151" s="76" t="str">
        <f t="shared" si="17"/>
        <v/>
      </c>
      <c r="E151" s="78"/>
      <c r="F151" s="8"/>
      <c r="G151" s="5">
        <v>11.4</v>
      </c>
      <c r="H151" s="3"/>
      <c r="I151" s="73" t="str">
        <f t="shared" ref="I151:I154" si="22">IF(H151="","",IF(AND(H151&gt;=960000,H151&lt;=999999),"V",IF(AND(H151&gt;=920000,H151&lt;=959999),"S",IF(AND(H151&gt;=880000,H151&lt;=919999),"A",IF(AND(H151&gt;=820000,H151&lt;=879999),"B",IF(AND(H151&gt;=700000,H151&lt;=819999),"C",IF(AND(H151&gt;=1,H151&lt;=699999),"F",IF(AND(H151=1000000),"φ",IF(AND(H151=0),"",H151)))))))))</f>
        <v/>
      </c>
      <c r="J151" s="75"/>
      <c r="K151" s="3"/>
      <c r="L151" s="5">
        <v>15.2</v>
      </c>
      <c r="M151" s="15"/>
      <c r="N151" s="79" t="str">
        <f t="shared" si="18"/>
        <v/>
      </c>
      <c r="O151" s="84"/>
      <c r="P151" s="15"/>
      <c r="Q151" s="5" t="s">
        <v>177</v>
      </c>
      <c r="R151" s="22" t="s">
        <v>177</v>
      </c>
      <c r="S151" s="22" t="s">
        <v>177</v>
      </c>
      <c r="T151" s="22" t="s">
        <v>177</v>
      </c>
      <c r="U151" s="22" t="s">
        <v>177</v>
      </c>
      <c r="V151" s="5" t="s">
        <v>177</v>
      </c>
      <c r="W151" s="22" t="s">
        <v>177</v>
      </c>
      <c r="X151" s="22" t="s">
        <v>177</v>
      </c>
      <c r="Y151" s="22" t="s">
        <v>177</v>
      </c>
      <c r="Z151" s="22" t="s">
        <v>177</v>
      </c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</row>
    <row r="152" spans="1:46" ht="21" customHeight="1" x14ac:dyDescent="0.2">
      <c r="A152" s="35" t="s">
        <v>143</v>
      </c>
      <c r="B152" s="5">
        <v>1.7</v>
      </c>
      <c r="C152" s="36"/>
      <c r="D152" s="76" t="str">
        <f>IF(C152="","",IF(AND(C152&gt;=960000,C152&lt;=999999),"V",IF(AND(C152&gt;=920000,C152&lt;=959999),"S",IF(AND(C152&gt;=880000,C152&lt;=919999),"A",IF(AND(C152&gt;=820000,C152&lt;=879999),"B",IF(AND(C152&gt;=700000,C152&lt;=819999),"C",IF(AND(C152&gt;=1,C152&lt;=699999),"F",IF(AND(C152=1000000),"φ",IF(AND(C152=0),"",C152)))))))))</f>
        <v/>
      </c>
      <c r="E152" s="78"/>
      <c r="F152" s="8"/>
      <c r="G152" s="5">
        <v>11.9</v>
      </c>
      <c r="H152" s="3"/>
      <c r="I152" s="73" t="str">
        <f>IF(H152="","",IF(AND(H152&gt;=960000,H152&lt;=999999),"V",IF(AND(H152&gt;=920000,H152&lt;=959999),"S",IF(AND(H152&gt;=880000,H152&lt;=919999),"A",IF(AND(H152&gt;=820000,H152&lt;=879999),"B",IF(AND(H152&gt;=700000,H152&lt;=819999),"C",IF(AND(H152&gt;=1,H152&lt;=699999),"F",IF(AND(H152=1000000),"φ",IF(AND(H152=0),"",H152)))))))))</f>
        <v/>
      </c>
      <c r="J152" s="75"/>
      <c r="K152" s="3"/>
      <c r="L152" s="5">
        <v>15.4</v>
      </c>
      <c r="M152" s="15"/>
      <c r="N152" s="79" t="str">
        <f>IF(M152="","",IF(AND(M152&gt;=960000,M152&lt;=999999),"V",IF(AND(M152&gt;=920000,M152&lt;=959999),"S",IF(AND(M152&gt;=880000,M152&lt;=919999),"A",IF(AND(M152&gt;=820000,M152&lt;=879999),"B",IF(AND(M152&gt;=700000,M152&lt;=819999),"C",IF(AND(M152&gt;=1,M152&lt;=699999),"F",IF(AND(M152=1000000),"φ",IF(AND(M152=0),"",M152)))))))))</f>
        <v/>
      </c>
      <c r="O152" s="84"/>
      <c r="P152" s="15"/>
      <c r="Q152" s="5" t="s">
        <v>177</v>
      </c>
      <c r="R152" s="22" t="s">
        <v>177</v>
      </c>
      <c r="S152" s="22" t="s">
        <v>177</v>
      </c>
      <c r="T152" s="22" t="s">
        <v>177</v>
      </c>
      <c r="U152" s="22" t="s">
        <v>177</v>
      </c>
      <c r="V152" s="5" t="s">
        <v>177</v>
      </c>
      <c r="W152" s="22" t="s">
        <v>177</v>
      </c>
      <c r="X152" s="22" t="s">
        <v>177</v>
      </c>
      <c r="Y152" s="22" t="s">
        <v>177</v>
      </c>
      <c r="Z152" s="22" t="s">
        <v>177</v>
      </c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</row>
    <row r="153" spans="1:46" ht="21" customHeight="1" x14ac:dyDescent="0.2">
      <c r="A153" s="35" t="s">
        <v>94</v>
      </c>
      <c r="B153" s="5">
        <v>5.5</v>
      </c>
      <c r="C153" s="36"/>
      <c r="D153" s="76" t="str">
        <f>IF(C153="","",IF(AND(C153&gt;=960000,C153&lt;=999999),"V",IF(AND(C153&gt;=920000,C153&lt;=959999),"S",IF(AND(C153&gt;=880000,C153&lt;=919999),"A",IF(AND(C153&gt;=820000,C153&lt;=879999),"B",IF(AND(C153&gt;=700000,C153&lt;=819999),"C",IF(AND(C153&gt;=1,C153&lt;=699999),"F",IF(AND(C153=1000000),"φ",IF(AND(C153=0),"",C153)))))))))</f>
        <v/>
      </c>
      <c r="E153" s="78"/>
      <c r="F153" s="8"/>
      <c r="G153" s="5">
        <v>9.6999999999999993</v>
      </c>
      <c r="H153" s="3"/>
      <c r="I153" s="73" t="str">
        <f>IF(H153="","",IF(AND(H153&gt;=960000,H153&lt;=999999),"V",IF(AND(H153&gt;=920000,H153&lt;=959999),"S",IF(AND(H153&gt;=880000,H153&lt;=919999),"A",IF(AND(H153&gt;=820000,H153&lt;=879999),"B",IF(AND(H153&gt;=700000,H153&lt;=819999),"C",IF(AND(H153&gt;=1,H153&lt;=699999),"F",IF(AND(H153=1000000),"φ",IF(AND(H153=0),"",H153)))))))))</f>
        <v/>
      </c>
      <c r="J153" s="75"/>
      <c r="K153" s="3"/>
      <c r="L153" s="5">
        <v>12.1</v>
      </c>
      <c r="M153" s="15"/>
      <c r="N153" s="79" t="str">
        <f>IF(M153="","",IF(AND(M153&gt;=960000,M153&lt;=999999),"V",IF(AND(M153&gt;=920000,M153&lt;=959999),"S",IF(AND(M153&gt;=880000,M153&lt;=919999),"A",IF(AND(M153&gt;=820000,M153&lt;=879999),"B",IF(AND(M153&gt;=700000,M153&lt;=819999),"C",IF(AND(M153&gt;=1,M153&lt;=699999),"F",IF(AND(M153=1000000),"φ",IF(AND(M153=0),"",M153)))))))))</f>
        <v/>
      </c>
      <c r="O153" s="84"/>
      <c r="P153" s="15"/>
      <c r="Q153" s="5" t="s">
        <v>177</v>
      </c>
      <c r="R153" s="22" t="s">
        <v>177</v>
      </c>
      <c r="S153" s="22" t="s">
        <v>177</v>
      </c>
      <c r="T153" s="22" t="s">
        <v>177</v>
      </c>
      <c r="U153" s="22" t="s">
        <v>177</v>
      </c>
      <c r="V153" s="5" t="s">
        <v>177</v>
      </c>
      <c r="W153" s="22" t="s">
        <v>177</v>
      </c>
      <c r="X153" s="22" t="s">
        <v>177</v>
      </c>
      <c r="Y153" s="22" t="s">
        <v>177</v>
      </c>
      <c r="Z153" s="22" t="s">
        <v>177</v>
      </c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</row>
    <row r="154" spans="1:46" ht="21" customHeight="1" x14ac:dyDescent="0.2">
      <c r="A154" s="35" t="s">
        <v>144</v>
      </c>
      <c r="B154" s="5">
        <v>5.7</v>
      </c>
      <c r="C154" s="36"/>
      <c r="D154" s="76" t="str">
        <f t="shared" si="17"/>
        <v/>
      </c>
      <c r="E154" s="78"/>
      <c r="F154" s="8"/>
      <c r="G154" s="5">
        <v>12.4</v>
      </c>
      <c r="H154" s="3"/>
      <c r="I154" s="73" t="str">
        <f t="shared" si="22"/>
        <v/>
      </c>
      <c r="J154" s="75"/>
      <c r="K154" s="3"/>
      <c r="L154" s="5">
        <v>15.4</v>
      </c>
      <c r="M154" s="15"/>
      <c r="N154" s="79" t="str">
        <f t="shared" si="18"/>
        <v/>
      </c>
      <c r="O154" s="84"/>
      <c r="P154" s="15"/>
      <c r="Q154" s="5" t="s">
        <v>177</v>
      </c>
      <c r="R154" s="22" t="s">
        <v>177</v>
      </c>
      <c r="S154" s="22" t="s">
        <v>177</v>
      </c>
      <c r="T154" s="22" t="s">
        <v>177</v>
      </c>
      <c r="U154" s="22" t="s">
        <v>177</v>
      </c>
      <c r="V154" s="5" t="s">
        <v>177</v>
      </c>
      <c r="W154" s="22" t="s">
        <v>177</v>
      </c>
      <c r="X154" s="22" t="s">
        <v>177</v>
      </c>
      <c r="Y154" s="22" t="s">
        <v>177</v>
      </c>
      <c r="Z154" s="22" t="s">
        <v>177</v>
      </c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</row>
    <row r="155" spans="1:46" ht="21" customHeight="1" x14ac:dyDescent="0.2">
      <c r="A155" s="35" t="s">
        <v>133</v>
      </c>
      <c r="B155" s="5">
        <v>3.6</v>
      </c>
      <c r="C155" s="36"/>
      <c r="D155" s="76" t="str">
        <f t="shared" ref="D155:D163" si="23">IF(C155="","",IF(AND(C155&gt;=960000,C155&lt;=999999),"V",IF(AND(C155&gt;=920000,C155&lt;=959999),"S",IF(AND(C155&gt;=880000,C155&lt;=919999),"A",IF(AND(C155&gt;=820000,C155&lt;=879999),"B",IF(AND(C155&gt;=700000,C155&lt;=819999),"C",IF(AND(C155&gt;=1,C155&lt;=699999),"F",IF(AND(C155=1000000),"φ",IF(AND(C155=0),"",C155)))))))))</f>
        <v/>
      </c>
      <c r="E155" s="78"/>
      <c r="F155" s="8"/>
      <c r="G155" s="5">
        <v>11.3</v>
      </c>
      <c r="H155" s="3"/>
      <c r="I155" s="73" t="str">
        <f t="shared" ref="I155:I163" si="24">IF(H155="","",IF(AND(H155&gt;=960000,H155&lt;=999999),"V",IF(AND(H155&gt;=920000,H155&lt;=959999),"S",IF(AND(H155&gt;=880000,H155&lt;=919999),"A",IF(AND(H155&gt;=820000,H155&lt;=879999),"B",IF(AND(H155&gt;=700000,H155&lt;=819999),"C",IF(AND(H155&gt;=1,H155&lt;=699999),"F",IF(AND(H155=1000000),"φ",IF(AND(H155=0),"",H155)))))))))</f>
        <v/>
      </c>
      <c r="J155" s="75"/>
      <c r="K155" s="3"/>
      <c r="L155" s="5">
        <v>14.7</v>
      </c>
      <c r="M155" s="15"/>
      <c r="N155" s="79" t="str">
        <f t="shared" ref="N155:N163" si="25">IF(M155="","",IF(AND(M155&gt;=960000,M155&lt;=999999),"V",IF(AND(M155&gt;=920000,M155&lt;=959999),"S",IF(AND(M155&gt;=880000,M155&lt;=919999),"A",IF(AND(M155&gt;=820000,M155&lt;=879999),"B",IF(AND(M155&gt;=700000,M155&lt;=819999),"C",IF(AND(M155&gt;=1,M155&lt;=699999),"F",IF(AND(M155=1000000),"φ",IF(AND(M155=0),"",M155)))))))))</f>
        <v/>
      </c>
      <c r="O155" s="84"/>
      <c r="P155" s="15"/>
      <c r="Q155" s="5" t="s">
        <v>177</v>
      </c>
      <c r="R155" s="22" t="s">
        <v>177</v>
      </c>
      <c r="S155" s="22" t="s">
        <v>177</v>
      </c>
      <c r="T155" s="22" t="s">
        <v>177</v>
      </c>
      <c r="U155" s="22" t="s">
        <v>177</v>
      </c>
      <c r="V155" s="5" t="s">
        <v>177</v>
      </c>
      <c r="W155" s="22" t="s">
        <v>177</v>
      </c>
      <c r="X155" s="22" t="s">
        <v>177</v>
      </c>
      <c r="Y155" s="22" t="s">
        <v>177</v>
      </c>
      <c r="Z155" s="22" t="s">
        <v>177</v>
      </c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</row>
    <row r="156" spans="1:46" ht="21" customHeight="1" x14ac:dyDescent="0.2">
      <c r="A156" s="35" t="s">
        <v>145</v>
      </c>
      <c r="B156" s="5">
        <v>4.0999999999999996</v>
      </c>
      <c r="C156" s="36"/>
      <c r="D156" s="76" t="str">
        <f t="shared" si="23"/>
        <v/>
      </c>
      <c r="E156" s="78"/>
      <c r="F156" s="8"/>
      <c r="G156" s="5">
        <v>10.199999999999999</v>
      </c>
      <c r="H156" s="3"/>
      <c r="I156" s="73" t="str">
        <f t="shared" si="24"/>
        <v/>
      </c>
      <c r="J156" s="75"/>
      <c r="K156" s="3"/>
      <c r="L156" s="5">
        <v>15.5</v>
      </c>
      <c r="M156" s="15"/>
      <c r="N156" s="79" t="str">
        <f t="shared" si="25"/>
        <v/>
      </c>
      <c r="O156" s="84"/>
      <c r="P156" s="15"/>
      <c r="Q156" s="5" t="s">
        <v>177</v>
      </c>
      <c r="R156" s="22" t="s">
        <v>177</v>
      </c>
      <c r="S156" s="22" t="s">
        <v>177</v>
      </c>
      <c r="T156" s="22" t="s">
        <v>177</v>
      </c>
      <c r="U156" s="22" t="s">
        <v>177</v>
      </c>
      <c r="V156" s="5" t="s">
        <v>177</v>
      </c>
      <c r="W156" s="22" t="s">
        <v>177</v>
      </c>
      <c r="X156" s="22" t="s">
        <v>177</v>
      </c>
      <c r="Y156" s="22" t="s">
        <v>177</v>
      </c>
      <c r="Z156" s="22" t="s">
        <v>177</v>
      </c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</row>
    <row r="157" spans="1:46" ht="21" customHeight="1" x14ac:dyDescent="0.2">
      <c r="A157" s="28" t="s">
        <v>126</v>
      </c>
      <c r="B157" s="5">
        <v>4.3</v>
      </c>
      <c r="C157" s="36"/>
      <c r="D157" s="76" t="str">
        <f t="shared" si="23"/>
        <v/>
      </c>
      <c r="E157" s="78"/>
      <c r="F157" s="8"/>
      <c r="G157" s="5" t="s">
        <v>165</v>
      </c>
      <c r="H157" s="3"/>
      <c r="I157" s="73" t="str">
        <f t="shared" si="24"/>
        <v/>
      </c>
      <c r="J157" s="75"/>
      <c r="K157" s="3"/>
      <c r="L157" s="5">
        <v>14.5</v>
      </c>
      <c r="M157" s="15"/>
      <c r="N157" s="79" t="str">
        <f t="shared" si="25"/>
        <v/>
      </c>
      <c r="O157" s="84"/>
      <c r="P157" s="15"/>
      <c r="Q157" s="5" t="s">
        <v>177</v>
      </c>
      <c r="R157" s="22" t="s">
        <v>177</v>
      </c>
      <c r="S157" s="22" t="s">
        <v>177</v>
      </c>
      <c r="T157" s="22" t="s">
        <v>177</v>
      </c>
      <c r="U157" s="22" t="s">
        <v>177</v>
      </c>
      <c r="V157" s="5" t="s">
        <v>177</v>
      </c>
      <c r="W157" s="22" t="s">
        <v>177</v>
      </c>
      <c r="X157" s="22" t="s">
        <v>177</v>
      </c>
      <c r="Y157" s="22" t="s">
        <v>177</v>
      </c>
      <c r="Z157" s="22" t="s">
        <v>177</v>
      </c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</row>
    <row r="158" spans="1:46" ht="21" customHeight="1" x14ac:dyDescent="0.2">
      <c r="A158" s="35" t="s">
        <v>149</v>
      </c>
      <c r="B158" s="5">
        <v>5.2</v>
      </c>
      <c r="C158" s="36"/>
      <c r="D158" s="76" t="str">
        <f t="shared" si="23"/>
        <v/>
      </c>
      <c r="E158" s="78"/>
      <c r="F158" s="8"/>
      <c r="G158" s="5">
        <v>9.8000000000000007</v>
      </c>
      <c r="H158" s="3"/>
      <c r="I158" s="73" t="str">
        <f t="shared" si="24"/>
        <v/>
      </c>
      <c r="J158" s="75"/>
      <c r="K158" s="3"/>
      <c r="L158" s="5">
        <v>13.2</v>
      </c>
      <c r="M158" s="15"/>
      <c r="N158" s="79" t="str">
        <f t="shared" si="25"/>
        <v/>
      </c>
      <c r="O158" s="84"/>
      <c r="P158" s="15"/>
      <c r="Q158" s="5" t="s">
        <v>177</v>
      </c>
      <c r="R158" s="22" t="s">
        <v>177</v>
      </c>
      <c r="S158" s="22" t="s">
        <v>177</v>
      </c>
      <c r="T158" s="22" t="s">
        <v>177</v>
      </c>
      <c r="U158" s="22" t="s">
        <v>177</v>
      </c>
      <c r="V158" s="5" t="s">
        <v>177</v>
      </c>
      <c r="W158" s="22" t="s">
        <v>177</v>
      </c>
      <c r="X158" s="22" t="s">
        <v>177</v>
      </c>
      <c r="Y158" s="22" t="s">
        <v>177</v>
      </c>
      <c r="Z158" s="22" t="s">
        <v>177</v>
      </c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</row>
    <row r="159" spans="1:46" ht="21" customHeight="1" x14ac:dyDescent="0.2">
      <c r="A159" s="35" t="s">
        <v>150</v>
      </c>
      <c r="B159" s="5">
        <v>3.2</v>
      </c>
      <c r="C159" s="36"/>
      <c r="D159" s="76" t="str">
        <f t="shared" si="23"/>
        <v/>
      </c>
      <c r="E159" s="78"/>
      <c r="F159" s="8"/>
      <c r="G159" s="5">
        <v>7.6</v>
      </c>
      <c r="H159" s="3"/>
      <c r="I159" s="73" t="str">
        <f t="shared" si="24"/>
        <v/>
      </c>
      <c r="J159" s="75"/>
      <c r="K159" s="3"/>
      <c r="L159" s="5">
        <v>13.3</v>
      </c>
      <c r="M159" s="15"/>
      <c r="N159" s="79" t="str">
        <f t="shared" si="25"/>
        <v/>
      </c>
      <c r="O159" s="84"/>
      <c r="P159" s="15"/>
      <c r="Q159" s="5" t="s">
        <v>177</v>
      </c>
      <c r="R159" s="22" t="s">
        <v>177</v>
      </c>
      <c r="S159" s="22" t="s">
        <v>177</v>
      </c>
      <c r="T159" s="22" t="s">
        <v>177</v>
      </c>
      <c r="U159" s="22" t="s">
        <v>177</v>
      </c>
      <c r="V159" s="5" t="s">
        <v>177</v>
      </c>
      <c r="W159" s="22" t="s">
        <v>177</v>
      </c>
      <c r="X159" s="22" t="s">
        <v>177</v>
      </c>
      <c r="Y159" s="22" t="s">
        <v>177</v>
      </c>
      <c r="Z159" s="22" t="s">
        <v>177</v>
      </c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</row>
    <row r="160" spans="1:46" ht="21" customHeight="1" x14ac:dyDescent="0.2">
      <c r="A160" s="35">
        <v>996</v>
      </c>
      <c r="B160" s="5">
        <v>3.8</v>
      </c>
      <c r="C160" s="36"/>
      <c r="D160" s="76" t="str">
        <f t="shared" si="23"/>
        <v/>
      </c>
      <c r="E160" s="78"/>
      <c r="F160" s="8"/>
      <c r="G160" s="5">
        <v>8.3000000000000007</v>
      </c>
      <c r="H160" s="3"/>
      <c r="I160" s="73" t="str">
        <f t="shared" si="24"/>
        <v/>
      </c>
      <c r="J160" s="75"/>
      <c r="K160" s="3"/>
      <c r="L160" s="5">
        <v>14.5</v>
      </c>
      <c r="M160" s="15"/>
      <c r="N160" s="79" t="str">
        <f t="shared" si="25"/>
        <v/>
      </c>
      <c r="O160" s="84"/>
      <c r="P160" s="15"/>
      <c r="Q160" s="5" t="s">
        <v>177</v>
      </c>
      <c r="R160" s="22" t="s">
        <v>177</v>
      </c>
      <c r="S160" s="22" t="s">
        <v>177</v>
      </c>
      <c r="T160" s="22" t="s">
        <v>177</v>
      </c>
      <c r="U160" s="22" t="s">
        <v>177</v>
      </c>
      <c r="V160" s="5" t="s">
        <v>177</v>
      </c>
      <c r="W160" s="22" t="s">
        <v>177</v>
      </c>
      <c r="X160" s="22" t="s">
        <v>177</v>
      </c>
      <c r="Y160" s="22" t="s">
        <v>177</v>
      </c>
      <c r="Z160" s="22" t="s">
        <v>177</v>
      </c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</row>
    <row r="161" spans="1:46" ht="21" customHeight="1" x14ac:dyDescent="0.2">
      <c r="A161" s="35" t="s">
        <v>151</v>
      </c>
      <c r="B161" s="5">
        <v>5.3</v>
      </c>
      <c r="C161" s="36"/>
      <c r="D161" s="76" t="str">
        <f t="shared" si="23"/>
        <v/>
      </c>
      <c r="E161" s="78"/>
      <c r="F161" s="8"/>
      <c r="G161" s="5">
        <v>11.7</v>
      </c>
      <c r="H161" s="3"/>
      <c r="I161" s="73" t="str">
        <f t="shared" si="24"/>
        <v/>
      </c>
      <c r="J161" s="75"/>
      <c r="K161" s="3"/>
      <c r="L161" s="5">
        <v>14.6</v>
      </c>
      <c r="M161" s="15"/>
      <c r="N161" s="79" t="str">
        <f t="shared" si="25"/>
        <v/>
      </c>
      <c r="O161" s="84"/>
      <c r="P161" s="15"/>
      <c r="Q161" s="5" t="s">
        <v>177</v>
      </c>
      <c r="R161" s="22" t="s">
        <v>177</v>
      </c>
      <c r="S161" s="22" t="s">
        <v>177</v>
      </c>
      <c r="T161" s="22" t="s">
        <v>177</v>
      </c>
      <c r="U161" s="22" t="s">
        <v>177</v>
      </c>
      <c r="V161" s="5" t="s">
        <v>177</v>
      </c>
      <c r="W161" s="22" t="s">
        <v>177</v>
      </c>
      <c r="X161" s="22" t="s">
        <v>177</v>
      </c>
      <c r="Y161" s="22" t="s">
        <v>177</v>
      </c>
      <c r="Z161" s="22" t="s">
        <v>177</v>
      </c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</row>
    <row r="162" spans="1:46" ht="21" customHeight="1" x14ac:dyDescent="0.2">
      <c r="A162" s="35" t="s">
        <v>152</v>
      </c>
      <c r="B162" s="5">
        <v>5.9</v>
      </c>
      <c r="C162" s="36"/>
      <c r="D162" s="76" t="str">
        <f t="shared" si="23"/>
        <v/>
      </c>
      <c r="E162" s="78"/>
      <c r="F162" s="8"/>
      <c r="G162" s="5">
        <v>9.3000000000000007</v>
      </c>
      <c r="H162" s="3"/>
      <c r="I162" s="73" t="str">
        <f t="shared" si="24"/>
        <v/>
      </c>
      <c r="J162" s="75"/>
      <c r="K162" s="3"/>
      <c r="L162" s="5">
        <v>14.4</v>
      </c>
      <c r="M162" s="15"/>
      <c r="N162" s="79" t="str">
        <f t="shared" si="25"/>
        <v/>
      </c>
      <c r="O162" s="84"/>
      <c r="P162" s="15"/>
      <c r="Q162" s="5" t="s">
        <v>177</v>
      </c>
      <c r="R162" s="22" t="s">
        <v>177</v>
      </c>
      <c r="S162" s="22" t="s">
        <v>177</v>
      </c>
      <c r="T162" s="22" t="s">
        <v>177</v>
      </c>
      <c r="U162" s="22" t="s">
        <v>177</v>
      </c>
      <c r="V162" s="5" t="s">
        <v>177</v>
      </c>
      <c r="W162" s="22" t="s">
        <v>177</v>
      </c>
      <c r="X162" s="22" t="s">
        <v>177</v>
      </c>
      <c r="Y162" s="22" t="s">
        <v>177</v>
      </c>
      <c r="Z162" s="22" t="s">
        <v>177</v>
      </c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</row>
    <row r="163" spans="1:46" ht="21" customHeight="1" x14ac:dyDescent="0.2">
      <c r="A163" s="35" t="s">
        <v>153</v>
      </c>
      <c r="B163" s="5">
        <v>4.8</v>
      </c>
      <c r="C163" s="36"/>
      <c r="D163" s="76" t="str">
        <f t="shared" si="23"/>
        <v/>
      </c>
      <c r="E163" s="78"/>
      <c r="F163" s="8"/>
      <c r="G163" s="5">
        <v>8.6</v>
      </c>
      <c r="H163" s="3"/>
      <c r="I163" s="73" t="str">
        <f t="shared" si="24"/>
        <v/>
      </c>
      <c r="J163" s="75"/>
      <c r="K163" s="3"/>
      <c r="L163" s="5">
        <v>14.7</v>
      </c>
      <c r="M163" s="15"/>
      <c r="N163" s="79" t="str">
        <f t="shared" si="25"/>
        <v/>
      </c>
      <c r="O163" s="84"/>
      <c r="P163" s="15"/>
      <c r="Q163" s="5" t="s">
        <v>177</v>
      </c>
      <c r="R163" s="22" t="s">
        <v>177</v>
      </c>
      <c r="S163" s="22" t="s">
        <v>177</v>
      </c>
      <c r="T163" s="22" t="s">
        <v>177</v>
      </c>
      <c r="U163" s="22" t="s">
        <v>177</v>
      </c>
      <c r="V163" s="5" t="s">
        <v>177</v>
      </c>
      <c r="W163" s="22" t="s">
        <v>177</v>
      </c>
      <c r="X163" s="22" t="s">
        <v>177</v>
      </c>
      <c r="Y163" s="22" t="s">
        <v>177</v>
      </c>
      <c r="Z163" s="22" t="s">
        <v>177</v>
      </c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</row>
    <row r="164" spans="1:46" ht="21" customHeight="1" x14ac:dyDescent="0.2">
      <c r="A164" s="35" t="s">
        <v>255</v>
      </c>
      <c r="B164" s="5">
        <v>2.6</v>
      </c>
      <c r="C164" s="36"/>
      <c r="D164" s="76"/>
      <c r="E164" s="78"/>
      <c r="F164" s="8"/>
      <c r="G164" s="5">
        <v>9.5</v>
      </c>
      <c r="H164" s="3"/>
      <c r="I164" s="73"/>
      <c r="J164" s="75"/>
      <c r="K164" s="3"/>
      <c r="L164" s="5">
        <v>13.5</v>
      </c>
      <c r="M164" s="15"/>
      <c r="N164" s="79"/>
      <c r="O164" s="84"/>
      <c r="P164" s="15"/>
      <c r="Q164" s="5" t="s">
        <v>177</v>
      </c>
      <c r="R164" s="22" t="s">
        <v>177</v>
      </c>
      <c r="S164" s="22" t="s">
        <v>177</v>
      </c>
      <c r="T164" s="22" t="s">
        <v>177</v>
      </c>
      <c r="U164" s="22" t="s">
        <v>177</v>
      </c>
      <c r="V164" s="5" t="s">
        <v>177</v>
      </c>
      <c r="W164" s="22" t="s">
        <v>177</v>
      </c>
      <c r="X164" s="22" t="s">
        <v>177</v>
      </c>
      <c r="Y164" s="22" t="s">
        <v>177</v>
      </c>
      <c r="Z164" s="22" t="s">
        <v>177</v>
      </c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</row>
    <row r="165" spans="1:46" ht="21" customHeight="1" x14ac:dyDescent="0.2">
      <c r="A165" s="35" t="s">
        <v>256</v>
      </c>
      <c r="B165" s="5">
        <v>5.4</v>
      </c>
      <c r="C165" s="36"/>
      <c r="D165" s="76"/>
      <c r="E165" s="78"/>
      <c r="F165" s="8"/>
      <c r="G165" s="5">
        <v>11.6</v>
      </c>
      <c r="H165" s="3"/>
      <c r="I165" s="73"/>
      <c r="J165" s="75"/>
      <c r="K165" s="3"/>
      <c r="L165" s="5">
        <v>15.5</v>
      </c>
      <c r="M165" s="15"/>
      <c r="N165" s="79"/>
      <c r="O165" s="84"/>
      <c r="P165" s="15"/>
      <c r="Q165" s="5" t="s">
        <v>177</v>
      </c>
      <c r="R165" s="22" t="s">
        <v>177</v>
      </c>
      <c r="S165" s="22" t="s">
        <v>177</v>
      </c>
      <c r="T165" s="22" t="s">
        <v>177</v>
      </c>
      <c r="U165" s="22" t="s">
        <v>177</v>
      </c>
      <c r="V165" s="5" t="s">
        <v>177</v>
      </c>
      <c r="W165" s="22" t="s">
        <v>177</v>
      </c>
      <c r="X165" s="22" t="s">
        <v>177</v>
      </c>
      <c r="Y165" s="22" t="s">
        <v>177</v>
      </c>
      <c r="Z165" s="22" t="s">
        <v>177</v>
      </c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</row>
    <row r="166" spans="1:46" ht="18" customHeight="1" x14ac:dyDescent="0.2">
      <c r="A166" s="121" t="s">
        <v>155</v>
      </c>
      <c r="B166" s="122"/>
      <c r="C166" s="122"/>
      <c r="D166" s="122"/>
      <c r="E166" s="122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7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</row>
    <row r="167" spans="1:46" ht="18" customHeight="1" x14ac:dyDescent="0.2">
      <c r="A167" s="124" t="s">
        <v>163</v>
      </c>
      <c r="B167" s="125"/>
      <c r="C167" s="125"/>
      <c r="D167" s="125"/>
      <c r="E167" s="125"/>
      <c r="F167" s="126"/>
      <c r="G167" s="141" t="s">
        <v>166</v>
      </c>
      <c r="H167" s="142"/>
      <c r="I167" s="124" t="s">
        <v>162</v>
      </c>
      <c r="J167" s="125"/>
      <c r="K167" s="125"/>
      <c r="L167" s="125"/>
      <c r="M167" s="125"/>
      <c r="N167" s="125"/>
      <c r="O167" s="125"/>
      <c r="P167" s="125"/>
      <c r="Q167" s="126"/>
      <c r="R167" s="124" t="s">
        <v>76</v>
      </c>
      <c r="S167" s="125"/>
      <c r="T167" s="125"/>
      <c r="U167" s="125"/>
      <c r="V167" s="125"/>
      <c r="W167" s="125"/>
      <c r="X167" s="125"/>
      <c r="Y167" s="125"/>
      <c r="Z167" s="67" t="s">
        <v>222</v>
      </c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</row>
    <row r="168" spans="1:46" ht="21" customHeight="1" x14ac:dyDescent="0.2">
      <c r="A168" s="138" t="s">
        <v>157</v>
      </c>
      <c r="B168" s="139"/>
      <c r="C168" s="139"/>
      <c r="D168" s="139"/>
      <c r="E168" s="139"/>
      <c r="F168" s="140"/>
      <c r="G168" s="128" t="s">
        <v>181</v>
      </c>
      <c r="H168" s="129"/>
      <c r="I168" s="128">
        <v>177</v>
      </c>
      <c r="J168" s="143"/>
      <c r="K168" s="143"/>
      <c r="L168" s="143"/>
      <c r="M168" s="143"/>
      <c r="N168" s="143"/>
      <c r="O168" s="143"/>
      <c r="P168" s="143"/>
      <c r="Q168" s="129"/>
      <c r="R168" s="130"/>
      <c r="S168" s="131"/>
      <c r="T168" s="131"/>
      <c r="U168" s="131"/>
      <c r="V168" s="131"/>
      <c r="W168" s="131"/>
      <c r="X168" s="131"/>
      <c r="Y168" s="131"/>
      <c r="Z168" s="68" t="str">
        <f>IF(R168="","",IF(AND(R168&gt;1000000),"写错辣!",""))</f>
        <v/>
      </c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</row>
    <row r="169" spans="1:46" ht="21" customHeight="1" x14ac:dyDescent="0.2">
      <c r="A169" s="138" t="s">
        <v>156</v>
      </c>
      <c r="B169" s="139"/>
      <c r="C169" s="139"/>
      <c r="D169" s="139"/>
      <c r="E169" s="139"/>
      <c r="F169" s="140"/>
      <c r="G169" s="128" t="s">
        <v>224</v>
      </c>
      <c r="H169" s="129"/>
      <c r="I169" s="128">
        <v>924</v>
      </c>
      <c r="J169" s="143"/>
      <c r="K169" s="143"/>
      <c r="L169" s="143"/>
      <c r="M169" s="143"/>
      <c r="N169" s="143"/>
      <c r="O169" s="143"/>
      <c r="P169" s="143"/>
      <c r="Q169" s="129"/>
      <c r="R169" s="130"/>
      <c r="S169" s="131"/>
      <c r="T169" s="131"/>
      <c r="U169" s="131"/>
      <c r="V169" s="131"/>
      <c r="W169" s="131"/>
      <c r="X169" s="131"/>
      <c r="Y169" s="131"/>
      <c r="Z169" s="68" t="str">
        <f>IF(R169="","",IF(AND(R169=1000000),"趣，椰叶",IF(AND(R169&gt;1000000),"写错辣!",IF(AND(R169&gt;950000,R169&lt;=999999),"好厉害!",""))))</f>
        <v/>
      </c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</row>
    <row r="170" spans="1:46" ht="21" customHeight="1" x14ac:dyDescent="0.2">
      <c r="A170" s="138" t="s">
        <v>93</v>
      </c>
      <c r="B170" s="139"/>
      <c r="C170" s="139"/>
      <c r="D170" s="139"/>
      <c r="E170" s="139"/>
      <c r="F170" s="140"/>
      <c r="G170" s="128" t="s">
        <v>168</v>
      </c>
      <c r="H170" s="129"/>
      <c r="I170" s="128">
        <v>720</v>
      </c>
      <c r="J170" s="143"/>
      <c r="K170" s="143"/>
      <c r="L170" s="143"/>
      <c r="M170" s="143"/>
      <c r="N170" s="143"/>
      <c r="O170" s="143"/>
      <c r="P170" s="143"/>
      <c r="Q170" s="129"/>
      <c r="R170" s="130"/>
      <c r="S170" s="131"/>
      <c r="T170" s="131"/>
      <c r="U170" s="131"/>
      <c r="V170" s="131"/>
      <c r="W170" s="131"/>
      <c r="X170" s="131"/>
      <c r="Y170" s="131"/>
      <c r="Z170" s="68" t="str">
        <f>IF(R170="","",IF(AND(R170&gt;1000000),"写错辣!",""))</f>
        <v/>
      </c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</row>
    <row r="171" spans="1:46" ht="21" customHeight="1" x14ac:dyDescent="0.2">
      <c r="A171" s="138" t="s">
        <v>158</v>
      </c>
      <c r="B171" s="139"/>
      <c r="C171" s="139"/>
      <c r="D171" s="139"/>
      <c r="E171" s="139"/>
      <c r="F171" s="140"/>
      <c r="G171" s="128" t="s">
        <v>168</v>
      </c>
      <c r="H171" s="129"/>
      <c r="I171" s="128">
        <v>1515</v>
      </c>
      <c r="J171" s="143"/>
      <c r="K171" s="143"/>
      <c r="L171" s="143"/>
      <c r="M171" s="143"/>
      <c r="N171" s="143"/>
      <c r="O171" s="143"/>
      <c r="P171" s="143"/>
      <c r="Q171" s="129"/>
      <c r="R171" s="130"/>
      <c r="S171" s="131"/>
      <c r="T171" s="131"/>
      <c r="U171" s="131"/>
      <c r="V171" s="131"/>
      <c r="W171" s="131"/>
      <c r="X171" s="131"/>
      <c r="Y171" s="131"/>
      <c r="Z171" s="68" t="str">
        <f t="shared" ref="Z171:Z178" si="26">IF(R171="","",IF(AND(R171=1000000),"趣，椰叶",IF(AND(R171&gt;1000000),"写错辣!",IF(AND(R171&gt;950000,R171&lt;=999999),"好厉害!",""))))</f>
        <v/>
      </c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</row>
    <row r="172" spans="1:46" ht="21" customHeight="1" x14ac:dyDescent="0.2">
      <c r="A172" s="138" t="s">
        <v>97</v>
      </c>
      <c r="B172" s="139"/>
      <c r="C172" s="139"/>
      <c r="D172" s="139"/>
      <c r="E172" s="139"/>
      <c r="F172" s="140"/>
      <c r="G172" s="128" t="s">
        <v>168</v>
      </c>
      <c r="H172" s="129"/>
      <c r="I172" s="128">
        <v>416</v>
      </c>
      <c r="J172" s="143"/>
      <c r="K172" s="143"/>
      <c r="L172" s="143"/>
      <c r="M172" s="143"/>
      <c r="N172" s="143"/>
      <c r="O172" s="143"/>
      <c r="P172" s="143"/>
      <c r="Q172" s="129"/>
      <c r="R172" s="130"/>
      <c r="S172" s="131"/>
      <c r="T172" s="131"/>
      <c r="U172" s="131"/>
      <c r="V172" s="131"/>
      <c r="W172" s="131"/>
      <c r="X172" s="131"/>
      <c r="Y172" s="131"/>
      <c r="Z172" s="68" t="str">
        <f t="shared" si="26"/>
        <v/>
      </c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</row>
    <row r="173" spans="1:46" ht="21" customHeight="1" x14ac:dyDescent="0.2">
      <c r="A173" s="138" t="s">
        <v>105</v>
      </c>
      <c r="B173" s="139"/>
      <c r="C173" s="139"/>
      <c r="D173" s="139"/>
      <c r="E173" s="139"/>
      <c r="F173" s="140"/>
      <c r="G173" s="128" t="s">
        <v>170</v>
      </c>
      <c r="H173" s="129"/>
      <c r="I173" s="128">
        <v>564</v>
      </c>
      <c r="J173" s="143"/>
      <c r="K173" s="143"/>
      <c r="L173" s="143"/>
      <c r="M173" s="143"/>
      <c r="N173" s="143"/>
      <c r="O173" s="143"/>
      <c r="P173" s="143"/>
      <c r="Q173" s="129"/>
      <c r="R173" s="130"/>
      <c r="S173" s="131"/>
      <c r="T173" s="131"/>
      <c r="U173" s="131"/>
      <c r="V173" s="131"/>
      <c r="W173" s="131"/>
      <c r="X173" s="131"/>
      <c r="Y173" s="131"/>
      <c r="Z173" s="68" t="str">
        <f t="shared" si="26"/>
        <v/>
      </c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</row>
    <row r="174" spans="1:46" ht="21" customHeight="1" x14ac:dyDescent="0.2">
      <c r="A174" s="138" t="s">
        <v>159</v>
      </c>
      <c r="B174" s="139"/>
      <c r="C174" s="139"/>
      <c r="D174" s="139"/>
      <c r="E174" s="139"/>
      <c r="F174" s="140"/>
      <c r="G174" s="128" t="s">
        <v>171</v>
      </c>
      <c r="H174" s="129"/>
      <c r="I174" s="128">
        <v>2500</v>
      </c>
      <c r="J174" s="143"/>
      <c r="K174" s="143"/>
      <c r="L174" s="143"/>
      <c r="M174" s="143"/>
      <c r="N174" s="143"/>
      <c r="O174" s="143"/>
      <c r="P174" s="143"/>
      <c r="Q174" s="129"/>
      <c r="R174" s="130"/>
      <c r="S174" s="131"/>
      <c r="T174" s="131"/>
      <c r="U174" s="131"/>
      <c r="V174" s="131"/>
      <c r="W174" s="131"/>
      <c r="X174" s="131"/>
      <c r="Y174" s="131"/>
      <c r="Z174" s="68" t="str">
        <f t="shared" si="26"/>
        <v/>
      </c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</row>
    <row r="175" spans="1:46" ht="21" customHeight="1" x14ac:dyDescent="0.2">
      <c r="A175" s="138" t="s">
        <v>101</v>
      </c>
      <c r="B175" s="139"/>
      <c r="C175" s="139"/>
      <c r="D175" s="139"/>
      <c r="E175" s="139"/>
      <c r="F175" s="140"/>
      <c r="G175" s="128" t="s">
        <v>169</v>
      </c>
      <c r="H175" s="129"/>
      <c r="I175" s="128">
        <v>906</v>
      </c>
      <c r="J175" s="143"/>
      <c r="K175" s="143"/>
      <c r="L175" s="143"/>
      <c r="M175" s="143"/>
      <c r="N175" s="143"/>
      <c r="O175" s="143"/>
      <c r="P175" s="143"/>
      <c r="Q175" s="129"/>
      <c r="R175" s="130"/>
      <c r="S175" s="131"/>
      <c r="T175" s="131"/>
      <c r="U175" s="131"/>
      <c r="V175" s="131"/>
      <c r="W175" s="131"/>
      <c r="X175" s="131"/>
      <c r="Y175" s="131"/>
      <c r="Z175" s="68" t="str">
        <f t="shared" si="26"/>
        <v/>
      </c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</row>
    <row r="176" spans="1:46" ht="21" customHeight="1" x14ac:dyDescent="0.2">
      <c r="A176" s="138" t="s">
        <v>88</v>
      </c>
      <c r="B176" s="139"/>
      <c r="C176" s="139"/>
      <c r="D176" s="139"/>
      <c r="E176" s="139"/>
      <c r="F176" s="140"/>
      <c r="G176" s="128" t="s">
        <v>167</v>
      </c>
      <c r="H176" s="129"/>
      <c r="I176" s="128">
        <v>541</v>
      </c>
      <c r="J176" s="143"/>
      <c r="K176" s="143"/>
      <c r="L176" s="143"/>
      <c r="M176" s="143"/>
      <c r="N176" s="143"/>
      <c r="O176" s="143"/>
      <c r="P176" s="143"/>
      <c r="Q176" s="129"/>
      <c r="R176" s="130"/>
      <c r="S176" s="131"/>
      <c r="T176" s="131"/>
      <c r="U176" s="131"/>
      <c r="V176" s="131"/>
      <c r="W176" s="131"/>
      <c r="X176" s="131"/>
      <c r="Y176" s="131"/>
      <c r="Z176" s="68" t="str">
        <f t="shared" si="26"/>
        <v/>
      </c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</row>
    <row r="177" spans="1:46" ht="21" customHeight="1" x14ac:dyDescent="0.2">
      <c r="A177" s="138" t="s">
        <v>160</v>
      </c>
      <c r="B177" s="139"/>
      <c r="C177" s="139"/>
      <c r="D177" s="139"/>
      <c r="E177" s="139"/>
      <c r="F177" s="140"/>
      <c r="G177" s="128" t="s">
        <v>167</v>
      </c>
      <c r="H177" s="129"/>
      <c r="I177" s="128">
        <v>1152</v>
      </c>
      <c r="J177" s="143"/>
      <c r="K177" s="143"/>
      <c r="L177" s="143"/>
      <c r="M177" s="143"/>
      <c r="N177" s="143"/>
      <c r="O177" s="143"/>
      <c r="P177" s="143"/>
      <c r="Q177" s="129"/>
      <c r="R177" s="130"/>
      <c r="S177" s="131"/>
      <c r="T177" s="131"/>
      <c r="U177" s="131"/>
      <c r="V177" s="131"/>
      <c r="W177" s="131"/>
      <c r="X177" s="131"/>
      <c r="Y177" s="131"/>
      <c r="Z177" s="68" t="str">
        <f t="shared" si="26"/>
        <v/>
      </c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</row>
    <row r="178" spans="1:46" ht="21" customHeight="1" x14ac:dyDescent="0.2">
      <c r="A178" s="138" t="s">
        <v>161</v>
      </c>
      <c r="B178" s="139"/>
      <c r="C178" s="139"/>
      <c r="D178" s="139"/>
      <c r="E178" s="139"/>
      <c r="F178" s="140"/>
      <c r="G178" s="128" t="s">
        <v>167</v>
      </c>
      <c r="H178" s="129"/>
      <c r="I178" s="128">
        <v>4000</v>
      </c>
      <c r="J178" s="143"/>
      <c r="K178" s="143"/>
      <c r="L178" s="143"/>
      <c r="M178" s="143"/>
      <c r="N178" s="143"/>
      <c r="O178" s="143"/>
      <c r="P178" s="143"/>
      <c r="Q178" s="129"/>
      <c r="R178" s="130"/>
      <c r="S178" s="131"/>
      <c r="T178" s="131"/>
      <c r="U178" s="131"/>
      <c r="V178" s="131"/>
      <c r="W178" s="131"/>
      <c r="X178" s="131"/>
      <c r="Y178" s="131"/>
      <c r="Z178" s="68" t="str">
        <f t="shared" si="26"/>
        <v/>
      </c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</row>
    <row r="179" spans="1:46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</row>
    <row r="180" spans="1:46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</row>
    <row r="181" spans="1:46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</row>
    <row r="182" spans="1:46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</row>
    <row r="183" spans="1:46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</row>
    <row r="184" spans="1:46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</row>
    <row r="185" spans="1:46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</row>
    <row r="186" spans="1:46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</row>
    <row r="187" spans="1:46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</row>
    <row r="188" spans="1:46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</row>
    <row r="189" spans="1:46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</row>
    <row r="190" spans="1:46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</row>
    <row r="191" spans="1:46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</row>
    <row r="192" spans="1:46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</row>
    <row r="193" spans="1:46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</row>
    <row r="194" spans="1:46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</row>
    <row r="195" spans="1:46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</row>
    <row r="196" spans="1:46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</row>
    <row r="197" spans="1:46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</row>
    <row r="198" spans="1:46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</row>
    <row r="199" spans="1:46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</row>
    <row r="200" spans="1:46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</row>
    <row r="201" spans="1:46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</row>
    <row r="202" spans="1:46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</row>
    <row r="203" spans="1:46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</row>
    <row r="204" spans="1:46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</row>
    <row r="205" spans="1:46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</row>
    <row r="206" spans="1:46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</row>
    <row r="207" spans="1:46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</row>
    <row r="208" spans="1:46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</row>
    <row r="209" spans="1:46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</row>
    <row r="210" spans="1:46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</row>
    <row r="211" spans="1:46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</row>
    <row r="212" spans="1:46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</row>
    <row r="213" spans="1:46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</row>
    <row r="214" spans="1:46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</row>
    <row r="215" spans="1:46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</row>
    <row r="216" spans="1:46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</row>
    <row r="217" spans="1:46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</row>
    <row r="218" spans="1:46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</row>
    <row r="219" spans="1:46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</row>
    <row r="220" spans="1:46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</row>
    <row r="221" spans="1:46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</row>
    <row r="222" spans="1:46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</row>
    <row r="223" spans="1:46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</row>
    <row r="224" spans="1:46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</row>
    <row r="225" spans="1:46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</row>
    <row r="226" spans="1:46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</row>
    <row r="227" spans="1:46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</row>
    <row r="228" spans="1:46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</row>
    <row r="229" spans="1:46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</row>
    <row r="230" spans="1:46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</row>
    <row r="231" spans="1:46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</row>
    <row r="232" spans="1:46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</row>
    <row r="233" spans="1:46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</row>
    <row r="234" spans="1:46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</row>
    <row r="235" spans="1:46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</row>
    <row r="236" spans="1:46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</row>
    <row r="237" spans="1:46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</row>
    <row r="238" spans="1:46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</row>
    <row r="239" spans="1:46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</row>
    <row r="240" spans="1:46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</row>
    <row r="241" spans="1:46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</row>
    <row r="242" spans="1:46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</row>
    <row r="243" spans="1:46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</row>
    <row r="244" spans="1:46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</row>
    <row r="245" spans="1:46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</row>
    <row r="246" spans="1:46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</row>
    <row r="247" spans="1:46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</row>
    <row r="248" spans="1:46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</row>
    <row r="249" spans="1:46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</row>
    <row r="250" spans="1:46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</row>
    <row r="251" spans="1:46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</row>
    <row r="252" spans="1:46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</row>
    <row r="253" spans="1:46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</row>
    <row r="254" spans="1:46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</row>
    <row r="255" spans="1:46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</row>
    <row r="256" spans="1:46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</row>
    <row r="257" spans="1:46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</row>
    <row r="258" spans="1:46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</row>
  </sheetData>
  <mergeCells count="72">
    <mergeCell ref="R176:Y176"/>
    <mergeCell ref="R177:Y177"/>
    <mergeCell ref="I169:Q169"/>
    <mergeCell ref="I172:Q172"/>
    <mergeCell ref="I173:Q173"/>
    <mergeCell ref="I171:Q171"/>
    <mergeCell ref="R170:Y170"/>
    <mergeCell ref="R171:Y171"/>
    <mergeCell ref="R172:Y172"/>
    <mergeCell ref="R173:Y173"/>
    <mergeCell ref="R169:Y169"/>
    <mergeCell ref="R174:Y174"/>
    <mergeCell ref="R175:Y175"/>
    <mergeCell ref="R178:Y178"/>
    <mergeCell ref="A99:Z99"/>
    <mergeCell ref="I174:Q174"/>
    <mergeCell ref="I175:Q175"/>
    <mergeCell ref="I176:Q176"/>
    <mergeCell ref="I177:Q177"/>
    <mergeCell ref="A174:F174"/>
    <mergeCell ref="A175:F175"/>
    <mergeCell ref="A176:F176"/>
    <mergeCell ref="A177:F177"/>
    <mergeCell ref="A173:F173"/>
    <mergeCell ref="A168:F168"/>
    <mergeCell ref="A170:F170"/>
    <mergeCell ref="A171:F171"/>
    <mergeCell ref="G172:H172"/>
    <mergeCell ref="G169:H169"/>
    <mergeCell ref="I178:Q178"/>
    <mergeCell ref="G174:H174"/>
    <mergeCell ref="G175:H175"/>
    <mergeCell ref="G176:H176"/>
    <mergeCell ref="G177:H177"/>
    <mergeCell ref="G178:H178"/>
    <mergeCell ref="A178:F178"/>
    <mergeCell ref="A55:Z55"/>
    <mergeCell ref="A42:Z42"/>
    <mergeCell ref="A78:Z78"/>
    <mergeCell ref="A68:Z68"/>
    <mergeCell ref="A72:Z72"/>
    <mergeCell ref="A83:Z83"/>
    <mergeCell ref="A87:Z87"/>
    <mergeCell ref="A167:F167"/>
    <mergeCell ref="G167:H167"/>
    <mergeCell ref="G168:H168"/>
    <mergeCell ref="G170:H170"/>
    <mergeCell ref="I168:Q168"/>
    <mergeCell ref="I170:Q170"/>
    <mergeCell ref="A169:F169"/>
    <mergeCell ref="A172:F172"/>
    <mergeCell ref="A1:Z1"/>
    <mergeCell ref="A2:A4"/>
    <mergeCell ref="A5:Z5"/>
    <mergeCell ref="B3:F3"/>
    <mergeCell ref="G3:K3"/>
    <mergeCell ref="L3:P3"/>
    <mergeCell ref="Q3:U3"/>
    <mergeCell ref="B2:Z2"/>
    <mergeCell ref="V3:Z3"/>
    <mergeCell ref="A35:Z35"/>
    <mergeCell ref="A27:Z27"/>
    <mergeCell ref="A21:Z21"/>
    <mergeCell ref="A62:Z62"/>
    <mergeCell ref="A49:Z49"/>
    <mergeCell ref="A93:Z93"/>
    <mergeCell ref="I167:Q167"/>
    <mergeCell ref="A166:Z166"/>
    <mergeCell ref="G173:H173"/>
    <mergeCell ref="G171:H171"/>
    <mergeCell ref="R167:Y167"/>
    <mergeCell ref="R168:Y168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E7 Z169:Z17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97F0-2C71-48AB-AEA5-43D778E85432}">
  <sheetPr codeName="Sheet3"/>
  <dimension ref="A1:AG102"/>
  <sheetViews>
    <sheetView topLeftCell="I4" zoomScale="112" zoomScaleNormal="112" workbookViewId="0">
      <selection activeCell="AA16" sqref="AA16:AC16"/>
    </sheetView>
  </sheetViews>
  <sheetFormatPr defaultRowHeight="14.25" x14ac:dyDescent="0.2"/>
  <cols>
    <col min="1" max="1" width="21.375" customWidth="1"/>
    <col min="2" max="2" width="9" hidden="1" customWidth="1"/>
    <col min="3" max="3" width="21" customWidth="1"/>
    <col min="4" max="4" width="9.75" customWidth="1"/>
    <col min="5" max="5" width="21.125" customWidth="1"/>
    <col min="9" max="9" width="25.375" customWidth="1"/>
    <col min="10" max="11" width="9" hidden="1" customWidth="1"/>
    <col min="12" max="12" width="1.875" customWidth="1"/>
    <col min="16" max="16" width="12.25" customWidth="1"/>
    <col min="17" max="17" width="8.875" customWidth="1"/>
    <col min="18" max="18" width="9" hidden="1" customWidth="1"/>
    <col min="21" max="21" width="8.875" customWidth="1"/>
    <col min="22" max="22" width="9" hidden="1" customWidth="1"/>
  </cols>
  <sheetData>
    <row r="1" spans="1:33" ht="14.25" customHeight="1" x14ac:dyDescent="0.2">
      <c r="A1" s="158" t="s">
        <v>173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70"/>
      <c r="AB1" s="70"/>
      <c r="AC1" s="70"/>
      <c r="AD1" s="70"/>
      <c r="AE1" s="70"/>
      <c r="AF1" s="70"/>
      <c r="AG1" s="70"/>
    </row>
    <row r="2" spans="1:33" ht="14.25" customHeight="1" x14ac:dyDescent="0.2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70"/>
      <c r="AB2" s="70"/>
      <c r="AC2" s="70"/>
      <c r="AD2" s="70"/>
      <c r="AE2" s="70"/>
      <c r="AF2" s="70"/>
      <c r="AG2" s="70"/>
    </row>
    <row r="3" spans="1:33" ht="14.25" customHeight="1" x14ac:dyDescent="0.2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70"/>
      <c r="AB3" s="70"/>
      <c r="AC3" s="70"/>
      <c r="AD3" s="70"/>
      <c r="AE3" s="70"/>
      <c r="AF3" s="70"/>
      <c r="AG3" s="70"/>
    </row>
    <row r="4" spans="1:33" ht="14.25" customHeight="1" x14ac:dyDescent="0.2">
      <c r="A4" s="158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70"/>
      <c r="AB4" s="70"/>
      <c r="AC4" s="70"/>
      <c r="AD4" s="70"/>
      <c r="AE4" s="70"/>
      <c r="AF4" s="70"/>
      <c r="AG4" s="70"/>
    </row>
    <row r="5" spans="1:33" ht="14.25" customHeight="1" x14ac:dyDescent="0.2">
      <c r="A5" s="158"/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70"/>
      <c r="AB5" s="70"/>
      <c r="AC5" s="70"/>
      <c r="AD5" s="70"/>
      <c r="AE5" s="70"/>
      <c r="AF5" s="70"/>
      <c r="AG5" s="70"/>
    </row>
    <row r="6" spans="1:33" ht="14.25" customHeight="1" x14ac:dyDescent="0.2">
      <c r="A6" s="158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70"/>
      <c r="AB6" s="70"/>
      <c r="AC6" s="70"/>
      <c r="AD6" s="70"/>
      <c r="AE6" s="70"/>
      <c r="AF6" s="70"/>
      <c r="AG6" s="70"/>
    </row>
    <row r="7" spans="1:33" ht="14.25" customHeight="1" x14ac:dyDescent="0.2">
      <c r="C7" s="159" t="s">
        <v>179</v>
      </c>
      <c r="D7" s="159"/>
      <c r="E7" s="160"/>
      <c r="F7" s="70"/>
      <c r="G7" s="70"/>
      <c r="H7" s="70"/>
      <c r="I7" s="156" t="s">
        <v>175</v>
      </c>
      <c r="J7" s="156"/>
      <c r="K7" s="156"/>
      <c r="L7" s="70"/>
      <c r="M7" s="156" t="s">
        <v>227</v>
      </c>
      <c r="N7" s="167"/>
      <c r="O7" s="70"/>
      <c r="P7" s="156" t="s">
        <v>194</v>
      </c>
      <c r="Q7" s="156"/>
      <c r="R7" s="156"/>
      <c r="S7" s="156"/>
      <c r="T7" s="156"/>
      <c r="U7" s="156"/>
      <c r="V7" s="156"/>
      <c r="W7" s="156"/>
      <c r="X7" s="70"/>
      <c r="Y7" s="70"/>
      <c r="Z7" s="70"/>
      <c r="AA7" s="70"/>
      <c r="AB7" s="70"/>
      <c r="AC7" s="70"/>
      <c r="AD7" s="70"/>
      <c r="AE7" s="70"/>
      <c r="AF7" s="70"/>
      <c r="AG7" s="70"/>
    </row>
    <row r="8" spans="1:33" ht="14.25" customHeight="1" x14ac:dyDescent="0.2">
      <c r="C8" s="160"/>
      <c r="D8" s="160"/>
      <c r="E8" s="160"/>
      <c r="F8" s="70"/>
      <c r="G8" s="70"/>
      <c r="H8" s="70"/>
      <c r="I8" s="156"/>
      <c r="J8" s="156"/>
      <c r="K8" s="156"/>
      <c r="L8" s="70"/>
      <c r="M8" s="167"/>
      <c r="N8" s="167"/>
      <c r="O8" s="70"/>
      <c r="P8" s="156"/>
      <c r="Q8" s="156"/>
      <c r="R8" s="156"/>
      <c r="S8" s="156"/>
      <c r="T8" s="156"/>
      <c r="U8" s="156"/>
      <c r="V8" s="156"/>
      <c r="W8" s="156"/>
      <c r="X8" s="70"/>
      <c r="Y8" s="70"/>
      <c r="Z8" s="70"/>
      <c r="AA8" s="70"/>
      <c r="AB8" s="70"/>
      <c r="AC8" s="70"/>
      <c r="AD8" s="70"/>
      <c r="AE8" s="70"/>
      <c r="AF8" s="70"/>
      <c r="AG8" s="70"/>
    </row>
    <row r="9" spans="1:33" ht="14.25" customHeight="1" x14ac:dyDescent="0.2">
      <c r="C9" s="160"/>
      <c r="D9" s="160"/>
      <c r="E9" s="160"/>
      <c r="F9" s="70"/>
      <c r="G9" s="70"/>
      <c r="H9" s="70"/>
      <c r="I9" s="156"/>
      <c r="J9" s="156"/>
      <c r="K9" s="156"/>
      <c r="L9" s="70"/>
      <c r="M9" s="167"/>
      <c r="N9" s="167"/>
      <c r="O9" s="70"/>
      <c r="P9" s="156"/>
      <c r="Q9" s="156"/>
      <c r="R9" s="156"/>
      <c r="S9" s="156"/>
      <c r="T9" s="156"/>
      <c r="U9" s="156"/>
      <c r="V9" s="156"/>
      <c r="W9" s="156"/>
      <c r="X9" s="70"/>
      <c r="Y9" s="70"/>
      <c r="Z9" s="152"/>
      <c r="AA9" s="152"/>
      <c r="AB9" s="152"/>
      <c r="AC9" s="152"/>
      <c r="AD9" s="152"/>
      <c r="AE9" s="70"/>
      <c r="AF9" s="70"/>
      <c r="AG9" s="70"/>
    </row>
    <row r="10" spans="1:33" ht="33" customHeight="1" x14ac:dyDescent="0.2">
      <c r="C10" s="48" t="s">
        <v>176</v>
      </c>
      <c r="D10" s="48" t="s">
        <v>178</v>
      </c>
      <c r="E10" s="48" t="s">
        <v>77</v>
      </c>
      <c r="F10" s="70"/>
      <c r="G10" s="70"/>
      <c r="H10" s="70"/>
      <c r="I10" s="156"/>
      <c r="J10" s="156"/>
      <c r="K10" s="156"/>
      <c r="L10" s="70"/>
      <c r="M10" s="167"/>
      <c r="N10" s="167"/>
      <c r="O10" s="70"/>
      <c r="P10" s="156"/>
      <c r="Q10" s="156"/>
      <c r="R10" s="156"/>
      <c r="S10" s="156"/>
      <c r="T10" s="156"/>
      <c r="U10" s="156"/>
      <c r="V10" s="156"/>
      <c r="W10" s="156"/>
      <c r="X10" s="70"/>
      <c r="Y10" s="70"/>
      <c r="Z10" s="152"/>
      <c r="AA10" s="152"/>
      <c r="AB10" s="152"/>
      <c r="AC10" s="152"/>
      <c r="AD10" s="152"/>
      <c r="AE10" s="70"/>
      <c r="AF10" s="70"/>
      <c r="AG10" s="70"/>
    </row>
    <row r="11" spans="1:33" ht="17.45" customHeight="1" x14ac:dyDescent="0.2">
      <c r="C11" s="9" t="s">
        <v>8</v>
      </c>
      <c r="D11" s="4" t="s">
        <v>3</v>
      </c>
      <c r="E11" s="52">
        <f>总览!F6</f>
        <v>0</v>
      </c>
      <c r="F11" s="161"/>
      <c r="G11" s="162"/>
      <c r="H11" s="163"/>
      <c r="I11" s="50">
        <f>LARGE(E11:E25,1)</f>
        <v>0</v>
      </c>
      <c r="L11" s="70"/>
      <c r="M11" s="168" t="s">
        <v>228</v>
      </c>
      <c r="N11" s="153">
        <f ca="1">RANDBETWEEN(1,5)</f>
        <v>4</v>
      </c>
      <c r="O11" s="70"/>
      <c r="P11" s="166">
        <f ca="1">NOW()</f>
        <v>44766.639342939816</v>
      </c>
      <c r="Q11" s="166"/>
      <c r="R11" s="166"/>
      <c r="S11" s="166"/>
      <c r="T11" s="166"/>
      <c r="U11" s="166"/>
      <c r="V11" s="166"/>
      <c r="W11" s="166"/>
      <c r="X11" s="70"/>
      <c r="Y11" s="70"/>
      <c r="Z11" s="152"/>
      <c r="AA11" s="152"/>
      <c r="AB11" s="152"/>
      <c r="AC11" s="152"/>
      <c r="AD11" s="152"/>
      <c r="AE11" s="70"/>
      <c r="AF11" s="70"/>
      <c r="AG11" s="70"/>
    </row>
    <row r="12" spans="1:33" ht="17.45" customHeight="1" x14ac:dyDescent="0.2">
      <c r="C12" s="10" t="s">
        <v>11</v>
      </c>
      <c r="D12" s="4" t="s">
        <v>3</v>
      </c>
      <c r="E12" s="52">
        <f>总览!F7</f>
        <v>0</v>
      </c>
      <c r="F12" s="161"/>
      <c r="G12" s="162"/>
      <c r="H12" s="163"/>
      <c r="I12" s="50">
        <f>LARGE(E11:E25,2)</f>
        <v>0</v>
      </c>
      <c r="L12" s="70"/>
      <c r="M12" s="154"/>
      <c r="N12" s="153"/>
      <c r="O12" s="70"/>
      <c r="P12" s="164" t="s">
        <v>195</v>
      </c>
      <c r="Q12" s="164"/>
      <c r="R12" s="164"/>
      <c r="S12" s="164"/>
      <c r="T12" s="164" t="s">
        <v>202</v>
      </c>
      <c r="U12" s="164"/>
      <c r="V12" s="164"/>
      <c r="W12" s="164"/>
      <c r="X12" s="70"/>
      <c r="Y12" s="70"/>
      <c r="Z12" s="152"/>
      <c r="AA12" s="152"/>
      <c r="AB12" s="152"/>
      <c r="AC12" s="152"/>
      <c r="AD12" s="152"/>
      <c r="AE12" s="70"/>
      <c r="AF12" s="70"/>
      <c r="AG12" s="70"/>
    </row>
    <row r="13" spans="1:33" ht="17.45" customHeight="1" x14ac:dyDescent="0.2">
      <c r="C13" s="9" t="s">
        <v>10</v>
      </c>
      <c r="D13" s="4" t="s">
        <v>3</v>
      </c>
      <c r="E13" s="52">
        <f>总览!F8</f>
        <v>0</v>
      </c>
      <c r="F13" s="70"/>
      <c r="G13" s="70"/>
      <c r="H13" s="70"/>
      <c r="I13" s="50">
        <f>LARGE(E11:E25,3)</f>
        <v>0</v>
      </c>
      <c r="L13" s="70"/>
      <c r="M13" s="154"/>
      <c r="N13" s="153"/>
      <c r="O13" s="70"/>
      <c r="P13" s="165"/>
      <c r="Q13" s="165"/>
      <c r="R13" s="165"/>
      <c r="S13" s="165"/>
      <c r="T13" s="165"/>
      <c r="U13" s="165"/>
      <c r="V13" s="165"/>
      <c r="W13" s="165"/>
      <c r="X13" s="70"/>
      <c r="Y13" s="70"/>
      <c r="Z13" s="152"/>
      <c r="AA13" s="152"/>
      <c r="AB13" s="152"/>
      <c r="AC13" s="152"/>
      <c r="AD13" s="152"/>
      <c r="AE13" s="70"/>
      <c r="AF13" s="70"/>
      <c r="AG13" s="70"/>
    </row>
    <row r="14" spans="1:33" ht="17.45" customHeight="1" x14ac:dyDescent="0.2">
      <c r="C14" s="9" t="s">
        <v>12</v>
      </c>
      <c r="D14" s="4" t="s">
        <v>3</v>
      </c>
      <c r="E14" s="52">
        <f>总览!F9</f>
        <v>0</v>
      </c>
      <c r="F14" s="161"/>
      <c r="G14" s="162"/>
      <c r="H14" s="70"/>
      <c r="I14" s="50">
        <f>LARGE(E11:E25,4)</f>
        <v>0</v>
      </c>
      <c r="L14" s="70"/>
      <c r="M14" s="70"/>
      <c r="N14" s="70"/>
      <c r="O14" s="70"/>
      <c r="P14" s="154" t="s">
        <v>199</v>
      </c>
      <c r="Q14" s="153">
        <f ca="1">YEAR(P11)</f>
        <v>2022</v>
      </c>
      <c r="R14" s="153"/>
      <c r="S14" s="153"/>
      <c r="T14" s="153" t="str">
        <f ca="1">IF(Q20="","",IF(AND(Q20&gt;=5,Q20&lt;=8),"早上好",IF(AND(Q20&gt;=9,Q20&lt;=10),"上午好",IF(AND(Q20&gt;=11,Q20&lt;=12),"中午好",IF(AND(Q20&gt;=13,Q20&lt;=18),"下午好",IF(AND(Q20&gt;=19,Q20&lt;=22),"晚上好",IF(AND(Q20=23),"凌晨好",IF(AND(Q20&gt;=0,Q20&lt;=4),"凌晨好",Q20))))))))</f>
        <v>下午好</v>
      </c>
      <c r="U14" s="153"/>
      <c r="V14" s="153"/>
      <c r="W14" s="153"/>
      <c r="X14" s="70"/>
      <c r="Y14" s="70"/>
      <c r="Z14" s="71"/>
      <c r="AA14" s="71"/>
      <c r="AB14" s="71"/>
      <c r="AC14" s="71"/>
      <c r="AD14" s="71"/>
      <c r="AE14" s="70"/>
      <c r="AF14" s="70"/>
      <c r="AG14" s="70"/>
    </row>
    <row r="15" spans="1:33" ht="17.45" customHeight="1" x14ac:dyDescent="0.2">
      <c r="C15" s="11" t="s">
        <v>13</v>
      </c>
      <c r="D15" s="4" t="s">
        <v>3</v>
      </c>
      <c r="E15" s="52">
        <f>总览!F10</f>
        <v>0</v>
      </c>
      <c r="F15" s="70"/>
      <c r="G15" s="70"/>
      <c r="H15" s="70"/>
      <c r="I15" s="50">
        <f>LARGE(E11:E25,5)</f>
        <v>0</v>
      </c>
      <c r="L15" s="70"/>
      <c r="M15" s="70"/>
      <c r="N15" s="70"/>
      <c r="O15" s="70"/>
      <c r="P15" s="154"/>
      <c r="Q15" s="153"/>
      <c r="R15" s="153"/>
      <c r="S15" s="153"/>
      <c r="T15" s="153"/>
      <c r="U15" s="153"/>
      <c r="V15" s="153"/>
      <c r="W15" s="153"/>
      <c r="X15" s="70"/>
      <c r="Y15" s="70"/>
      <c r="Z15" s="71"/>
      <c r="AA15" s="71"/>
      <c r="AB15" s="71"/>
      <c r="AC15" s="71"/>
      <c r="AD15" s="71"/>
      <c r="AE15" s="70"/>
      <c r="AF15" s="70"/>
      <c r="AG15" s="70"/>
    </row>
    <row r="16" spans="1:33" ht="17.45" customHeight="1" x14ac:dyDescent="0.2">
      <c r="C16" s="9" t="s">
        <v>14</v>
      </c>
      <c r="D16" s="4" t="s">
        <v>3</v>
      </c>
      <c r="E16" s="52">
        <f>总览!F11</f>
        <v>0</v>
      </c>
      <c r="F16" s="70"/>
      <c r="G16" s="70"/>
      <c r="H16" s="70"/>
      <c r="I16" s="50">
        <f>LARGE(E11:E25,6)</f>
        <v>0</v>
      </c>
      <c r="L16" s="70"/>
      <c r="M16" s="70"/>
      <c r="N16" s="70"/>
      <c r="O16" s="70"/>
      <c r="P16" s="154" t="s">
        <v>200</v>
      </c>
      <c r="Q16" s="155">
        <f ca="1">MONTH(P11)</f>
        <v>7</v>
      </c>
      <c r="R16" s="155"/>
      <c r="S16" s="155"/>
      <c r="T16" s="153" t="str">
        <f ca="1">IF(Q20="","",IF(AND(Q20&gt;=5,Q20&lt;=8),"Good Morning",IF(AND(Q20&gt;=9,Q20&lt;=10),"Good Morning",IF(AND(Q20&gt;=11,Q20&lt;=12),"Good Afternoon",IF(AND(Q20&gt;=13,Q20&lt;=18),"Good Afternoon",IF(AND(Q20&gt;=19,Q20&lt;=22),"Good Evening",IF(AND(Q20=23),"Good Evening",IF(AND(Q20&gt;=0,Q20&lt;=4),"Good Evening",Q20))))))))</f>
        <v>Good Afternoon</v>
      </c>
      <c r="U16" s="153"/>
      <c r="V16" s="153"/>
      <c r="W16" s="153"/>
      <c r="X16" s="70"/>
      <c r="Y16" s="70"/>
      <c r="Z16" s="71"/>
      <c r="AA16" s="152"/>
      <c r="AB16" s="152"/>
      <c r="AC16" s="152"/>
      <c r="AD16" s="71"/>
      <c r="AE16" s="70"/>
      <c r="AF16" s="70"/>
      <c r="AG16" s="70"/>
    </row>
    <row r="17" spans="3:33" ht="17.45" customHeight="1" x14ac:dyDescent="0.2">
      <c r="C17" s="9" t="s">
        <v>15</v>
      </c>
      <c r="D17" s="4" t="s">
        <v>3</v>
      </c>
      <c r="E17" s="52">
        <f>总览!F12</f>
        <v>0</v>
      </c>
      <c r="F17" s="70"/>
      <c r="G17" s="70"/>
      <c r="H17" s="70"/>
      <c r="I17" s="50">
        <f>LARGE(E11:E25,7)</f>
        <v>0</v>
      </c>
      <c r="L17" s="70"/>
      <c r="M17" s="70"/>
      <c r="N17" s="70"/>
      <c r="O17" s="70"/>
      <c r="P17" s="154"/>
      <c r="Q17" s="155"/>
      <c r="R17" s="155"/>
      <c r="S17" s="155"/>
      <c r="T17" s="153"/>
      <c r="U17" s="153"/>
      <c r="V17" s="153"/>
      <c r="W17" s="153"/>
      <c r="X17" s="70"/>
      <c r="Y17" s="70"/>
      <c r="Z17" s="71"/>
      <c r="AA17" s="71"/>
      <c r="AB17" s="71"/>
      <c r="AC17" s="71"/>
      <c r="AD17" s="71"/>
      <c r="AE17" s="70"/>
      <c r="AF17" s="70"/>
      <c r="AG17" s="70"/>
    </row>
    <row r="18" spans="3:33" ht="17.45" customHeight="1" x14ac:dyDescent="0.2">
      <c r="C18" s="9" t="s">
        <v>16</v>
      </c>
      <c r="D18" s="4" t="s">
        <v>3</v>
      </c>
      <c r="E18" s="52">
        <f>总览!F13</f>
        <v>0</v>
      </c>
      <c r="F18" s="70"/>
      <c r="G18" s="70"/>
      <c r="H18" s="70"/>
      <c r="I18" s="50">
        <f>LARGE(E17:E31,2)</f>
        <v>0</v>
      </c>
      <c r="L18" s="70"/>
      <c r="M18" s="70"/>
      <c r="N18" s="70"/>
      <c r="O18" s="70"/>
      <c r="P18" s="154" t="s">
        <v>201</v>
      </c>
      <c r="Q18" s="155">
        <f ca="1">DAY(P11)</f>
        <v>24</v>
      </c>
      <c r="R18" s="155"/>
      <c r="S18" s="155"/>
      <c r="T18" s="70"/>
      <c r="U18" s="70"/>
      <c r="V18" s="70"/>
      <c r="W18" s="70"/>
      <c r="X18" s="70"/>
      <c r="Y18" s="70"/>
      <c r="Z18" s="71"/>
      <c r="AA18" s="71"/>
      <c r="AB18" s="71"/>
      <c r="AC18" s="71"/>
      <c r="AD18" s="71"/>
      <c r="AE18" s="70"/>
      <c r="AF18" s="70"/>
      <c r="AG18" s="70"/>
    </row>
    <row r="19" spans="3:33" ht="17.45" customHeight="1" x14ac:dyDescent="0.2">
      <c r="C19" s="9" t="s">
        <v>17</v>
      </c>
      <c r="D19" s="4" t="s">
        <v>3</v>
      </c>
      <c r="E19" s="52">
        <f>总览!F14</f>
        <v>0</v>
      </c>
      <c r="F19" s="70"/>
      <c r="G19" s="70"/>
      <c r="H19" s="70"/>
      <c r="I19" s="50">
        <f t="shared" ref="I19" si="0">LARGE(E17:E31,3)</f>
        <v>0</v>
      </c>
      <c r="L19" s="70"/>
      <c r="M19" s="70"/>
      <c r="N19" s="70"/>
      <c r="O19" s="70"/>
      <c r="P19" s="154"/>
      <c r="Q19" s="155"/>
      <c r="R19" s="155"/>
      <c r="S19" s="155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</row>
    <row r="20" spans="3:33" ht="17.45" customHeight="1" x14ac:dyDescent="0.2">
      <c r="C20" s="12" t="s">
        <v>18</v>
      </c>
      <c r="D20" s="4" t="s">
        <v>3</v>
      </c>
      <c r="E20" s="52">
        <f>总览!F15</f>
        <v>0</v>
      </c>
      <c r="F20" s="70"/>
      <c r="G20" s="70"/>
      <c r="H20" s="70"/>
      <c r="I20" s="50">
        <f t="shared" ref="I20" si="1">LARGE(E17:E31,4)</f>
        <v>0</v>
      </c>
      <c r="L20" s="70"/>
      <c r="M20" s="70"/>
      <c r="N20" s="70"/>
      <c r="O20" s="70"/>
      <c r="P20" s="154" t="s">
        <v>196</v>
      </c>
      <c r="Q20" s="155">
        <f ca="1">HOUR(P11)</f>
        <v>15</v>
      </c>
      <c r="R20" s="155"/>
      <c r="S20" s="155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</row>
    <row r="21" spans="3:33" ht="17.45" customHeight="1" x14ac:dyDescent="0.2">
      <c r="C21" s="9" t="s">
        <v>19</v>
      </c>
      <c r="D21" s="4" t="s">
        <v>3</v>
      </c>
      <c r="E21" s="52">
        <f>总览!F16</f>
        <v>0</v>
      </c>
      <c r="F21" s="70"/>
      <c r="G21" s="70"/>
      <c r="H21" s="70"/>
      <c r="I21" s="50">
        <f t="shared" ref="I21" si="2">LARGE(E17:E31,5)</f>
        <v>0</v>
      </c>
      <c r="L21" s="70"/>
      <c r="M21" s="70"/>
      <c r="N21" s="70"/>
      <c r="O21" s="70"/>
      <c r="P21" s="154"/>
      <c r="Q21" s="155"/>
      <c r="R21" s="155"/>
      <c r="S21" s="155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</row>
    <row r="22" spans="3:33" ht="17.45" customHeight="1" x14ac:dyDescent="0.2">
      <c r="C22" s="9" t="s">
        <v>20</v>
      </c>
      <c r="D22" s="4" t="s">
        <v>3</v>
      </c>
      <c r="E22" s="52">
        <f>总览!F17</f>
        <v>0</v>
      </c>
      <c r="F22" s="70"/>
      <c r="G22" s="70"/>
      <c r="H22" s="70"/>
      <c r="I22" s="50">
        <f t="shared" ref="I22" si="3">LARGE(E17:E31,6)</f>
        <v>0</v>
      </c>
      <c r="L22" s="70"/>
      <c r="M22" s="70"/>
      <c r="N22" s="70"/>
      <c r="O22" s="70"/>
      <c r="P22" s="154" t="s">
        <v>197</v>
      </c>
      <c r="Q22" s="155">
        <f ca="1">MINUTE(P11)</f>
        <v>20</v>
      </c>
      <c r="R22" s="155"/>
      <c r="S22" s="155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</row>
    <row r="23" spans="3:33" ht="17.45" customHeight="1" x14ac:dyDescent="0.2">
      <c r="C23" s="9" t="s">
        <v>21</v>
      </c>
      <c r="D23" s="4" t="s">
        <v>3</v>
      </c>
      <c r="E23" s="52">
        <f>总览!F18</f>
        <v>0</v>
      </c>
      <c r="F23" s="70"/>
      <c r="G23" s="70"/>
      <c r="H23" s="70"/>
      <c r="I23" s="50">
        <f t="shared" ref="I23" si="4">LARGE(E23:E37,1)</f>
        <v>0</v>
      </c>
      <c r="L23" s="70"/>
      <c r="M23" s="70"/>
      <c r="N23" s="70"/>
      <c r="O23" s="70"/>
      <c r="P23" s="154"/>
      <c r="Q23" s="155"/>
      <c r="R23" s="155"/>
      <c r="S23" s="155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</row>
    <row r="24" spans="3:33" ht="17.45" customHeight="1" x14ac:dyDescent="0.2">
      <c r="C24" s="9" t="s">
        <v>22</v>
      </c>
      <c r="D24" s="4" t="s">
        <v>3</v>
      </c>
      <c r="E24" s="52">
        <f>总览!F19</f>
        <v>0</v>
      </c>
      <c r="F24" s="70"/>
      <c r="G24" s="70"/>
      <c r="H24" s="70"/>
      <c r="I24" s="50">
        <f t="shared" ref="I24" si="5">LARGE(E23:E37,2)</f>
        <v>0</v>
      </c>
      <c r="L24" s="70"/>
      <c r="M24" s="70"/>
      <c r="N24" s="70"/>
      <c r="O24" s="70"/>
      <c r="P24" s="154" t="s">
        <v>198</v>
      </c>
      <c r="Q24" s="155">
        <f ca="1">SECOND(P11)</f>
        <v>39</v>
      </c>
      <c r="R24" s="155"/>
      <c r="S24" s="155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</row>
    <row r="25" spans="3:33" ht="17.45" customHeight="1" x14ac:dyDescent="0.2">
      <c r="C25" s="13" t="s">
        <v>23</v>
      </c>
      <c r="D25" s="4" t="s">
        <v>3</v>
      </c>
      <c r="E25" s="52">
        <f>总览!F20</f>
        <v>0</v>
      </c>
      <c r="F25" s="70"/>
      <c r="G25" s="70"/>
      <c r="H25" s="70"/>
      <c r="I25" s="50">
        <f t="shared" ref="I25" si="6">LARGE(E23:E37,3)</f>
        <v>0</v>
      </c>
      <c r="L25" s="70"/>
      <c r="M25" s="70"/>
      <c r="N25" s="70"/>
      <c r="O25" s="70"/>
      <c r="P25" s="154"/>
      <c r="Q25" s="155"/>
      <c r="R25" s="155"/>
      <c r="S25" s="155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</row>
    <row r="26" spans="3:33" ht="17.45" customHeight="1" x14ac:dyDescent="0.2">
      <c r="C26" s="9" t="s">
        <v>8</v>
      </c>
      <c r="D26" s="4" t="s">
        <v>4</v>
      </c>
      <c r="E26" s="52">
        <f>总览!K6</f>
        <v>0</v>
      </c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</row>
    <row r="27" spans="3:33" ht="17.45" customHeight="1" x14ac:dyDescent="0.2">
      <c r="C27" s="10" t="s">
        <v>11</v>
      </c>
      <c r="D27" s="4" t="s">
        <v>4</v>
      </c>
      <c r="E27" s="52">
        <f>总览!K7</f>
        <v>0</v>
      </c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157" t="s">
        <v>243</v>
      </c>
      <c r="AA27" s="157"/>
      <c r="AB27" s="157"/>
      <c r="AC27" s="157"/>
      <c r="AD27" s="157"/>
      <c r="AE27" s="70"/>
      <c r="AF27" s="70"/>
      <c r="AG27" s="70"/>
    </row>
    <row r="28" spans="3:33" ht="17.45" customHeight="1" x14ac:dyDescent="0.2">
      <c r="C28" s="9" t="s">
        <v>10</v>
      </c>
      <c r="D28" s="4" t="s">
        <v>4</v>
      </c>
      <c r="E28" s="52">
        <f>总览!K8</f>
        <v>0</v>
      </c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156" t="s">
        <v>229</v>
      </c>
      <c r="Q28" s="156"/>
      <c r="R28" s="156"/>
      <c r="S28" s="156"/>
      <c r="T28" s="156"/>
      <c r="U28" s="156"/>
      <c r="V28" s="156"/>
      <c r="W28" s="156"/>
      <c r="X28" s="70"/>
      <c r="Y28" s="70"/>
      <c r="Z28" s="157"/>
      <c r="AA28" s="157"/>
      <c r="AB28" s="157"/>
      <c r="AC28" s="157"/>
      <c r="AD28" s="157"/>
      <c r="AE28" s="70"/>
      <c r="AF28" s="70"/>
      <c r="AG28" s="70"/>
    </row>
    <row r="29" spans="3:33" ht="17.45" customHeight="1" x14ac:dyDescent="0.2">
      <c r="C29" s="9" t="s">
        <v>12</v>
      </c>
      <c r="D29" s="4" t="s">
        <v>4</v>
      </c>
      <c r="E29" s="52">
        <f>总览!K9</f>
        <v>0</v>
      </c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156"/>
      <c r="Q29" s="156"/>
      <c r="R29" s="156"/>
      <c r="S29" s="156"/>
      <c r="T29" s="156"/>
      <c r="U29" s="156"/>
      <c r="V29" s="156"/>
      <c r="W29" s="156"/>
      <c r="X29" s="70"/>
      <c r="Y29" s="70"/>
      <c r="Z29" s="150" t="s">
        <v>242</v>
      </c>
      <c r="AA29" s="151"/>
      <c r="AB29" s="151"/>
      <c r="AC29" s="151"/>
      <c r="AD29" s="151"/>
      <c r="AE29" s="70"/>
      <c r="AF29" s="70"/>
      <c r="AG29" s="70"/>
    </row>
    <row r="30" spans="3:33" ht="17.45" customHeight="1" x14ac:dyDescent="0.2">
      <c r="C30" s="11" t="s">
        <v>13</v>
      </c>
      <c r="D30" s="4" t="s">
        <v>4</v>
      </c>
      <c r="E30" s="52">
        <f>总览!K10</f>
        <v>0</v>
      </c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156"/>
      <c r="Q30" s="156"/>
      <c r="R30" s="156"/>
      <c r="S30" s="156"/>
      <c r="T30" s="156"/>
      <c r="U30" s="156"/>
      <c r="V30" s="156"/>
      <c r="W30" s="156"/>
      <c r="X30" s="70"/>
      <c r="Y30" s="70"/>
      <c r="Z30" s="151"/>
      <c r="AA30" s="151"/>
      <c r="AB30" s="151"/>
      <c r="AC30" s="151"/>
      <c r="AD30" s="151"/>
      <c r="AE30" s="70"/>
      <c r="AF30" s="70"/>
      <c r="AG30" s="70"/>
    </row>
    <row r="31" spans="3:33" ht="17.45" customHeight="1" x14ac:dyDescent="0.2">
      <c r="C31" s="9" t="s">
        <v>14</v>
      </c>
      <c r="D31" s="4" t="s">
        <v>4</v>
      </c>
      <c r="E31" s="52">
        <f>总览!K11</f>
        <v>0</v>
      </c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156"/>
      <c r="Q31" s="156"/>
      <c r="R31" s="156"/>
      <c r="S31" s="156"/>
      <c r="T31" s="156"/>
      <c r="U31" s="156"/>
      <c r="V31" s="156"/>
      <c r="W31" s="156"/>
      <c r="X31" s="70"/>
      <c r="Y31" s="70"/>
      <c r="Z31" s="151"/>
      <c r="AA31" s="151"/>
      <c r="AB31" s="151"/>
      <c r="AC31" s="151"/>
      <c r="AD31" s="151"/>
      <c r="AE31" s="70"/>
      <c r="AF31" s="70"/>
      <c r="AG31" s="70"/>
    </row>
    <row r="32" spans="3:33" ht="17.45" customHeight="1" x14ac:dyDescent="0.2">
      <c r="C32" s="9" t="s">
        <v>15</v>
      </c>
      <c r="D32" s="4" t="s">
        <v>4</v>
      </c>
      <c r="E32" s="52">
        <f>总览!K12</f>
        <v>0</v>
      </c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156"/>
      <c r="Q32" s="156"/>
      <c r="R32" s="156"/>
      <c r="S32" s="156"/>
      <c r="T32" s="156"/>
      <c r="U32" s="156"/>
      <c r="V32" s="156"/>
      <c r="W32" s="156"/>
      <c r="X32" s="70"/>
      <c r="Y32" s="70"/>
      <c r="Z32" s="151"/>
      <c r="AA32" s="151"/>
      <c r="AB32" s="151"/>
      <c r="AC32" s="151"/>
      <c r="AD32" s="151"/>
      <c r="AE32" s="70"/>
      <c r="AF32" s="70"/>
      <c r="AG32" s="70"/>
    </row>
    <row r="33" spans="3:33" ht="17.45" customHeight="1" x14ac:dyDescent="0.2">
      <c r="C33" s="9" t="s">
        <v>16</v>
      </c>
      <c r="D33" s="4" t="s">
        <v>4</v>
      </c>
      <c r="E33" s="52">
        <f>总览!K13</f>
        <v>0</v>
      </c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69">
        <v>1</v>
      </c>
      <c r="Q33" s="146" t="s">
        <v>230</v>
      </c>
      <c r="R33" s="146"/>
      <c r="S33" s="146"/>
      <c r="T33" s="66" t="s">
        <v>235</v>
      </c>
      <c r="U33" s="146">
        <f ca="1">N11</f>
        <v>4</v>
      </c>
      <c r="V33" s="146"/>
      <c r="W33" s="146"/>
      <c r="X33" s="70"/>
      <c r="Y33" s="70"/>
      <c r="Z33" s="151"/>
      <c r="AA33" s="151"/>
      <c r="AB33" s="151"/>
      <c r="AC33" s="151"/>
      <c r="AD33" s="151"/>
      <c r="AE33" s="70"/>
      <c r="AF33" s="70"/>
      <c r="AG33" s="70"/>
    </row>
    <row r="34" spans="3:33" ht="17.45" customHeight="1" x14ac:dyDescent="0.2">
      <c r="C34" s="9" t="s">
        <v>17</v>
      </c>
      <c r="D34" s="4" t="s">
        <v>4</v>
      </c>
      <c r="E34" s="52">
        <f>总览!K14</f>
        <v>0</v>
      </c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69">
        <v>2</v>
      </c>
      <c r="Q34" s="146" t="s">
        <v>231</v>
      </c>
      <c r="R34" s="146"/>
      <c r="S34" s="146"/>
      <c r="T34" s="69" t="s">
        <v>236</v>
      </c>
      <c r="U34" s="147" t="str">
        <f ca="1">IF(U33="","",IF(AND(U33=1),Q33,IF(AND(U33=2),Q34,IF(AND(U33=3),Q35,IF(AND(U33=4),Q36,IF(AND(U33=5),Q37,U33))))))</f>
        <v>音游萌新</v>
      </c>
      <c r="V34" s="148"/>
      <c r="W34" s="149"/>
      <c r="X34" s="70"/>
      <c r="Y34" s="70"/>
      <c r="Z34" s="151"/>
      <c r="AA34" s="151"/>
      <c r="AB34" s="151"/>
      <c r="AC34" s="151"/>
      <c r="AD34" s="151"/>
      <c r="AE34" s="70"/>
      <c r="AF34" s="70"/>
      <c r="AG34" s="70"/>
    </row>
    <row r="35" spans="3:33" ht="17.45" customHeight="1" x14ac:dyDescent="0.2">
      <c r="C35" s="12" t="s">
        <v>18</v>
      </c>
      <c r="D35" s="4" t="s">
        <v>4</v>
      </c>
      <c r="E35" s="52">
        <f>总览!K15</f>
        <v>0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69">
        <v>3</v>
      </c>
      <c r="Q35" s="146" t="s">
        <v>232</v>
      </c>
      <c r="R35" s="146"/>
      <c r="S35" s="146"/>
      <c r="T35" s="70"/>
      <c r="U35" s="70"/>
      <c r="V35" s="70"/>
      <c r="W35" s="70"/>
      <c r="X35" s="70"/>
      <c r="Y35" s="70"/>
      <c r="Z35" s="151"/>
      <c r="AA35" s="151"/>
      <c r="AB35" s="151"/>
      <c r="AC35" s="151"/>
      <c r="AD35" s="151"/>
      <c r="AE35" s="70"/>
      <c r="AF35" s="70"/>
      <c r="AG35" s="70"/>
    </row>
    <row r="36" spans="3:33" ht="17.45" customHeight="1" x14ac:dyDescent="0.2">
      <c r="C36" s="9" t="s">
        <v>19</v>
      </c>
      <c r="D36" s="4" t="s">
        <v>4</v>
      </c>
      <c r="E36" s="52">
        <f>总览!K16</f>
        <v>0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69">
        <v>4</v>
      </c>
      <c r="Q36" s="146" t="s">
        <v>233</v>
      </c>
      <c r="R36" s="146"/>
      <c r="S36" s="146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</row>
    <row r="37" spans="3:33" ht="17.45" customHeight="1" x14ac:dyDescent="0.2">
      <c r="C37" s="9" t="s">
        <v>20</v>
      </c>
      <c r="D37" s="4" t="s">
        <v>4</v>
      </c>
      <c r="E37" s="52">
        <f>总览!K17</f>
        <v>0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69">
        <v>5</v>
      </c>
      <c r="Q37" s="146" t="s">
        <v>234</v>
      </c>
      <c r="R37" s="146"/>
      <c r="S37" s="146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</row>
    <row r="38" spans="3:33" ht="17.45" customHeight="1" x14ac:dyDescent="0.2">
      <c r="C38" s="9" t="s">
        <v>21</v>
      </c>
      <c r="D38" s="4" t="s">
        <v>4</v>
      </c>
      <c r="E38" s="52">
        <f>总览!K18</f>
        <v>0</v>
      </c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</row>
    <row r="39" spans="3:33" ht="17.45" customHeight="1" x14ac:dyDescent="0.2">
      <c r="C39" s="9" t="s">
        <v>22</v>
      </c>
      <c r="D39" s="4" t="s">
        <v>4</v>
      </c>
      <c r="E39" s="52">
        <f>总览!K19</f>
        <v>0</v>
      </c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 t="b">
        <f ca="1">IF(U33=1,Y39+1)</f>
        <v>0</v>
      </c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</row>
    <row r="40" spans="3:33" ht="17.45" customHeight="1" x14ac:dyDescent="0.2">
      <c r="C40" s="13" t="s">
        <v>23</v>
      </c>
      <c r="D40" s="4" t="s">
        <v>4</v>
      </c>
      <c r="E40" s="52">
        <f>总览!K20</f>
        <v>0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</row>
    <row r="41" spans="3:33" ht="17.45" customHeight="1" x14ac:dyDescent="0.2">
      <c r="C41" s="9" t="s">
        <v>8</v>
      </c>
      <c r="D41" s="4" t="s">
        <v>5</v>
      </c>
      <c r="E41" s="52">
        <f>总览!P6</f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</row>
    <row r="42" spans="3:33" ht="17.45" customHeight="1" x14ac:dyDescent="0.2">
      <c r="C42" s="10" t="s">
        <v>11</v>
      </c>
      <c r="D42" s="4" t="s">
        <v>5</v>
      </c>
      <c r="E42" s="52">
        <f>总览!P7</f>
        <v>0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</row>
    <row r="43" spans="3:33" ht="17.45" customHeight="1" x14ac:dyDescent="0.2">
      <c r="C43" s="9" t="s">
        <v>10</v>
      </c>
      <c r="D43" s="4" t="s">
        <v>5</v>
      </c>
      <c r="E43" s="52">
        <f>总览!P8</f>
        <v>0</v>
      </c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144" t="s">
        <v>239</v>
      </c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70"/>
      <c r="AE43" s="70"/>
      <c r="AF43" s="70"/>
      <c r="AG43" s="70"/>
    </row>
    <row r="44" spans="3:33" ht="17.45" customHeight="1" x14ac:dyDescent="0.2">
      <c r="C44" s="9" t="s">
        <v>12</v>
      </c>
      <c r="D44" s="4" t="s">
        <v>5</v>
      </c>
      <c r="E44" s="52">
        <f>总览!P9</f>
        <v>0</v>
      </c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70"/>
      <c r="AE44" s="70"/>
      <c r="AF44" s="70"/>
      <c r="AG44" s="70"/>
    </row>
    <row r="45" spans="3:33" ht="17.45" customHeight="1" x14ac:dyDescent="0.2">
      <c r="C45" s="11" t="s">
        <v>13</v>
      </c>
      <c r="D45" s="4" t="s">
        <v>5</v>
      </c>
      <c r="E45" s="52">
        <f>总览!P10</f>
        <v>0</v>
      </c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70"/>
      <c r="AE45" s="70"/>
      <c r="AF45" s="70"/>
      <c r="AG45" s="70"/>
    </row>
    <row r="46" spans="3:33" ht="17.45" customHeight="1" x14ac:dyDescent="0.2">
      <c r="C46" s="9" t="s">
        <v>14</v>
      </c>
      <c r="D46" s="4" t="s">
        <v>5</v>
      </c>
      <c r="E46" s="52">
        <f>总览!P11</f>
        <v>0</v>
      </c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70"/>
      <c r="AE46" s="70"/>
      <c r="AF46" s="70"/>
      <c r="AG46" s="70"/>
    </row>
    <row r="47" spans="3:33" ht="17.45" customHeight="1" x14ac:dyDescent="0.2">
      <c r="C47" s="9" t="s">
        <v>15</v>
      </c>
      <c r="D47" s="4" t="s">
        <v>5</v>
      </c>
      <c r="E47" s="52">
        <f>总览!P12</f>
        <v>0</v>
      </c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70"/>
      <c r="AE47" s="70"/>
      <c r="AF47" s="70"/>
      <c r="AG47" s="70"/>
    </row>
    <row r="48" spans="3:33" ht="17.45" customHeight="1" x14ac:dyDescent="0.2">
      <c r="C48" s="9" t="s">
        <v>16</v>
      </c>
      <c r="D48" s="4" t="s">
        <v>5</v>
      </c>
      <c r="E48" s="52">
        <f>总览!P13</f>
        <v>0</v>
      </c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</row>
    <row r="49" spans="3:33" ht="17.45" customHeight="1" x14ac:dyDescent="0.2">
      <c r="C49" s="9" t="s">
        <v>17</v>
      </c>
      <c r="D49" s="4" t="s">
        <v>5</v>
      </c>
      <c r="E49" s="52">
        <f>总览!P14</f>
        <v>0</v>
      </c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</row>
    <row r="50" spans="3:33" ht="17.45" customHeight="1" x14ac:dyDescent="0.2">
      <c r="C50" s="12" t="s">
        <v>18</v>
      </c>
      <c r="D50" s="4" t="s">
        <v>5</v>
      </c>
      <c r="E50" s="52">
        <f>总览!P15</f>
        <v>0</v>
      </c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</row>
    <row r="51" spans="3:33" ht="17.45" customHeight="1" x14ac:dyDescent="0.2">
      <c r="C51" s="9" t="s">
        <v>19</v>
      </c>
      <c r="D51" s="4" t="s">
        <v>5</v>
      </c>
      <c r="E51" s="52">
        <f>总览!P16</f>
        <v>0</v>
      </c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</row>
    <row r="52" spans="3:33" ht="17.45" customHeight="1" x14ac:dyDescent="0.2">
      <c r="C52" s="9" t="s">
        <v>20</v>
      </c>
      <c r="D52" s="4" t="s">
        <v>5</v>
      </c>
      <c r="E52" s="52">
        <f>总览!P17</f>
        <v>0</v>
      </c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</row>
    <row r="53" spans="3:33" ht="17.45" customHeight="1" x14ac:dyDescent="0.2">
      <c r="C53" s="9" t="s">
        <v>21</v>
      </c>
      <c r="D53" s="4" t="s">
        <v>5</v>
      </c>
      <c r="E53" s="52">
        <f>总览!P18</f>
        <v>0</v>
      </c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</row>
    <row r="54" spans="3:33" ht="17.45" customHeight="1" x14ac:dyDescent="0.2">
      <c r="C54" s="9" t="s">
        <v>22</v>
      </c>
      <c r="D54" s="4" t="s">
        <v>5</v>
      </c>
      <c r="E54" s="52">
        <f>总览!P19</f>
        <v>0</v>
      </c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</row>
    <row r="55" spans="3:33" ht="17.45" customHeight="1" x14ac:dyDescent="0.2">
      <c r="C55" s="13" t="s">
        <v>23</v>
      </c>
      <c r="D55" s="4" t="s">
        <v>5</v>
      </c>
      <c r="E55" s="52">
        <f>总览!P20</f>
        <v>0</v>
      </c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</row>
    <row r="56" spans="3:33" ht="17.45" customHeight="1" x14ac:dyDescent="0.2">
      <c r="C56" s="9" t="s">
        <v>8</v>
      </c>
      <c r="D56" s="51" t="s">
        <v>180</v>
      </c>
      <c r="E56" s="52">
        <f>总览!U6</f>
        <v>0</v>
      </c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</row>
    <row r="57" spans="3:33" ht="17.45" customHeight="1" x14ac:dyDescent="0.2">
      <c r="C57" s="11" t="s">
        <v>13</v>
      </c>
      <c r="D57" s="51" t="s">
        <v>180</v>
      </c>
      <c r="E57" s="52">
        <f>总览!U10</f>
        <v>0</v>
      </c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</row>
    <row r="58" spans="3:33" x14ac:dyDescent="0.2">
      <c r="C58" s="9" t="s">
        <v>14</v>
      </c>
      <c r="D58" s="51" t="s">
        <v>180</v>
      </c>
      <c r="E58" s="52">
        <f>总览!U11</f>
        <v>0</v>
      </c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</row>
    <row r="59" spans="3:33" x14ac:dyDescent="0.2">
      <c r="C59" s="9" t="s">
        <v>15</v>
      </c>
      <c r="D59" s="51" t="s">
        <v>180</v>
      </c>
      <c r="E59" s="52">
        <f>总览!U12</f>
        <v>0</v>
      </c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</row>
    <row r="60" spans="3:33" x14ac:dyDescent="0.2">
      <c r="C60" s="9" t="s">
        <v>16</v>
      </c>
      <c r="D60" s="51" t="s">
        <v>180</v>
      </c>
      <c r="E60" s="52">
        <f>总览!U13</f>
        <v>0</v>
      </c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</row>
    <row r="61" spans="3:33" x14ac:dyDescent="0.2">
      <c r="C61" s="9" t="s">
        <v>19</v>
      </c>
      <c r="D61" s="51" t="s">
        <v>180</v>
      </c>
      <c r="E61" s="52">
        <f>总览!U16</f>
        <v>0</v>
      </c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</row>
    <row r="62" spans="3:33" x14ac:dyDescent="0.2">
      <c r="C62" s="9" t="s">
        <v>20</v>
      </c>
      <c r="D62" s="51" t="s">
        <v>180</v>
      </c>
      <c r="E62" s="52">
        <f>总览!U17</f>
        <v>0</v>
      </c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</row>
    <row r="63" spans="3:33" x14ac:dyDescent="0.2">
      <c r="C63" s="9" t="s">
        <v>22</v>
      </c>
      <c r="D63" s="51" t="s">
        <v>180</v>
      </c>
      <c r="E63" s="52">
        <f>总览!U19</f>
        <v>0</v>
      </c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</row>
    <row r="64" spans="3:33" x14ac:dyDescent="0.2">
      <c r="C64" s="13" t="s">
        <v>23</v>
      </c>
      <c r="D64" s="51" t="s">
        <v>180</v>
      </c>
      <c r="E64" s="52">
        <f>总览!U20</f>
        <v>0</v>
      </c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</row>
    <row r="65" spans="3:33" x14ac:dyDescent="0.2">
      <c r="C65" s="13" t="s">
        <v>25</v>
      </c>
      <c r="D65" s="51" t="s">
        <v>3</v>
      </c>
      <c r="E65" s="52">
        <f>总览!F22</f>
        <v>0</v>
      </c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</row>
    <row r="66" spans="3:33" x14ac:dyDescent="0.2">
      <c r="C66" s="13" t="s">
        <v>26</v>
      </c>
      <c r="D66" s="51" t="s">
        <v>3</v>
      </c>
      <c r="E66" s="52">
        <f>总览!F23</f>
        <v>0</v>
      </c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</row>
    <row r="67" spans="3:33" x14ac:dyDescent="0.2">
      <c r="C67" s="13" t="s">
        <v>27</v>
      </c>
      <c r="D67" s="51" t="s">
        <v>3</v>
      </c>
      <c r="E67" s="52">
        <f>总览!F24</f>
        <v>0</v>
      </c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</row>
    <row r="68" spans="3:33" x14ac:dyDescent="0.2">
      <c r="C68" s="13" t="s">
        <v>28</v>
      </c>
      <c r="D68" s="51" t="s">
        <v>3</v>
      </c>
      <c r="E68" s="52">
        <f>总览!F25</f>
        <v>0</v>
      </c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</row>
    <row r="69" spans="3:33" x14ac:dyDescent="0.2">
      <c r="C69" s="28" t="s">
        <v>29</v>
      </c>
      <c r="D69" s="51" t="s">
        <v>3</v>
      </c>
      <c r="E69" s="52">
        <f>总览!F26</f>
        <v>0</v>
      </c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</row>
    <row r="70" spans="3:33" x14ac:dyDescent="0.2">
      <c r="C70" s="13" t="s">
        <v>25</v>
      </c>
      <c r="D70" s="51" t="s">
        <v>4</v>
      </c>
      <c r="E70" s="52">
        <f>总览!K22</f>
        <v>0</v>
      </c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</row>
    <row r="71" spans="3:33" x14ac:dyDescent="0.2">
      <c r="C71" s="13" t="s">
        <v>26</v>
      </c>
      <c r="D71" s="51" t="s">
        <v>4</v>
      </c>
      <c r="E71" s="52">
        <f>总览!K23</f>
        <v>0</v>
      </c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</row>
    <row r="72" spans="3:33" x14ac:dyDescent="0.2">
      <c r="C72" s="13" t="s">
        <v>27</v>
      </c>
      <c r="D72" s="51" t="s">
        <v>4</v>
      </c>
      <c r="E72" s="52">
        <f>总览!K24</f>
        <v>0</v>
      </c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</row>
    <row r="73" spans="3:33" x14ac:dyDescent="0.2">
      <c r="C73" s="13" t="s">
        <v>28</v>
      </c>
      <c r="D73" s="51" t="s">
        <v>4</v>
      </c>
      <c r="E73" s="52">
        <f>总览!K25</f>
        <v>0</v>
      </c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</row>
    <row r="74" spans="3:33" x14ac:dyDescent="0.2">
      <c r="C74" s="28" t="s">
        <v>29</v>
      </c>
      <c r="D74" s="51" t="s">
        <v>4</v>
      </c>
      <c r="E74" s="52">
        <f>总览!K26</f>
        <v>0</v>
      </c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</row>
    <row r="75" spans="3:33" x14ac:dyDescent="0.2">
      <c r="C75" s="13" t="s">
        <v>25</v>
      </c>
      <c r="D75" s="51" t="s">
        <v>5</v>
      </c>
      <c r="E75" s="52">
        <f>总览!P22</f>
        <v>0</v>
      </c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</row>
    <row r="76" spans="3:33" x14ac:dyDescent="0.2">
      <c r="C76" s="13" t="s">
        <v>26</v>
      </c>
      <c r="D76" s="51" t="s">
        <v>5</v>
      </c>
      <c r="E76" s="52">
        <f>总览!P23</f>
        <v>0</v>
      </c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</row>
    <row r="77" spans="3:33" x14ac:dyDescent="0.2">
      <c r="C77" s="13" t="s">
        <v>27</v>
      </c>
      <c r="D77" s="51" t="s">
        <v>5</v>
      </c>
      <c r="E77" s="52">
        <f>总览!P24</f>
        <v>0</v>
      </c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</row>
    <row r="78" spans="3:33" x14ac:dyDescent="0.2">
      <c r="C78" s="13" t="s">
        <v>28</v>
      </c>
      <c r="D78" s="51" t="s">
        <v>5</v>
      </c>
      <c r="E78" s="52">
        <f>总览!P25</f>
        <v>0</v>
      </c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</row>
    <row r="79" spans="3:33" x14ac:dyDescent="0.2">
      <c r="C79" s="28" t="s">
        <v>29</v>
      </c>
      <c r="D79" s="51" t="s">
        <v>5</v>
      </c>
      <c r="E79" s="52">
        <f>总览!P26</f>
        <v>0</v>
      </c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</row>
    <row r="80" spans="3:33" x14ac:dyDescent="0.2">
      <c r="C80" s="13" t="s">
        <v>28</v>
      </c>
      <c r="D80" s="51" t="s">
        <v>6</v>
      </c>
      <c r="E80" s="52">
        <f>总览!U25</f>
        <v>0</v>
      </c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</row>
    <row r="81" spans="3:33" x14ac:dyDescent="0.2">
      <c r="C81" s="28" t="s">
        <v>29</v>
      </c>
      <c r="D81" s="51" t="s">
        <v>6</v>
      </c>
      <c r="E81" s="52">
        <f>总览!U26</f>
        <v>0</v>
      </c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</row>
    <row r="82" spans="3:33" x14ac:dyDescent="0.2"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</row>
    <row r="83" spans="3:33" x14ac:dyDescent="0.2"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</row>
    <row r="84" spans="3:33" x14ac:dyDescent="0.2"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</row>
    <row r="85" spans="3:33" x14ac:dyDescent="0.2"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</row>
    <row r="86" spans="3:33" x14ac:dyDescent="0.2"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</row>
    <row r="87" spans="3:33" x14ac:dyDescent="0.2"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</row>
    <row r="88" spans="3:33" x14ac:dyDescent="0.2"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</row>
    <row r="89" spans="3:33" x14ac:dyDescent="0.2"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</row>
    <row r="90" spans="3:33" x14ac:dyDescent="0.2"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</row>
    <row r="91" spans="3:33" x14ac:dyDescent="0.2"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</row>
    <row r="92" spans="3:33" x14ac:dyDescent="0.2"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</row>
    <row r="93" spans="3:33" x14ac:dyDescent="0.2"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</row>
    <row r="94" spans="3:33" x14ac:dyDescent="0.2"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</row>
    <row r="95" spans="3:33" x14ac:dyDescent="0.2"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</row>
    <row r="96" spans="3:33" x14ac:dyDescent="0.2"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</row>
    <row r="97" spans="3:33" x14ac:dyDescent="0.2"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</row>
    <row r="98" spans="3:33" x14ac:dyDescent="0.2"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</row>
    <row r="99" spans="3:33" x14ac:dyDescent="0.2"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</row>
    <row r="100" spans="3:33" x14ac:dyDescent="0.2"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</row>
    <row r="101" spans="3:33" x14ac:dyDescent="0.2"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</row>
    <row r="102" spans="3:33" x14ac:dyDescent="0.2"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</row>
  </sheetData>
  <mergeCells count="39">
    <mergeCell ref="Z27:AD28"/>
    <mergeCell ref="A1:Z6"/>
    <mergeCell ref="C7:E9"/>
    <mergeCell ref="I7:K10"/>
    <mergeCell ref="F11:H12"/>
    <mergeCell ref="P12:S13"/>
    <mergeCell ref="F14:G14"/>
    <mergeCell ref="T14:W15"/>
    <mergeCell ref="Z9:AD13"/>
    <mergeCell ref="T12:W13"/>
    <mergeCell ref="P7:W10"/>
    <mergeCell ref="P11:W11"/>
    <mergeCell ref="P14:P15"/>
    <mergeCell ref="M7:N10"/>
    <mergeCell ref="M11:M13"/>
    <mergeCell ref="N11:N13"/>
    <mergeCell ref="Q14:S15"/>
    <mergeCell ref="P28:W32"/>
    <mergeCell ref="Q33:S33"/>
    <mergeCell ref="Q34:S34"/>
    <mergeCell ref="Q35:S35"/>
    <mergeCell ref="P22:P23"/>
    <mergeCell ref="Q22:S23"/>
    <mergeCell ref="P24:P25"/>
    <mergeCell ref="Q24:S25"/>
    <mergeCell ref="AA16:AC16"/>
    <mergeCell ref="T16:W17"/>
    <mergeCell ref="P16:P17"/>
    <mergeCell ref="P20:P21"/>
    <mergeCell ref="Q20:S21"/>
    <mergeCell ref="P18:P19"/>
    <mergeCell ref="Q16:S17"/>
    <mergeCell ref="Q18:S19"/>
    <mergeCell ref="P43:AC47"/>
    <mergeCell ref="Q36:S36"/>
    <mergeCell ref="Q37:S37"/>
    <mergeCell ref="U33:W33"/>
    <mergeCell ref="U34:W34"/>
    <mergeCell ref="Z29:AD3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E072-F2D1-4ABC-925C-966AD483AD2E}">
  <sheetPr codeName="Sheet4"/>
  <dimension ref="A1:AK315"/>
  <sheetViews>
    <sheetView topLeftCell="A17" zoomScale="85" zoomScaleNormal="85" workbookViewId="0">
      <selection activeCell="A28" sqref="A28:D28"/>
    </sheetView>
  </sheetViews>
  <sheetFormatPr defaultRowHeight="14.25" x14ac:dyDescent="0.2"/>
  <cols>
    <col min="7" max="7" width="15.625" customWidth="1"/>
  </cols>
  <sheetData>
    <row r="1" spans="1:37" ht="14.25" customHeight="1" x14ac:dyDescent="0.2">
      <c r="A1" s="169" t="s">
        <v>187</v>
      </c>
      <c r="B1" s="169"/>
      <c r="C1" s="169"/>
      <c r="D1" s="169"/>
      <c r="E1" s="169" t="s">
        <v>190</v>
      </c>
      <c r="F1" s="169"/>
      <c r="G1" s="169"/>
      <c r="H1" s="175" t="s">
        <v>188</v>
      </c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6" t="s">
        <v>266</v>
      </c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</row>
    <row r="2" spans="1:37" ht="14.25" customHeight="1" x14ac:dyDescent="0.2">
      <c r="A2" s="169"/>
      <c r="B2" s="169"/>
      <c r="C2" s="169"/>
      <c r="D2" s="169"/>
      <c r="E2" s="169"/>
      <c r="F2" s="169"/>
      <c r="G2" s="169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7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</row>
    <row r="3" spans="1:37" ht="30" customHeight="1" x14ac:dyDescent="0.2">
      <c r="A3" s="170" t="s">
        <v>189</v>
      </c>
      <c r="B3" s="170"/>
      <c r="C3" s="170"/>
      <c r="D3" s="170"/>
      <c r="E3" s="171" t="s">
        <v>191</v>
      </c>
      <c r="F3" s="172"/>
      <c r="G3" s="173"/>
      <c r="H3" s="174" t="s">
        <v>225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</row>
    <row r="4" spans="1:37" ht="30" customHeight="1" x14ac:dyDescent="0.2">
      <c r="A4" s="170" t="s">
        <v>203</v>
      </c>
      <c r="B4" s="170"/>
      <c r="C4" s="170"/>
      <c r="D4" s="170"/>
      <c r="E4" s="171" t="s">
        <v>213</v>
      </c>
      <c r="F4" s="172"/>
      <c r="G4" s="173"/>
      <c r="H4" s="174" t="s">
        <v>204</v>
      </c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</row>
    <row r="5" spans="1:37" ht="30" customHeight="1" x14ac:dyDescent="0.2">
      <c r="A5" s="170" t="s">
        <v>205</v>
      </c>
      <c r="B5" s="170"/>
      <c r="C5" s="170"/>
      <c r="D5" s="170"/>
      <c r="E5" s="171" t="s">
        <v>214</v>
      </c>
      <c r="F5" s="172"/>
      <c r="G5" s="173"/>
      <c r="H5" s="174" t="s">
        <v>206</v>
      </c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</row>
    <row r="6" spans="1:37" ht="30" customHeight="1" x14ac:dyDescent="0.2">
      <c r="A6" s="170" t="s">
        <v>208</v>
      </c>
      <c r="B6" s="170"/>
      <c r="C6" s="170"/>
      <c r="D6" s="170"/>
      <c r="E6" s="171" t="s">
        <v>215</v>
      </c>
      <c r="F6" s="172"/>
      <c r="G6" s="173"/>
      <c r="H6" s="174" t="s">
        <v>209</v>
      </c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</row>
    <row r="7" spans="1:37" ht="30" customHeight="1" x14ac:dyDescent="0.2">
      <c r="A7" s="170" t="s">
        <v>211</v>
      </c>
      <c r="B7" s="170"/>
      <c r="C7" s="170"/>
      <c r="D7" s="170"/>
      <c r="E7" s="171" t="s">
        <v>216</v>
      </c>
      <c r="F7" s="172"/>
      <c r="G7" s="173"/>
      <c r="H7" s="174" t="s">
        <v>210</v>
      </c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</row>
    <row r="8" spans="1:37" ht="30" customHeight="1" x14ac:dyDescent="0.2">
      <c r="A8" s="170" t="s">
        <v>267</v>
      </c>
      <c r="B8" s="170"/>
      <c r="C8" s="170"/>
      <c r="D8" s="170"/>
      <c r="E8" s="171" t="s">
        <v>268</v>
      </c>
      <c r="F8" s="172"/>
      <c r="G8" s="173"/>
      <c r="H8" s="174" t="s">
        <v>269</v>
      </c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</row>
    <row r="9" spans="1:37" ht="30" customHeight="1" x14ac:dyDescent="0.2">
      <c r="A9" s="170" t="s">
        <v>270</v>
      </c>
      <c r="B9" s="170"/>
      <c r="C9" s="170"/>
      <c r="D9" s="170"/>
      <c r="E9" s="171" t="s">
        <v>271</v>
      </c>
      <c r="F9" s="172"/>
      <c r="G9" s="173"/>
      <c r="H9" s="174" t="s">
        <v>212</v>
      </c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</row>
    <row r="10" spans="1:37" ht="30" customHeight="1" x14ac:dyDescent="0.2">
      <c r="A10" s="170" t="s">
        <v>272</v>
      </c>
      <c r="B10" s="170"/>
      <c r="C10" s="170"/>
      <c r="D10" s="170"/>
      <c r="E10" s="171" t="s">
        <v>273</v>
      </c>
      <c r="F10" s="172"/>
      <c r="G10" s="173"/>
      <c r="H10" s="174" t="s">
        <v>221</v>
      </c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</row>
    <row r="11" spans="1:37" ht="30" customHeight="1" x14ac:dyDescent="0.2">
      <c r="A11" s="170" t="s">
        <v>274</v>
      </c>
      <c r="B11" s="170"/>
      <c r="C11" s="170"/>
      <c r="D11" s="170"/>
      <c r="E11" s="171" t="s">
        <v>275</v>
      </c>
      <c r="F11" s="172"/>
      <c r="G11" s="173"/>
      <c r="H11" s="174" t="s">
        <v>226</v>
      </c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</row>
    <row r="12" spans="1:37" ht="30" customHeight="1" x14ac:dyDescent="0.2">
      <c r="A12" s="170" t="s">
        <v>276</v>
      </c>
      <c r="B12" s="170"/>
      <c r="C12" s="170"/>
      <c r="D12" s="170"/>
      <c r="E12" s="171" t="s">
        <v>277</v>
      </c>
      <c r="F12" s="172"/>
      <c r="G12" s="173"/>
      <c r="H12" s="174" t="s">
        <v>237</v>
      </c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</row>
    <row r="13" spans="1:37" ht="30" customHeight="1" x14ac:dyDescent="0.2">
      <c r="A13" s="170" t="s">
        <v>278</v>
      </c>
      <c r="B13" s="170"/>
      <c r="C13" s="170"/>
      <c r="D13" s="170"/>
      <c r="E13" s="171" t="s">
        <v>279</v>
      </c>
      <c r="F13" s="172"/>
      <c r="G13" s="173"/>
      <c r="H13" s="174" t="s">
        <v>238</v>
      </c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</row>
    <row r="14" spans="1:37" ht="30" customHeight="1" x14ac:dyDescent="0.2">
      <c r="A14" s="170" t="s">
        <v>280</v>
      </c>
      <c r="B14" s="170"/>
      <c r="C14" s="170"/>
      <c r="D14" s="170"/>
      <c r="E14" s="171" t="s">
        <v>281</v>
      </c>
      <c r="F14" s="172"/>
      <c r="G14" s="173"/>
      <c r="H14" s="174" t="s">
        <v>240</v>
      </c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</row>
    <row r="15" spans="1:37" ht="30" customHeight="1" x14ac:dyDescent="0.2">
      <c r="A15" s="170" t="s">
        <v>282</v>
      </c>
      <c r="B15" s="170"/>
      <c r="C15" s="170"/>
      <c r="D15" s="170"/>
      <c r="E15" s="171" t="s">
        <v>283</v>
      </c>
      <c r="F15" s="172"/>
      <c r="G15" s="173"/>
      <c r="H15" s="174" t="s">
        <v>241</v>
      </c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</row>
    <row r="16" spans="1:37" ht="30" customHeight="1" x14ac:dyDescent="0.2">
      <c r="A16" s="170" t="s">
        <v>284</v>
      </c>
      <c r="B16" s="170"/>
      <c r="C16" s="170"/>
      <c r="D16" s="170"/>
      <c r="E16" s="171" t="s">
        <v>285</v>
      </c>
      <c r="F16" s="172"/>
      <c r="G16" s="173"/>
      <c r="H16" s="174" t="s">
        <v>244</v>
      </c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</row>
    <row r="17" spans="1:37" ht="30" customHeight="1" x14ac:dyDescent="0.2">
      <c r="A17" s="170" t="s">
        <v>286</v>
      </c>
      <c r="B17" s="170"/>
      <c r="C17" s="170"/>
      <c r="D17" s="170"/>
      <c r="E17" s="171" t="s">
        <v>287</v>
      </c>
      <c r="F17" s="172"/>
      <c r="G17" s="173"/>
      <c r="H17" s="174" t="s">
        <v>245</v>
      </c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</row>
    <row r="18" spans="1:37" ht="30" customHeight="1" x14ac:dyDescent="0.2">
      <c r="A18" s="170" t="s">
        <v>288</v>
      </c>
      <c r="B18" s="170"/>
      <c r="C18" s="170"/>
      <c r="D18" s="170"/>
      <c r="E18" s="171" t="s">
        <v>289</v>
      </c>
      <c r="F18" s="172"/>
      <c r="G18" s="173"/>
      <c r="H18" s="174" t="s">
        <v>290</v>
      </c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</row>
    <row r="19" spans="1:37" ht="30" customHeight="1" x14ac:dyDescent="0.2">
      <c r="A19" s="170" t="s">
        <v>291</v>
      </c>
      <c r="B19" s="170"/>
      <c r="C19" s="170"/>
      <c r="D19" s="170"/>
      <c r="E19" s="171" t="s">
        <v>292</v>
      </c>
      <c r="F19" s="172"/>
      <c r="G19" s="173"/>
      <c r="H19" s="174" t="s">
        <v>246</v>
      </c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</row>
    <row r="20" spans="1:37" ht="30" customHeight="1" x14ac:dyDescent="0.2">
      <c r="A20" s="170" t="s">
        <v>293</v>
      </c>
      <c r="B20" s="170"/>
      <c r="C20" s="170"/>
      <c r="D20" s="170"/>
      <c r="E20" s="171" t="s">
        <v>294</v>
      </c>
      <c r="F20" s="172"/>
      <c r="G20" s="173"/>
      <c r="H20" s="174" t="s">
        <v>247</v>
      </c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</row>
    <row r="21" spans="1:37" ht="30" customHeight="1" x14ac:dyDescent="0.2">
      <c r="A21" s="170" t="s">
        <v>295</v>
      </c>
      <c r="B21" s="170"/>
      <c r="C21" s="170"/>
      <c r="D21" s="170"/>
      <c r="E21" s="171" t="s">
        <v>296</v>
      </c>
      <c r="F21" s="172"/>
      <c r="G21" s="173"/>
      <c r="H21" s="174" t="s">
        <v>297</v>
      </c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</row>
    <row r="22" spans="1:37" ht="30" customHeight="1" x14ac:dyDescent="0.2">
      <c r="A22" s="170" t="s">
        <v>298</v>
      </c>
      <c r="B22" s="170"/>
      <c r="C22" s="170"/>
      <c r="D22" s="170"/>
      <c r="E22" s="171" t="s">
        <v>299</v>
      </c>
      <c r="F22" s="172"/>
      <c r="G22" s="173"/>
      <c r="H22" s="174" t="s">
        <v>254</v>
      </c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</row>
    <row r="23" spans="1:37" ht="30" customHeight="1" x14ac:dyDescent="0.2">
      <c r="A23" s="170" t="s">
        <v>300</v>
      </c>
      <c r="B23" s="170"/>
      <c r="C23" s="170"/>
      <c r="D23" s="170"/>
      <c r="E23" s="171" t="s">
        <v>301</v>
      </c>
      <c r="F23" s="172"/>
      <c r="G23" s="173"/>
      <c r="H23" s="174" t="s">
        <v>257</v>
      </c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</row>
    <row r="24" spans="1:37" ht="30" customHeight="1" x14ac:dyDescent="0.2">
      <c r="A24" s="170" t="s">
        <v>302</v>
      </c>
      <c r="B24" s="170"/>
      <c r="C24" s="170"/>
      <c r="D24" s="170"/>
      <c r="E24" s="171" t="s">
        <v>303</v>
      </c>
      <c r="F24" s="172"/>
      <c r="G24" s="173"/>
      <c r="H24" s="174" t="s">
        <v>258</v>
      </c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</row>
    <row r="25" spans="1:37" ht="30" customHeight="1" x14ac:dyDescent="0.2">
      <c r="A25" s="170" t="s">
        <v>304</v>
      </c>
      <c r="B25" s="170"/>
      <c r="C25" s="170"/>
      <c r="D25" s="170"/>
      <c r="E25" s="171" t="s">
        <v>259</v>
      </c>
      <c r="F25" s="172"/>
      <c r="G25" s="173"/>
      <c r="H25" s="174" t="s">
        <v>260</v>
      </c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  <c r="W25" s="174"/>
      <c r="X25" s="174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</row>
    <row r="26" spans="1:37" ht="30" customHeight="1" x14ac:dyDescent="0.2">
      <c r="A26" s="170" t="s">
        <v>305</v>
      </c>
      <c r="B26" s="170"/>
      <c r="C26" s="170"/>
      <c r="D26" s="170"/>
      <c r="E26" s="171" t="s">
        <v>262</v>
      </c>
      <c r="F26" s="172"/>
      <c r="G26" s="173"/>
      <c r="H26" s="174" t="s">
        <v>261</v>
      </c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</row>
    <row r="27" spans="1:37" ht="30" customHeight="1" x14ac:dyDescent="0.2">
      <c r="A27" s="170" t="s">
        <v>306</v>
      </c>
      <c r="B27" s="170"/>
      <c r="C27" s="170"/>
      <c r="D27" s="170"/>
      <c r="E27" s="171" t="s">
        <v>307</v>
      </c>
      <c r="F27" s="172"/>
      <c r="G27" s="173"/>
      <c r="H27" s="174" t="s">
        <v>263</v>
      </c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</row>
    <row r="28" spans="1:37" ht="30" customHeight="1" x14ac:dyDescent="0.2">
      <c r="A28" s="170" t="s">
        <v>308</v>
      </c>
      <c r="B28" s="170"/>
      <c r="C28" s="170"/>
      <c r="D28" s="170"/>
      <c r="E28" s="171" t="s">
        <v>265</v>
      </c>
      <c r="F28" s="172"/>
      <c r="G28" s="173"/>
      <c r="H28" s="174" t="s">
        <v>264</v>
      </c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</row>
    <row r="29" spans="1:37" ht="30" customHeight="1" x14ac:dyDescent="0.2">
      <c r="A29" s="170"/>
      <c r="B29" s="170"/>
      <c r="C29" s="170"/>
      <c r="D29" s="170"/>
      <c r="E29" s="171"/>
      <c r="F29" s="172"/>
      <c r="G29" s="173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</row>
    <row r="30" spans="1:37" ht="30" customHeight="1" x14ac:dyDescent="0.2">
      <c r="A30" s="170"/>
      <c r="B30" s="170"/>
      <c r="C30" s="170"/>
      <c r="D30" s="170"/>
      <c r="E30" s="171"/>
      <c r="F30" s="172"/>
      <c r="G30" s="173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</row>
    <row r="31" spans="1:37" ht="30" customHeight="1" x14ac:dyDescent="0.2">
      <c r="A31" s="170"/>
      <c r="B31" s="170"/>
      <c r="C31" s="170"/>
      <c r="D31" s="170"/>
      <c r="E31" s="171"/>
      <c r="F31" s="172"/>
      <c r="G31" s="173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</row>
    <row r="32" spans="1:37" ht="30" customHeight="1" x14ac:dyDescent="0.2">
      <c r="A32" s="170"/>
      <c r="B32" s="170"/>
      <c r="C32" s="170"/>
      <c r="D32" s="170"/>
      <c r="E32" s="171"/>
      <c r="F32" s="172"/>
      <c r="G32" s="173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</row>
    <row r="33" spans="1:37" ht="30" customHeight="1" x14ac:dyDescent="0.2">
      <c r="A33" s="170"/>
      <c r="B33" s="170"/>
      <c r="C33" s="170"/>
      <c r="D33" s="170"/>
      <c r="E33" s="171"/>
      <c r="F33" s="172"/>
      <c r="G33" s="173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</row>
    <row r="34" spans="1:37" ht="30" customHeight="1" x14ac:dyDescent="0.2">
      <c r="A34" s="170"/>
      <c r="B34" s="170"/>
      <c r="C34" s="170"/>
      <c r="D34" s="170"/>
      <c r="E34" s="171"/>
      <c r="F34" s="172"/>
      <c r="G34" s="173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</row>
    <row r="35" spans="1:37" ht="30" customHeight="1" x14ac:dyDescent="0.2">
      <c r="A35" s="170"/>
      <c r="B35" s="170"/>
      <c r="C35" s="170"/>
      <c r="D35" s="170"/>
      <c r="E35" s="171"/>
      <c r="F35" s="172"/>
      <c r="G35" s="173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</row>
    <row r="36" spans="1:37" ht="30" customHeight="1" x14ac:dyDescent="0.2">
      <c r="A36" s="170"/>
      <c r="B36" s="170"/>
      <c r="C36" s="170"/>
      <c r="D36" s="170"/>
      <c r="E36" s="171"/>
      <c r="F36" s="172"/>
      <c r="G36" s="173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</row>
    <row r="37" spans="1:37" ht="30" customHeight="1" x14ac:dyDescent="0.2">
      <c r="A37" s="170"/>
      <c r="B37" s="170"/>
      <c r="C37" s="170"/>
      <c r="D37" s="170"/>
      <c r="E37" s="171"/>
      <c r="F37" s="172"/>
      <c r="G37" s="173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</row>
    <row r="38" spans="1:37" ht="30" customHeight="1" x14ac:dyDescent="0.2">
      <c r="A38" s="170"/>
      <c r="B38" s="170"/>
      <c r="C38" s="170"/>
      <c r="D38" s="170"/>
      <c r="E38" s="171"/>
      <c r="F38" s="172"/>
      <c r="G38" s="173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</row>
    <row r="39" spans="1:37" ht="30" customHeight="1" x14ac:dyDescent="0.2">
      <c r="A39" s="170"/>
      <c r="B39" s="170"/>
      <c r="C39" s="170"/>
      <c r="D39" s="170"/>
      <c r="E39" s="171"/>
      <c r="F39" s="172"/>
      <c r="G39" s="173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</row>
    <row r="40" spans="1:37" ht="30" customHeight="1" x14ac:dyDescent="0.2">
      <c r="A40" s="170"/>
      <c r="B40" s="170"/>
      <c r="C40" s="170"/>
      <c r="D40" s="170"/>
      <c r="E40" s="171"/>
      <c r="F40" s="172"/>
      <c r="G40" s="173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</row>
    <row r="41" spans="1:37" ht="30" customHeight="1" x14ac:dyDescent="0.2">
      <c r="A41" s="170"/>
      <c r="B41" s="170"/>
      <c r="C41" s="170"/>
      <c r="D41" s="170"/>
      <c r="E41" s="171"/>
      <c r="F41" s="172"/>
      <c r="G41" s="173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</row>
    <row r="42" spans="1:37" ht="30" customHeight="1" x14ac:dyDescent="0.2">
      <c r="A42" s="170"/>
      <c r="B42" s="170"/>
      <c r="C42" s="170"/>
      <c r="D42" s="170"/>
      <c r="E42" s="171"/>
      <c r="F42" s="172"/>
      <c r="G42" s="173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</row>
    <row r="43" spans="1:37" ht="30" customHeight="1" x14ac:dyDescent="0.2">
      <c r="A43" s="170"/>
      <c r="B43" s="170"/>
      <c r="C43" s="170"/>
      <c r="D43" s="170"/>
      <c r="E43" s="171"/>
      <c r="F43" s="172"/>
      <c r="G43" s="173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</row>
    <row r="44" spans="1:37" ht="30" customHeight="1" x14ac:dyDescent="0.2">
      <c r="A44" s="170"/>
      <c r="B44" s="170"/>
      <c r="C44" s="170"/>
      <c r="D44" s="170"/>
      <c r="E44" s="171"/>
      <c r="F44" s="172"/>
      <c r="G44" s="173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</row>
    <row r="45" spans="1:37" ht="30" customHeight="1" x14ac:dyDescent="0.2">
      <c r="A45" s="170"/>
      <c r="B45" s="170"/>
      <c r="C45" s="170"/>
      <c r="D45" s="170"/>
      <c r="E45" s="171"/>
      <c r="F45" s="172"/>
      <c r="G45" s="173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</row>
    <row r="46" spans="1:37" ht="30" customHeight="1" x14ac:dyDescent="0.2">
      <c r="A46" s="170"/>
      <c r="B46" s="170"/>
      <c r="C46" s="170"/>
      <c r="D46" s="170"/>
      <c r="E46" s="171"/>
      <c r="F46" s="172"/>
      <c r="G46" s="173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</row>
    <row r="47" spans="1:37" ht="30" customHeight="1" x14ac:dyDescent="0.2">
      <c r="A47" s="170"/>
      <c r="B47" s="170"/>
      <c r="C47" s="170"/>
      <c r="D47" s="170"/>
      <c r="E47" s="171"/>
      <c r="F47" s="172"/>
      <c r="G47" s="173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</row>
    <row r="48" spans="1:37" ht="30" customHeight="1" x14ac:dyDescent="0.2">
      <c r="A48" s="170"/>
      <c r="B48" s="170"/>
      <c r="C48" s="170"/>
      <c r="D48" s="170"/>
      <c r="E48" s="171"/>
      <c r="F48" s="172"/>
      <c r="G48" s="173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</row>
    <row r="49" spans="1:37" ht="30" customHeight="1" x14ac:dyDescent="0.2">
      <c r="A49" s="170"/>
      <c r="B49" s="170"/>
      <c r="C49" s="170"/>
      <c r="D49" s="170"/>
      <c r="E49" s="171"/>
      <c r="F49" s="172"/>
      <c r="G49" s="173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</row>
    <row r="50" spans="1:37" ht="30" customHeight="1" x14ac:dyDescent="0.2">
      <c r="A50" s="170"/>
      <c r="B50" s="170"/>
      <c r="C50" s="170"/>
      <c r="D50" s="170"/>
      <c r="E50" s="171"/>
      <c r="F50" s="172"/>
      <c r="G50" s="173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</row>
    <row r="51" spans="1:37" ht="30" customHeight="1" x14ac:dyDescent="0.2">
      <c r="A51" s="170"/>
      <c r="B51" s="170"/>
      <c r="C51" s="170"/>
      <c r="D51" s="170"/>
      <c r="E51" s="171"/>
      <c r="F51" s="172"/>
      <c r="G51" s="173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</row>
    <row r="52" spans="1:37" ht="30" customHeight="1" x14ac:dyDescent="0.2">
      <c r="A52" s="170"/>
      <c r="B52" s="170"/>
      <c r="C52" s="170"/>
      <c r="D52" s="170"/>
      <c r="E52" s="171"/>
      <c r="F52" s="172"/>
      <c r="G52" s="173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</row>
    <row r="53" spans="1:37" ht="30" customHeight="1" x14ac:dyDescent="0.2">
      <c r="A53" s="170"/>
      <c r="B53" s="170"/>
      <c r="C53" s="170"/>
      <c r="D53" s="170"/>
      <c r="E53" s="171"/>
      <c r="F53" s="172"/>
      <c r="G53" s="173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</row>
    <row r="54" spans="1:37" ht="30" customHeight="1" x14ac:dyDescent="0.2">
      <c r="A54" s="170"/>
      <c r="B54" s="170"/>
      <c r="C54" s="170"/>
      <c r="D54" s="170"/>
      <c r="E54" s="171"/>
      <c r="F54" s="172"/>
      <c r="G54" s="173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</row>
    <row r="55" spans="1:37" ht="30" customHeight="1" x14ac:dyDescent="0.2">
      <c r="A55" s="170"/>
      <c r="B55" s="170"/>
      <c r="C55" s="170"/>
      <c r="D55" s="170"/>
      <c r="E55" s="171"/>
      <c r="F55" s="172"/>
      <c r="G55" s="173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</row>
    <row r="56" spans="1:37" ht="30" customHeight="1" x14ac:dyDescent="0.2">
      <c r="A56" s="170"/>
      <c r="B56" s="170"/>
      <c r="C56" s="170"/>
      <c r="D56" s="170"/>
      <c r="E56" s="171"/>
      <c r="F56" s="172"/>
      <c r="G56" s="173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</row>
    <row r="57" spans="1:37" ht="30" customHeight="1" x14ac:dyDescent="0.2">
      <c r="A57" s="170"/>
      <c r="B57" s="170"/>
      <c r="C57" s="170"/>
      <c r="D57" s="170"/>
      <c r="E57" s="171"/>
      <c r="F57" s="172"/>
      <c r="G57" s="173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</row>
    <row r="58" spans="1:37" ht="30" customHeight="1" x14ac:dyDescent="0.2">
      <c r="A58" s="170"/>
      <c r="B58" s="170"/>
      <c r="C58" s="170"/>
      <c r="D58" s="170"/>
      <c r="E58" s="171"/>
      <c r="F58" s="172"/>
      <c r="G58" s="173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</row>
    <row r="59" spans="1:37" ht="30" customHeight="1" x14ac:dyDescent="0.2">
      <c r="A59" s="170"/>
      <c r="B59" s="170"/>
      <c r="C59" s="170"/>
      <c r="D59" s="170"/>
      <c r="E59" s="171"/>
      <c r="F59" s="172"/>
      <c r="G59" s="173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</row>
    <row r="60" spans="1:37" ht="30" customHeight="1" x14ac:dyDescent="0.2">
      <c r="A60" s="170"/>
      <c r="B60" s="170"/>
      <c r="C60" s="170"/>
      <c r="D60" s="170"/>
      <c r="E60" s="171"/>
      <c r="F60" s="172"/>
      <c r="G60" s="173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</row>
    <row r="61" spans="1:37" ht="30" customHeight="1" x14ac:dyDescent="0.2">
      <c r="A61" s="170"/>
      <c r="B61" s="170"/>
      <c r="C61" s="170"/>
      <c r="D61" s="170"/>
      <c r="E61" s="171"/>
      <c r="F61" s="172"/>
      <c r="G61" s="173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</row>
    <row r="62" spans="1:37" ht="30" customHeight="1" x14ac:dyDescent="0.2">
      <c r="A62" s="170"/>
      <c r="B62" s="170"/>
      <c r="C62" s="170"/>
      <c r="D62" s="170"/>
      <c r="E62" s="171"/>
      <c r="F62" s="172"/>
      <c r="G62" s="173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</row>
    <row r="63" spans="1:37" ht="30" customHeight="1" x14ac:dyDescent="0.2">
      <c r="A63" s="170"/>
      <c r="B63" s="170"/>
      <c r="C63" s="170"/>
      <c r="D63" s="170"/>
      <c r="E63" s="171"/>
      <c r="F63" s="172"/>
      <c r="G63" s="173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</row>
    <row r="64" spans="1:37" ht="30" customHeight="1" x14ac:dyDescent="0.2">
      <c r="A64" s="170"/>
      <c r="B64" s="170"/>
      <c r="C64" s="170"/>
      <c r="D64" s="170"/>
      <c r="E64" s="171"/>
      <c r="F64" s="172"/>
      <c r="G64" s="173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</row>
    <row r="65" spans="1:37" ht="30" customHeight="1" x14ac:dyDescent="0.2">
      <c r="A65" s="170"/>
      <c r="B65" s="170"/>
      <c r="C65" s="170"/>
      <c r="D65" s="170"/>
      <c r="E65" s="171"/>
      <c r="F65" s="172"/>
      <c r="G65" s="173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</row>
    <row r="66" spans="1:37" ht="30" customHeight="1" x14ac:dyDescent="0.2">
      <c r="A66" s="170"/>
      <c r="B66" s="170"/>
      <c r="C66" s="170"/>
      <c r="D66" s="170"/>
      <c r="E66" s="171"/>
      <c r="F66" s="172"/>
      <c r="G66" s="173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</row>
    <row r="67" spans="1:37" ht="30" customHeight="1" x14ac:dyDescent="0.2">
      <c r="A67" s="170"/>
      <c r="B67" s="170"/>
      <c r="C67" s="170"/>
      <c r="D67" s="170"/>
      <c r="E67" s="171"/>
      <c r="F67" s="172"/>
      <c r="G67" s="173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</row>
    <row r="68" spans="1:37" ht="30" customHeight="1" x14ac:dyDescent="0.2">
      <c r="A68" s="170"/>
      <c r="B68" s="170"/>
      <c r="C68" s="170"/>
      <c r="D68" s="170"/>
      <c r="E68" s="171"/>
      <c r="F68" s="172"/>
      <c r="G68" s="173"/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</row>
    <row r="69" spans="1:37" ht="30" customHeight="1" x14ac:dyDescent="0.2">
      <c r="A69" s="170"/>
      <c r="B69" s="170"/>
      <c r="C69" s="170"/>
      <c r="D69" s="170"/>
      <c r="E69" s="171"/>
      <c r="F69" s="172"/>
      <c r="G69" s="173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</row>
    <row r="70" spans="1:37" ht="30" customHeight="1" x14ac:dyDescent="0.2">
      <c r="A70" s="170"/>
      <c r="B70" s="170"/>
      <c r="C70" s="170"/>
      <c r="D70" s="170"/>
      <c r="E70" s="171"/>
      <c r="F70" s="172"/>
      <c r="G70" s="173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</row>
    <row r="71" spans="1:37" ht="30" customHeight="1" x14ac:dyDescent="0.2">
      <c r="A71" s="170"/>
      <c r="B71" s="170"/>
      <c r="C71" s="170"/>
      <c r="D71" s="170"/>
      <c r="E71" s="171"/>
      <c r="F71" s="172"/>
      <c r="G71" s="173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74"/>
      <c r="S71" s="174"/>
      <c r="T71" s="174"/>
      <c r="U71" s="174"/>
      <c r="V71" s="174"/>
      <c r="W71" s="174"/>
      <c r="X71" s="174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</row>
    <row r="72" spans="1:37" ht="30" customHeight="1" x14ac:dyDescent="0.2">
      <c r="A72" s="170"/>
      <c r="B72" s="170"/>
      <c r="C72" s="170"/>
      <c r="D72" s="170"/>
      <c r="E72" s="171"/>
      <c r="F72" s="172"/>
      <c r="G72" s="173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</row>
    <row r="73" spans="1:37" ht="30" customHeight="1" x14ac:dyDescent="0.2">
      <c r="A73" s="170"/>
      <c r="B73" s="170"/>
      <c r="C73" s="170"/>
      <c r="D73" s="170"/>
      <c r="E73" s="171"/>
      <c r="F73" s="172"/>
      <c r="G73" s="173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4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</row>
    <row r="74" spans="1:37" ht="30" customHeight="1" x14ac:dyDescent="0.2">
      <c r="A74" s="170"/>
      <c r="B74" s="170"/>
      <c r="C74" s="170"/>
      <c r="D74" s="170"/>
      <c r="E74" s="171"/>
      <c r="F74" s="172"/>
      <c r="G74" s="173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  <c r="W74" s="174"/>
      <c r="X74" s="174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</row>
    <row r="75" spans="1:37" ht="30" customHeight="1" x14ac:dyDescent="0.2">
      <c r="A75" s="170"/>
      <c r="B75" s="170"/>
      <c r="C75" s="170"/>
      <c r="D75" s="170"/>
      <c r="E75" s="171"/>
      <c r="F75" s="172"/>
      <c r="G75" s="173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</row>
    <row r="76" spans="1:37" ht="30" customHeight="1" x14ac:dyDescent="0.2">
      <c r="A76" s="170"/>
      <c r="B76" s="170"/>
      <c r="C76" s="170"/>
      <c r="D76" s="170"/>
      <c r="E76" s="171"/>
      <c r="F76" s="172"/>
      <c r="G76" s="173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</row>
    <row r="77" spans="1:37" ht="30" customHeight="1" x14ac:dyDescent="0.2">
      <c r="A77" s="170"/>
      <c r="B77" s="170"/>
      <c r="C77" s="170"/>
      <c r="D77" s="170"/>
      <c r="E77" s="171"/>
      <c r="F77" s="172"/>
      <c r="G77" s="173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</row>
    <row r="78" spans="1:37" ht="30" customHeight="1" x14ac:dyDescent="0.2">
      <c r="A78" s="170"/>
      <c r="B78" s="170"/>
      <c r="C78" s="170"/>
      <c r="D78" s="170"/>
      <c r="E78" s="171"/>
      <c r="F78" s="172"/>
      <c r="G78" s="173"/>
      <c r="H78" s="174"/>
      <c r="I78" s="174"/>
      <c r="J78" s="174"/>
      <c r="K78" s="174"/>
      <c r="L78" s="174"/>
      <c r="M78" s="174"/>
      <c r="N78" s="174"/>
      <c r="O78" s="174"/>
      <c r="P78" s="174"/>
      <c r="Q78" s="174"/>
      <c r="R78" s="174"/>
      <c r="S78" s="174"/>
      <c r="T78" s="174"/>
      <c r="U78" s="174"/>
      <c r="V78" s="174"/>
      <c r="W78" s="174"/>
      <c r="X78" s="174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</row>
    <row r="79" spans="1:37" ht="30" customHeight="1" x14ac:dyDescent="0.2">
      <c r="A79" s="170"/>
      <c r="B79" s="170"/>
      <c r="C79" s="170"/>
      <c r="D79" s="170"/>
      <c r="E79" s="171"/>
      <c r="F79" s="172"/>
      <c r="G79" s="173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174"/>
      <c r="W79" s="174"/>
      <c r="X79" s="174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</row>
    <row r="80" spans="1:37" ht="30" customHeight="1" x14ac:dyDescent="0.2">
      <c r="A80" s="170"/>
      <c r="B80" s="170"/>
      <c r="C80" s="170"/>
      <c r="D80" s="170"/>
      <c r="E80" s="171"/>
      <c r="F80" s="172"/>
      <c r="G80" s="173"/>
      <c r="H80" s="174"/>
      <c r="I80" s="174"/>
      <c r="J80" s="174"/>
      <c r="K80" s="174"/>
      <c r="L80" s="174"/>
      <c r="M80" s="174"/>
      <c r="N80" s="174"/>
      <c r="O80" s="174"/>
      <c r="P80" s="174"/>
      <c r="Q80" s="174"/>
      <c r="R80" s="174"/>
      <c r="S80" s="174"/>
      <c r="T80" s="174"/>
      <c r="U80" s="174"/>
      <c r="V80" s="174"/>
      <c r="W80" s="174"/>
      <c r="X80" s="174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</row>
    <row r="81" spans="1:37" ht="30" customHeight="1" x14ac:dyDescent="0.2">
      <c r="A81" s="170"/>
      <c r="B81" s="170"/>
      <c r="C81" s="170"/>
      <c r="D81" s="170"/>
      <c r="E81" s="171"/>
      <c r="F81" s="172"/>
      <c r="G81" s="173"/>
      <c r="H81" s="174"/>
      <c r="I81" s="174"/>
      <c r="J81" s="174"/>
      <c r="K81" s="174"/>
      <c r="L81" s="174"/>
      <c r="M81" s="174"/>
      <c r="N81" s="174"/>
      <c r="O81" s="174"/>
      <c r="P81" s="174"/>
      <c r="Q81" s="174"/>
      <c r="R81" s="174"/>
      <c r="S81" s="174"/>
      <c r="T81" s="174"/>
      <c r="U81" s="174"/>
      <c r="V81" s="174"/>
      <c r="W81" s="174"/>
      <c r="X81" s="174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</row>
    <row r="82" spans="1:37" ht="30" customHeight="1" x14ac:dyDescent="0.2">
      <c r="A82" s="170"/>
      <c r="B82" s="170"/>
      <c r="C82" s="170"/>
      <c r="D82" s="170"/>
      <c r="E82" s="171"/>
      <c r="F82" s="172"/>
      <c r="G82" s="173"/>
      <c r="H82" s="174"/>
      <c r="I82" s="174"/>
      <c r="J82" s="174"/>
      <c r="K82" s="174"/>
      <c r="L82" s="174"/>
      <c r="M82" s="174"/>
      <c r="N82" s="174"/>
      <c r="O82" s="174"/>
      <c r="P82" s="174"/>
      <c r="Q82" s="174"/>
      <c r="R82" s="174"/>
      <c r="S82" s="174"/>
      <c r="T82" s="174"/>
      <c r="U82" s="174"/>
      <c r="V82" s="174"/>
      <c r="W82" s="174"/>
      <c r="X82" s="174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</row>
    <row r="83" spans="1:37" ht="30" customHeight="1" x14ac:dyDescent="0.2">
      <c r="A83" s="170"/>
      <c r="B83" s="170"/>
      <c r="C83" s="170"/>
      <c r="D83" s="170"/>
      <c r="E83" s="171"/>
      <c r="F83" s="172"/>
      <c r="G83" s="173"/>
      <c r="H83" s="174"/>
      <c r="I83" s="174"/>
      <c r="J83" s="174"/>
      <c r="K83" s="174"/>
      <c r="L83" s="174"/>
      <c r="M83" s="174"/>
      <c r="N83" s="174"/>
      <c r="O83" s="174"/>
      <c r="P83" s="174"/>
      <c r="Q83" s="174"/>
      <c r="R83" s="174"/>
      <c r="S83" s="174"/>
      <c r="T83" s="174"/>
      <c r="U83" s="174"/>
      <c r="V83" s="174"/>
      <c r="W83" s="174"/>
      <c r="X83" s="174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</row>
    <row r="84" spans="1:37" ht="30" customHeight="1" x14ac:dyDescent="0.2">
      <c r="A84" s="170"/>
      <c r="B84" s="170"/>
      <c r="C84" s="170"/>
      <c r="D84" s="170"/>
      <c r="E84" s="171"/>
      <c r="F84" s="172"/>
      <c r="G84" s="173"/>
      <c r="H84" s="174"/>
      <c r="I84" s="174"/>
      <c r="J84" s="174"/>
      <c r="K84" s="174"/>
      <c r="L84" s="174"/>
      <c r="M84" s="174"/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</row>
    <row r="85" spans="1:37" ht="30" customHeight="1" x14ac:dyDescent="0.2">
      <c r="A85" s="170"/>
      <c r="B85" s="170"/>
      <c r="C85" s="170"/>
      <c r="D85" s="170"/>
      <c r="E85" s="171"/>
      <c r="F85" s="172"/>
      <c r="G85" s="173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</row>
    <row r="86" spans="1:37" ht="30" customHeight="1" x14ac:dyDescent="0.2">
      <c r="A86" s="170"/>
      <c r="B86" s="170"/>
      <c r="C86" s="170"/>
      <c r="D86" s="170"/>
      <c r="E86" s="171"/>
      <c r="F86" s="172"/>
      <c r="G86" s="173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</row>
    <row r="87" spans="1:37" ht="30" customHeight="1" x14ac:dyDescent="0.2">
      <c r="A87" s="170"/>
      <c r="B87" s="170"/>
      <c r="C87" s="170"/>
      <c r="D87" s="170"/>
      <c r="E87" s="171"/>
      <c r="F87" s="172"/>
      <c r="G87" s="173"/>
      <c r="H87" s="174"/>
      <c r="I87" s="174"/>
      <c r="J87" s="174"/>
      <c r="K87" s="174"/>
      <c r="L87" s="174"/>
      <c r="M87" s="174"/>
      <c r="N87" s="174"/>
      <c r="O87" s="174"/>
      <c r="P87" s="174"/>
      <c r="Q87" s="174"/>
      <c r="R87" s="174"/>
      <c r="S87" s="174"/>
      <c r="T87" s="174"/>
      <c r="U87" s="174"/>
      <c r="V87" s="174"/>
      <c r="W87" s="174"/>
      <c r="X87" s="174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</row>
    <row r="88" spans="1:37" ht="30" customHeight="1" x14ac:dyDescent="0.2">
      <c r="A88" s="170"/>
      <c r="B88" s="170"/>
      <c r="C88" s="170"/>
      <c r="D88" s="170"/>
      <c r="E88" s="171"/>
      <c r="F88" s="172"/>
      <c r="G88" s="173"/>
      <c r="H88" s="174"/>
      <c r="I88" s="174"/>
      <c r="J88" s="174"/>
      <c r="K88" s="174"/>
      <c r="L88" s="174"/>
      <c r="M88" s="174"/>
      <c r="N88" s="174"/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</row>
    <row r="89" spans="1:37" ht="30" customHeight="1" x14ac:dyDescent="0.2">
      <c r="A89" s="170"/>
      <c r="B89" s="170"/>
      <c r="C89" s="170"/>
      <c r="D89" s="170"/>
      <c r="E89" s="171"/>
      <c r="F89" s="172"/>
      <c r="G89" s="173"/>
      <c r="H89" s="174"/>
      <c r="I89" s="174"/>
      <c r="J89" s="174"/>
      <c r="K89" s="174"/>
      <c r="L89" s="174"/>
      <c r="M89" s="174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74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</row>
    <row r="90" spans="1:37" ht="30" customHeight="1" x14ac:dyDescent="0.2">
      <c r="A90" s="170"/>
      <c r="B90" s="170"/>
      <c r="C90" s="170"/>
      <c r="D90" s="170"/>
      <c r="E90" s="171"/>
      <c r="F90" s="172"/>
      <c r="G90" s="173"/>
      <c r="H90" s="174"/>
      <c r="I90" s="174"/>
      <c r="J90" s="174"/>
      <c r="K90" s="174"/>
      <c r="L90" s="174"/>
      <c r="M90" s="174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</row>
    <row r="91" spans="1:37" ht="30" customHeight="1" x14ac:dyDescent="0.2">
      <c r="A91" s="170"/>
      <c r="B91" s="170"/>
      <c r="C91" s="170"/>
      <c r="D91" s="170"/>
      <c r="E91" s="171"/>
      <c r="F91" s="172"/>
      <c r="G91" s="173"/>
      <c r="H91" s="174"/>
      <c r="I91" s="174"/>
      <c r="J91" s="174"/>
      <c r="K91" s="174"/>
      <c r="L91" s="174"/>
      <c r="M91" s="174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</row>
    <row r="92" spans="1:37" ht="30" customHeight="1" x14ac:dyDescent="0.2">
      <c r="A92" s="170"/>
      <c r="B92" s="170"/>
      <c r="C92" s="170"/>
      <c r="D92" s="170"/>
      <c r="E92" s="171"/>
      <c r="F92" s="172"/>
      <c r="G92" s="173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</row>
    <row r="93" spans="1:37" ht="30" customHeight="1" x14ac:dyDescent="0.2">
      <c r="A93" s="170"/>
      <c r="B93" s="170"/>
      <c r="C93" s="170"/>
      <c r="D93" s="170"/>
      <c r="E93" s="171"/>
      <c r="F93" s="172"/>
      <c r="G93" s="173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</row>
    <row r="94" spans="1:37" ht="30" customHeight="1" x14ac:dyDescent="0.2">
      <c r="A94" s="170"/>
      <c r="B94" s="170"/>
      <c r="C94" s="170"/>
      <c r="D94" s="170"/>
      <c r="E94" s="171"/>
      <c r="F94" s="172"/>
      <c r="G94" s="173"/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4"/>
      <c r="S94" s="174"/>
      <c r="T94" s="174"/>
      <c r="U94" s="174"/>
      <c r="V94" s="174"/>
      <c r="W94" s="174"/>
      <c r="X94" s="174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</row>
    <row r="95" spans="1:37" ht="30" customHeight="1" x14ac:dyDescent="0.2">
      <c r="A95" s="170"/>
      <c r="B95" s="170"/>
      <c r="C95" s="170"/>
      <c r="D95" s="170"/>
      <c r="E95" s="171"/>
      <c r="F95" s="172"/>
      <c r="G95" s="173"/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</row>
    <row r="96" spans="1:37" ht="30" customHeight="1" x14ac:dyDescent="0.2">
      <c r="A96" s="170"/>
      <c r="B96" s="170"/>
      <c r="C96" s="170"/>
      <c r="D96" s="170"/>
      <c r="E96" s="171"/>
      <c r="F96" s="172"/>
      <c r="G96" s="173"/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</row>
    <row r="97" spans="1:37" ht="30" customHeight="1" x14ac:dyDescent="0.2">
      <c r="A97" s="170"/>
      <c r="B97" s="170"/>
      <c r="C97" s="170"/>
      <c r="D97" s="170"/>
      <c r="E97" s="171"/>
      <c r="F97" s="172"/>
      <c r="G97" s="173"/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</row>
    <row r="98" spans="1:37" ht="30" customHeight="1" x14ac:dyDescent="0.2">
      <c r="A98" s="170"/>
      <c r="B98" s="170"/>
      <c r="C98" s="170"/>
      <c r="D98" s="170"/>
      <c r="E98" s="171"/>
      <c r="F98" s="172"/>
      <c r="G98" s="173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</row>
    <row r="99" spans="1:37" ht="30" customHeight="1" x14ac:dyDescent="0.2">
      <c r="A99" s="170"/>
      <c r="B99" s="170"/>
      <c r="C99" s="170"/>
      <c r="D99" s="170"/>
      <c r="E99" s="171"/>
      <c r="F99" s="172"/>
      <c r="G99" s="173"/>
      <c r="H99" s="174"/>
      <c r="I99" s="174"/>
      <c r="J99" s="174"/>
      <c r="K99" s="174"/>
      <c r="L99" s="174"/>
      <c r="M99" s="174"/>
      <c r="N99" s="174"/>
      <c r="O99" s="174"/>
      <c r="P99" s="174"/>
      <c r="Q99" s="174"/>
      <c r="R99" s="174"/>
      <c r="S99" s="174"/>
      <c r="T99" s="174"/>
      <c r="U99" s="174"/>
      <c r="V99" s="174"/>
      <c r="W99" s="174"/>
      <c r="X99" s="174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</row>
    <row r="100" spans="1:37" ht="30" customHeight="1" x14ac:dyDescent="0.2">
      <c r="A100" s="170"/>
      <c r="B100" s="170"/>
      <c r="C100" s="170"/>
      <c r="D100" s="170"/>
      <c r="E100" s="171"/>
      <c r="F100" s="172"/>
      <c r="G100" s="173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</row>
    <row r="101" spans="1:37" ht="30" customHeight="1" x14ac:dyDescent="0.2">
      <c r="A101" s="170"/>
      <c r="B101" s="170"/>
      <c r="C101" s="170"/>
      <c r="D101" s="170"/>
      <c r="E101" s="171"/>
      <c r="F101" s="172"/>
      <c r="G101" s="173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</row>
    <row r="102" spans="1:37" ht="30" customHeight="1" x14ac:dyDescent="0.2">
      <c r="A102" s="170"/>
      <c r="B102" s="170"/>
      <c r="C102" s="170"/>
      <c r="D102" s="170"/>
      <c r="E102" s="171"/>
      <c r="F102" s="172"/>
      <c r="G102" s="173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</row>
    <row r="103" spans="1:37" ht="30" customHeight="1" x14ac:dyDescent="0.2">
      <c r="A103" s="170"/>
      <c r="B103" s="170"/>
      <c r="C103" s="170"/>
      <c r="D103" s="170"/>
      <c r="E103" s="171"/>
      <c r="F103" s="172"/>
      <c r="G103" s="173"/>
      <c r="H103" s="174"/>
      <c r="I103" s="174"/>
      <c r="J103" s="174"/>
      <c r="K103" s="174"/>
      <c r="L103" s="174"/>
      <c r="M103" s="174"/>
      <c r="N103" s="174"/>
      <c r="O103" s="174"/>
      <c r="P103" s="174"/>
      <c r="Q103" s="174"/>
      <c r="R103" s="174"/>
      <c r="S103" s="174"/>
      <c r="T103" s="174"/>
      <c r="U103" s="174"/>
      <c r="V103" s="174"/>
      <c r="W103" s="174"/>
      <c r="X103" s="174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</row>
    <row r="104" spans="1:37" ht="30" customHeight="1" x14ac:dyDescent="0.2">
      <c r="A104" s="170"/>
      <c r="B104" s="170"/>
      <c r="C104" s="170"/>
      <c r="D104" s="170"/>
      <c r="E104" s="171"/>
      <c r="F104" s="172"/>
      <c r="G104" s="173"/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  <c r="R104" s="174"/>
      <c r="S104" s="174"/>
      <c r="T104" s="174"/>
      <c r="U104" s="174"/>
      <c r="V104" s="174"/>
      <c r="W104" s="174"/>
      <c r="X104" s="174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</row>
    <row r="105" spans="1:37" ht="30" customHeight="1" x14ac:dyDescent="0.2">
      <c r="A105" s="170"/>
      <c r="B105" s="170"/>
      <c r="C105" s="170"/>
      <c r="D105" s="170"/>
      <c r="E105" s="171"/>
      <c r="F105" s="172"/>
      <c r="G105" s="173"/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4"/>
      <c r="S105" s="174"/>
      <c r="T105" s="174"/>
      <c r="U105" s="174"/>
      <c r="V105" s="174"/>
      <c r="W105" s="174"/>
      <c r="X105" s="174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</row>
    <row r="106" spans="1:37" ht="30" customHeight="1" x14ac:dyDescent="0.2">
      <c r="A106" s="170"/>
      <c r="B106" s="170"/>
      <c r="C106" s="170"/>
      <c r="D106" s="170"/>
      <c r="E106" s="171"/>
      <c r="F106" s="172"/>
      <c r="G106" s="173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</row>
    <row r="107" spans="1:37" ht="30" customHeight="1" x14ac:dyDescent="0.2">
      <c r="A107" s="170"/>
      <c r="B107" s="170"/>
      <c r="C107" s="170"/>
      <c r="D107" s="170"/>
      <c r="E107" s="171"/>
      <c r="F107" s="172"/>
      <c r="G107" s="173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</row>
    <row r="108" spans="1:37" ht="30" customHeight="1" x14ac:dyDescent="0.2">
      <c r="A108" s="170"/>
      <c r="B108" s="170"/>
      <c r="C108" s="170"/>
      <c r="D108" s="170"/>
      <c r="E108" s="171"/>
      <c r="F108" s="172"/>
      <c r="G108" s="173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</row>
    <row r="109" spans="1:37" ht="30" customHeight="1" x14ac:dyDescent="0.2">
      <c r="A109" s="170"/>
      <c r="B109" s="170"/>
      <c r="C109" s="170"/>
      <c r="D109" s="170"/>
      <c r="E109" s="171"/>
      <c r="F109" s="172"/>
      <c r="G109" s="173"/>
      <c r="H109" s="174"/>
      <c r="I109" s="174"/>
      <c r="J109" s="174"/>
      <c r="K109" s="174"/>
      <c r="L109" s="174"/>
      <c r="M109" s="174"/>
      <c r="N109" s="174"/>
      <c r="O109" s="174"/>
      <c r="P109" s="174"/>
      <c r="Q109" s="174"/>
      <c r="R109" s="174"/>
      <c r="S109" s="174"/>
      <c r="T109" s="174"/>
      <c r="U109" s="174"/>
      <c r="V109" s="174"/>
      <c r="W109" s="174"/>
      <c r="X109" s="174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</row>
    <row r="110" spans="1:37" ht="30" customHeight="1" x14ac:dyDescent="0.2">
      <c r="A110" s="170"/>
      <c r="B110" s="170"/>
      <c r="C110" s="170"/>
      <c r="D110" s="170"/>
      <c r="E110" s="171"/>
      <c r="F110" s="172"/>
      <c r="G110" s="173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</row>
    <row r="111" spans="1:37" ht="30" customHeight="1" x14ac:dyDescent="0.2">
      <c r="A111" s="170"/>
      <c r="B111" s="170"/>
      <c r="C111" s="170"/>
      <c r="D111" s="170"/>
      <c r="E111" s="171"/>
      <c r="F111" s="172"/>
      <c r="G111" s="173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</row>
    <row r="112" spans="1:37" ht="30" customHeight="1" x14ac:dyDescent="0.2">
      <c r="A112" s="170"/>
      <c r="B112" s="170"/>
      <c r="C112" s="170"/>
      <c r="D112" s="170"/>
      <c r="E112" s="171"/>
      <c r="F112" s="172"/>
      <c r="G112" s="173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</row>
    <row r="113" spans="1:37" ht="30" customHeight="1" x14ac:dyDescent="0.2">
      <c r="A113" s="170"/>
      <c r="B113" s="170"/>
      <c r="C113" s="170"/>
      <c r="D113" s="170"/>
      <c r="E113" s="171"/>
      <c r="F113" s="172"/>
      <c r="G113" s="173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</row>
    <row r="114" spans="1:37" ht="30" customHeight="1" x14ac:dyDescent="0.2">
      <c r="A114" s="170"/>
      <c r="B114" s="170"/>
      <c r="C114" s="170"/>
      <c r="D114" s="170"/>
      <c r="E114" s="171"/>
      <c r="F114" s="172"/>
      <c r="G114" s="173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</row>
    <row r="115" spans="1:37" ht="30" customHeight="1" x14ac:dyDescent="0.2">
      <c r="A115" s="170"/>
      <c r="B115" s="170"/>
      <c r="C115" s="170"/>
      <c r="D115" s="170"/>
      <c r="E115" s="171"/>
      <c r="F115" s="172"/>
      <c r="G115" s="173"/>
      <c r="H115" s="174"/>
      <c r="I115" s="174"/>
      <c r="J115" s="174"/>
      <c r="K115" s="174"/>
      <c r="L115" s="174"/>
      <c r="M115" s="174"/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</row>
    <row r="116" spans="1:37" ht="30" customHeight="1" x14ac:dyDescent="0.2">
      <c r="A116" s="170"/>
      <c r="B116" s="170"/>
      <c r="C116" s="170"/>
      <c r="D116" s="170"/>
      <c r="E116" s="171"/>
      <c r="F116" s="172"/>
      <c r="G116" s="173"/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</row>
    <row r="117" spans="1:37" ht="30" customHeight="1" x14ac:dyDescent="0.2">
      <c r="A117" s="170"/>
      <c r="B117" s="170"/>
      <c r="C117" s="170"/>
      <c r="D117" s="170"/>
      <c r="E117" s="171"/>
      <c r="F117" s="172"/>
      <c r="G117" s="173"/>
      <c r="H117" s="174"/>
      <c r="I117" s="174"/>
      <c r="J117" s="174"/>
      <c r="K117" s="174"/>
      <c r="L117" s="174"/>
      <c r="M117" s="174"/>
      <c r="N117" s="174"/>
      <c r="O117" s="174"/>
      <c r="P117" s="174"/>
      <c r="Q117" s="174"/>
      <c r="R117" s="174"/>
      <c r="S117" s="174"/>
      <c r="T117" s="174"/>
      <c r="U117" s="174"/>
      <c r="V117" s="174"/>
      <c r="W117" s="174"/>
      <c r="X117" s="174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</row>
    <row r="118" spans="1:37" ht="30" customHeight="1" x14ac:dyDescent="0.2">
      <c r="A118" s="170"/>
      <c r="B118" s="170"/>
      <c r="C118" s="170"/>
      <c r="D118" s="170"/>
      <c r="E118" s="171"/>
      <c r="F118" s="172"/>
      <c r="G118" s="173"/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</row>
    <row r="119" spans="1:37" ht="30" customHeight="1" x14ac:dyDescent="0.2">
      <c r="A119" s="170"/>
      <c r="B119" s="170"/>
      <c r="C119" s="170"/>
      <c r="D119" s="170"/>
      <c r="E119" s="171"/>
      <c r="F119" s="172"/>
      <c r="G119" s="173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</row>
    <row r="120" spans="1:37" ht="30" customHeight="1" x14ac:dyDescent="0.2">
      <c r="A120" s="170"/>
      <c r="B120" s="170"/>
      <c r="C120" s="170"/>
      <c r="D120" s="170"/>
      <c r="E120" s="171"/>
      <c r="F120" s="172"/>
      <c r="G120" s="173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</row>
    <row r="121" spans="1:37" ht="30" customHeight="1" x14ac:dyDescent="0.2">
      <c r="A121" s="170"/>
      <c r="B121" s="170"/>
      <c r="C121" s="170"/>
      <c r="D121" s="170"/>
      <c r="E121" s="171"/>
      <c r="F121" s="172"/>
      <c r="G121" s="173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</row>
    <row r="122" spans="1:37" ht="30" customHeight="1" x14ac:dyDescent="0.2">
      <c r="A122" s="170"/>
      <c r="B122" s="170"/>
      <c r="C122" s="170"/>
      <c r="D122" s="170"/>
      <c r="E122" s="171"/>
      <c r="F122" s="172"/>
      <c r="G122" s="173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</row>
    <row r="123" spans="1:37" ht="30" customHeight="1" x14ac:dyDescent="0.2">
      <c r="A123" s="170"/>
      <c r="B123" s="170"/>
      <c r="C123" s="170"/>
      <c r="D123" s="170"/>
      <c r="E123" s="171"/>
      <c r="F123" s="172"/>
      <c r="G123" s="173"/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  <c r="R123" s="174"/>
      <c r="S123" s="174"/>
      <c r="T123" s="174"/>
      <c r="U123" s="174"/>
      <c r="V123" s="174"/>
      <c r="W123" s="174"/>
      <c r="X123" s="174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</row>
    <row r="124" spans="1:37" ht="30" customHeight="1" x14ac:dyDescent="0.2">
      <c r="A124" s="170"/>
      <c r="B124" s="170"/>
      <c r="C124" s="170"/>
      <c r="D124" s="170"/>
      <c r="E124" s="171"/>
      <c r="F124" s="172"/>
      <c r="G124" s="173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</row>
    <row r="125" spans="1:37" ht="30" customHeight="1" x14ac:dyDescent="0.2">
      <c r="A125" s="170"/>
      <c r="B125" s="170"/>
      <c r="C125" s="170"/>
      <c r="D125" s="170"/>
      <c r="E125" s="171"/>
      <c r="F125" s="172"/>
      <c r="G125" s="173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</row>
    <row r="126" spans="1:37" ht="30" customHeight="1" x14ac:dyDescent="0.2">
      <c r="A126" s="170"/>
      <c r="B126" s="170"/>
      <c r="C126" s="170"/>
      <c r="D126" s="170"/>
      <c r="E126" s="171"/>
      <c r="F126" s="172"/>
      <c r="G126" s="173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</row>
    <row r="127" spans="1:37" ht="30" customHeight="1" x14ac:dyDescent="0.2">
      <c r="A127" s="170"/>
      <c r="B127" s="170"/>
      <c r="C127" s="170"/>
      <c r="D127" s="170"/>
      <c r="E127" s="171"/>
      <c r="F127" s="172"/>
      <c r="G127" s="173"/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</row>
    <row r="128" spans="1:37" ht="30" customHeight="1" x14ac:dyDescent="0.2">
      <c r="A128" s="170"/>
      <c r="B128" s="170"/>
      <c r="C128" s="170"/>
      <c r="D128" s="170"/>
      <c r="E128" s="171"/>
      <c r="F128" s="172"/>
      <c r="G128" s="173"/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</row>
    <row r="129" spans="1:37" ht="30" customHeight="1" x14ac:dyDescent="0.2">
      <c r="A129" s="170"/>
      <c r="B129" s="170"/>
      <c r="C129" s="170"/>
      <c r="D129" s="170"/>
      <c r="E129" s="171"/>
      <c r="F129" s="172"/>
      <c r="G129" s="173"/>
      <c r="H129" s="174"/>
      <c r="I129" s="174"/>
      <c r="J129" s="174"/>
      <c r="K129" s="174"/>
      <c r="L129" s="174"/>
      <c r="M129" s="174"/>
      <c r="N129" s="174"/>
      <c r="O129" s="174"/>
      <c r="P129" s="174"/>
      <c r="Q129" s="174"/>
      <c r="R129" s="174"/>
      <c r="S129" s="174"/>
      <c r="T129" s="174"/>
      <c r="U129" s="174"/>
      <c r="V129" s="174"/>
      <c r="W129" s="174"/>
      <c r="X129" s="174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</row>
    <row r="130" spans="1:37" ht="30" customHeight="1" x14ac:dyDescent="0.2">
      <c r="A130" s="170"/>
      <c r="B130" s="170"/>
      <c r="C130" s="170"/>
      <c r="D130" s="170"/>
      <c r="E130" s="171"/>
      <c r="F130" s="172"/>
      <c r="G130" s="173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</row>
    <row r="131" spans="1:37" ht="30" customHeight="1" x14ac:dyDescent="0.2">
      <c r="A131" s="170"/>
      <c r="B131" s="170"/>
      <c r="C131" s="170"/>
      <c r="D131" s="170"/>
      <c r="E131" s="171"/>
      <c r="F131" s="172"/>
      <c r="G131" s="173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</row>
    <row r="132" spans="1:37" ht="30" customHeight="1" x14ac:dyDescent="0.2">
      <c r="A132" s="170"/>
      <c r="B132" s="170"/>
      <c r="C132" s="170"/>
      <c r="D132" s="170"/>
      <c r="E132" s="171"/>
      <c r="F132" s="172"/>
      <c r="G132" s="173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</row>
    <row r="133" spans="1:37" ht="30" customHeight="1" x14ac:dyDescent="0.2">
      <c r="A133" s="170"/>
      <c r="B133" s="170"/>
      <c r="C133" s="170"/>
      <c r="D133" s="170"/>
      <c r="E133" s="171"/>
      <c r="F133" s="172"/>
      <c r="G133" s="173"/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</row>
    <row r="134" spans="1:37" ht="30" customHeight="1" x14ac:dyDescent="0.2">
      <c r="A134" s="170"/>
      <c r="B134" s="170"/>
      <c r="C134" s="170"/>
      <c r="D134" s="170"/>
      <c r="E134" s="171"/>
      <c r="F134" s="172"/>
      <c r="G134" s="173"/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4"/>
      <c r="T134" s="174"/>
      <c r="U134" s="174"/>
      <c r="V134" s="174"/>
      <c r="W134" s="174"/>
      <c r="X134" s="174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</row>
    <row r="135" spans="1:37" ht="30" customHeight="1" x14ac:dyDescent="0.2">
      <c r="A135" s="170"/>
      <c r="B135" s="170"/>
      <c r="C135" s="170"/>
      <c r="D135" s="170"/>
      <c r="E135" s="171"/>
      <c r="F135" s="172"/>
      <c r="G135" s="173"/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  <c r="R135" s="174"/>
      <c r="S135" s="174"/>
      <c r="T135" s="174"/>
      <c r="U135" s="174"/>
      <c r="V135" s="174"/>
      <c r="W135" s="174"/>
      <c r="X135" s="174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</row>
    <row r="136" spans="1:37" ht="30" customHeight="1" x14ac:dyDescent="0.2">
      <c r="A136" s="170"/>
      <c r="B136" s="170"/>
      <c r="C136" s="170"/>
      <c r="D136" s="170"/>
      <c r="E136" s="171"/>
      <c r="F136" s="172"/>
      <c r="G136" s="173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</row>
    <row r="137" spans="1:37" ht="30" customHeight="1" x14ac:dyDescent="0.2">
      <c r="A137" s="170"/>
      <c r="B137" s="170"/>
      <c r="C137" s="170"/>
      <c r="D137" s="170"/>
      <c r="E137" s="171"/>
      <c r="F137" s="172"/>
      <c r="G137" s="173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</row>
    <row r="138" spans="1:37" ht="30" customHeight="1" x14ac:dyDescent="0.2">
      <c r="A138" s="170"/>
      <c r="B138" s="170"/>
      <c r="C138" s="170"/>
      <c r="D138" s="170"/>
      <c r="E138" s="171"/>
      <c r="F138" s="172"/>
      <c r="G138" s="173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</row>
    <row r="139" spans="1:37" ht="30" customHeight="1" x14ac:dyDescent="0.2">
      <c r="A139" s="170"/>
      <c r="B139" s="170"/>
      <c r="C139" s="170"/>
      <c r="D139" s="170"/>
      <c r="E139" s="171"/>
      <c r="F139" s="172"/>
      <c r="G139" s="173"/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S139" s="174"/>
      <c r="T139" s="174"/>
      <c r="U139" s="174"/>
      <c r="V139" s="174"/>
      <c r="W139" s="174"/>
      <c r="X139" s="174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</row>
    <row r="140" spans="1:37" ht="30" customHeight="1" x14ac:dyDescent="0.2">
      <c r="A140" s="170"/>
      <c r="B140" s="170"/>
      <c r="C140" s="170"/>
      <c r="D140" s="170"/>
      <c r="E140" s="171"/>
      <c r="F140" s="172"/>
      <c r="G140" s="173"/>
      <c r="H140" s="174"/>
      <c r="I140" s="174"/>
      <c r="J140" s="174"/>
      <c r="K140" s="174"/>
      <c r="L140" s="174"/>
      <c r="M140" s="174"/>
      <c r="N140" s="174"/>
      <c r="O140" s="174"/>
      <c r="P140" s="174"/>
      <c r="Q140" s="174"/>
      <c r="R140" s="174"/>
      <c r="S140" s="174"/>
      <c r="T140" s="174"/>
      <c r="U140" s="174"/>
      <c r="V140" s="174"/>
      <c r="W140" s="174"/>
      <c r="X140" s="174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</row>
    <row r="141" spans="1:37" ht="30" customHeight="1" x14ac:dyDescent="0.2">
      <c r="A141" s="170"/>
      <c r="B141" s="170"/>
      <c r="C141" s="170"/>
      <c r="D141" s="170"/>
      <c r="E141" s="171"/>
      <c r="F141" s="172"/>
      <c r="G141" s="173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4"/>
      <c r="T141" s="174"/>
      <c r="U141" s="174"/>
      <c r="V141" s="174"/>
      <c r="W141" s="174"/>
      <c r="X141" s="174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</row>
    <row r="142" spans="1:37" ht="30" customHeight="1" x14ac:dyDescent="0.2">
      <c r="A142" s="170"/>
      <c r="B142" s="170"/>
      <c r="C142" s="170"/>
      <c r="D142" s="170"/>
      <c r="E142" s="171"/>
      <c r="F142" s="172"/>
      <c r="G142" s="173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</row>
    <row r="143" spans="1:37" ht="30" customHeight="1" x14ac:dyDescent="0.2">
      <c r="A143" s="170"/>
      <c r="B143" s="170"/>
      <c r="C143" s="170"/>
      <c r="D143" s="170"/>
      <c r="E143" s="171"/>
      <c r="F143" s="172"/>
      <c r="G143" s="173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</row>
    <row r="144" spans="1:37" ht="30" customHeight="1" x14ac:dyDescent="0.2">
      <c r="A144" s="170"/>
      <c r="B144" s="170"/>
      <c r="C144" s="170"/>
      <c r="D144" s="170"/>
      <c r="E144" s="171"/>
      <c r="F144" s="172"/>
      <c r="G144" s="173"/>
      <c r="H144" s="174"/>
      <c r="I144" s="174"/>
      <c r="J144" s="174"/>
      <c r="K144" s="174"/>
      <c r="L144" s="174"/>
      <c r="M144" s="174"/>
      <c r="N144" s="174"/>
      <c r="O144" s="174"/>
      <c r="P144" s="174"/>
      <c r="Q144" s="174"/>
      <c r="R144" s="174"/>
      <c r="S144" s="174"/>
      <c r="T144" s="174"/>
      <c r="U144" s="174"/>
      <c r="V144" s="174"/>
      <c r="W144" s="174"/>
      <c r="X144" s="174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</row>
    <row r="145" spans="1:37" ht="30" customHeight="1" x14ac:dyDescent="0.2">
      <c r="A145" s="170"/>
      <c r="B145" s="170"/>
      <c r="C145" s="170"/>
      <c r="D145" s="170"/>
      <c r="E145" s="171"/>
      <c r="F145" s="172"/>
      <c r="G145" s="173"/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  <c r="R145" s="174"/>
      <c r="S145" s="174"/>
      <c r="T145" s="174"/>
      <c r="U145" s="174"/>
      <c r="V145" s="174"/>
      <c r="W145" s="174"/>
      <c r="X145" s="174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</row>
    <row r="146" spans="1:37" ht="30" customHeight="1" x14ac:dyDescent="0.2">
      <c r="A146" s="170"/>
      <c r="B146" s="170"/>
      <c r="C146" s="170"/>
      <c r="D146" s="170"/>
      <c r="E146" s="171"/>
      <c r="F146" s="172"/>
      <c r="G146" s="173"/>
      <c r="H146" s="174"/>
      <c r="I146" s="174"/>
      <c r="J146" s="174"/>
      <c r="K146" s="174"/>
      <c r="L146" s="174"/>
      <c r="M146" s="174"/>
      <c r="N146" s="174"/>
      <c r="O146" s="174"/>
      <c r="P146" s="174"/>
      <c r="Q146" s="174"/>
      <c r="R146" s="174"/>
      <c r="S146" s="174"/>
      <c r="T146" s="174"/>
      <c r="U146" s="174"/>
      <c r="V146" s="174"/>
      <c r="W146" s="174"/>
      <c r="X146" s="174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</row>
    <row r="147" spans="1:37" ht="30" customHeight="1" x14ac:dyDescent="0.2">
      <c r="A147" s="170"/>
      <c r="B147" s="170"/>
      <c r="C147" s="170"/>
      <c r="D147" s="170"/>
      <c r="E147" s="171"/>
      <c r="F147" s="172"/>
      <c r="G147" s="173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</row>
    <row r="148" spans="1:37" ht="30" customHeight="1" x14ac:dyDescent="0.2">
      <c r="A148" s="170"/>
      <c r="B148" s="170"/>
      <c r="C148" s="170"/>
      <c r="D148" s="170"/>
      <c r="E148" s="171"/>
      <c r="F148" s="172"/>
      <c r="G148" s="173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</row>
    <row r="149" spans="1:37" ht="30" customHeight="1" x14ac:dyDescent="0.2">
      <c r="A149" s="170"/>
      <c r="B149" s="170"/>
      <c r="C149" s="170"/>
      <c r="D149" s="170"/>
      <c r="E149" s="171"/>
      <c r="F149" s="172"/>
      <c r="G149" s="173"/>
      <c r="H149" s="174"/>
      <c r="I149" s="174"/>
      <c r="J149" s="174"/>
      <c r="K149" s="174"/>
      <c r="L149" s="174"/>
      <c r="M149" s="174"/>
      <c r="N149" s="174"/>
      <c r="O149" s="174"/>
      <c r="P149" s="174"/>
      <c r="Q149" s="174"/>
      <c r="R149" s="174"/>
      <c r="S149" s="174"/>
      <c r="T149" s="174"/>
      <c r="U149" s="174"/>
      <c r="V149" s="174"/>
      <c r="W149" s="174"/>
      <c r="X149" s="174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</row>
    <row r="150" spans="1:37" ht="30" customHeight="1" x14ac:dyDescent="0.2">
      <c r="A150" s="170"/>
      <c r="B150" s="170"/>
      <c r="C150" s="170"/>
      <c r="D150" s="170"/>
      <c r="E150" s="171"/>
      <c r="F150" s="172"/>
      <c r="G150" s="173"/>
      <c r="H150" s="174"/>
      <c r="I150" s="174"/>
      <c r="J150" s="174"/>
      <c r="K150" s="174"/>
      <c r="L150" s="174"/>
      <c r="M150" s="174"/>
      <c r="N150" s="174"/>
      <c r="O150" s="174"/>
      <c r="P150" s="174"/>
      <c r="Q150" s="174"/>
      <c r="R150" s="174"/>
      <c r="S150" s="174"/>
      <c r="T150" s="174"/>
      <c r="U150" s="174"/>
      <c r="V150" s="174"/>
      <c r="W150" s="174"/>
      <c r="X150" s="174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</row>
    <row r="151" spans="1:37" ht="30" customHeight="1" x14ac:dyDescent="0.2">
      <c r="A151" s="170"/>
      <c r="B151" s="170"/>
      <c r="C151" s="170"/>
      <c r="D151" s="170"/>
      <c r="E151" s="171"/>
      <c r="F151" s="172"/>
      <c r="G151" s="173"/>
      <c r="H151" s="174"/>
      <c r="I151" s="174"/>
      <c r="J151" s="174"/>
      <c r="K151" s="174"/>
      <c r="L151" s="174"/>
      <c r="M151" s="174"/>
      <c r="N151" s="174"/>
      <c r="O151" s="174"/>
      <c r="P151" s="174"/>
      <c r="Q151" s="174"/>
      <c r="R151" s="174"/>
      <c r="S151" s="174"/>
      <c r="T151" s="174"/>
      <c r="U151" s="174"/>
      <c r="V151" s="174"/>
      <c r="W151" s="174"/>
      <c r="X151" s="174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</row>
    <row r="152" spans="1:37" ht="30" customHeight="1" x14ac:dyDescent="0.2">
      <c r="A152" s="170"/>
      <c r="B152" s="170"/>
      <c r="C152" s="170"/>
      <c r="D152" s="170"/>
      <c r="E152" s="171"/>
      <c r="F152" s="172"/>
      <c r="G152" s="173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74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</row>
    <row r="153" spans="1:37" ht="30" customHeight="1" x14ac:dyDescent="0.2">
      <c r="A153" s="170"/>
      <c r="B153" s="170"/>
      <c r="C153" s="170"/>
      <c r="D153" s="170"/>
      <c r="E153" s="171"/>
      <c r="F153" s="172"/>
      <c r="G153" s="173"/>
      <c r="H153" s="174"/>
      <c r="I153" s="174"/>
      <c r="J153" s="174"/>
      <c r="K153" s="174"/>
      <c r="L153" s="174"/>
      <c r="M153" s="174"/>
      <c r="N153" s="174"/>
      <c r="O153" s="174"/>
      <c r="P153" s="174"/>
      <c r="Q153" s="174"/>
      <c r="R153" s="174"/>
      <c r="S153" s="174"/>
      <c r="T153" s="174"/>
      <c r="U153" s="174"/>
      <c r="V153" s="174"/>
      <c r="W153" s="174"/>
      <c r="X153" s="174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</row>
    <row r="154" spans="1:37" ht="30" customHeight="1" x14ac:dyDescent="0.2">
      <c r="A154" s="170"/>
      <c r="B154" s="170"/>
      <c r="C154" s="170"/>
      <c r="D154" s="170"/>
      <c r="E154" s="171"/>
      <c r="F154" s="172"/>
      <c r="G154" s="173"/>
      <c r="H154" s="174"/>
      <c r="I154" s="174"/>
      <c r="J154" s="174"/>
      <c r="K154" s="174"/>
      <c r="L154" s="174"/>
      <c r="M154" s="174"/>
      <c r="N154" s="174"/>
      <c r="O154" s="174"/>
      <c r="P154" s="174"/>
      <c r="Q154" s="174"/>
      <c r="R154" s="174"/>
      <c r="S154" s="174"/>
      <c r="T154" s="174"/>
      <c r="U154" s="174"/>
      <c r="V154" s="174"/>
      <c r="W154" s="174"/>
      <c r="X154" s="174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</row>
    <row r="155" spans="1:37" ht="30" customHeight="1" x14ac:dyDescent="0.2">
      <c r="A155" s="170"/>
      <c r="B155" s="170"/>
      <c r="C155" s="170"/>
      <c r="D155" s="170"/>
      <c r="E155" s="171"/>
      <c r="F155" s="172"/>
      <c r="G155" s="173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</row>
    <row r="156" spans="1:37" ht="30" customHeight="1" x14ac:dyDescent="0.2">
      <c r="A156" s="170"/>
      <c r="B156" s="170"/>
      <c r="C156" s="170"/>
      <c r="D156" s="170"/>
      <c r="E156" s="171"/>
      <c r="F156" s="172"/>
      <c r="G156" s="173"/>
      <c r="H156" s="174"/>
      <c r="I156" s="174"/>
      <c r="J156" s="174"/>
      <c r="K156" s="174"/>
      <c r="L156" s="174"/>
      <c r="M156" s="174"/>
      <c r="N156" s="174"/>
      <c r="O156" s="174"/>
      <c r="P156" s="174"/>
      <c r="Q156" s="174"/>
      <c r="R156" s="174"/>
      <c r="S156" s="174"/>
      <c r="T156" s="174"/>
      <c r="U156" s="174"/>
      <c r="V156" s="174"/>
      <c r="W156" s="174"/>
      <c r="X156" s="174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</row>
    <row r="157" spans="1:37" ht="30" customHeight="1" x14ac:dyDescent="0.2">
      <c r="A157" s="170"/>
      <c r="B157" s="170"/>
      <c r="C157" s="170"/>
      <c r="D157" s="170"/>
      <c r="E157" s="171"/>
      <c r="F157" s="172"/>
      <c r="G157" s="173"/>
      <c r="H157" s="174"/>
      <c r="I157" s="174"/>
      <c r="J157" s="174"/>
      <c r="K157" s="174"/>
      <c r="L157" s="174"/>
      <c r="M157" s="174"/>
      <c r="N157" s="174"/>
      <c r="O157" s="174"/>
      <c r="P157" s="174"/>
      <c r="Q157" s="174"/>
      <c r="R157" s="174"/>
      <c r="S157" s="174"/>
      <c r="T157" s="174"/>
      <c r="U157" s="174"/>
      <c r="V157" s="174"/>
      <c r="W157" s="174"/>
      <c r="X157" s="174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</row>
    <row r="158" spans="1:37" ht="30" customHeight="1" x14ac:dyDescent="0.2">
      <c r="A158" s="170"/>
      <c r="B158" s="170"/>
      <c r="C158" s="170"/>
      <c r="D158" s="170"/>
      <c r="E158" s="171"/>
      <c r="F158" s="172"/>
      <c r="G158" s="173"/>
      <c r="H158" s="174"/>
      <c r="I158" s="174"/>
      <c r="J158" s="174"/>
      <c r="K158" s="174"/>
      <c r="L158" s="174"/>
      <c r="M158" s="174"/>
      <c r="N158" s="174"/>
      <c r="O158" s="174"/>
      <c r="P158" s="174"/>
      <c r="Q158" s="174"/>
      <c r="R158" s="174"/>
      <c r="S158" s="174"/>
      <c r="T158" s="174"/>
      <c r="U158" s="174"/>
      <c r="V158" s="174"/>
      <c r="W158" s="174"/>
      <c r="X158" s="174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</row>
    <row r="159" spans="1:37" ht="30" customHeight="1" x14ac:dyDescent="0.2">
      <c r="A159" s="170"/>
      <c r="B159" s="170"/>
      <c r="C159" s="170"/>
      <c r="D159" s="170"/>
      <c r="E159" s="171"/>
      <c r="F159" s="172"/>
      <c r="G159" s="173"/>
      <c r="H159" s="174"/>
      <c r="I159" s="174"/>
      <c r="J159" s="174"/>
      <c r="K159" s="174"/>
      <c r="L159" s="174"/>
      <c r="M159" s="174"/>
      <c r="N159" s="174"/>
      <c r="O159" s="174"/>
      <c r="P159" s="174"/>
      <c r="Q159" s="174"/>
      <c r="R159" s="174"/>
      <c r="S159" s="174"/>
      <c r="T159" s="174"/>
      <c r="U159" s="174"/>
      <c r="V159" s="174"/>
      <c r="W159" s="174"/>
      <c r="X159" s="174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</row>
    <row r="160" spans="1:37" ht="30" customHeight="1" x14ac:dyDescent="0.2">
      <c r="A160" s="170"/>
      <c r="B160" s="170"/>
      <c r="C160" s="170"/>
      <c r="D160" s="170"/>
      <c r="E160" s="171"/>
      <c r="F160" s="172"/>
      <c r="G160" s="173"/>
      <c r="H160" s="174"/>
      <c r="I160" s="174"/>
      <c r="J160" s="174"/>
      <c r="K160" s="174"/>
      <c r="L160" s="174"/>
      <c r="M160" s="174"/>
      <c r="N160" s="174"/>
      <c r="O160" s="174"/>
      <c r="P160" s="174"/>
      <c r="Q160" s="174"/>
      <c r="R160" s="174"/>
      <c r="S160" s="174"/>
      <c r="T160" s="174"/>
      <c r="U160" s="174"/>
      <c r="V160" s="174"/>
      <c r="W160" s="174"/>
      <c r="X160" s="174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</row>
    <row r="161" spans="1:37" ht="30" customHeight="1" x14ac:dyDescent="0.2">
      <c r="A161" s="170"/>
      <c r="B161" s="170"/>
      <c r="C161" s="170"/>
      <c r="D161" s="170"/>
      <c r="E161" s="171"/>
      <c r="F161" s="172"/>
      <c r="G161" s="173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</row>
    <row r="162" spans="1:37" ht="30" customHeight="1" x14ac:dyDescent="0.2">
      <c r="A162" s="170"/>
      <c r="B162" s="170"/>
      <c r="C162" s="170"/>
      <c r="D162" s="170"/>
      <c r="E162" s="171"/>
      <c r="F162" s="172"/>
      <c r="G162" s="173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</row>
    <row r="163" spans="1:37" ht="30" customHeight="1" x14ac:dyDescent="0.2">
      <c r="A163" s="170"/>
      <c r="B163" s="170"/>
      <c r="C163" s="170"/>
      <c r="D163" s="170"/>
      <c r="E163" s="171"/>
      <c r="F163" s="172"/>
      <c r="G163" s="173"/>
      <c r="H163" s="174"/>
      <c r="I163" s="174"/>
      <c r="J163" s="174"/>
      <c r="K163" s="174"/>
      <c r="L163" s="174"/>
      <c r="M163" s="174"/>
      <c r="N163" s="174"/>
      <c r="O163" s="174"/>
      <c r="P163" s="174"/>
      <c r="Q163" s="174"/>
      <c r="R163" s="174"/>
      <c r="S163" s="174"/>
      <c r="T163" s="174"/>
      <c r="U163" s="174"/>
      <c r="V163" s="174"/>
      <c r="W163" s="174"/>
      <c r="X163" s="174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</row>
    <row r="164" spans="1:37" ht="30" customHeight="1" x14ac:dyDescent="0.2">
      <c r="A164" s="170"/>
      <c r="B164" s="170"/>
      <c r="C164" s="170"/>
      <c r="D164" s="170"/>
      <c r="E164" s="171"/>
      <c r="F164" s="172"/>
      <c r="G164" s="173"/>
      <c r="H164" s="174"/>
      <c r="I164" s="174"/>
      <c r="J164" s="174"/>
      <c r="K164" s="174"/>
      <c r="L164" s="174"/>
      <c r="M164" s="174"/>
      <c r="N164" s="174"/>
      <c r="O164" s="174"/>
      <c r="P164" s="174"/>
      <c r="Q164" s="174"/>
      <c r="R164" s="174"/>
      <c r="S164" s="174"/>
      <c r="T164" s="174"/>
      <c r="U164" s="174"/>
      <c r="V164" s="174"/>
      <c r="W164" s="174"/>
      <c r="X164" s="174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</row>
    <row r="165" spans="1:37" ht="30" customHeight="1" x14ac:dyDescent="0.2">
      <c r="A165" s="170"/>
      <c r="B165" s="170"/>
      <c r="C165" s="170"/>
      <c r="D165" s="170"/>
      <c r="E165" s="171"/>
      <c r="F165" s="172"/>
      <c r="G165" s="173"/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4"/>
      <c r="T165" s="174"/>
      <c r="U165" s="174"/>
      <c r="V165" s="174"/>
      <c r="W165" s="174"/>
      <c r="X165" s="174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</row>
    <row r="166" spans="1:37" ht="30" customHeight="1" x14ac:dyDescent="0.2">
      <c r="A166" s="170"/>
      <c r="B166" s="170"/>
      <c r="C166" s="170"/>
      <c r="D166" s="170"/>
      <c r="E166" s="171"/>
      <c r="F166" s="172"/>
      <c r="G166" s="173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74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</row>
    <row r="167" spans="1:37" ht="30" customHeight="1" x14ac:dyDescent="0.2">
      <c r="A167" s="170"/>
      <c r="B167" s="170"/>
      <c r="C167" s="170"/>
      <c r="D167" s="170"/>
      <c r="E167" s="171"/>
      <c r="F167" s="172"/>
      <c r="G167" s="173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</row>
    <row r="168" spans="1:37" ht="30" customHeight="1" x14ac:dyDescent="0.2">
      <c r="A168" s="170"/>
      <c r="B168" s="170"/>
      <c r="C168" s="170"/>
      <c r="D168" s="170"/>
      <c r="E168" s="171"/>
      <c r="F168" s="172"/>
      <c r="G168" s="173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</row>
    <row r="169" spans="1:37" ht="30" customHeight="1" x14ac:dyDescent="0.2">
      <c r="A169" s="170"/>
      <c r="B169" s="170"/>
      <c r="C169" s="170"/>
      <c r="D169" s="170"/>
      <c r="E169" s="171"/>
      <c r="F169" s="172"/>
      <c r="G169" s="173"/>
      <c r="H169" s="174"/>
      <c r="I169" s="174"/>
      <c r="J169" s="174"/>
      <c r="K169" s="174"/>
      <c r="L169" s="174"/>
      <c r="M169" s="174"/>
      <c r="N169" s="174"/>
      <c r="O169" s="174"/>
      <c r="P169" s="174"/>
      <c r="Q169" s="174"/>
      <c r="R169" s="174"/>
      <c r="S169" s="174"/>
      <c r="T169" s="174"/>
      <c r="U169" s="174"/>
      <c r="V169" s="174"/>
      <c r="W169" s="174"/>
      <c r="X169" s="174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</row>
    <row r="170" spans="1:37" ht="30" customHeight="1" x14ac:dyDescent="0.2">
      <c r="A170" s="170"/>
      <c r="B170" s="170"/>
      <c r="C170" s="170"/>
      <c r="D170" s="170"/>
      <c r="E170" s="171"/>
      <c r="F170" s="172"/>
      <c r="G170" s="173"/>
      <c r="H170" s="174"/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4"/>
      <c r="T170" s="174"/>
      <c r="U170" s="174"/>
      <c r="V170" s="174"/>
      <c r="W170" s="174"/>
      <c r="X170" s="174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</row>
    <row r="171" spans="1:37" ht="30" customHeight="1" x14ac:dyDescent="0.2">
      <c r="A171" s="170"/>
      <c r="B171" s="170"/>
      <c r="C171" s="170"/>
      <c r="D171" s="170"/>
      <c r="E171" s="171"/>
      <c r="F171" s="172"/>
      <c r="G171" s="173"/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  <c r="R171" s="174"/>
      <c r="S171" s="174"/>
      <c r="T171" s="174"/>
      <c r="U171" s="174"/>
      <c r="V171" s="174"/>
      <c r="W171" s="174"/>
      <c r="X171" s="174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</row>
    <row r="172" spans="1:37" ht="30" customHeight="1" x14ac:dyDescent="0.2">
      <c r="A172" s="170"/>
      <c r="B172" s="170"/>
      <c r="C172" s="170"/>
      <c r="D172" s="170"/>
      <c r="E172" s="171"/>
      <c r="F172" s="172"/>
      <c r="G172" s="173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</row>
    <row r="173" spans="1:37" ht="30" customHeight="1" x14ac:dyDescent="0.2">
      <c r="A173" s="170"/>
      <c r="B173" s="170"/>
      <c r="C173" s="170"/>
      <c r="D173" s="170"/>
      <c r="E173" s="171"/>
      <c r="F173" s="172"/>
      <c r="G173" s="173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</row>
    <row r="174" spans="1:37" ht="30" customHeight="1" x14ac:dyDescent="0.2">
      <c r="A174" s="170"/>
      <c r="B174" s="170"/>
      <c r="C174" s="170"/>
      <c r="D174" s="170"/>
      <c r="E174" s="171"/>
      <c r="F174" s="172"/>
      <c r="G174" s="173"/>
      <c r="H174" s="174"/>
      <c r="I174" s="174"/>
      <c r="J174" s="174"/>
      <c r="K174" s="174"/>
      <c r="L174" s="174"/>
      <c r="M174" s="174"/>
      <c r="N174" s="174"/>
      <c r="O174" s="174"/>
      <c r="P174" s="174"/>
      <c r="Q174" s="174"/>
      <c r="R174" s="174"/>
      <c r="S174" s="174"/>
      <c r="T174" s="174"/>
      <c r="U174" s="174"/>
      <c r="V174" s="174"/>
      <c r="W174" s="174"/>
      <c r="X174" s="174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</row>
    <row r="175" spans="1:37" ht="30" customHeight="1" x14ac:dyDescent="0.2">
      <c r="A175" s="170"/>
      <c r="B175" s="170"/>
      <c r="C175" s="170"/>
      <c r="D175" s="170"/>
      <c r="E175" s="171"/>
      <c r="F175" s="172"/>
      <c r="G175" s="173"/>
      <c r="H175" s="174"/>
      <c r="I175" s="174"/>
      <c r="J175" s="174"/>
      <c r="K175" s="174"/>
      <c r="L175" s="174"/>
      <c r="M175" s="174"/>
      <c r="N175" s="174"/>
      <c r="O175" s="174"/>
      <c r="P175" s="174"/>
      <c r="Q175" s="174"/>
      <c r="R175" s="174"/>
      <c r="S175" s="174"/>
      <c r="T175" s="174"/>
      <c r="U175" s="174"/>
      <c r="V175" s="174"/>
      <c r="W175" s="174"/>
      <c r="X175" s="174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</row>
    <row r="176" spans="1:37" ht="30" customHeight="1" x14ac:dyDescent="0.2">
      <c r="A176" s="170"/>
      <c r="B176" s="170"/>
      <c r="C176" s="170"/>
      <c r="D176" s="170"/>
      <c r="E176" s="171"/>
      <c r="F176" s="172"/>
      <c r="G176" s="173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  <c r="R176" s="174"/>
      <c r="S176" s="174"/>
      <c r="T176" s="174"/>
      <c r="U176" s="174"/>
      <c r="V176" s="174"/>
      <c r="W176" s="174"/>
      <c r="X176" s="174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</row>
    <row r="177" spans="1:37" ht="30" customHeight="1" x14ac:dyDescent="0.2">
      <c r="A177" s="170"/>
      <c r="B177" s="170"/>
      <c r="C177" s="170"/>
      <c r="D177" s="170"/>
      <c r="E177" s="171"/>
      <c r="F177" s="172"/>
      <c r="G177" s="173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</row>
    <row r="178" spans="1:37" ht="30" customHeight="1" x14ac:dyDescent="0.2">
      <c r="A178" s="170"/>
      <c r="B178" s="170"/>
      <c r="C178" s="170"/>
      <c r="D178" s="170"/>
      <c r="E178" s="171"/>
      <c r="F178" s="172"/>
      <c r="G178" s="173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</row>
    <row r="179" spans="1:37" ht="30" customHeight="1" x14ac:dyDescent="0.2">
      <c r="A179" s="170"/>
      <c r="B179" s="170"/>
      <c r="C179" s="170"/>
      <c r="D179" s="170"/>
      <c r="E179" s="171"/>
      <c r="F179" s="172"/>
      <c r="G179" s="173"/>
      <c r="H179" s="174"/>
      <c r="I179" s="174"/>
      <c r="J179" s="174"/>
      <c r="K179" s="174"/>
      <c r="L179" s="174"/>
      <c r="M179" s="174"/>
      <c r="N179" s="174"/>
      <c r="O179" s="174"/>
      <c r="P179" s="174"/>
      <c r="Q179" s="174"/>
      <c r="R179" s="174"/>
      <c r="S179" s="174"/>
      <c r="T179" s="174"/>
      <c r="U179" s="174"/>
      <c r="V179" s="174"/>
      <c r="W179" s="174"/>
      <c r="X179" s="174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</row>
    <row r="180" spans="1:37" ht="30" customHeight="1" x14ac:dyDescent="0.2">
      <c r="A180" s="170"/>
      <c r="B180" s="170"/>
      <c r="C180" s="170"/>
      <c r="D180" s="170"/>
      <c r="E180" s="171"/>
      <c r="F180" s="172"/>
      <c r="G180" s="173"/>
      <c r="H180" s="174"/>
      <c r="I180" s="174"/>
      <c r="J180" s="174"/>
      <c r="K180" s="174"/>
      <c r="L180" s="174"/>
      <c r="M180" s="174"/>
      <c r="N180" s="174"/>
      <c r="O180" s="174"/>
      <c r="P180" s="174"/>
      <c r="Q180" s="174"/>
      <c r="R180" s="174"/>
      <c r="S180" s="174"/>
      <c r="T180" s="174"/>
      <c r="U180" s="174"/>
      <c r="V180" s="174"/>
      <c r="W180" s="174"/>
      <c r="X180" s="174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</row>
    <row r="181" spans="1:37" ht="30" customHeight="1" x14ac:dyDescent="0.2">
      <c r="A181" s="170"/>
      <c r="B181" s="170"/>
      <c r="C181" s="170"/>
      <c r="D181" s="170"/>
      <c r="E181" s="171"/>
      <c r="F181" s="172"/>
      <c r="G181" s="173"/>
      <c r="H181" s="174"/>
      <c r="I181" s="174"/>
      <c r="J181" s="174"/>
      <c r="K181" s="174"/>
      <c r="L181" s="174"/>
      <c r="M181" s="174"/>
      <c r="N181" s="174"/>
      <c r="O181" s="174"/>
      <c r="P181" s="174"/>
      <c r="Q181" s="174"/>
      <c r="R181" s="174"/>
      <c r="S181" s="174"/>
      <c r="T181" s="174"/>
      <c r="U181" s="174"/>
      <c r="V181" s="174"/>
      <c r="W181" s="174"/>
      <c r="X181" s="174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</row>
    <row r="182" spans="1:37" ht="30" customHeight="1" x14ac:dyDescent="0.2">
      <c r="A182" s="170"/>
      <c r="B182" s="170"/>
      <c r="C182" s="170"/>
      <c r="D182" s="170"/>
      <c r="E182" s="171"/>
      <c r="F182" s="172"/>
      <c r="G182" s="173"/>
      <c r="H182" s="174"/>
      <c r="I182" s="174"/>
      <c r="J182" s="174"/>
      <c r="K182" s="174"/>
      <c r="L182" s="174"/>
      <c r="M182" s="174"/>
      <c r="N182" s="174"/>
      <c r="O182" s="174"/>
      <c r="P182" s="174"/>
      <c r="Q182" s="174"/>
      <c r="R182" s="174"/>
      <c r="S182" s="174"/>
      <c r="T182" s="174"/>
      <c r="U182" s="174"/>
      <c r="V182" s="174"/>
      <c r="W182" s="174"/>
      <c r="X182" s="174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</row>
    <row r="183" spans="1:37" ht="30" customHeight="1" x14ac:dyDescent="0.2">
      <c r="A183" s="170"/>
      <c r="B183" s="170"/>
      <c r="C183" s="170"/>
      <c r="D183" s="170"/>
      <c r="E183" s="171"/>
      <c r="F183" s="172"/>
      <c r="G183" s="173"/>
      <c r="H183" s="174"/>
      <c r="I183" s="174"/>
      <c r="J183" s="174"/>
      <c r="K183" s="174"/>
      <c r="L183" s="174"/>
      <c r="M183" s="174"/>
      <c r="N183" s="174"/>
      <c r="O183" s="174"/>
      <c r="P183" s="174"/>
      <c r="Q183" s="174"/>
      <c r="R183" s="174"/>
      <c r="S183" s="174"/>
      <c r="T183" s="174"/>
      <c r="U183" s="174"/>
      <c r="V183" s="174"/>
      <c r="W183" s="174"/>
      <c r="X183" s="174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</row>
    <row r="184" spans="1:37" ht="30" customHeight="1" x14ac:dyDescent="0.2">
      <c r="A184" s="170"/>
      <c r="B184" s="170"/>
      <c r="C184" s="170"/>
      <c r="D184" s="170"/>
      <c r="E184" s="171"/>
      <c r="F184" s="172"/>
      <c r="G184" s="173"/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S184" s="174"/>
      <c r="T184" s="174"/>
      <c r="U184" s="174"/>
      <c r="V184" s="174"/>
      <c r="W184" s="174"/>
      <c r="X184" s="174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</row>
    <row r="185" spans="1:37" ht="30" customHeight="1" x14ac:dyDescent="0.2">
      <c r="A185" s="170"/>
      <c r="B185" s="170"/>
      <c r="C185" s="170"/>
      <c r="D185" s="170"/>
      <c r="E185" s="171"/>
      <c r="F185" s="172"/>
      <c r="G185" s="173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</row>
    <row r="186" spans="1:37" ht="30" customHeight="1" x14ac:dyDescent="0.2">
      <c r="A186" s="170"/>
      <c r="B186" s="170"/>
      <c r="C186" s="170"/>
      <c r="D186" s="170"/>
      <c r="E186" s="171"/>
      <c r="F186" s="172"/>
      <c r="G186" s="173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</row>
    <row r="187" spans="1:37" ht="30" customHeight="1" x14ac:dyDescent="0.2">
      <c r="A187" s="170"/>
      <c r="B187" s="170"/>
      <c r="C187" s="170"/>
      <c r="D187" s="170"/>
      <c r="E187" s="171"/>
      <c r="F187" s="172"/>
      <c r="G187" s="173"/>
      <c r="H187" s="174"/>
      <c r="I187" s="174"/>
      <c r="J187" s="174"/>
      <c r="K187" s="174"/>
      <c r="L187" s="174"/>
      <c r="M187" s="174"/>
      <c r="N187" s="174"/>
      <c r="O187" s="174"/>
      <c r="P187" s="174"/>
      <c r="Q187" s="174"/>
      <c r="R187" s="174"/>
      <c r="S187" s="174"/>
      <c r="T187" s="174"/>
      <c r="U187" s="174"/>
      <c r="V187" s="174"/>
      <c r="W187" s="174"/>
      <c r="X187" s="174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</row>
    <row r="188" spans="1:37" ht="30" customHeight="1" x14ac:dyDescent="0.2">
      <c r="A188" s="170"/>
      <c r="B188" s="170"/>
      <c r="C188" s="170"/>
      <c r="D188" s="170"/>
      <c r="E188" s="171"/>
      <c r="F188" s="172"/>
      <c r="G188" s="173"/>
      <c r="H188" s="174"/>
      <c r="I188" s="174"/>
      <c r="J188" s="174"/>
      <c r="K188" s="174"/>
      <c r="L188" s="174"/>
      <c r="M188" s="174"/>
      <c r="N188" s="174"/>
      <c r="O188" s="174"/>
      <c r="P188" s="174"/>
      <c r="Q188" s="174"/>
      <c r="R188" s="174"/>
      <c r="S188" s="174"/>
      <c r="T188" s="174"/>
      <c r="U188" s="174"/>
      <c r="V188" s="174"/>
      <c r="W188" s="174"/>
      <c r="X188" s="174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</row>
    <row r="189" spans="1:37" ht="30" customHeight="1" x14ac:dyDescent="0.2">
      <c r="A189" s="170"/>
      <c r="B189" s="170"/>
      <c r="C189" s="170"/>
      <c r="D189" s="170"/>
      <c r="E189" s="171"/>
      <c r="F189" s="172"/>
      <c r="G189" s="173"/>
      <c r="H189" s="174"/>
      <c r="I189" s="174"/>
      <c r="J189" s="174"/>
      <c r="K189" s="174"/>
      <c r="L189" s="174"/>
      <c r="M189" s="174"/>
      <c r="N189" s="174"/>
      <c r="O189" s="174"/>
      <c r="P189" s="174"/>
      <c r="Q189" s="174"/>
      <c r="R189" s="174"/>
      <c r="S189" s="174"/>
      <c r="T189" s="174"/>
      <c r="U189" s="174"/>
      <c r="V189" s="174"/>
      <c r="W189" s="174"/>
      <c r="X189" s="174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</row>
    <row r="190" spans="1:37" ht="30" customHeight="1" x14ac:dyDescent="0.2">
      <c r="A190" s="170"/>
      <c r="B190" s="170"/>
      <c r="C190" s="170"/>
      <c r="D190" s="170"/>
      <c r="E190" s="171"/>
      <c r="F190" s="172"/>
      <c r="G190" s="173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S190" s="174"/>
      <c r="T190" s="174"/>
      <c r="U190" s="174"/>
      <c r="V190" s="174"/>
      <c r="W190" s="174"/>
      <c r="X190" s="174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</row>
    <row r="191" spans="1:37" ht="30" customHeight="1" x14ac:dyDescent="0.2">
      <c r="A191" s="170"/>
      <c r="B191" s="170"/>
      <c r="C191" s="170"/>
      <c r="D191" s="170"/>
      <c r="E191" s="171"/>
      <c r="F191" s="172"/>
      <c r="G191" s="173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</row>
    <row r="192" spans="1:37" ht="30" customHeight="1" x14ac:dyDescent="0.2">
      <c r="A192" s="170"/>
      <c r="B192" s="170"/>
      <c r="C192" s="170"/>
      <c r="D192" s="170"/>
      <c r="E192" s="171"/>
      <c r="F192" s="172"/>
      <c r="G192" s="173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</row>
    <row r="193" spans="1:37" ht="30" customHeight="1" x14ac:dyDescent="0.2">
      <c r="A193" s="170"/>
      <c r="B193" s="170"/>
      <c r="C193" s="170"/>
      <c r="D193" s="170"/>
      <c r="E193" s="171"/>
      <c r="F193" s="172"/>
      <c r="G193" s="173"/>
      <c r="H193" s="174"/>
      <c r="I193" s="174"/>
      <c r="J193" s="174"/>
      <c r="K193" s="174"/>
      <c r="L193" s="174"/>
      <c r="M193" s="174"/>
      <c r="N193" s="174"/>
      <c r="O193" s="174"/>
      <c r="P193" s="174"/>
      <c r="Q193" s="174"/>
      <c r="R193" s="174"/>
      <c r="S193" s="174"/>
      <c r="T193" s="174"/>
      <c r="U193" s="174"/>
      <c r="V193" s="174"/>
      <c r="W193" s="174"/>
      <c r="X193" s="174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</row>
    <row r="194" spans="1:37" ht="30" customHeight="1" x14ac:dyDescent="0.2">
      <c r="A194" s="170"/>
      <c r="B194" s="170"/>
      <c r="C194" s="170"/>
      <c r="D194" s="170"/>
      <c r="E194" s="171"/>
      <c r="F194" s="172"/>
      <c r="G194" s="173"/>
      <c r="H194" s="174"/>
      <c r="I194" s="174"/>
      <c r="J194" s="174"/>
      <c r="K194" s="174"/>
      <c r="L194" s="174"/>
      <c r="M194" s="174"/>
      <c r="N194" s="174"/>
      <c r="O194" s="174"/>
      <c r="P194" s="174"/>
      <c r="Q194" s="174"/>
      <c r="R194" s="174"/>
      <c r="S194" s="174"/>
      <c r="T194" s="174"/>
      <c r="U194" s="174"/>
      <c r="V194" s="174"/>
      <c r="W194" s="174"/>
      <c r="X194" s="174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</row>
    <row r="195" spans="1:37" ht="30" customHeight="1" x14ac:dyDescent="0.2">
      <c r="A195" s="170"/>
      <c r="B195" s="170"/>
      <c r="C195" s="170"/>
      <c r="D195" s="170"/>
      <c r="E195" s="171"/>
      <c r="F195" s="172"/>
      <c r="G195" s="173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S195" s="174"/>
      <c r="T195" s="174"/>
      <c r="U195" s="174"/>
      <c r="V195" s="174"/>
      <c r="W195" s="174"/>
      <c r="X195" s="174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</row>
    <row r="196" spans="1:37" ht="30" customHeight="1" x14ac:dyDescent="0.2">
      <c r="A196" s="170"/>
      <c r="B196" s="170"/>
      <c r="C196" s="170"/>
      <c r="D196" s="170"/>
      <c r="E196" s="171"/>
      <c r="F196" s="172"/>
      <c r="G196" s="173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74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</row>
    <row r="197" spans="1:37" ht="30" customHeight="1" x14ac:dyDescent="0.2">
      <c r="A197" s="170"/>
      <c r="B197" s="170"/>
      <c r="C197" s="170"/>
      <c r="D197" s="170"/>
      <c r="E197" s="171"/>
      <c r="F197" s="172"/>
      <c r="G197" s="173"/>
      <c r="H197" s="174"/>
      <c r="I197" s="174"/>
      <c r="J197" s="174"/>
      <c r="K197" s="174"/>
      <c r="L197" s="174"/>
      <c r="M197" s="174"/>
      <c r="N197" s="174"/>
      <c r="O197" s="174"/>
      <c r="P197" s="174"/>
      <c r="Q197" s="174"/>
      <c r="R197" s="174"/>
      <c r="S197" s="174"/>
      <c r="T197" s="174"/>
      <c r="U197" s="174"/>
      <c r="V197" s="174"/>
      <c r="W197" s="174"/>
      <c r="X197" s="174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</row>
    <row r="198" spans="1:37" ht="30" customHeight="1" x14ac:dyDescent="0.2">
      <c r="A198" s="170"/>
      <c r="B198" s="170"/>
      <c r="C198" s="170"/>
      <c r="D198" s="170"/>
      <c r="E198" s="171"/>
      <c r="F198" s="172"/>
      <c r="G198" s="173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</row>
    <row r="199" spans="1:37" ht="30" customHeight="1" x14ac:dyDescent="0.2">
      <c r="A199" s="170"/>
      <c r="B199" s="170"/>
      <c r="C199" s="170"/>
      <c r="D199" s="170"/>
      <c r="E199" s="171"/>
      <c r="F199" s="172"/>
      <c r="G199" s="173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  <c r="R199" s="174"/>
      <c r="S199" s="174"/>
      <c r="T199" s="174"/>
      <c r="U199" s="174"/>
      <c r="V199" s="174"/>
      <c r="W199" s="174"/>
      <c r="X199" s="174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</row>
    <row r="200" spans="1:37" ht="30" customHeight="1" x14ac:dyDescent="0.2">
      <c r="A200" s="170"/>
      <c r="B200" s="170"/>
      <c r="C200" s="170"/>
      <c r="D200" s="170"/>
      <c r="E200" s="171"/>
      <c r="F200" s="172"/>
      <c r="G200" s="173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174"/>
      <c r="U200" s="174"/>
      <c r="V200" s="174"/>
      <c r="W200" s="174"/>
      <c r="X200" s="174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</row>
    <row r="201" spans="1:37" ht="30" customHeight="1" x14ac:dyDescent="0.2">
      <c r="A201" s="170"/>
      <c r="B201" s="170"/>
      <c r="C201" s="170"/>
      <c r="D201" s="170"/>
      <c r="E201" s="171"/>
      <c r="F201" s="172"/>
      <c r="G201" s="173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74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</row>
    <row r="202" spans="1:37" ht="30" customHeight="1" x14ac:dyDescent="0.2">
      <c r="A202" s="170"/>
      <c r="B202" s="170"/>
      <c r="C202" s="170"/>
      <c r="D202" s="170"/>
      <c r="E202" s="171"/>
      <c r="F202" s="172"/>
      <c r="G202" s="173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  <c r="R202" s="174"/>
      <c r="S202" s="174"/>
      <c r="T202" s="174"/>
      <c r="U202" s="174"/>
      <c r="V202" s="174"/>
      <c r="W202" s="174"/>
      <c r="X202" s="174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</row>
    <row r="203" spans="1:37" ht="30" customHeight="1" x14ac:dyDescent="0.2">
      <c r="A203" s="170"/>
      <c r="B203" s="170"/>
      <c r="C203" s="170"/>
      <c r="D203" s="170"/>
      <c r="E203" s="171"/>
      <c r="F203" s="172"/>
      <c r="G203" s="173"/>
      <c r="H203" s="174"/>
      <c r="I203" s="174"/>
      <c r="J203" s="174"/>
      <c r="K203" s="174"/>
      <c r="L203" s="174"/>
      <c r="M203" s="174"/>
      <c r="N203" s="174"/>
      <c r="O203" s="174"/>
      <c r="P203" s="174"/>
      <c r="Q203" s="174"/>
      <c r="R203" s="174"/>
      <c r="S203" s="174"/>
      <c r="T203" s="174"/>
      <c r="U203" s="174"/>
      <c r="V203" s="174"/>
      <c r="W203" s="174"/>
      <c r="X203" s="174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</row>
    <row r="204" spans="1:37" ht="30" customHeight="1" x14ac:dyDescent="0.2">
      <c r="A204" s="170"/>
      <c r="B204" s="170"/>
      <c r="C204" s="170"/>
      <c r="D204" s="170"/>
      <c r="E204" s="171"/>
      <c r="F204" s="172"/>
      <c r="G204" s="173"/>
      <c r="H204" s="174"/>
      <c r="I204" s="174"/>
      <c r="J204" s="174"/>
      <c r="K204" s="174"/>
      <c r="L204" s="174"/>
      <c r="M204" s="174"/>
      <c r="N204" s="174"/>
      <c r="O204" s="174"/>
      <c r="P204" s="174"/>
      <c r="Q204" s="174"/>
      <c r="R204" s="174"/>
      <c r="S204" s="174"/>
      <c r="T204" s="174"/>
      <c r="U204" s="174"/>
      <c r="V204" s="174"/>
      <c r="W204" s="174"/>
      <c r="X204" s="174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</row>
    <row r="205" spans="1:37" ht="30" customHeight="1" x14ac:dyDescent="0.2">
      <c r="A205" s="170"/>
      <c r="B205" s="170"/>
      <c r="C205" s="170"/>
      <c r="D205" s="170"/>
      <c r="E205" s="171"/>
      <c r="F205" s="172"/>
      <c r="G205" s="173"/>
      <c r="H205" s="174"/>
      <c r="I205" s="174"/>
      <c r="J205" s="174"/>
      <c r="K205" s="174"/>
      <c r="L205" s="174"/>
      <c r="M205" s="174"/>
      <c r="N205" s="174"/>
      <c r="O205" s="174"/>
      <c r="P205" s="174"/>
      <c r="Q205" s="174"/>
      <c r="R205" s="174"/>
      <c r="S205" s="174"/>
      <c r="T205" s="174"/>
      <c r="U205" s="174"/>
      <c r="V205" s="174"/>
      <c r="W205" s="174"/>
      <c r="X205" s="174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</row>
    <row r="206" spans="1:37" ht="30" customHeight="1" x14ac:dyDescent="0.2">
      <c r="A206" s="170"/>
      <c r="B206" s="170"/>
      <c r="C206" s="170"/>
      <c r="D206" s="170"/>
      <c r="E206" s="171"/>
      <c r="F206" s="172"/>
      <c r="G206" s="173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</row>
    <row r="207" spans="1:37" ht="30" customHeight="1" x14ac:dyDescent="0.2">
      <c r="A207" s="170"/>
      <c r="B207" s="170"/>
      <c r="C207" s="170"/>
      <c r="D207" s="170"/>
      <c r="E207" s="171"/>
      <c r="F207" s="172"/>
      <c r="G207" s="173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</row>
    <row r="208" spans="1:37" ht="30" customHeight="1" x14ac:dyDescent="0.2">
      <c r="A208" s="170"/>
      <c r="B208" s="170"/>
      <c r="C208" s="170"/>
      <c r="D208" s="170"/>
      <c r="E208" s="171"/>
      <c r="F208" s="172"/>
      <c r="G208" s="173"/>
      <c r="H208" s="174"/>
      <c r="I208" s="174"/>
      <c r="J208" s="174"/>
      <c r="K208" s="174"/>
      <c r="L208" s="174"/>
      <c r="M208" s="174"/>
      <c r="N208" s="174"/>
      <c r="O208" s="174"/>
      <c r="P208" s="174"/>
      <c r="Q208" s="174"/>
      <c r="R208" s="174"/>
      <c r="S208" s="174"/>
      <c r="T208" s="174"/>
      <c r="U208" s="174"/>
      <c r="V208" s="174"/>
      <c r="W208" s="174"/>
      <c r="X208" s="174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</row>
    <row r="209" spans="1:37" ht="30" customHeight="1" x14ac:dyDescent="0.2">
      <c r="A209" s="170"/>
      <c r="B209" s="170"/>
      <c r="C209" s="170"/>
      <c r="D209" s="170"/>
      <c r="E209" s="171"/>
      <c r="F209" s="172"/>
      <c r="G209" s="173"/>
      <c r="H209" s="174"/>
      <c r="I209" s="174"/>
      <c r="J209" s="174"/>
      <c r="K209" s="174"/>
      <c r="L209" s="174"/>
      <c r="M209" s="174"/>
      <c r="N209" s="174"/>
      <c r="O209" s="174"/>
      <c r="P209" s="174"/>
      <c r="Q209" s="174"/>
      <c r="R209" s="174"/>
      <c r="S209" s="174"/>
      <c r="T209" s="174"/>
      <c r="U209" s="174"/>
      <c r="V209" s="174"/>
      <c r="W209" s="174"/>
      <c r="X209" s="174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</row>
    <row r="210" spans="1:37" ht="30" customHeight="1" x14ac:dyDescent="0.2">
      <c r="A210" s="170"/>
      <c r="B210" s="170"/>
      <c r="C210" s="170"/>
      <c r="D210" s="170"/>
      <c r="E210" s="171"/>
      <c r="F210" s="172"/>
      <c r="G210" s="173"/>
      <c r="H210" s="174"/>
      <c r="I210" s="174"/>
      <c r="J210" s="174"/>
      <c r="K210" s="174"/>
      <c r="L210" s="174"/>
      <c r="M210" s="174"/>
      <c r="N210" s="174"/>
      <c r="O210" s="174"/>
      <c r="P210" s="174"/>
      <c r="Q210" s="174"/>
      <c r="R210" s="174"/>
      <c r="S210" s="174"/>
      <c r="T210" s="174"/>
      <c r="U210" s="174"/>
      <c r="V210" s="174"/>
      <c r="W210" s="174"/>
      <c r="X210" s="174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</row>
    <row r="211" spans="1:37" ht="30" customHeight="1" x14ac:dyDescent="0.2">
      <c r="A211" s="170"/>
      <c r="B211" s="170"/>
      <c r="C211" s="170"/>
      <c r="D211" s="170"/>
      <c r="E211" s="171"/>
      <c r="F211" s="172"/>
      <c r="G211" s="173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  <c r="U211" s="174"/>
      <c r="V211" s="174"/>
      <c r="W211" s="174"/>
      <c r="X211" s="174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</row>
    <row r="212" spans="1:37" ht="30" customHeight="1" x14ac:dyDescent="0.2">
      <c r="A212" s="170"/>
      <c r="B212" s="170"/>
      <c r="C212" s="170"/>
      <c r="D212" s="170"/>
      <c r="E212" s="171"/>
      <c r="F212" s="172"/>
      <c r="G212" s="173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74"/>
      <c r="U212" s="174"/>
      <c r="V212" s="174"/>
      <c r="W212" s="174"/>
      <c r="X212" s="174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</row>
    <row r="213" spans="1:37" ht="30" customHeight="1" x14ac:dyDescent="0.2">
      <c r="A213" s="170"/>
      <c r="B213" s="170"/>
      <c r="C213" s="170"/>
      <c r="D213" s="170"/>
      <c r="E213" s="171"/>
      <c r="F213" s="172"/>
      <c r="G213" s="173"/>
      <c r="H213" s="174"/>
      <c r="I213" s="174"/>
      <c r="J213" s="174"/>
      <c r="K213" s="174"/>
      <c r="L213" s="174"/>
      <c r="M213" s="174"/>
      <c r="N213" s="174"/>
      <c r="O213" s="174"/>
      <c r="P213" s="174"/>
      <c r="Q213" s="174"/>
      <c r="R213" s="174"/>
      <c r="S213" s="174"/>
      <c r="T213" s="174"/>
      <c r="U213" s="174"/>
      <c r="V213" s="174"/>
      <c r="W213" s="174"/>
      <c r="X213" s="174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</row>
    <row r="214" spans="1:37" ht="30" customHeight="1" x14ac:dyDescent="0.2">
      <c r="A214" s="170"/>
      <c r="B214" s="170"/>
      <c r="C214" s="170"/>
      <c r="D214" s="170"/>
      <c r="E214" s="171"/>
      <c r="F214" s="172"/>
      <c r="G214" s="173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  <c r="U214" s="174"/>
      <c r="V214" s="174"/>
      <c r="W214" s="174"/>
      <c r="X214" s="174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</row>
    <row r="215" spans="1:37" ht="30" customHeight="1" x14ac:dyDescent="0.2">
      <c r="A215" s="170"/>
      <c r="B215" s="170"/>
      <c r="C215" s="170"/>
      <c r="D215" s="170"/>
      <c r="E215" s="171"/>
      <c r="F215" s="172"/>
      <c r="G215" s="173"/>
      <c r="H215" s="174"/>
      <c r="I215" s="174"/>
      <c r="J215" s="174"/>
      <c r="K215" s="174"/>
      <c r="L215" s="174"/>
      <c r="M215" s="174"/>
      <c r="N215" s="174"/>
      <c r="O215" s="174"/>
      <c r="P215" s="174"/>
      <c r="Q215" s="174"/>
      <c r="R215" s="174"/>
      <c r="S215" s="174"/>
      <c r="T215" s="174"/>
      <c r="U215" s="174"/>
      <c r="V215" s="174"/>
      <c r="W215" s="174"/>
      <c r="X215" s="174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</row>
    <row r="216" spans="1:37" ht="30" customHeight="1" x14ac:dyDescent="0.2">
      <c r="A216" s="170"/>
      <c r="B216" s="170"/>
      <c r="C216" s="170"/>
      <c r="D216" s="170"/>
      <c r="E216" s="171"/>
      <c r="F216" s="172"/>
      <c r="G216" s="173"/>
      <c r="H216" s="174"/>
      <c r="I216" s="174"/>
      <c r="J216" s="174"/>
      <c r="K216" s="174"/>
      <c r="L216" s="174"/>
      <c r="M216" s="174"/>
      <c r="N216" s="174"/>
      <c r="O216" s="174"/>
      <c r="P216" s="174"/>
      <c r="Q216" s="174"/>
      <c r="R216" s="174"/>
      <c r="S216" s="174"/>
      <c r="T216" s="174"/>
      <c r="U216" s="174"/>
      <c r="V216" s="174"/>
      <c r="W216" s="174"/>
      <c r="X216" s="174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</row>
    <row r="217" spans="1:37" ht="30" customHeight="1" x14ac:dyDescent="0.2">
      <c r="A217" s="170"/>
      <c r="B217" s="170"/>
      <c r="C217" s="170"/>
      <c r="D217" s="170"/>
      <c r="E217" s="171"/>
      <c r="F217" s="172"/>
      <c r="G217" s="173"/>
      <c r="H217" s="174"/>
      <c r="I217" s="174"/>
      <c r="J217" s="174"/>
      <c r="K217" s="174"/>
      <c r="L217" s="174"/>
      <c r="M217" s="174"/>
      <c r="N217" s="174"/>
      <c r="O217" s="174"/>
      <c r="P217" s="174"/>
      <c r="Q217" s="174"/>
      <c r="R217" s="174"/>
      <c r="S217" s="174"/>
      <c r="T217" s="174"/>
      <c r="U217" s="174"/>
      <c r="V217" s="174"/>
      <c r="W217" s="174"/>
      <c r="X217" s="174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</row>
    <row r="218" spans="1:37" ht="30" customHeight="1" x14ac:dyDescent="0.2">
      <c r="A218" s="170"/>
      <c r="B218" s="170"/>
      <c r="C218" s="170"/>
      <c r="D218" s="170"/>
      <c r="E218" s="171"/>
      <c r="F218" s="172"/>
      <c r="G218" s="173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</row>
    <row r="219" spans="1:37" ht="30" customHeight="1" x14ac:dyDescent="0.2">
      <c r="A219" s="170"/>
      <c r="B219" s="170"/>
      <c r="C219" s="170"/>
      <c r="D219" s="170"/>
      <c r="E219" s="171"/>
      <c r="F219" s="172"/>
      <c r="G219" s="173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</row>
    <row r="220" spans="1:37" ht="30" customHeight="1" x14ac:dyDescent="0.2">
      <c r="A220" s="170"/>
      <c r="B220" s="170"/>
      <c r="C220" s="170"/>
      <c r="D220" s="170"/>
      <c r="E220" s="171"/>
      <c r="F220" s="172"/>
      <c r="G220" s="173"/>
      <c r="H220" s="174"/>
      <c r="I220" s="174"/>
      <c r="J220" s="174"/>
      <c r="K220" s="174"/>
      <c r="L220" s="174"/>
      <c r="M220" s="174"/>
      <c r="N220" s="174"/>
      <c r="O220" s="174"/>
      <c r="P220" s="174"/>
      <c r="Q220" s="174"/>
      <c r="R220" s="174"/>
      <c r="S220" s="174"/>
      <c r="T220" s="174"/>
      <c r="U220" s="174"/>
      <c r="V220" s="174"/>
      <c r="W220" s="174"/>
      <c r="X220" s="174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</row>
    <row r="221" spans="1:37" ht="30" customHeight="1" x14ac:dyDescent="0.2">
      <c r="A221" s="170"/>
      <c r="B221" s="170"/>
      <c r="C221" s="170"/>
      <c r="D221" s="170"/>
      <c r="E221" s="171"/>
      <c r="F221" s="172"/>
      <c r="G221" s="173"/>
      <c r="H221" s="174"/>
      <c r="I221" s="174"/>
      <c r="J221" s="174"/>
      <c r="K221" s="174"/>
      <c r="L221" s="174"/>
      <c r="M221" s="174"/>
      <c r="N221" s="174"/>
      <c r="O221" s="174"/>
      <c r="P221" s="174"/>
      <c r="Q221" s="174"/>
      <c r="R221" s="174"/>
      <c r="S221" s="174"/>
      <c r="T221" s="174"/>
      <c r="U221" s="174"/>
      <c r="V221" s="174"/>
      <c r="W221" s="174"/>
      <c r="X221" s="174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</row>
    <row r="222" spans="1:37" ht="30" customHeight="1" x14ac:dyDescent="0.2">
      <c r="A222" s="170"/>
      <c r="B222" s="170"/>
      <c r="C222" s="170"/>
      <c r="D222" s="170"/>
      <c r="E222" s="171"/>
      <c r="F222" s="172"/>
      <c r="G222" s="173"/>
      <c r="H222" s="174"/>
      <c r="I222" s="174"/>
      <c r="J222" s="174"/>
      <c r="K222" s="174"/>
      <c r="L222" s="174"/>
      <c r="M222" s="174"/>
      <c r="N222" s="174"/>
      <c r="O222" s="174"/>
      <c r="P222" s="174"/>
      <c r="Q222" s="174"/>
      <c r="R222" s="174"/>
      <c r="S222" s="174"/>
      <c r="T222" s="174"/>
      <c r="U222" s="174"/>
      <c r="V222" s="174"/>
      <c r="W222" s="174"/>
      <c r="X222" s="174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</row>
    <row r="223" spans="1:37" ht="30" customHeight="1" x14ac:dyDescent="0.2">
      <c r="A223" s="170"/>
      <c r="B223" s="170"/>
      <c r="C223" s="170"/>
      <c r="D223" s="170"/>
      <c r="E223" s="171"/>
      <c r="F223" s="172"/>
      <c r="G223" s="173"/>
      <c r="H223" s="174"/>
      <c r="I223" s="174"/>
      <c r="J223" s="174"/>
      <c r="K223" s="174"/>
      <c r="L223" s="174"/>
      <c r="M223" s="174"/>
      <c r="N223" s="174"/>
      <c r="O223" s="174"/>
      <c r="P223" s="174"/>
      <c r="Q223" s="174"/>
      <c r="R223" s="174"/>
      <c r="S223" s="174"/>
      <c r="T223" s="174"/>
      <c r="U223" s="174"/>
      <c r="V223" s="174"/>
      <c r="W223" s="174"/>
      <c r="X223" s="174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</row>
    <row r="224" spans="1:37" ht="30" customHeight="1" x14ac:dyDescent="0.2">
      <c r="A224" s="170"/>
      <c r="B224" s="170"/>
      <c r="C224" s="170"/>
      <c r="D224" s="170"/>
      <c r="E224" s="171"/>
      <c r="F224" s="172"/>
      <c r="G224" s="173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  <c r="U224" s="174"/>
      <c r="V224" s="174"/>
      <c r="W224" s="174"/>
      <c r="X224" s="174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</row>
    <row r="225" spans="1:37" ht="30" customHeight="1" x14ac:dyDescent="0.2">
      <c r="A225" s="170"/>
      <c r="B225" s="170"/>
      <c r="C225" s="170"/>
      <c r="D225" s="170"/>
      <c r="E225" s="171"/>
      <c r="F225" s="172"/>
      <c r="G225" s="173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  <c r="U225" s="174"/>
      <c r="V225" s="174"/>
      <c r="W225" s="174"/>
      <c r="X225" s="174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</row>
    <row r="226" spans="1:37" ht="30" customHeight="1" x14ac:dyDescent="0.2">
      <c r="A226" s="170"/>
      <c r="B226" s="170"/>
      <c r="C226" s="170"/>
      <c r="D226" s="170"/>
      <c r="E226" s="171"/>
      <c r="F226" s="172"/>
      <c r="G226" s="173"/>
      <c r="H226" s="174"/>
      <c r="I226" s="174"/>
      <c r="J226" s="174"/>
      <c r="K226" s="174"/>
      <c r="L226" s="174"/>
      <c r="M226" s="174"/>
      <c r="N226" s="174"/>
      <c r="O226" s="174"/>
      <c r="P226" s="174"/>
      <c r="Q226" s="174"/>
      <c r="R226" s="174"/>
      <c r="S226" s="174"/>
      <c r="T226" s="174"/>
      <c r="U226" s="174"/>
      <c r="V226" s="174"/>
      <c r="W226" s="174"/>
      <c r="X226" s="174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</row>
    <row r="227" spans="1:37" ht="30" customHeight="1" x14ac:dyDescent="0.2">
      <c r="A227" s="170"/>
      <c r="B227" s="170"/>
      <c r="C227" s="170"/>
      <c r="D227" s="170"/>
      <c r="E227" s="171"/>
      <c r="F227" s="172"/>
      <c r="G227" s="173"/>
      <c r="H227" s="174"/>
      <c r="I227" s="174"/>
      <c r="J227" s="174"/>
      <c r="K227" s="174"/>
      <c r="L227" s="174"/>
      <c r="M227" s="174"/>
      <c r="N227" s="174"/>
      <c r="O227" s="174"/>
      <c r="P227" s="174"/>
      <c r="Q227" s="174"/>
      <c r="R227" s="174"/>
      <c r="S227" s="174"/>
      <c r="T227" s="174"/>
      <c r="U227" s="174"/>
      <c r="V227" s="174"/>
      <c r="W227" s="174"/>
      <c r="X227" s="174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</row>
    <row r="228" spans="1:37" ht="30" customHeight="1" x14ac:dyDescent="0.2">
      <c r="A228" s="170"/>
      <c r="B228" s="170"/>
      <c r="C228" s="170"/>
      <c r="D228" s="170"/>
      <c r="E228" s="171"/>
      <c r="F228" s="172"/>
      <c r="G228" s="173"/>
      <c r="H228" s="174"/>
      <c r="I228" s="174"/>
      <c r="J228" s="174"/>
      <c r="K228" s="174"/>
      <c r="L228" s="174"/>
      <c r="M228" s="174"/>
      <c r="N228" s="174"/>
      <c r="O228" s="174"/>
      <c r="P228" s="174"/>
      <c r="Q228" s="174"/>
      <c r="R228" s="174"/>
      <c r="S228" s="174"/>
      <c r="T228" s="174"/>
      <c r="U228" s="174"/>
      <c r="V228" s="174"/>
      <c r="W228" s="174"/>
      <c r="X228" s="174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</row>
    <row r="229" spans="1:37" ht="30" customHeight="1" x14ac:dyDescent="0.2">
      <c r="A229" s="170"/>
      <c r="B229" s="170"/>
      <c r="C229" s="170"/>
      <c r="D229" s="170"/>
      <c r="E229" s="171"/>
      <c r="F229" s="172"/>
      <c r="G229" s="173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  <c r="U229" s="174"/>
      <c r="V229" s="174"/>
      <c r="W229" s="174"/>
      <c r="X229" s="174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</row>
    <row r="230" spans="1:37" ht="30" customHeight="1" x14ac:dyDescent="0.2">
      <c r="A230" s="170"/>
      <c r="B230" s="170"/>
      <c r="C230" s="170"/>
      <c r="D230" s="170"/>
      <c r="E230" s="171"/>
      <c r="F230" s="172"/>
      <c r="G230" s="173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  <c r="R230" s="174"/>
      <c r="S230" s="174"/>
      <c r="T230" s="174"/>
      <c r="U230" s="174"/>
      <c r="V230" s="174"/>
      <c r="W230" s="174"/>
      <c r="X230" s="174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</row>
    <row r="231" spans="1:37" ht="30" customHeight="1" x14ac:dyDescent="0.2">
      <c r="A231" s="170"/>
      <c r="B231" s="170"/>
      <c r="C231" s="170"/>
      <c r="D231" s="170"/>
      <c r="E231" s="171"/>
      <c r="F231" s="172"/>
      <c r="G231" s="173"/>
      <c r="H231" s="174"/>
      <c r="I231" s="174"/>
      <c r="J231" s="174"/>
      <c r="K231" s="174"/>
      <c r="L231" s="174"/>
      <c r="M231" s="174"/>
      <c r="N231" s="174"/>
      <c r="O231" s="174"/>
      <c r="P231" s="174"/>
      <c r="Q231" s="174"/>
      <c r="R231" s="174"/>
      <c r="S231" s="174"/>
      <c r="T231" s="174"/>
      <c r="U231" s="174"/>
      <c r="V231" s="174"/>
      <c r="W231" s="174"/>
      <c r="X231" s="174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</row>
    <row r="232" spans="1:37" ht="30" customHeight="1" x14ac:dyDescent="0.2">
      <c r="A232" s="170"/>
      <c r="B232" s="170"/>
      <c r="C232" s="170"/>
      <c r="D232" s="170"/>
      <c r="E232" s="171"/>
      <c r="F232" s="172"/>
      <c r="G232" s="173"/>
      <c r="H232" s="174"/>
      <c r="I232" s="174"/>
      <c r="J232" s="174"/>
      <c r="K232" s="174"/>
      <c r="L232" s="174"/>
      <c r="M232" s="174"/>
      <c r="N232" s="174"/>
      <c r="O232" s="174"/>
      <c r="P232" s="174"/>
      <c r="Q232" s="174"/>
      <c r="R232" s="174"/>
      <c r="S232" s="174"/>
      <c r="T232" s="174"/>
      <c r="U232" s="174"/>
      <c r="V232" s="174"/>
      <c r="W232" s="174"/>
      <c r="X232" s="174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</row>
    <row r="233" spans="1:37" ht="30" customHeight="1" x14ac:dyDescent="0.2">
      <c r="A233" s="170"/>
      <c r="B233" s="170"/>
      <c r="C233" s="170"/>
      <c r="D233" s="170"/>
      <c r="E233" s="171"/>
      <c r="F233" s="172"/>
      <c r="G233" s="173"/>
      <c r="H233" s="174"/>
      <c r="I233" s="174"/>
      <c r="J233" s="174"/>
      <c r="K233" s="174"/>
      <c r="L233" s="174"/>
      <c r="M233" s="174"/>
      <c r="N233" s="174"/>
      <c r="O233" s="174"/>
      <c r="P233" s="174"/>
      <c r="Q233" s="174"/>
      <c r="R233" s="174"/>
      <c r="S233" s="174"/>
      <c r="T233" s="174"/>
      <c r="U233" s="174"/>
      <c r="V233" s="174"/>
      <c r="W233" s="174"/>
      <c r="X233" s="174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</row>
    <row r="234" spans="1:37" ht="30" customHeight="1" x14ac:dyDescent="0.2">
      <c r="A234" s="170"/>
      <c r="B234" s="170"/>
      <c r="C234" s="170"/>
      <c r="D234" s="170"/>
      <c r="E234" s="171"/>
      <c r="F234" s="172"/>
      <c r="G234" s="173"/>
      <c r="H234" s="174"/>
      <c r="I234" s="174"/>
      <c r="J234" s="174"/>
      <c r="K234" s="174"/>
      <c r="L234" s="174"/>
      <c r="M234" s="174"/>
      <c r="N234" s="174"/>
      <c r="O234" s="174"/>
      <c r="P234" s="174"/>
      <c r="Q234" s="174"/>
      <c r="R234" s="174"/>
      <c r="S234" s="174"/>
      <c r="T234" s="174"/>
      <c r="U234" s="174"/>
      <c r="V234" s="174"/>
      <c r="W234" s="174"/>
      <c r="X234" s="174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</row>
    <row r="235" spans="1:37" ht="30" customHeight="1" x14ac:dyDescent="0.2">
      <c r="A235" s="170"/>
      <c r="B235" s="170"/>
      <c r="C235" s="170"/>
      <c r="D235" s="170"/>
      <c r="E235" s="171"/>
      <c r="F235" s="172"/>
      <c r="G235" s="173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  <c r="R235" s="174"/>
      <c r="S235" s="174"/>
      <c r="T235" s="174"/>
      <c r="U235" s="174"/>
      <c r="V235" s="174"/>
      <c r="W235" s="174"/>
      <c r="X235" s="174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</row>
    <row r="236" spans="1:37" ht="30" customHeight="1" x14ac:dyDescent="0.2">
      <c r="A236" s="170"/>
      <c r="B236" s="170"/>
      <c r="C236" s="170"/>
      <c r="D236" s="170"/>
      <c r="E236" s="171"/>
      <c r="F236" s="172"/>
      <c r="G236" s="173"/>
      <c r="H236" s="174"/>
      <c r="I236" s="174"/>
      <c r="J236" s="174"/>
      <c r="K236" s="174"/>
      <c r="L236" s="174"/>
      <c r="M236" s="174"/>
      <c r="N236" s="174"/>
      <c r="O236" s="174"/>
      <c r="P236" s="174"/>
      <c r="Q236" s="174"/>
      <c r="R236" s="174"/>
      <c r="S236" s="174"/>
      <c r="T236" s="174"/>
      <c r="U236" s="174"/>
      <c r="V236" s="174"/>
      <c r="W236" s="174"/>
      <c r="X236" s="174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</row>
    <row r="237" spans="1:37" ht="30" customHeight="1" x14ac:dyDescent="0.2">
      <c r="A237" s="170"/>
      <c r="B237" s="170"/>
      <c r="C237" s="170"/>
      <c r="D237" s="170"/>
      <c r="E237" s="171"/>
      <c r="F237" s="172"/>
      <c r="G237" s="173"/>
      <c r="H237" s="174"/>
      <c r="I237" s="174"/>
      <c r="J237" s="174"/>
      <c r="K237" s="174"/>
      <c r="L237" s="174"/>
      <c r="M237" s="174"/>
      <c r="N237" s="174"/>
      <c r="O237" s="174"/>
      <c r="P237" s="174"/>
      <c r="Q237" s="174"/>
      <c r="R237" s="174"/>
      <c r="S237" s="174"/>
      <c r="T237" s="174"/>
      <c r="U237" s="174"/>
      <c r="V237" s="174"/>
      <c r="W237" s="174"/>
      <c r="X237" s="174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</row>
    <row r="238" spans="1:37" ht="30" customHeight="1" x14ac:dyDescent="0.2">
      <c r="A238" s="170"/>
      <c r="B238" s="170"/>
      <c r="C238" s="170"/>
      <c r="D238" s="170"/>
      <c r="E238" s="171"/>
      <c r="F238" s="172"/>
      <c r="G238" s="173"/>
      <c r="H238" s="174"/>
      <c r="I238" s="174"/>
      <c r="J238" s="174"/>
      <c r="K238" s="174"/>
      <c r="L238" s="174"/>
      <c r="M238" s="174"/>
      <c r="N238" s="174"/>
      <c r="O238" s="174"/>
      <c r="P238" s="174"/>
      <c r="Q238" s="174"/>
      <c r="R238" s="174"/>
      <c r="S238" s="174"/>
      <c r="T238" s="174"/>
      <c r="U238" s="174"/>
      <c r="V238" s="174"/>
      <c r="W238" s="174"/>
      <c r="X238" s="174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</row>
    <row r="239" spans="1:37" ht="30" customHeight="1" x14ac:dyDescent="0.2">
      <c r="A239" s="170"/>
      <c r="B239" s="170"/>
      <c r="C239" s="170"/>
      <c r="D239" s="170"/>
      <c r="E239" s="171"/>
      <c r="F239" s="172"/>
      <c r="G239" s="173"/>
      <c r="H239" s="174"/>
      <c r="I239" s="174"/>
      <c r="J239" s="174"/>
      <c r="K239" s="174"/>
      <c r="L239" s="174"/>
      <c r="M239" s="174"/>
      <c r="N239" s="174"/>
      <c r="O239" s="174"/>
      <c r="P239" s="174"/>
      <c r="Q239" s="174"/>
      <c r="R239" s="174"/>
      <c r="S239" s="174"/>
      <c r="T239" s="174"/>
      <c r="U239" s="174"/>
      <c r="V239" s="174"/>
      <c r="W239" s="174"/>
      <c r="X239" s="174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</row>
    <row r="240" spans="1:37" ht="30" customHeight="1" x14ac:dyDescent="0.2">
      <c r="A240" s="170"/>
      <c r="B240" s="170"/>
      <c r="C240" s="170"/>
      <c r="D240" s="170"/>
      <c r="E240" s="171"/>
      <c r="F240" s="172"/>
      <c r="G240" s="173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  <c r="U240" s="174"/>
      <c r="V240" s="174"/>
      <c r="W240" s="174"/>
      <c r="X240" s="174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</row>
    <row r="241" spans="1:37" ht="30" customHeight="1" x14ac:dyDescent="0.2">
      <c r="A241" s="170"/>
      <c r="B241" s="170"/>
      <c r="C241" s="170"/>
      <c r="D241" s="170"/>
      <c r="E241" s="171"/>
      <c r="F241" s="172"/>
      <c r="G241" s="173"/>
      <c r="H241" s="174"/>
      <c r="I241" s="174"/>
      <c r="J241" s="174"/>
      <c r="K241" s="174"/>
      <c r="L241" s="174"/>
      <c r="M241" s="174"/>
      <c r="N241" s="174"/>
      <c r="O241" s="174"/>
      <c r="P241" s="174"/>
      <c r="Q241" s="174"/>
      <c r="R241" s="174"/>
      <c r="S241" s="174"/>
      <c r="T241" s="174"/>
      <c r="U241" s="174"/>
      <c r="V241" s="174"/>
      <c r="W241" s="174"/>
      <c r="X241" s="174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</row>
    <row r="242" spans="1:37" ht="30" customHeight="1" x14ac:dyDescent="0.2">
      <c r="A242" s="170"/>
      <c r="B242" s="170"/>
      <c r="C242" s="170"/>
      <c r="D242" s="170"/>
      <c r="E242" s="171"/>
      <c r="F242" s="172"/>
      <c r="G242" s="173"/>
      <c r="H242" s="174"/>
      <c r="I242" s="174"/>
      <c r="J242" s="174"/>
      <c r="K242" s="174"/>
      <c r="L242" s="174"/>
      <c r="M242" s="174"/>
      <c r="N242" s="174"/>
      <c r="O242" s="174"/>
      <c r="P242" s="174"/>
      <c r="Q242" s="174"/>
      <c r="R242" s="174"/>
      <c r="S242" s="174"/>
      <c r="T242" s="174"/>
      <c r="U242" s="174"/>
      <c r="V242" s="174"/>
      <c r="W242" s="174"/>
      <c r="X242" s="174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</row>
    <row r="243" spans="1:37" ht="30" customHeight="1" x14ac:dyDescent="0.2">
      <c r="A243" s="170"/>
      <c r="B243" s="170"/>
      <c r="C243" s="170"/>
      <c r="D243" s="170"/>
      <c r="E243" s="171"/>
      <c r="F243" s="172"/>
      <c r="G243" s="173"/>
      <c r="H243" s="174"/>
      <c r="I243" s="174"/>
      <c r="J243" s="174"/>
      <c r="K243" s="174"/>
      <c r="L243" s="174"/>
      <c r="M243" s="174"/>
      <c r="N243" s="174"/>
      <c r="O243" s="174"/>
      <c r="P243" s="174"/>
      <c r="Q243" s="174"/>
      <c r="R243" s="174"/>
      <c r="S243" s="174"/>
      <c r="T243" s="174"/>
      <c r="U243" s="174"/>
      <c r="V243" s="174"/>
      <c r="W243" s="174"/>
      <c r="X243" s="174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</row>
    <row r="244" spans="1:37" ht="30" customHeight="1" x14ac:dyDescent="0.2">
      <c r="A244" s="170"/>
      <c r="B244" s="170"/>
      <c r="C244" s="170"/>
      <c r="D244" s="170"/>
      <c r="E244" s="171"/>
      <c r="F244" s="172"/>
      <c r="G244" s="173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74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</row>
    <row r="245" spans="1:37" ht="30" customHeight="1" x14ac:dyDescent="0.2">
      <c r="A245" s="170"/>
      <c r="B245" s="170"/>
      <c r="C245" s="170"/>
      <c r="D245" s="170"/>
      <c r="E245" s="171"/>
      <c r="F245" s="172"/>
      <c r="G245" s="173"/>
      <c r="H245" s="174"/>
      <c r="I245" s="174"/>
      <c r="J245" s="174"/>
      <c r="K245" s="174"/>
      <c r="L245" s="174"/>
      <c r="M245" s="174"/>
      <c r="N245" s="174"/>
      <c r="O245" s="174"/>
      <c r="P245" s="174"/>
      <c r="Q245" s="174"/>
      <c r="R245" s="174"/>
      <c r="S245" s="174"/>
      <c r="T245" s="174"/>
      <c r="U245" s="174"/>
      <c r="V245" s="174"/>
      <c r="W245" s="174"/>
      <c r="X245" s="174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</row>
    <row r="246" spans="1:37" ht="30" customHeight="1" x14ac:dyDescent="0.2">
      <c r="A246" s="170"/>
      <c r="B246" s="170"/>
      <c r="C246" s="170"/>
      <c r="D246" s="170"/>
      <c r="E246" s="171"/>
      <c r="F246" s="172"/>
      <c r="G246" s="173"/>
      <c r="H246" s="174"/>
      <c r="I246" s="174"/>
      <c r="J246" s="174"/>
      <c r="K246" s="174"/>
      <c r="L246" s="174"/>
      <c r="M246" s="174"/>
      <c r="N246" s="174"/>
      <c r="O246" s="174"/>
      <c r="P246" s="174"/>
      <c r="Q246" s="174"/>
      <c r="R246" s="174"/>
      <c r="S246" s="174"/>
      <c r="T246" s="174"/>
      <c r="U246" s="174"/>
      <c r="V246" s="174"/>
      <c r="W246" s="174"/>
      <c r="X246" s="174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</row>
    <row r="247" spans="1:37" ht="30" customHeight="1" x14ac:dyDescent="0.2">
      <c r="A247" s="170"/>
      <c r="B247" s="170"/>
      <c r="C247" s="170"/>
      <c r="D247" s="170"/>
      <c r="E247" s="171"/>
      <c r="F247" s="172"/>
      <c r="G247" s="173"/>
      <c r="H247" s="174"/>
      <c r="I247" s="174"/>
      <c r="J247" s="174"/>
      <c r="K247" s="174"/>
      <c r="L247" s="174"/>
      <c r="M247" s="174"/>
      <c r="N247" s="174"/>
      <c r="O247" s="174"/>
      <c r="P247" s="174"/>
      <c r="Q247" s="174"/>
      <c r="R247" s="174"/>
      <c r="S247" s="174"/>
      <c r="T247" s="174"/>
      <c r="U247" s="174"/>
      <c r="V247" s="174"/>
      <c r="W247" s="174"/>
      <c r="X247" s="174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</row>
    <row r="248" spans="1:37" ht="30" customHeight="1" x14ac:dyDescent="0.2">
      <c r="A248" s="170"/>
      <c r="B248" s="170"/>
      <c r="C248" s="170"/>
      <c r="D248" s="170"/>
      <c r="E248" s="171"/>
      <c r="F248" s="172"/>
      <c r="G248" s="173"/>
      <c r="H248" s="174"/>
      <c r="I248" s="174"/>
      <c r="J248" s="174"/>
      <c r="K248" s="174"/>
      <c r="L248" s="174"/>
      <c r="M248" s="174"/>
      <c r="N248" s="174"/>
      <c r="O248" s="174"/>
      <c r="P248" s="174"/>
      <c r="Q248" s="174"/>
      <c r="R248" s="174"/>
      <c r="S248" s="174"/>
      <c r="T248" s="174"/>
      <c r="U248" s="174"/>
      <c r="V248" s="174"/>
      <c r="W248" s="174"/>
      <c r="X248" s="174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</row>
    <row r="249" spans="1:37" ht="30" customHeight="1" x14ac:dyDescent="0.2">
      <c r="A249" s="170"/>
      <c r="B249" s="170"/>
      <c r="C249" s="170"/>
      <c r="D249" s="170"/>
      <c r="E249" s="171"/>
      <c r="F249" s="172"/>
      <c r="G249" s="173"/>
      <c r="H249" s="174"/>
      <c r="I249" s="174"/>
      <c r="J249" s="174"/>
      <c r="K249" s="174"/>
      <c r="L249" s="174"/>
      <c r="M249" s="174"/>
      <c r="N249" s="174"/>
      <c r="O249" s="174"/>
      <c r="P249" s="174"/>
      <c r="Q249" s="174"/>
      <c r="R249" s="174"/>
      <c r="S249" s="174"/>
      <c r="T249" s="174"/>
      <c r="U249" s="174"/>
      <c r="V249" s="174"/>
      <c r="W249" s="174"/>
      <c r="X249" s="174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</row>
    <row r="250" spans="1:37" ht="30" customHeight="1" x14ac:dyDescent="0.2">
      <c r="A250" s="170"/>
      <c r="B250" s="170"/>
      <c r="C250" s="170"/>
      <c r="D250" s="170"/>
      <c r="E250" s="171"/>
      <c r="F250" s="172"/>
      <c r="G250" s="173"/>
      <c r="H250" s="174"/>
      <c r="I250" s="174"/>
      <c r="J250" s="174"/>
      <c r="K250" s="174"/>
      <c r="L250" s="174"/>
      <c r="M250" s="174"/>
      <c r="N250" s="174"/>
      <c r="O250" s="174"/>
      <c r="P250" s="174"/>
      <c r="Q250" s="174"/>
      <c r="R250" s="174"/>
      <c r="S250" s="174"/>
      <c r="T250" s="174"/>
      <c r="U250" s="174"/>
      <c r="V250" s="174"/>
      <c r="W250" s="174"/>
      <c r="X250" s="174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</row>
    <row r="251" spans="1:37" ht="30" customHeight="1" x14ac:dyDescent="0.2">
      <c r="A251" s="170"/>
      <c r="B251" s="170"/>
      <c r="C251" s="170"/>
      <c r="D251" s="170"/>
      <c r="E251" s="171"/>
      <c r="F251" s="172"/>
      <c r="G251" s="173"/>
      <c r="H251" s="174"/>
      <c r="I251" s="174"/>
      <c r="J251" s="174"/>
      <c r="K251" s="174"/>
      <c r="L251" s="174"/>
      <c r="M251" s="174"/>
      <c r="N251" s="174"/>
      <c r="O251" s="174"/>
      <c r="P251" s="174"/>
      <c r="Q251" s="174"/>
      <c r="R251" s="174"/>
      <c r="S251" s="174"/>
      <c r="T251" s="174"/>
      <c r="U251" s="174"/>
      <c r="V251" s="174"/>
      <c r="W251" s="174"/>
      <c r="X251" s="174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</row>
    <row r="252" spans="1:37" ht="30" customHeight="1" x14ac:dyDescent="0.2">
      <c r="A252" s="170"/>
      <c r="B252" s="170"/>
      <c r="C252" s="170"/>
      <c r="D252" s="170"/>
      <c r="E252" s="171"/>
      <c r="F252" s="172"/>
      <c r="G252" s="173"/>
      <c r="H252" s="174"/>
      <c r="I252" s="174"/>
      <c r="J252" s="174"/>
      <c r="K252" s="174"/>
      <c r="L252" s="174"/>
      <c r="M252" s="174"/>
      <c r="N252" s="174"/>
      <c r="O252" s="174"/>
      <c r="P252" s="174"/>
      <c r="Q252" s="174"/>
      <c r="R252" s="174"/>
      <c r="S252" s="174"/>
      <c r="T252" s="174"/>
      <c r="U252" s="174"/>
      <c r="V252" s="174"/>
      <c r="W252" s="174"/>
      <c r="X252" s="174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</row>
    <row r="253" spans="1:37" ht="30" customHeight="1" x14ac:dyDescent="0.2">
      <c r="A253" s="170"/>
      <c r="B253" s="170"/>
      <c r="C253" s="170"/>
      <c r="D253" s="170"/>
      <c r="E253" s="171"/>
      <c r="F253" s="172"/>
      <c r="G253" s="173"/>
      <c r="H253" s="174"/>
      <c r="I253" s="174"/>
      <c r="J253" s="174"/>
      <c r="K253" s="174"/>
      <c r="L253" s="174"/>
      <c r="M253" s="174"/>
      <c r="N253" s="174"/>
      <c r="O253" s="174"/>
      <c r="P253" s="174"/>
      <c r="Q253" s="174"/>
      <c r="R253" s="174"/>
      <c r="S253" s="174"/>
      <c r="T253" s="174"/>
      <c r="U253" s="174"/>
      <c r="V253" s="174"/>
      <c r="W253" s="174"/>
      <c r="X253" s="174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</row>
    <row r="254" spans="1:37" ht="30" customHeight="1" x14ac:dyDescent="0.2">
      <c r="A254" s="170"/>
      <c r="B254" s="170"/>
      <c r="C254" s="170"/>
      <c r="D254" s="170"/>
      <c r="E254" s="171"/>
      <c r="F254" s="172"/>
      <c r="G254" s="173"/>
      <c r="H254" s="174"/>
      <c r="I254" s="174"/>
      <c r="J254" s="174"/>
      <c r="K254" s="174"/>
      <c r="L254" s="174"/>
      <c r="M254" s="174"/>
      <c r="N254" s="174"/>
      <c r="O254" s="174"/>
      <c r="P254" s="174"/>
      <c r="Q254" s="174"/>
      <c r="R254" s="174"/>
      <c r="S254" s="174"/>
      <c r="T254" s="174"/>
      <c r="U254" s="174"/>
      <c r="V254" s="174"/>
      <c r="W254" s="174"/>
      <c r="X254" s="174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</row>
    <row r="255" spans="1:37" ht="30" customHeight="1" x14ac:dyDescent="0.2">
      <c r="A255" s="170"/>
      <c r="B255" s="170"/>
      <c r="C255" s="170"/>
      <c r="D255" s="170"/>
      <c r="E255" s="171"/>
      <c r="F255" s="172"/>
      <c r="G255" s="173"/>
      <c r="H255" s="174"/>
      <c r="I255" s="174"/>
      <c r="J255" s="174"/>
      <c r="K255" s="174"/>
      <c r="L255" s="174"/>
      <c r="M255" s="174"/>
      <c r="N255" s="174"/>
      <c r="O255" s="174"/>
      <c r="P255" s="174"/>
      <c r="Q255" s="174"/>
      <c r="R255" s="174"/>
      <c r="S255" s="174"/>
      <c r="T255" s="174"/>
      <c r="U255" s="174"/>
      <c r="V255" s="174"/>
      <c r="W255" s="174"/>
      <c r="X255" s="174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</row>
    <row r="256" spans="1:37" ht="30" customHeight="1" x14ac:dyDescent="0.2">
      <c r="A256" s="170"/>
      <c r="B256" s="170"/>
      <c r="C256" s="170"/>
      <c r="D256" s="170"/>
      <c r="E256" s="171"/>
      <c r="F256" s="172"/>
      <c r="G256" s="173"/>
      <c r="H256" s="174"/>
      <c r="I256" s="174"/>
      <c r="J256" s="174"/>
      <c r="K256" s="174"/>
      <c r="L256" s="174"/>
      <c r="M256" s="174"/>
      <c r="N256" s="174"/>
      <c r="O256" s="174"/>
      <c r="P256" s="174"/>
      <c r="Q256" s="174"/>
      <c r="R256" s="174"/>
      <c r="S256" s="174"/>
      <c r="T256" s="174"/>
      <c r="U256" s="174"/>
      <c r="V256" s="174"/>
      <c r="W256" s="174"/>
      <c r="X256" s="174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</row>
    <row r="257" spans="1:37" ht="30" customHeight="1" x14ac:dyDescent="0.2">
      <c r="A257" s="170"/>
      <c r="B257" s="170"/>
      <c r="C257" s="170"/>
      <c r="D257" s="170"/>
      <c r="E257" s="171"/>
      <c r="F257" s="172"/>
      <c r="G257" s="173"/>
      <c r="H257" s="174"/>
      <c r="I257" s="174"/>
      <c r="J257" s="174"/>
      <c r="K257" s="174"/>
      <c r="L257" s="174"/>
      <c r="M257" s="174"/>
      <c r="N257" s="174"/>
      <c r="O257" s="174"/>
      <c r="P257" s="174"/>
      <c r="Q257" s="174"/>
      <c r="R257" s="174"/>
      <c r="S257" s="174"/>
      <c r="T257" s="174"/>
      <c r="U257" s="174"/>
      <c r="V257" s="174"/>
      <c r="W257" s="174"/>
      <c r="X257" s="174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</row>
    <row r="258" spans="1:37" ht="30" customHeight="1" x14ac:dyDescent="0.2">
      <c r="A258" s="170"/>
      <c r="B258" s="170"/>
      <c r="C258" s="170"/>
      <c r="D258" s="170"/>
      <c r="E258" s="171"/>
      <c r="F258" s="172"/>
      <c r="G258" s="173"/>
      <c r="H258" s="174"/>
      <c r="I258" s="174"/>
      <c r="J258" s="174"/>
      <c r="K258" s="174"/>
      <c r="L258" s="174"/>
      <c r="M258" s="174"/>
      <c r="N258" s="174"/>
      <c r="O258" s="174"/>
      <c r="P258" s="174"/>
      <c r="Q258" s="174"/>
      <c r="R258" s="174"/>
      <c r="S258" s="174"/>
      <c r="T258" s="174"/>
      <c r="U258" s="174"/>
      <c r="V258" s="174"/>
      <c r="W258" s="174"/>
      <c r="X258" s="174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</row>
    <row r="259" spans="1:37" ht="30" customHeight="1" x14ac:dyDescent="0.2">
      <c r="A259" s="170"/>
      <c r="B259" s="170"/>
      <c r="C259" s="170"/>
      <c r="D259" s="170"/>
      <c r="E259" s="171"/>
      <c r="F259" s="172"/>
      <c r="G259" s="173"/>
      <c r="H259" s="174"/>
      <c r="I259" s="174"/>
      <c r="J259" s="174"/>
      <c r="K259" s="174"/>
      <c r="L259" s="174"/>
      <c r="M259" s="174"/>
      <c r="N259" s="174"/>
      <c r="O259" s="174"/>
      <c r="P259" s="174"/>
      <c r="Q259" s="174"/>
      <c r="R259" s="174"/>
      <c r="S259" s="174"/>
      <c r="T259" s="174"/>
      <c r="U259" s="174"/>
      <c r="V259" s="174"/>
      <c r="W259" s="174"/>
      <c r="X259" s="174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</row>
    <row r="260" spans="1:37" ht="30" customHeight="1" x14ac:dyDescent="0.2">
      <c r="A260" s="170"/>
      <c r="B260" s="170"/>
      <c r="C260" s="170"/>
      <c r="D260" s="170"/>
      <c r="E260" s="171"/>
      <c r="F260" s="172"/>
      <c r="G260" s="173"/>
      <c r="H260" s="174"/>
      <c r="I260" s="174"/>
      <c r="J260" s="174"/>
      <c r="K260" s="174"/>
      <c r="L260" s="174"/>
      <c r="M260" s="174"/>
      <c r="N260" s="174"/>
      <c r="O260" s="174"/>
      <c r="P260" s="174"/>
      <c r="Q260" s="174"/>
      <c r="R260" s="174"/>
      <c r="S260" s="174"/>
      <c r="T260" s="174"/>
      <c r="U260" s="174"/>
      <c r="V260" s="174"/>
      <c r="W260" s="174"/>
      <c r="X260" s="174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</row>
    <row r="261" spans="1:37" ht="30" customHeight="1" x14ac:dyDescent="0.2">
      <c r="A261" s="170"/>
      <c r="B261" s="170"/>
      <c r="C261" s="170"/>
      <c r="D261" s="170"/>
      <c r="E261" s="171"/>
      <c r="F261" s="172"/>
      <c r="G261" s="173"/>
      <c r="H261" s="174"/>
      <c r="I261" s="174"/>
      <c r="J261" s="174"/>
      <c r="K261" s="174"/>
      <c r="L261" s="174"/>
      <c r="M261" s="174"/>
      <c r="N261" s="174"/>
      <c r="O261" s="174"/>
      <c r="P261" s="174"/>
      <c r="Q261" s="174"/>
      <c r="R261" s="174"/>
      <c r="S261" s="174"/>
      <c r="T261" s="174"/>
      <c r="U261" s="174"/>
      <c r="V261" s="174"/>
      <c r="W261" s="174"/>
      <c r="X261" s="174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</row>
    <row r="262" spans="1:37" ht="30" customHeight="1" x14ac:dyDescent="0.2">
      <c r="A262" s="170"/>
      <c r="B262" s="170"/>
      <c r="C262" s="170"/>
      <c r="D262" s="170"/>
      <c r="E262" s="171"/>
      <c r="F262" s="172"/>
      <c r="G262" s="173"/>
      <c r="H262" s="174"/>
      <c r="I262" s="174"/>
      <c r="J262" s="174"/>
      <c r="K262" s="174"/>
      <c r="L262" s="174"/>
      <c r="M262" s="174"/>
      <c r="N262" s="174"/>
      <c r="O262" s="174"/>
      <c r="P262" s="174"/>
      <c r="Q262" s="174"/>
      <c r="R262" s="174"/>
      <c r="S262" s="174"/>
      <c r="T262" s="174"/>
      <c r="U262" s="174"/>
      <c r="V262" s="174"/>
      <c r="W262" s="174"/>
      <c r="X262" s="174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</row>
    <row r="263" spans="1:37" ht="30" customHeight="1" x14ac:dyDescent="0.2">
      <c r="A263" s="170"/>
      <c r="B263" s="170"/>
      <c r="C263" s="170"/>
      <c r="D263" s="170"/>
      <c r="E263" s="171"/>
      <c r="F263" s="172"/>
      <c r="G263" s="173"/>
      <c r="H263" s="174"/>
      <c r="I263" s="174"/>
      <c r="J263" s="174"/>
      <c r="K263" s="174"/>
      <c r="L263" s="174"/>
      <c r="M263" s="174"/>
      <c r="N263" s="174"/>
      <c r="O263" s="174"/>
      <c r="P263" s="174"/>
      <c r="Q263" s="174"/>
      <c r="R263" s="174"/>
      <c r="S263" s="174"/>
      <c r="T263" s="174"/>
      <c r="U263" s="174"/>
      <c r="V263" s="174"/>
      <c r="W263" s="174"/>
      <c r="X263" s="174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</row>
    <row r="264" spans="1:37" ht="30" customHeight="1" x14ac:dyDescent="0.2">
      <c r="A264" s="170"/>
      <c r="B264" s="170"/>
      <c r="C264" s="170"/>
      <c r="D264" s="170"/>
      <c r="E264" s="171"/>
      <c r="F264" s="172"/>
      <c r="G264" s="173"/>
      <c r="H264" s="174"/>
      <c r="I264" s="174"/>
      <c r="J264" s="174"/>
      <c r="K264" s="174"/>
      <c r="L264" s="174"/>
      <c r="M264" s="174"/>
      <c r="N264" s="174"/>
      <c r="O264" s="174"/>
      <c r="P264" s="174"/>
      <c r="Q264" s="174"/>
      <c r="R264" s="174"/>
      <c r="S264" s="174"/>
      <c r="T264" s="174"/>
      <c r="U264" s="174"/>
      <c r="V264" s="174"/>
      <c r="W264" s="174"/>
      <c r="X264" s="174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</row>
    <row r="265" spans="1:37" ht="30" customHeight="1" x14ac:dyDescent="0.2">
      <c r="A265" s="170"/>
      <c r="B265" s="170"/>
      <c r="C265" s="170"/>
      <c r="D265" s="170"/>
      <c r="E265" s="171"/>
      <c r="F265" s="172"/>
      <c r="G265" s="173"/>
      <c r="H265" s="174"/>
      <c r="I265" s="174"/>
      <c r="J265" s="174"/>
      <c r="K265" s="174"/>
      <c r="L265" s="174"/>
      <c r="M265" s="174"/>
      <c r="N265" s="174"/>
      <c r="O265" s="174"/>
      <c r="P265" s="174"/>
      <c r="Q265" s="174"/>
      <c r="R265" s="174"/>
      <c r="S265" s="174"/>
      <c r="T265" s="174"/>
      <c r="U265" s="174"/>
      <c r="V265" s="174"/>
      <c r="W265" s="174"/>
      <c r="X265" s="174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</row>
    <row r="266" spans="1:37" ht="30" customHeight="1" x14ac:dyDescent="0.2">
      <c r="A266" s="170"/>
      <c r="B266" s="170"/>
      <c r="C266" s="170"/>
      <c r="D266" s="170"/>
      <c r="E266" s="171"/>
      <c r="F266" s="172"/>
      <c r="G266" s="173"/>
      <c r="H266" s="174"/>
      <c r="I266" s="174"/>
      <c r="J266" s="174"/>
      <c r="K266" s="174"/>
      <c r="L266" s="174"/>
      <c r="M266" s="174"/>
      <c r="N266" s="174"/>
      <c r="O266" s="174"/>
      <c r="P266" s="174"/>
      <c r="Q266" s="174"/>
      <c r="R266" s="174"/>
      <c r="S266" s="174"/>
      <c r="T266" s="174"/>
      <c r="U266" s="174"/>
      <c r="V266" s="174"/>
      <c r="W266" s="174"/>
      <c r="X266" s="174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</row>
    <row r="267" spans="1:37" ht="30" customHeight="1" x14ac:dyDescent="0.2">
      <c r="A267" s="170"/>
      <c r="B267" s="170"/>
      <c r="C267" s="170"/>
      <c r="D267" s="170"/>
      <c r="E267" s="171"/>
      <c r="F267" s="172"/>
      <c r="G267" s="173"/>
      <c r="H267" s="174"/>
      <c r="I267" s="174"/>
      <c r="J267" s="174"/>
      <c r="K267" s="174"/>
      <c r="L267" s="174"/>
      <c r="M267" s="174"/>
      <c r="N267" s="174"/>
      <c r="O267" s="174"/>
      <c r="P267" s="174"/>
      <c r="Q267" s="174"/>
      <c r="R267" s="174"/>
      <c r="S267" s="174"/>
      <c r="T267" s="174"/>
      <c r="U267" s="174"/>
      <c r="V267" s="174"/>
      <c r="W267" s="174"/>
      <c r="X267" s="174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</row>
    <row r="268" spans="1:37" ht="30" customHeight="1" x14ac:dyDescent="0.2">
      <c r="A268" s="170"/>
      <c r="B268" s="170"/>
      <c r="C268" s="170"/>
      <c r="D268" s="170"/>
      <c r="E268" s="171"/>
      <c r="F268" s="172"/>
      <c r="G268" s="173"/>
      <c r="H268" s="174"/>
      <c r="I268" s="174"/>
      <c r="J268" s="174"/>
      <c r="K268" s="174"/>
      <c r="L268" s="174"/>
      <c r="M268" s="174"/>
      <c r="N268" s="174"/>
      <c r="O268" s="174"/>
      <c r="P268" s="174"/>
      <c r="Q268" s="174"/>
      <c r="R268" s="174"/>
      <c r="S268" s="174"/>
      <c r="T268" s="174"/>
      <c r="U268" s="174"/>
      <c r="V268" s="174"/>
      <c r="W268" s="174"/>
      <c r="X268" s="174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</row>
    <row r="269" spans="1:37" ht="30" customHeight="1" x14ac:dyDescent="0.2">
      <c r="A269" s="170"/>
      <c r="B269" s="170"/>
      <c r="C269" s="170"/>
      <c r="D269" s="170"/>
      <c r="E269" s="171"/>
      <c r="F269" s="172"/>
      <c r="G269" s="173"/>
      <c r="H269" s="174"/>
      <c r="I269" s="174"/>
      <c r="J269" s="174"/>
      <c r="K269" s="174"/>
      <c r="L269" s="174"/>
      <c r="M269" s="174"/>
      <c r="N269" s="174"/>
      <c r="O269" s="174"/>
      <c r="P269" s="174"/>
      <c r="Q269" s="174"/>
      <c r="R269" s="174"/>
      <c r="S269" s="174"/>
      <c r="T269" s="174"/>
      <c r="U269" s="174"/>
      <c r="V269" s="174"/>
      <c r="W269" s="174"/>
      <c r="X269" s="174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</row>
    <row r="270" spans="1:37" ht="30" customHeight="1" x14ac:dyDescent="0.2">
      <c r="A270" s="170"/>
      <c r="B270" s="170"/>
      <c r="C270" s="170"/>
      <c r="D270" s="170"/>
      <c r="E270" s="171"/>
      <c r="F270" s="172"/>
      <c r="G270" s="173"/>
      <c r="H270" s="174"/>
      <c r="I270" s="174"/>
      <c r="J270" s="174"/>
      <c r="K270" s="174"/>
      <c r="L270" s="174"/>
      <c r="M270" s="174"/>
      <c r="N270" s="174"/>
      <c r="O270" s="174"/>
      <c r="P270" s="174"/>
      <c r="Q270" s="174"/>
      <c r="R270" s="174"/>
      <c r="S270" s="174"/>
      <c r="T270" s="174"/>
      <c r="U270" s="174"/>
      <c r="V270" s="174"/>
      <c r="W270" s="174"/>
      <c r="X270" s="174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</row>
    <row r="271" spans="1:37" ht="30" customHeight="1" x14ac:dyDescent="0.2">
      <c r="A271" s="170"/>
      <c r="B271" s="170"/>
      <c r="C271" s="170"/>
      <c r="D271" s="170"/>
      <c r="E271" s="171"/>
      <c r="F271" s="172"/>
      <c r="G271" s="173"/>
      <c r="H271" s="174"/>
      <c r="I271" s="174"/>
      <c r="J271" s="174"/>
      <c r="K271" s="174"/>
      <c r="L271" s="174"/>
      <c r="M271" s="174"/>
      <c r="N271" s="174"/>
      <c r="O271" s="174"/>
      <c r="P271" s="174"/>
      <c r="Q271" s="174"/>
      <c r="R271" s="174"/>
      <c r="S271" s="174"/>
      <c r="T271" s="174"/>
      <c r="U271" s="174"/>
      <c r="V271" s="174"/>
      <c r="W271" s="174"/>
      <c r="X271" s="174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</row>
    <row r="272" spans="1:37" ht="30" customHeight="1" x14ac:dyDescent="0.2">
      <c r="A272" s="170"/>
      <c r="B272" s="170"/>
      <c r="C272" s="170"/>
      <c r="D272" s="170"/>
      <c r="E272" s="171"/>
      <c r="F272" s="172"/>
      <c r="G272" s="173"/>
      <c r="H272" s="174"/>
      <c r="I272" s="174"/>
      <c r="J272" s="174"/>
      <c r="K272" s="174"/>
      <c r="L272" s="174"/>
      <c r="M272" s="174"/>
      <c r="N272" s="174"/>
      <c r="O272" s="174"/>
      <c r="P272" s="174"/>
      <c r="Q272" s="174"/>
      <c r="R272" s="174"/>
      <c r="S272" s="174"/>
      <c r="T272" s="174"/>
      <c r="U272" s="174"/>
      <c r="V272" s="174"/>
      <c r="W272" s="174"/>
      <c r="X272" s="174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</row>
    <row r="273" spans="1:37" ht="30" customHeight="1" x14ac:dyDescent="0.2">
      <c r="A273" s="170"/>
      <c r="B273" s="170"/>
      <c r="C273" s="170"/>
      <c r="D273" s="170"/>
      <c r="E273" s="171"/>
      <c r="F273" s="172"/>
      <c r="G273" s="173"/>
      <c r="H273" s="174"/>
      <c r="I273" s="174"/>
      <c r="J273" s="174"/>
      <c r="K273" s="174"/>
      <c r="L273" s="174"/>
      <c r="M273" s="174"/>
      <c r="N273" s="174"/>
      <c r="O273" s="174"/>
      <c r="P273" s="174"/>
      <c r="Q273" s="174"/>
      <c r="R273" s="174"/>
      <c r="S273" s="174"/>
      <c r="T273" s="174"/>
      <c r="U273" s="174"/>
      <c r="V273" s="174"/>
      <c r="W273" s="174"/>
      <c r="X273" s="174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</row>
    <row r="274" spans="1:37" ht="30" customHeight="1" x14ac:dyDescent="0.2">
      <c r="A274" s="170"/>
      <c r="B274" s="170"/>
      <c r="C274" s="170"/>
      <c r="D274" s="170"/>
      <c r="E274" s="171"/>
      <c r="F274" s="172"/>
      <c r="G274" s="173"/>
      <c r="H274" s="174"/>
      <c r="I274" s="174"/>
      <c r="J274" s="174"/>
      <c r="K274" s="174"/>
      <c r="L274" s="174"/>
      <c r="M274" s="174"/>
      <c r="N274" s="174"/>
      <c r="O274" s="174"/>
      <c r="P274" s="174"/>
      <c r="Q274" s="174"/>
      <c r="R274" s="174"/>
      <c r="S274" s="174"/>
      <c r="T274" s="174"/>
      <c r="U274" s="174"/>
      <c r="V274" s="174"/>
      <c r="W274" s="174"/>
      <c r="X274" s="174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</row>
    <row r="275" spans="1:37" ht="30" customHeight="1" x14ac:dyDescent="0.2">
      <c r="A275" s="170"/>
      <c r="B275" s="170"/>
      <c r="C275" s="170"/>
      <c r="D275" s="170"/>
      <c r="E275" s="171"/>
      <c r="F275" s="172"/>
      <c r="G275" s="173"/>
      <c r="H275" s="174"/>
      <c r="I275" s="174"/>
      <c r="J275" s="174"/>
      <c r="K275" s="174"/>
      <c r="L275" s="174"/>
      <c r="M275" s="174"/>
      <c r="N275" s="174"/>
      <c r="O275" s="174"/>
      <c r="P275" s="174"/>
      <c r="Q275" s="174"/>
      <c r="R275" s="174"/>
      <c r="S275" s="174"/>
      <c r="T275" s="174"/>
      <c r="U275" s="174"/>
      <c r="V275" s="174"/>
      <c r="W275" s="174"/>
      <c r="X275" s="174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</row>
    <row r="276" spans="1:37" ht="30" customHeight="1" x14ac:dyDescent="0.2">
      <c r="A276" s="170"/>
      <c r="B276" s="170"/>
      <c r="C276" s="170"/>
      <c r="D276" s="170"/>
      <c r="E276" s="171"/>
      <c r="F276" s="172"/>
      <c r="G276" s="173"/>
      <c r="H276" s="174"/>
      <c r="I276" s="174"/>
      <c r="J276" s="174"/>
      <c r="K276" s="174"/>
      <c r="L276" s="174"/>
      <c r="M276" s="174"/>
      <c r="N276" s="174"/>
      <c r="O276" s="174"/>
      <c r="P276" s="174"/>
      <c r="Q276" s="174"/>
      <c r="R276" s="174"/>
      <c r="S276" s="174"/>
      <c r="T276" s="174"/>
      <c r="U276" s="174"/>
      <c r="V276" s="174"/>
      <c r="W276" s="174"/>
      <c r="X276" s="174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</row>
    <row r="277" spans="1:37" ht="30" customHeight="1" x14ac:dyDescent="0.2">
      <c r="A277" s="170"/>
      <c r="B277" s="170"/>
      <c r="C277" s="170"/>
      <c r="D277" s="170"/>
      <c r="E277" s="171"/>
      <c r="F277" s="172"/>
      <c r="G277" s="173"/>
      <c r="H277" s="174"/>
      <c r="I277" s="174"/>
      <c r="J277" s="174"/>
      <c r="K277" s="174"/>
      <c r="L277" s="174"/>
      <c r="M277" s="174"/>
      <c r="N277" s="174"/>
      <c r="O277" s="174"/>
      <c r="P277" s="174"/>
      <c r="Q277" s="174"/>
      <c r="R277" s="174"/>
      <c r="S277" s="174"/>
      <c r="T277" s="174"/>
      <c r="U277" s="174"/>
      <c r="V277" s="174"/>
      <c r="W277" s="174"/>
      <c r="X277" s="174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</row>
    <row r="278" spans="1:37" ht="30" customHeight="1" x14ac:dyDescent="0.2">
      <c r="A278" s="170"/>
      <c r="B278" s="170"/>
      <c r="C278" s="170"/>
      <c r="D278" s="170"/>
      <c r="E278" s="171"/>
      <c r="F278" s="172"/>
      <c r="G278" s="173"/>
      <c r="H278" s="174"/>
      <c r="I278" s="174"/>
      <c r="J278" s="174"/>
      <c r="K278" s="174"/>
      <c r="L278" s="174"/>
      <c r="M278" s="174"/>
      <c r="N278" s="174"/>
      <c r="O278" s="174"/>
      <c r="P278" s="174"/>
      <c r="Q278" s="174"/>
      <c r="R278" s="174"/>
      <c r="S278" s="174"/>
      <c r="T278" s="174"/>
      <c r="U278" s="174"/>
      <c r="V278" s="174"/>
      <c r="W278" s="174"/>
      <c r="X278" s="174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</row>
    <row r="279" spans="1:37" ht="30" customHeight="1" x14ac:dyDescent="0.2">
      <c r="A279" s="170"/>
      <c r="B279" s="170"/>
      <c r="C279" s="170"/>
      <c r="D279" s="170"/>
      <c r="E279" s="171"/>
      <c r="F279" s="172"/>
      <c r="G279" s="173"/>
      <c r="H279" s="174"/>
      <c r="I279" s="174"/>
      <c r="J279" s="174"/>
      <c r="K279" s="174"/>
      <c r="L279" s="174"/>
      <c r="M279" s="174"/>
      <c r="N279" s="174"/>
      <c r="O279" s="174"/>
      <c r="P279" s="174"/>
      <c r="Q279" s="174"/>
      <c r="R279" s="174"/>
      <c r="S279" s="174"/>
      <c r="T279" s="174"/>
      <c r="U279" s="174"/>
      <c r="V279" s="174"/>
      <c r="W279" s="174"/>
      <c r="X279" s="174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</row>
    <row r="280" spans="1:37" ht="30" customHeight="1" x14ac:dyDescent="0.2">
      <c r="A280" s="170"/>
      <c r="B280" s="170"/>
      <c r="C280" s="170"/>
      <c r="D280" s="170"/>
      <c r="E280" s="171"/>
      <c r="F280" s="172"/>
      <c r="G280" s="173"/>
      <c r="H280" s="174"/>
      <c r="I280" s="174"/>
      <c r="J280" s="174"/>
      <c r="K280" s="174"/>
      <c r="L280" s="174"/>
      <c r="M280" s="174"/>
      <c r="N280" s="174"/>
      <c r="O280" s="174"/>
      <c r="P280" s="174"/>
      <c r="Q280" s="174"/>
      <c r="R280" s="174"/>
      <c r="S280" s="174"/>
      <c r="T280" s="174"/>
      <c r="U280" s="174"/>
      <c r="V280" s="174"/>
      <c r="W280" s="174"/>
      <c r="X280" s="174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</row>
    <row r="281" spans="1:37" ht="30" customHeight="1" x14ac:dyDescent="0.2">
      <c r="A281" s="170"/>
      <c r="B281" s="170"/>
      <c r="C281" s="170"/>
      <c r="D281" s="170"/>
      <c r="E281" s="171"/>
      <c r="F281" s="172"/>
      <c r="G281" s="173"/>
      <c r="H281" s="174"/>
      <c r="I281" s="174"/>
      <c r="J281" s="174"/>
      <c r="K281" s="174"/>
      <c r="L281" s="174"/>
      <c r="M281" s="174"/>
      <c r="N281" s="174"/>
      <c r="O281" s="174"/>
      <c r="P281" s="174"/>
      <c r="Q281" s="174"/>
      <c r="R281" s="174"/>
      <c r="S281" s="174"/>
      <c r="T281" s="174"/>
      <c r="U281" s="174"/>
      <c r="V281" s="174"/>
      <c r="W281" s="174"/>
      <c r="X281" s="174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</row>
    <row r="282" spans="1:37" ht="30" customHeight="1" x14ac:dyDescent="0.2">
      <c r="A282" s="170"/>
      <c r="B282" s="170"/>
      <c r="C282" s="170"/>
      <c r="D282" s="170"/>
      <c r="E282" s="171"/>
      <c r="F282" s="172"/>
      <c r="G282" s="173"/>
      <c r="H282" s="174"/>
      <c r="I282" s="174"/>
      <c r="J282" s="174"/>
      <c r="K282" s="174"/>
      <c r="L282" s="174"/>
      <c r="M282" s="174"/>
      <c r="N282" s="174"/>
      <c r="O282" s="174"/>
      <c r="P282" s="174"/>
      <c r="Q282" s="174"/>
      <c r="R282" s="174"/>
      <c r="S282" s="174"/>
      <c r="T282" s="174"/>
      <c r="U282" s="174"/>
      <c r="V282" s="174"/>
      <c r="W282" s="174"/>
      <c r="X282" s="174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</row>
    <row r="283" spans="1:37" ht="30" customHeight="1" x14ac:dyDescent="0.2">
      <c r="A283" s="170"/>
      <c r="B283" s="170"/>
      <c r="C283" s="170"/>
      <c r="D283" s="170"/>
      <c r="E283" s="171"/>
      <c r="F283" s="172"/>
      <c r="G283" s="173"/>
      <c r="H283" s="174"/>
      <c r="I283" s="174"/>
      <c r="J283" s="174"/>
      <c r="K283" s="174"/>
      <c r="L283" s="174"/>
      <c r="M283" s="174"/>
      <c r="N283" s="174"/>
      <c r="O283" s="174"/>
      <c r="P283" s="174"/>
      <c r="Q283" s="174"/>
      <c r="R283" s="174"/>
      <c r="S283" s="174"/>
      <c r="T283" s="174"/>
      <c r="U283" s="174"/>
      <c r="V283" s="174"/>
      <c r="W283" s="174"/>
      <c r="X283" s="174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</row>
    <row r="284" spans="1:37" ht="30" customHeight="1" x14ac:dyDescent="0.2">
      <c r="A284" s="170"/>
      <c r="B284" s="170"/>
      <c r="C284" s="170"/>
      <c r="D284" s="170"/>
      <c r="E284" s="171"/>
      <c r="F284" s="172"/>
      <c r="G284" s="173"/>
      <c r="H284" s="174"/>
      <c r="I284" s="174"/>
      <c r="J284" s="174"/>
      <c r="K284" s="174"/>
      <c r="L284" s="174"/>
      <c r="M284" s="174"/>
      <c r="N284" s="174"/>
      <c r="O284" s="174"/>
      <c r="P284" s="174"/>
      <c r="Q284" s="174"/>
      <c r="R284" s="174"/>
      <c r="S284" s="174"/>
      <c r="T284" s="174"/>
      <c r="U284" s="174"/>
      <c r="V284" s="174"/>
      <c r="W284" s="174"/>
      <c r="X284" s="174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</row>
    <row r="285" spans="1:37" ht="30" customHeight="1" x14ac:dyDescent="0.2">
      <c r="A285" s="170"/>
      <c r="B285" s="170"/>
      <c r="C285" s="170"/>
      <c r="D285" s="170"/>
      <c r="E285" s="171"/>
      <c r="F285" s="172"/>
      <c r="G285" s="173"/>
      <c r="H285" s="174"/>
      <c r="I285" s="174"/>
      <c r="J285" s="174"/>
      <c r="K285" s="174"/>
      <c r="L285" s="174"/>
      <c r="M285" s="174"/>
      <c r="N285" s="174"/>
      <c r="O285" s="174"/>
      <c r="P285" s="174"/>
      <c r="Q285" s="174"/>
      <c r="R285" s="174"/>
      <c r="S285" s="174"/>
      <c r="T285" s="174"/>
      <c r="U285" s="174"/>
      <c r="V285" s="174"/>
      <c r="W285" s="174"/>
      <c r="X285" s="174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</row>
    <row r="286" spans="1:37" ht="30" customHeight="1" x14ac:dyDescent="0.2">
      <c r="A286" s="170"/>
      <c r="B286" s="170"/>
      <c r="C286" s="170"/>
      <c r="D286" s="170"/>
      <c r="E286" s="171"/>
      <c r="F286" s="172"/>
      <c r="G286" s="173"/>
      <c r="H286" s="174"/>
      <c r="I286" s="174"/>
      <c r="J286" s="174"/>
      <c r="K286" s="174"/>
      <c r="L286" s="174"/>
      <c r="M286" s="174"/>
      <c r="N286" s="174"/>
      <c r="O286" s="174"/>
      <c r="P286" s="174"/>
      <c r="Q286" s="174"/>
      <c r="R286" s="174"/>
      <c r="S286" s="174"/>
      <c r="T286" s="174"/>
      <c r="U286" s="174"/>
      <c r="V286" s="174"/>
      <c r="W286" s="174"/>
      <c r="X286" s="174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</row>
    <row r="287" spans="1:37" ht="30" customHeight="1" x14ac:dyDescent="0.2">
      <c r="A287" s="170"/>
      <c r="B287" s="170"/>
      <c r="C287" s="170"/>
      <c r="D287" s="170"/>
      <c r="E287" s="171"/>
      <c r="F287" s="172"/>
      <c r="G287" s="173"/>
      <c r="H287" s="174"/>
      <c r="I287" s="174"/>
      <c r="J287" s="174"/>
      <c r="K287" s="174"/>
      <c r="L287" s="174"/>
      <c r="M287" s="174"/>
      <c r="N287" s="174"/>
      <c r="O287" s="174"/>
      <c r="P287" s="174"/>
      <c r="Q287" s="174"/>
      <c r="R287" s="174"/>
      <c r="S287" s="174"/>
      <c r="T287" s="174"/>
      <c r="U287" s="174"/>
      <c r="V287" s="174"/>
      <c r="W287" s="174"/>
      <c r="X287" s="174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</row>
    <row r="288" spans="1:37" ht="30" customHeight="1" x14ac:dyDescent="0.2">
      <c r="A288" s="170"/>
      <c r="B288" s="170"/>
      <c r="C288" s="170"/>
      <c r="D288" s="170"/>
      <c r="E288" s="171"/>
      <c r="F288" s="172"/>
      <c r="G288" s="173"/>
      <c r="H288" s="174"/>
      <c r="I288" s="174"/>
      <c r="J288" s="174"/>
      <c r="K288" s="174"/>
      <c r="L288" s="174"/>
      <c r="M288" s="174"/>
      <c r="N288" s="174"/>
      <c r="O288" s="174"/>
      <c r="P288" s="174"/>
      <c r="Q288" s="174"/>
      <c r="R288" s="174"/>
      <c r="S288" s="174"/>
      <c r="T288" s="174"/>
      <c r="U288" s="174"/>
      <c r="V288" s="174"/>
      <c r="W288" s="174"/>
      <c r="X288" s="174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</row>
    <row r="289" spans="1:37" ht="30" customHeight="1" x14ac:dyDescent="0.2">
      <c r="A289" s="170"/>
      <c r="B289" s="170"/>
      <c r="C289" s="170"/>
      <c r="D289" s="170"/>
      <c r="E289" s="171"/>
      <c r="F289" s="172"/>
      <c r="G289" s="173"/>
      <c r="H289" s="174"/>
      <c r="I289" s="174"/>
      <c r="J289" s="174"/>
      <c r="K289" s="174"/>
      <c r="L289" s="174"/>
      <c r="M289" s="174"/>
      <c r="N289" s="174"/>
      <c r="O289" s="174"/>
      <c r="P289" s="174"/>
      <c r="Q289" s="174"/>
      <c r="R289" s="174"/>
      <c r="S289" s="174"/>
      <c r="T289" s="174"/>
      <c r="U289" s="174"/>
      <c r="V289" s="174"/>
      <c r="W289" s="174"/>
      <c r="X289" s="174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</row>
    <row r="290" spans="1:37" ht="30" customHeight="1" x14ac:dyDescent="0.2">
      <c r="A290" s="170"/>
      <c r="B290" s="170"/>
      <c r="C290" s="170"/>
      <c r="D290" s="170"/>
      <c r="E290" s="171"/>
      <c r="F290" s="172"/>
      <c r="G290" s="173"/>
      <c r="H290" s="174"/>
      <c r="I290" s="174"/>
      <c r="J290" s="174"/>
      <c r="K290" s="174"/>
      <c r="L290" s="174"/>
      <c r="M290" s="174"/>
      <c r="N290" s="174"/>
      <c r="O290" s="174"/>
      <c r="P290" s="174"/>
      <c r="Q290" s="174"/>
      <c r="R290" s="174"/>
      <c r="S290" s="174"/>
      <c r="T290" s="174"/>
      <c r="U290" s="174"/>
      <c r="V290" s="174"/>
      <c r="W290" s="174"/>
      <c r="X290" s="174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</row>
    <row r="291" spans="1:37" ht="30" customHeight="1" x14ac:dyDescent="0.2">
      <c r="A291" s="170"/>
      <c r="B291" s="170"/>
      <c r="C291" s="170"/>
      <c r="D291" s="170"/>
      <c r="E291" s="171"/>
      <c r="F291" s="172"/>
      <c r="G291" s="173"/>
      <c r="H291" s="174"/>
      <c r="I291" s="174"/>
      <c r="J291" s="174"/>
      <c r="K291" s="174"/>
      <c r="L291" s="174"/>
      <c r="M291" s="174"/>
      <c r="N291" s="174"/>
      <c r="O291" s="174"/>
      <c r="P291" s="174"/>
      <c r="Q291" s="174"/>
      <c r="R291" s="174"/>
      <c r="S291" s="174"/>
      <c r="T291" s="174"/>
      <c r="U291" s="174"/>
      <c r="V291" s="174"/>
      <c r="W291" s="174"/>
      <c r="X291" s="174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</row>
    <row r="292" spans="1:37" ht="30" customHeight="1" x14ac:dyDescent="0.2">
      <c r="A292" s="170"/>
      <c r="B292" s="170"/>
      <c r="C292" s="170"/>
      <c r="D292" s="170"/>
      <c r="E292" s="171"/>
      <c r="F292" s="172"/>
      <c r="G292" s="173"/>
      <c r="H292" s="174"/>
      <c r="I292" s="174"/>
      <c r="J292" s="174"/>
      <c r="K292" s="174"/>
      <c r="L292" s="174"/>
      <c r="M292" s="174"/>
      <c r="N292" s="174"/>
      <c r="O292" s="174"/>
      <c r="P292" s="174"/>
      <c r="Q292" s="174"/>
      <c r="R292" s="174"/>
      <c r="S292" s="174"/>
      <c r="T292" s="174"/>
      <c r="U292" s="174"/>
      <c r="V292" s="174"/>
      <c r="W292" s="174"/>
      <c r="X292" s="174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</row>
    <row r="293" spans="1:37" ht="30" customHeight="1" x14ac:dyDescent="0.2">
      <c r="A293" s="170"/>
      <c r="B293" s="170"/>
      <c r="C293" s="170"/>
      <c r="D293" s="170"/>
      <c r="E293" s="171"/>
      <c r="F293" s="172"/>
      <c r="G293" s="173"/>
      <c r="H293" s="174"/>
      <c r="I293" s="174"/>
      <c r="J293" s="174"/>
      <c r="K293" s="174"/>
      <c r="L293" s="174"/>
      <c r="M293" s="174"/>
      <c r="N293" s="174"/>
      <c r="O293" s="174"/>
      <c r="P293" s="174"/>
      <c r="Q293" s="174"/>
      <c r="R293" s="174"/>
      <c r="S293" s="174"/>
      <c r="T293" s="174"/>
      <c r="U293" s="174"/>
      <c r="V293" s="174"/>
      <c r="W293" s="174"/>
      <c r="X293" s="174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</row>
    <row r="294" spans="1:37" ht="30" customHeight="1" x14ac:dyDescent="0.2">
      <c r="A294" s="170"/>
      <c r="B294" s="170"/>
      <c r="C294" s="170"/>
      <c r="D294" s="170"/>
      <c r="E294" s="171"/>
      <c r="F294" s="172"/>
      <c r="G294" s="173"/>
      <c r="H294" s="174"/>
      <c r="I294" s="174"/>
      <c r="J294" s="174"/>
      <c r="K294" s="174"/>
      <c r="L294" s="174"/>
      <c r="M294" s="174"/>
      <c r="N294" s="174"/>
      <c r="O294" s="174"/>
      <c r="P294" s="174"/>
      <c r="Q294" s="174"/>
      <c r="R294" s="174"/>
      <c r="S294" s="174"/>
      <c r="T294" s="174"/>
      <c r="U294" s="174"/>
      <c r="V294" s="174"/>
      <c r="W294" s="174"/>
      <c r="X294" s="174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</row>
    <row r="295" spans="1:37" ht="30" customHeight="1" x14ac:dyDescent="0.2">
      <c r="A295" s="170"/>
      <c r="B295" s="170"/>
      <c r="C295" s="170"/>
      <c r="D295" s="170"/>
      <c r="E295" s="171"/>
      <c r="F295" s="172"/>
      <c r="G295" s="173"/>
      <c r="H295" s="174"/>
      <c r="I295" s="174"/>
      <c r="J295" s="174"/>
      <c r="K295" s="174"/>
      <c r="L295" s="174"/>
      <c r="M295" s="174"/>
      <c r="N295" s="174"/>
      <c r="O295" s="174"/>
      <c r="P295" s="174"/>
      <c r="Q295" s="174"/>
      <c r="R295" s="174"/>
      <c r="S295" s="174"/>
      <c r="T295" s="174"/>
      <c r="U295" s="174"/>
      <c r="V295" s="174"/>
      <c r="W295" s="174"/>
      <c r="X295" s="174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</row>
    <row r="296" spans="1:37" ht="30" customHeight="1" x14ac:dyDescent="0.2">
      <c r="A296" s="170"/>
      <c r="B296" s="170"/>
      <c r="C296" s="170"/>
      <c r="D296" s="170"/>
      <c r="E296" s="171"/>
      <c r="F296" s="172"/>
      <c r="G296" s="173"/>
      <c r="H296" s="174"/>
      <c r="I296" s="174"/>
      <c r="J296" s="174"/>
      <c r="K296" s="174"/>
      <c r="L296" s="174"/>
      <c r="M296" s="174"/>
      <c r="N296" s="174"/>
      <c r="O296" s="174"/>
      <c r="P296" s="174"/>
      <c r="Q296" s="174"/>
      <c r="R296" s="174"/>
      <c r="S296" s="174"/>
      <c r="T296" s="174"/>
      <c r="U296" s="174"/>
      <c r="V296" s="174"/>
      <c r="W296" s="174"/>
      <c r="X296" s="174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</row>
    <row r="297" spans="1:37" ht="30" customHeight="1" x14ac:dyDescent="0.2">
      <c r="A297" s="170"/>
      <c r="B297" s="170"/>
      <c r="C297" s="170"/>
      <c r="D297" s="170"/>
      <c r="E297" s="171"/>
      <c r="F297" s="172"/>
      <c r="G297" s="173"/>
      <c r="H297" s="174"/>
      <c r="I297" s="174"/>
      <c r="J297" s="174"/>
      <c r="K297" s="174"/>
      <c r="L297" s="174"/>
      <c r="M297" s="174"/>
      <c r="N297" s="174"/>
      <c r="O297" s="174"/>
      <c r="P297" s="174"/>
      <c r="Q297" s="174"/>
      <c r="R297" s="174"/>
      <c r="S297" s="174"/>
      <c r="T297" s="174"/>
      <c r="U297" s="174"/>
      <c r="V297" s="174"/>
      <c r="W297" s="174"/>
      <c r="X297" s="174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</row>
    <row r="298" spans="1:37" ht="30" customHeight="1" x14ac:dyDescent="0.2">
      <c r="A298" s="170"/>
      <c r="B298" s="170"/>
      <c r="C298" s="170"/>
      <c r="D298" s="170"/>
      <c r="E298" s="171"/>
      <c r="F298" s="172"/>
      <c r="G298" s="173"/>
      <c r="H298" s="174"/>
      <c r="I298" s="174"/>
      <c r="J298" s="174"/>
      <c r="K298" s="174"/>
      <c r="L298" s="174"/>
      <c r="M298" s="174"/>
      <c r="N298" s="174"/>
      <c r="O298" s="174"/>
      <c r="P298" s="174"/>
      <c r="Q298" s="174"/>
      <c r="R298" s="174"/>
      <c r="S298" s="174"/>
      <c r="T298" s="174"/>
      <c r="U298" s="174"/>
      <c r="V298" s="174"/>
      <c r="W298" s="174"/>
      <c r="X298" s="174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</row>
    <row r="299" spans="1:37" ht="30" customHeight="1" x14ac:dyDescent="0.2">
      <c r="A299" s="170"/>
      <c r="B299" s="170"/>
      <c r="C299" s="170"/>
      <c r="D299" s="170"/>
      <c r="E299" s="171"/>
      <c r="F299" s="172"/>
      <c r="G299" s="173"/>
      <c r="H299" s="174"/>
      <c r="I299" s="174"/>
      <c r="J299" s="174"/>
      <c r="K299" s="174"/>
      <c r="L299" s="174"/>
      <c r="M299" s="174"/>
      <c r="N299" s="174"/>
      <c r="O299" s="174"/>
      <c r="P299" s="174"/>
      <c r="Q299" s="174"/>
      <c r="R299" s="174"/>
      <c r="S299" s="174"/>
      <c r="T299" s="174"/>
      <c r="U299" s="174"/>
      <c r="V299" s="174"/>
      <c r="W299" s="174"/>
      <c r="X299" s="174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</row>
    <row r="300" spans="1:37" ht="30" customHeight="1" x14ac:dyDescent="0.2">
      <c r="A300" s="170"/>
      <c r="B300" s="170"/>
      <c r="C300" s="170"/>
      <c r="D300" s="170"/>
      <c r="E300" s="171"/>
      <c r="F300" s="172"/>
      <c r="G300" s="173"/>
      <c r="H300" s="174"/>
      <c r="I300" s="174"/>
      <c r="J300" s="174"/>
      <c r="K300" s="174"/>
      <c r="L300" s="174"/>
      <c r="M300" s="174"/>
      <c r="N300" s="174"/>
      <c r="O300" s="174"/>
      <c r="P300" s="174"/>
      <c r="Q300" s="174"/>
      <c r="R300" s="174"/>
      <c r="S300" s="174"/>
      <c r="T300" s="174"/>
      <c r="U300" s="174"/>
      <c r="V300" s="174"/>
      <c r="W300" s="174"/>
      <c r="X300" s="174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</row>
    <row r="301" spans="1:37" x14ac:dyDescent="0.2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</row>
    <row r="302" spans="1:37" x14ac:dyDescent="0.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</row>
    <row r="303" spans="1:37" x14ac:dyDescent="0.2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</row>
    <row r="304" spans="1:37" x14ac:dyDescent="0.2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</row>
    <row r="305" spans="1:37" x14ac:dyDescent="0.2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</row>
    <row r="306" spans="1:37" x14ac:dyDescent="0.2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</row>
    <row r="307" spans="1:37" x14ac:dyDescent="0.2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</row>
    <row r="308" spans="1:37" x14ac:dyDescent="0.2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</row>
    <row r="309" spans="1:37" x14ac:dyDescent="0.2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</row>
    <row r="310" spans="1:37" x14ac:dyDescent="0.2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</row>
    <row r="311" spans="1:37" x14ac:dyDescent="0.2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</row>
    <row r="312" spans="1:37" x14ac:dyDescent="0.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</row>
    <row r="313" spans="1:37" x14ac:dyDescent="0.2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</row>
    <row r="314" spans="1:37" x14ac:dyDescent="0.2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</row>
    <row r="315" spans="1:37" x14ac:dyDescent="0.2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</row>
  </sheetData>
  <mergeCells count="898">
    <mergeCell ref="X1:X2"/>
    <mergeCell ref="H295:X295"/>
    <mergeCell ref="H296:X296"/>
    <mergeCell ref="H297:X297"/>
    <mergeCell ref="H298:X298"/>
    <mergeCell ref="H299:X299"/>
    <mergeCell ref="H300:X300"/>
    <mergeCell ref="H280:X280"/>
    <mergeCell ref="H281:X281"/>
    <mergeCell ref="H282:X282"/>
    <mergeCell ref="H283:X283"/>
    <mergeCell ref="H284:X284"/>
    <mergeCell ref="H285:X285"/>
    <mergeCell ref="H292:X292"/>
    <mergeCell ref="H293:X293"/>
    <mergeCell ref="H294:X294"/>
    <mergeCell ref="H286:X286"/>
    <mergeCell ref="H287:X287"/>
    <mergeCell ref="H288:X288"/>
    <mergeCell ref="H289:X289"/>
    <mergeCell ref="H290:X290"/>
    <mergeCell ref="H291:X291"/>
    <mergeCell ref="H271:X271"/>
    <mergeCell ref="H272:X272"/>
    <mergeCell ref="H273:X273"/>
    <mergeCell ref="H274:X274"/>
    <mergeCell ref="H275:X275"/>
    <mergeCell ref="H276:X276"/>
    <mergeCell ref="H277:X277"/>
    <mergeCell ref="H278:X278"/>
    <mergeCell ref="H279:X279"/>
    <mergeCell ref="H260:X260"/>
    <mergeCell ref="H261:X261"/>
    <mergeCell ref="H262:X262"/>
    <mergeCell ref="H263:X263"/>
    <mergeCell ref="H264:X264"/>
    <mergeCell ref="H265:X265"/>
    <mergeCell ref="H268:X268"/>
    <mergeCell ref="H269:X269"/>
    <mergeCell ref="H270:X270"/>
    <mergeCell ref="H247:X247"/>
    <mergeCell ref="H248:X248"/>
    <mergeCell ref="H249:X249"/>
    <mergeCell ref="H250:X250"/>
    <mergeCell ref="H251:X251"/>
    <mergeCell ref="H252:X252"/>
    <mergeCell ref="H257:X257"/>
    <mergeCell ref="H258:X258"/>
    <mergeCell ref="H259:X259"/>
    <mergeCell ref="H238:X238"/>
    <mergeCell ref="H239:X239"/>
    <mergeCell ref="H240:X240"/>
    <mergeCell ref="H241:X241"/>
    <mergeCell ref="H242:X242"/>
    <mergeCell ref="H243:X243"/>
    <mergeCell ref="H244:X244"/>
    <mergeCell ref="H245:X245"/>
    <mergeCell ref="H246:X246"/>
    <mergeCell ref="H224:X224"/>
    <mergeCell ref="H225:X225"/>
    <mergeCell ref="H226:X226"/>
    <mergeCell ref="H227:X227"/>
    <mergeCell ref="H228:X228"/>
    <mergeCell ref="H229:X229"/>
    <mergeCell ref="H235:X235"/>
    <mergeCell ref="H236:X236"/>
    <mergeCell ref="H237:X237"/>
    <mergeCell ref="H215:X215"/>
    <mergeCell ref="H216:X216"/>
    <mergeCell ref="H217:X217"/>
    <mergeCell ref="H218:X218"/>
    <mergeCell ref="H219:X219"/>
    <mergeCell ref="H220:X220"/>
    <mergeCell ref="H221:X221"/>
    <mergeCell ref="H222:X222"/>
    <mergeCell ref="H223:X223"/>
    <mergeCell ref="H200:X200"/>
    <mergeCell ref="H201:X201"/>
    <mergeCell ref="H202:X202"/>
    <mergeCell ref="H203:X203"/>
    <mergeCell ref="H204:X204"/>
    <mergeCell ref="H205:X205"/>
    <mergeCell ref="H206:X206"/>
    <mergeCell ref="H207:X207"/>
    <mergeCell ref="H208:X208"/>
    <mergeCell ref="H178:X178"/>
    <mergeCell ref="H179:X179"/>
    <mergeCell ref="H180:X180"/>
    <mergeCell ref="H181:X181"/>
    <mergeCell ref="H182:X182"/>
    <mergeCell ref="H183:X183"/>
    <mergeCell ref="H184:X184"/>
    <mergeCell ref="H185:X185"/>
    <mergeCell ref="H188:X188"/>
    <mergeCell ref="H187:X187"/>
    <mergeCell ref="H168:X168"/>
    <mergeCell ref="H169:X169"/>
    <mergeCell ref="H170:X170"/>
    <mergeCell ref="H171:X171"/>
    <mergeCell ref="H172:X172"/>
    <mergeCell ref="H173:X173"/>
    <mergeCell ref="H174:X174"/>
    <mergeCell ref="H175:X175"/>
    <mergeCell ref="H177:X177"/>
    <mergeCell ref="H159:X159"/>
    <mergeCell ref="H160:X160"/>
    <mergeCell ref="H161:X161"/>
    <mergeCell ref="H162:X162"/>
    <mergeCell ref="H163:X163"/>
    <mergeCell ref="H164:X164"/>
    <mergeCell ref="H165:X165"/>
    <mergeCell ref="H166:X166"/>
    <mergeCell ref="H167:X167"/>
    <mergeCell ref="H144:X144"/>
    <mergeCell ref="H145:X145"/>
    <mergeCell ref="H146:X146"/>
    <mergeCell ref="H147:X147"/>
    <mergeCell ref="H148:X148"/>
    <mergeCell ref="H149:X149"/>
    <mergeCell ref="H150:X150"/>
    <mergeCell ref="H151:X151"/>
    <mergeCell ref="H158:X158"/>
    <mergeCell ref="H152:X152"/>
    <mergeCell ref="H153:X153"/>
    <mergeCell ref="H154:X154"/>
    <mergeCell ref="H155:X155"/>
    <mergeCell ref="H156:X156"/>
    <mergeCell ref="H157:X157"/>
    <mergeCell ref="H135:X135"/>
    <mergeCell ref="H136:X136"/>
    <mergeCell ref="H137:X137"/>
    <mergeCell ref="H138:X138"/>
    <mergeCell ref="H139:X139"/>
    <mergeCell ref="H140:X140"/>
    <mergeCell ref="H141:X141"/>
    <mergeCell ref="H142:X142"/>
    <mergeCell ref="H143:X143"/>
    <mergeCell ref="H123:X123"/>
    <mergeCell ref="H124:X124"/>
    <mergeCell ref="H125:X125"/>
    <mergeCell ref="H126:X126"/>
    <mergeCell ref="H127:X127"/>
    <mergeCell ref="H128:X128"/>
    <mergeCell ref="H129:X129"/>
    <mergeCell ref="H130:X130"/>
    <mergeCell ref="H134:X134"/>
    <mergeCell ref="H131:X131"/>
    <mergeCell ref="H132:X132"/>
    <mergeCell ref="H133:X133"/>
    <mergeCell ref="H114:X114"/>
    <mergeCell ref="H115:X115"/>
    <mergeCell ref="H116:X116"/>
    <mergeCell ref="H117:X117"/>
    <mergeCell ref="H118:X118"/>
    <mergeCell ref="H119:X119"/>
    <mergeCell ref="H120:X120"/>
    <mergeCell ref="H121:X121"/>
    <mergeCell ref="H122:X122"/>
    <mergeCell ref="H98:X98"/>
    <mergeCell ref="H99:X99"/>
    <mergeCell ref="H100:X100"/>
    <mergeCell ref="H101:X101"/>
    <mergeCell ref="H102:X102"/>
    <mergeCell ref="H103:X103"/>
    <mergeCell ref="H104:X104"/>
    <mergeCell ref="H105:X105"/>
    <mergeCell ref="H113:X113"/>
    <mergeCell ref="H89:X89"/>
    <mergeCell ref="H90:X90"/>
    <mergeCell ref="H91:X91"/>
    <mergeCell ref="H92:X92"/>
    <mergeCell ref="H93:X93"/>
    <mergeCell ref="H94:X94"/>
    <mergeCell ref="H95:X95"/>
    <mergeCell ref="H96:X96"/>
    <mergeCell ref="H97:X97"/>
    <mergeCell ref="H78:X78"/>
    <mergeCell ref="H79:X79"/>
    <mergeCell ref="H80:X80"/>
    <mergeCell ref="H81:X81"/>
    <mergeCell ref="H82:X82"/>
    <mergeCell ref="H83:X83"/>
    <mergeCell ref="H84:X84"/>
    <mergeCell ref="H85:X85"/>
    <mergeCell ref="H88:X88"/>
    <mergeCell ref="H64:X64"/>
    <mergeCell ref="H65:X65"/>
    <mergeCell ref="H66:X66"/>
    <mergeCell ref="H67:X67"/>
    <mergeCell ref="H68:X68"/>
    <mergeCell ref="H69:X69"/>
    <mergeCell ref="H70:X70"/>
    <mergeCell ref="H71:X71"/>
    <mergeCell ref="H72:X72"/>
    <mergeCell ref="H55:X55"/>
    <mergeCell ref="H56:X56"/>
    <mergeCell ref="H57:X57"/>
    <mergeCell ref="H58:X58"/>
    <mergeCell ref="H59:X59"/>
    <mergeCell ref="H60:X60"/>
    <mergeCell ref="H61:X61"/>
    <mergeCell ref="H62:X62"/>
    <mergeCell ref="H63:X63"/>
    <mergeCell ref="H40:X40"/>
    <mergeCell ref="H41:X41"/>
    <mergeCell ref="H42:X42"/>
    <mergeCell ref="H43:X43"/>
    <mergeCell ref="H44:X44"/>
    <mergeCell ref="H45:X45"/>
    <mergeCell ref="H46:X46"/>
    <mergeCell ref="H47:X47"/>
    <mergeCell ref="H48:X48"/>
    <mergeCell ref="H31:X31"/>
    <mergeCell ref="H32:X32"/>
    <mergeCell ref="H33:X33"/>
    <mergeCell ref="H34:X34"/>
    <mergeCell ref="H35:X35"/>
    <mergeCell ref="H36:X36"/>
    <mergeCell ref="H37:X37"/>
    <mergeCell ref="H38:X38"/>
    <mergeCell ref="H39:X39"/>
    <mergeCell ref="H22:X22"/>
    <mergeCell ref="H23:X23"/>
    <mergeCell ref="H24:X24"/>
    <mergeCell ref="H25:X25"/>
    <mergeCell ref="H26:X26"/>
    <mergeCell ref="H27:X27"/>
    <mergeCell ref="H28:X28"/>
    <mergeCell ref="H29:X29"/>
    <mergeCell ref="H30:X30"/>
    <mergeCell ref="H3:X3"/>
    <mergeCell ref="H4:X4"/>
    <mergeCell ref="H5:X5"/>
    <mergeCell ref="H6:X6"/>
    <mergeCell ref="H7:X7"/>
    <mergeCell ref="H8:X8"/>
    <mergeCell ref="H9:X9"/>
    <mergeCell ref="H10:X10"/>
    <mergeCell ref="H11:X11"/>
    <mergeCell ref="E297:G297"/>
    <mergeCell ref="E298:G298"/>
    <mergeCell ref="E299:G299"/>
    <mergeCell ref="E300:G300"/>
    <mergeCell ref="E290:G290"/>
    <mergeCell ref="E291:G291"/>
    <mergeCell ref="E292:G292"/>
    <mergeCell ref="E293:G293"/>
    <mergeCell ref="E294:G294"/>
    <mergeCell ref="E295:G295"/>
    <mergeCell ref="E284:G284"/>
    <mergeCell ref="E285:G285"/>
    <mergeCell ref="E286:G286"/>
    <mergeCell ref="E287:G287"/>
    <mergeCell ref="E288:G288"/>
    <mergeCell ref="E289:G289"/>
    <mergeCell ref="E277:G277"/>
    <mergeCell ref="E278:G278"/>
    <mergeCell ref="E279:G279"/>
    <mergeCell ref="E280:G280"/>
    <mergeCell ref="E281:G281"/>
    <mergeCell ref="E282:G282"/>
    <mergeCell ref="E242:G242"/>
    <mergeCell ref="E243:G243"/>
    <mergeCell ref="E244:G244"/>
    <mergeCell ref="E259:G259"/>
    <mergeCell ref="E260:G260"/>
    <mergeCell ref="E261:G261"/>
    <mergeCell ref="E262:G262"/>
    <mergeCell ref="E263:G263"/>
    <mergeCell ref="E264:G264"/>
    <mergeCell ref="E252:G252"/>
    <mergeCell ref="E253:G253"/>
    <mergeCell ref="E254:G254"/>
    <mergeCell ref="E255:G255"/>
    <mergeCell ref="E256:G256"/>
    <mergeCell ref="E257:G257"/>
    <mergeCell ref="E217:G217"/>
    <mergeCell ref="E218:G218"/>
    <mergeCell ref="E219:G219"/>
    <mergeCell ref="E232:G232"/>
    <mergeCell ref="E233:G233"/>
    <mergeCell ref="E234:G234"/>
    <mergeCell ref="E235:G235"/>
    <mergeCell ref="E236:G236"/>
    <mergeCell ref="E237:G237"/>
    <mergeCell ref="E226:G226"/>
    <mergeCell ref="E227:G227"/>
    <mergeCell ref="E228:G228"/>
    <mergeCell ref="E229:G229"/>
    <mergeCell ref="E230:G230"/>
    <mergeCell ref="E231:G231"/>
    <mergeCell ref="E223:G223"/>
    <mergeCell ref="E224:G224"/>
    <mergeCell ref="E225:G225"/>
    <mergeCell ref="E220:G220"/>
    <mergeCell ref="E221:G221"/>
    <mergeCell ref="E222:G222"/>
    <mergeCell ref="E177:G177"/>
    <mergeCell ref="E178:G178"/>
    <mergeCell ref="E179:G179"/>
    <mergeCell ref="E180:G180"/>
    <mergeCell ref="E190:G190"/>
    <mergeCell ref="E191:G191"/>
    <mergeCell ref="E192:G192"/>
    <mergeCell ref="E207:G207"/>
    <mergeCell ref="E208:G208"/>
    <mergeCell ref="E200:G200"/>
    <mergeCell ref="E201:G201"/>
    <mergeCell ref="E202:G202"/>
    <mergeCell ref="E203:G203"/>
    <mergeCell ref="E204:G204"/>
    <mergeCell ref="E205:G205"/>
    <mergeCell ref="E187:G187"/>
    <mergeCell ref="E181:G181"/>
    <mergeCell ref="E182:G182"/>
    <mergeCell ref="E183:G183"/>
    <mergeCell ref="E184:G184"/>
    <mergeCell ref="E185:G185"/>
    <mergeCell ref="E186:G186"/>
    <mergeCell ref="E158:G158"/>
    <mergeCell ref="E159:G159"/>
    <mergeCell ref="E160:G160"/>
    <mergeCell ref="E149:G149"/>
    <mergeCell ref="E150:G150"/>
    <mergeCell ref="E151:G151"/>
    <mergeCell ref="E152:G152"/>
    <mergeCell ref="E153:G153"/>
    <mergeCell ref="E154:G154"/>
    <mergeCell ref="E128:G128"/>
    <mergeCell ref="E129:G129"/>
    <mergeCell ref="E139:G139"/>
    <mergeCell ref="E140:G140"/>
    <mergeCell ref="E141:G141"/>
    <mergeCell ref="E155:G155"/>
    <mergeCell ref="E156:G156"/>
    <mergeCell ref="E134:G134"/>
    <mergeCell ref="E135:G135"/>
    <mergeCell ref="E142:G142"/>
    <mergeCell ref="E136:G136"/>
    <mergeCell ref="E137:G137"/>
    <mergeCell ref="E138:G138"/>
    <mergeCell ref="E89:G89"/>
    <mergeCell ref="E90:G90"/>
    <mergeCell ref="E104:G104"/>
    <mergeCell ref="E105:G105"/>
    <mergeCell ref="E106:G106"/>
    <mergeCell ref="E107:G107"/>
    <mergeCell ref="E108:G108"/>
    <mergeCell ref="E109:G109"/>
    <mergeCell ref="E97:G97"/>
    <mergeCell ref="E98:G98"/>
    <mergeCell ref="E99:G99"/>
    <mergeCell ref="E100:G100"/>
    <mergeCell ref="E101:G101"/>
    <mergeCell ref="E102:G102"/>
    <mergeCell ref="E91:G91"/>
    <mergeCell ref="E92:G92"/>
    <mergeCell ref="E93:G93"/>
    <mergeCell ref="E94:G94"/>
    <mergeCell ref="E95:G95"/>
    <mergeCell ref="E96:G96"/>
    <mergeCell ref="E103:G103"/>
    <mergeCell ref="E40:G40"/>
    <mergeCell ref="E41:G41"/>
    <mergeCell ref="E42:G42"/>
    <mergeCell ref="E43:G43"/>
    <mergeCell ref="E62:G62"/>
    <mergeCell ref="E63:G63"/>
    <mergeCell ref="E64:G64"/>
    <mergeCell ref="E79:G79"/>
    <mergeCell ref="E80:G80"/>
    <mergeCell ref="E72:G72"/>
    <mergeCell ref="E73:G73"/>
    <mergeCell ref="E74:G74"/>
    <mergeCell ref="E75:G75"/>
    <mergeCell ref="E76:G76"/>
    <mergeCell ref="E77:G77"/>
    <mergeCell ref="E65:G65"/>
    <mergeCell ref="E66:G66"/>
    <mergeCell ref="E67:G67"/>
    <mergeCell ref="E68:G68"/>
    <mergeCell ref="E69:G69"/>
    <mergeCell ref="E70:G70"/>
    <mergeCell ref="E38:G38"/>
    <mergeCell ref="E39:G39"/>
    <mergeCell ref="E27:G27"/>
    <mergeCell ref="E28:G28"/>
    <mergeCell ref="E29:G29"/>
    <mergeCell ref="E37:G37"/>
    <mergeCell ref="E35:G35"/>
    <mergeCell ref="E36:G36"/>
    <mergeCell ref="E13:G13"/>
    <mergeCell ref="E19:G19"/>
    <mergeCell ref="E20:G20"/>
    <mergeCell ref="E21:G21"/>
    <mergeCell ref="E22:G22"/>
    <mergeCell ref="E23:G23"/>
    <mergeCell ref="E24:G24"/>
    <mergeCell ref="E25:G25"/>
    <mergeCell ref="E17:G17"/>
    <mergeCell ref="E18:G18"/>
    <mergeCell ref="E265:G265"/>
    <mergeCell ref="E266:G266"/>
    <mergeCell ref="E267:G267"/>
    <mergeCell ref="E268:G268"/>
    <mergeCell ref="E245:G245"/>
    <mergeCell ref="E246:G246"/>
    <mergeCell ref="E247:G247"/>
    <mergeCell ref="E248:G248"/>
    <mergeCell ref="E249:G249"/>
    <mergeCell ref="E250:G250"/>
    <mergeCell ref="H12:X12"/>
    <mergeCell ref="H13:X13"/>
    <mergeCell ref="H14:X14"/>
    <mergeCell ref="H15:X15"/>
    <mergeCell ref="H16:X16"/>
    <mergeCell ref="H17:X17"/>
    <mergeCell ref="H18:X18"/>
    <mergeCell ref="H19:X19"/>
    <mergeCell ref="H20:X20"/>
    <mergeCell ref="H21:X21"/>
    <mergeCell ref="H266:X266"/>
    <mergeCell ref="H267:X267"/>
    <mergeCell ref="H253:X253"/>
    <mergeCell ref="H254:X254"/>
    <mergeCell ref="H255:X255"/>
    <mergeCell ref="H256:X256"/>
    <mergeCell ref="H233:X233"/>
    <mergeCell ref="H234:X234"/>
    <mergeCell ref="H230:X230"/>
    <mergeCell ref="H231:X231"/>
    <mergeCell ref="H232:X232"/>
    <mergeCell ref="H197:X197"/>
    <mergeCell ref="H198:X198"/>
    <mergeCell ref="H199:X199"/>
    <mergeCell ref="H189:X189"/>
    <mergeCell ref="H190:X190"/>
    <mergeCell ref="H191:X191"/>
    <mergeCell ref="H192:X192"/>
    <mergeCell ref="H193:X193"/>
    <mergeCell ref="H194:X194"/>
    <mergeCell ref="H195:X195"/>
    <mergeCell ref="H196:X196"/>
    <mergeCell ref="H186:X186"/>
    <mergeCell ref="H1:W2"/>
    <mergeCell ref="E1:G2"/>
    <mergeCell ref="A299:D299"/>
    <mergeCell ref="A300:D300"/>
    <mergeCell ref="A296:D296"/>
    <mergeCell ref="A297:D297"/>
    <mergeCell ref="A298:D298"/>
    <mergeCell ref="E296:G296"/>
    <mergeCell ref="A293:D293"/>
    <mergeCell ref="A294:D294"/>
    <mergeCell ref="A295:D295"/>
    <mergeCell ref="A290:D290"/>
    <mergeCell ref="A291:D291"/>
    <mergeCell ref="A292:D292"/>
    <mergeCell ref="A287:D287"/>
    <mergeCell ref="A288:D288"/>
    <mergeCell ref="A289:D289"/>
    <mergeCell ref="A284:D284"/>
    <mergeCell ref="A285:D285"/>
    <mergeCell ref="A286:D286"/>
    <mergeCell ref="A281:D281"/>
    <mergeCell ref="A282:D282"/>
    <mergeCell ref="A283:D283"/>
    <mergeCell ref="E283:G283"/>
    <mergeCell ref="A278:D278"/>
    <mergeCell ref="A279:D279"/>
    <mergeCell ref="A280:D280"/>
    <mergeCell ref="A275:D275"/>
    <mergeCell ref="A276:D276"/>
    <mergeCell ref="A277:D277"/>
    <mergeCell ref="A272:D272"/>
    <mergeCell ref="A273:D273"/>
    <mergeCell ref="A274:D274"/>
    <mergeCell ref="A269:D269"/>
    <mergeCell ref="A270:D270"/>
    <mergeCell ref="A271:D271"/>
    <mergeCell ref="E271:G271"/>
    <mergeCell ref="E272:G272"/>
    <mergeCell ref="E273:G273"/>
    <mergeCell ref="E274:G274"/>
    <mergeCell ref="E275:G275"/>
    <mergeCell ref="E276:G276"/>
    <mergeCell ref="E269:G269"/>
    <mergeCell ref="E270:G270"/>
    <mergeCell ref="A266:D266"/>
    <mergeCell ref="A267:D267"/>
    <mergeCell ref="A268:D268"/>
    <mergeCell ref="A263:D263"/>
    <mergeCell ref="A264:D264"/>
    <mergeCell ref="A265:D265"/>
    <mergeCell ref="A260:D260"/>
    <mergeCell ref="A261:D261"/>
    <mergeCell ref="A262:D262"/>
    <mergeCell ref="A257:D257"/>
    <mergeCell ref="A258:D258"/>
    <mergeCell ref="A259:D259"/>
    <mergeCell ref="E258:G258"/>
    <mergeCell ref="A254:D254"/>
    <mergeCell ref="A255:D255"/>
    <mergeCell ref="A256:D256"/>
    <mergeCell ref="A251:D251"/>
    <mergeCell ref="A252:D252"/>
    <mergeCell ref="A253:D253"/>
    <mergeCell ref="E251:G251"/>
    <mergeCell ref="A248:D248"/>
    <mergeCell ref="A249:D249"/>
    <mergeCell ref="A250:D250"/>
    <mergeCell ref="A245:D245"/>
    <mergeCell ref="A246:D246"/>
    <mergeCell ref="A247:D247"/>
    <mergeCell ref="A242:D242"/>
    <mergeCell ref="A243:D243"/>
    <mergeCell ref="A244:D244"/>
    <mergeCell ref="A239:D239"/>
    <mergeCell ref="A240:D240"/>
    <mergeCell ref="A241:D241"/>
    <mergeCell ref="A236:D236"/>
    <mergeCell ref="A237:D237"/>
    <mergeCell ref="A238:D238"/>
    <mergeCell ref="E238:G238"/>
    <mergeCell ref="A233:D233"/>
    <mergeCell ref="A234:D234"/>
    <mergeCell ref="A235:D235"/>
    <mergeCell ref="E239:G239"/>
    <mergeCell ref="E240:G240"/>
    <mergeCell ref="E241:G241"/>
    <mergeCell ref="A230:D230"/>
    <mergeCell ref="A231:D231"/>
    <mergeCell ref="A232:D232"/>
    <mergeCell ref="A227:D227"/>
    <mergeCell ref="A228:D228"/>
    <mergeCell ref="A229:D229"/>
    <mergeCell ref="A224:D224"/>
    <mergeCell ref="A225:D225"/>
    <mergeCell ref="A226:D226"/>
    <mergeCell ref="A221:D221"/>
    <mergeCell ref="A222:D222"/>
    <mergeCell ref="A223:D223"/>
    <mergeCell ref="A218:D218"/>
    <mergeCell ref="A219:D219"/>
    <mergeCell ref="A220:D220"/>
    <mergeCell ref="A215:D215"/>
    <mergeCell ref="A216:D216"/>
    <mergeCell ref="A217:D217"/>
    <mergeCell ref="E215:G215"/>
    <mergeCell ref="E216:G216"/>
    <mergeCell ref="A212:D212"/>
    <mergeCell ref="A213:D213"/>
    <mergeCell ref="A214:D214"/>
    <mergeCell ref="E213:G213"/>
    <mergeCell ref="A209:D209"/>
    <mergeCell ref="A210:D210"/>
    <mergeCell ref="A211:D211"/>
    <mergeCell ref="E209:G209"/>
    <mergeCell ref="E210:G210"/>
    <mergeCell ref="E211:G211"/>
    <mergeCell ref="E212:G212"/>
    <mergeCell ref="A206:D206"/>
    <mergeCell ref="A207:D207"/>
    <mergeCell ref="A208:D208"/>
    <mergeCell ref="E206:G206"/>
    <mergeCell ref="E214:G214"/>
    <mergeCell ref="H209:X209"/>
    <mergeCell ref="H210:X210"/>
    <mergeCell ref="H211:X211"/>
    <mergeCell ref="A203:D203"/>
    <mergeCell ref="A204:D204"/>
    <mergeCell ref="A205:D205"/>
    <mergeCell ref="H212:X212"/>
    <mergeCell ref="H213:X213"/>
    <mergeCell ref="H214:X214"/>
    <mergeCell ref="A200:D200"/>
    <mergeCell ref="A201:D201"/>
    <mergeCell ref="A202:D202"/>
    <mergeCell ref="A197:D197"/>
    <mergeCell ref="A198:D198"/>
    <mergeCell ref="A199:D199"/>
    <mergeCell ref="E197:G197"/>
    <mergeCell ref="E198:G198"/>
    <mergeCell ref="E199:G199"/>
    <mergeCell ref="A194:D194"/>
    <mergeCell ref="A195:D195"/>
    <mergeCell ref="A196:D196"/>
    <mergeCell ref="A191:D191"/>
    <mergeCell ref="A192:D192"/>
    <mergeCell ref="A193:D193"/>
    <mergeCell ref="E193:G193"/>
    <mergeCell ref="A188:D188"/>
    <mergeCell ref="A189:D189"/>
    <mergeCell ref="A190:D190"/>
    <mergeCell ref="E194:G194"/>
    <mergeCell ref="E195:G195"/>
    <mergeCell ref="E196:G196"/>
    <mergeCell ref="E188:G188"/>
    <mergeCell ref="E189:G189"/>
    <mergeCell ref="A177:D177"/>
    <mergeCell ref="A178:D178"/>
    <mergeCell ref="A173:D173"/>
    <mergeCell ref="A174:D174"/>
    <mergeCell ref="A175:D175"/>
    <mergeCell ref="A185:D185"/>
    <mergeCell ref="A186:D186"/>
    <mergeCell ref="A187:D187"/>
    <mergeCell ref="A182:D182"/>
    <mergeCell ref="A183:D183"/>
    <mergeCell ref="A184:D184"/>
    <mergeCell ref="A179:D179"/>
    <mergeCell ref="A180:D180"/>
    <mergeCell ref="A181:D181"/>
    <mergeCell ref="A170:D170"/>
    <mergeCell ref="A171:D171"/>
    <mergeCell ref="A172:D172"/>
    <mergeCell ref="E170:G170"/>
    <mergeCell ref="E171:G171"/>
    <mergeCell ref="E172:G172"/>
    <mergeCell ref="E173:G173"/>
    <mergeCell ref="E174:G174"/>
    <mergeCell ref="H176:X176"/>
    <mergeCell ref="E175:G175"/>
    <mergeCell ref="E176:G176"/>
    <mergeCell ref="A176:D176"/>
    <mergeCell ref="A167:D167"/>
    <mergeCell ref="A168:D168"/>
    <mergeCell ref="A169:D169"/>
    <mergeCell ref="E168:G168"/>
    <mergeCell ref="A164:D164"/>
    <mergeCell ref="A165:D165"/>
    <mergeCell ref="A166:D166"/>
    <mergeCell ref="A161:D161"/>
    <mergeCell ref="A162:D162"/>
    <mergeCell ref="A163:D163"/>
    <mergeCell ref="E161:G161"/>
    <mergeCell ref="E169:G169"/>
    <mergeCell ref="E162:G162"/>
    <mergeCell ref="E163:G163"/>
    <mergeCell ref="E164:G164"/>
    <mergeCell ref="E165:G165"/>
    <mergeCell ref="E166:G166"/>
    <mergeCell ref="E167:G167"/>
    <mergeCell ref="A158:D158"/>
    <mergeCell ref="A159:D159"/>
    <mergeCell ref="A160:D160"/>
    <mergeCell ref="A155:D155"/>
    <mergeCell ref="A156:D156"/>
    <mergeCell ref="A157:D157"/>
    <mergeCell ref="A152:D152"/>
    <mergeCell ref="A153:D153"/>
    <mergeCell ref="A154:D154"/>
    <mergeCell ref="A149:D149"/>
    <mergeCell ref="A150:D150"/>
    <mergeCell ref="A151:D151"/>
    <mergeCell ref="E157:G157"/>
    <mergeCell ref="A146:D146"/>
    <mergeCell ref="A147:D147"/>
    <mergeCell ref="A148:D148"/>
    <mergeCell ref="E148:G148"/>
    <mergeCell ref="A143:D143"/>
    <mergeCell ref="A144:D144"/>
    <mergeCell ref="A145:D145"/>
    <mergeCell ref="E143:G143"/>
    <mergeCell ref="E144:G144"/>
    <mergeCell ref="E145:G145"/>
    <mergeCell ref="E146:G146"/>
    <mergeCell ref="E147:G147"/>
    <mergeCell ref="A140:D140"/>
    <mergeCell ref="A141:D141"/>
    <mergeCell ref="A142:D142"/>
    <mergeCell ref="A137:D137"/>
    <mergeCell ref="A138:D138"/>
    <mergeCell ref="A139:D139"/>
    <mergeCell ref="A134:D134"/>
    <mergeCell ref="A135:D135"/>
    <mergeCell ref="A136:D136"/>
    <mergeCell ref="A130:D130"/>
    <mergeCell ref="A125:D125"/>
    <mergeCell ref="A126:D126"/>
    <mergeCell ref="A127:D127"/>
    <mergeCell ref="E131:G131"/>
    <mergeCell ref="E132:G132"/>
    <mergeCell ref="E133:G133"/>
    <mergeCell ref="E121:G121"/>
    <mergeCell ref="E122:G122"/>
    <mergeCell ref="E130:G130"/>
    <mergeCell ref="E124:G124"/>
    <mergeCell ref="E125:G125"/>
    <mergeCell ref="A122:D122"/>
    <mergeCell ref="A123:D123"/>
    <mergeCell ref="A124:D124"/>
    <mergeCell ref="E123:G123"/>
    <mergeCell ref="A121:D121"/>
    <mergeCell ref="A128:D128"/>
    <mergeCell ref="A129:D129"/>
    <mergeCell ref="A131:D131"/>
    <mergeCell ref="A132:D132"/>
    <mergeCell ref="A133:D133"/>
    <mergeCell ref="E126:G126"/>
    <mergeCell ref="E127:G127"/>
    <mergeCell ref="A116:D116"/>
    <mergeCell ref="A117:D117"/>
    <mergeCell ref="A118:D118"/>
    <mergeCell ref="E116:G116"/>
    <mergeCell ref="E117:G117"/>
    <mergeCell ref="E118:G118"/>
    <mergeCell ref="E119:G119"/>
    <mergeCell ref="E120:G120"/>
    <mergeCell ref="A113:D113"/>
    <mergeCell ref="A114:D114"/>
    <mergeCell ref="A115:D115"/>
    <mergeCell ref="E113:G113"/>
    <mergeCell ref="E114:G114"/>
    <mergeCell ref="E115:G115"/>
    <mergeCell ref="A119:D119"/>
    <mergeCell ref="A120:D120"/>
    <mergeCell ref="A99:D99"/>
    <mergeCell ref="A100:D100"/>
    <mergeCell ref="A110:D110"/>
    <mergeCell ref="A111:D111"/>
    <mergeCell ref="A112:D112"/>
    <mergeCell ref="A107:D107"/>
    <mergeCell ref="A108:D108"/>
    <mergeCell ref="A109:D109"/>
    <mergeCell ref="H107:X107"/>
    <mergeCell ref="H108:X108"/>
    <mergeCell ref="H109:X109"/>
    <mergeCell ref="H110:X110"/>
    <mergeCell ref="H111:X111"/>
    <mergeCell ref="H112:X112"/>
    <mergeCell ref="E110:G110"/>
    <mergeCell ref="E111:G111"/>
    <mergeCell ref="E112:G112"/>
    <mergeCell ref="H106:X106"/>
    <mergeCell ref="A104:D104"/>
    <mergeCell ref="A105:D105"/>
    <mergeCell ref="A106:D106"/>
    <mergeCell ref="A101:D101"/>
    <mergeCell ref="A102:D102"/>
    <mergeCell ref="A103:D103"/>
    <mergeCell ref="A95:D95"/>
    <mergeCell ref="A96:D96"/>
    <mergeCell ref="A97:D97"/>
    <mergeCell ref="A92:D92"/>
    <mergeCell ref="A93:D93"/>
    <mergeCell ref="A94:D94"/>
    <mergeCell ref="A89:D89"/>
    <mergeCell ref="A90:D90"/>
    <mergeCell ref="A91:D91"/>
    <mergeCell ref="A98:D98"/>
    <mergeCell ref="E85:G85"/>
    <mergeCell ref="E86:G86"/>
    <mergeCell ref="E87:G87"/>
    <mergeCell ref="E88:G88"/>
    <mergeCell ref="H86:X86"/>
    <mergeCell ref="H87:X87"/>
    <mergeCell ref="A77:D77"/>
    <mergeCell ref="A78:D78"/>
    <mergeCell ref="A79:D79"/>
    <mergeCell ref="E78:G78"/>
    <mergeCell ref="A86:D86"/>
    <mergeCell ref="A87:D87"/>
    <mergeCell ref="A88:D88"/>
    <mergeCell ref="A83:D83"/>
    <mergeCell ref="A84:D84"/>
    <mergeCell ref="A85:D85"/>
    <mergeCell ref="A80:D80"/>
    <mergeCell ref="A81:D81"/>
    <mergeCell ref="A82:D82"/>
    <mergeCell ref="E81:G81"/>
    <mergeCell ref="E82:G82"/>
    <mergeCell ref="E83:G83"/>
    <mergeCell ref="E84:G84"/>
    <mergeCell ref="H77:X77"/>
    <mergeCell ref="A74:D74"/>
    <mergeCell ref="A75:D75"/>
    <mergeCell ref="A76:D76"/>
    <mergeCell ref="A71:D71"/>
    <mergeCell ref="A72:D72"/>
    <mergeCell ref="A73:D73"/>
    <mergeCell ref="E71:G71"/>
    <mergeCell ref="H73:X73"/>
    <mergeCell ref="H74:X74"/>
    <mergeCell ref="H75:X75"/>
    <mergeCell ref="H76:X76"/>
    <mergeCell ref="A68:D68"/>
    <mergeCell ref="A69:D69"/>
    <mergeCell ref="A70:D70"/>
    <mergeCell ref="A65:D65"/>
    <mergeCell ref="A66:D66"/>
    <mergeCell ref="A67:D67"/>
    <mergeCell ref="A62:D62"/>
    <mergeCell ref="A63:D63"/>
    <mergeCell ref="A64:D64"/>
    <mergeCell ref="A59:D59"/>
    <mergeCell ref="A60:D60"/>
    <mergeCell ref="A61:D61"/>
    <mergeCell ref="A56:D56"/>
    <mergeCell ref="A57:D57"/>
    <mergeCell ref="A58:D58"/>
    <mergeCell ref="E58:G58"/>
    <mergeCell ref="A53:D53"/>
    <mergeCell ref="A54:D54"/>
    <mergeCell ref="A55:D55"/>
    <mergeCell ref="E59:G59"/>
    <mergeCell ref="E60:G60"/>
    <mergeCell ref="E61:G61"/>
    <mergeCell ref="E53:G53"/>
    <mergeCell ref="E54:G54"/>
    <mergeCell ref="E55:G55"/>
    <mergeCell ref="E56:G56"/>
    <mergeCell ref="E57:G57"/>
    <mergeCell ref="H53:X53"/>
    <mergeCell ref="H54:X54"/>
    <mergeCell ref="A50:D50"/>
    <mergeCell ref="A51:D51"/>
    <mergeCell ref="A52:D52"/>
    <mergeCell ref="A47:D47"/>
    <mergeCell ref="A48:D48"/>
    <mergeCell ref="A49:D49"/>
    <mergeCell ref="A44:D44"/>
    <mergeCell ref="A45:D45"/>
    <mergeCell ref="A46:D46"/>
    <mergeCell ref="E44:G44"/>
    <mergeCell ref="E45:G45"/>
    <mergeCell ref="H49:X49"/>
    <mergeCell ref="H50:X50"/>
    <mergeCell ref="H51:X51"/>
    <mergeCell ref="H52:X52"/>
    <mergeCell ref="E52:G52"/>
    <mergeCell ref="E46:G46"/>
    <mergeCell ref="E47:G47"/>
    <mergeCell ref="E48:G48"/>
    <mergeCell ref="E49:G49"/>
    <mergeCell ref="E50:G50"/>
    <mergeCell ref="E51:G51"/>
    <mergeCell ref="A41:D41"/>
    <mergeCell ref="A42:D42"/>
    <mergeCell ref="A43:D43"/>
    <mergeCell ref="A38:D38"/>
    <mergeCell ref="A39:D39"/>
    <mergeCell ref="A40:D40"/>
    <mergeCell ref="A35:D35"/>
    <mergeCell ref="A36:D36"/>
    <mergeCell ref="A37:D37"/>
    <mergeCell ref="A34:D34"/>
    <mergeCell ref="E33:G33"/>
    <mergeCell ref="A29:D29"/>
    <mergeCell ref="A30:D30"/>
    <mergeCell ref="A31:D31"/>
    <mergeCell ref="A26:D26"/>
    <mergeCell ref="A27:D27"/>
    <mergeCell ref="A28:D28"/>
    <mergeCell ref="E26:G26"/>
    <mergeCell ref="E30:G30"/>
    <mergeCell ref="E31:G31"/>
    <mergeCell ref="E32:G32"/>
    <mergeCell ref="E34:G34"/>
    <mergeCell ref="A16:D16"/>
    <mergeCell ref="E14:G14"/>
    <mergeCell ref="E15:G15"/>
    <mergeCell ref="A5:D5"/>
    <mergeCell ref="A6:D6"/>
    <mergeCell ref="A7:D7"/>
    <mergeCell ref="E16:G16"/>
    <mergeCell ref="A32:D32"/>
    <mergeCell ref="A33:D33"/>
    <mergeCell ref="A23:D23"/>
    <mergeCell ref="A24:D24"/>
    <mergeCell ref="A25:D25"/>
    <mergeCell ref="A20:D20"/>
    <mergeCell ref="A21:D21"/>
    <mergeCell ref="A22:D22"/>
    <mergeCell ref="A17:D17"/>
    <mergeCell ref="A18:D18"/>
    <mergeCell ref="A19:D19"/>
    <mergeCell ref="A1:D2"/>
    <mergeCell ref="A3:D3"/>
    <mergeCell ref="A4:D4"/>
    <mergeCell ref="A14:D14"/>
    <mergeCell ref="A15:D15"/>
    <mergeCell ref="A11:D11"/>
    <mergeCell ref="A12:D12"/>
    <mergeCell ref="A13:D13"/>
    <mergeCell ref="E12:G12"/>
    <mergeCell ref="A8:D8"/>
    <mergeCell ref="A9:D9"/>
    <mergeCell ref="A10:D10"/>
    <mergeCell ref="E5:G5"/>
    <mergeCell ref="E6:G6"/>
    <mergeCell ref="E7:G7"/>
    <mergeCell ref="E8:G8"/>
    <mergeCell ref="E9:G9"/>
    <mergeCell ref="E10:G10"/>
    <mergeCell ref="E11:G11"/>
    <mergeCell ref="E3:G3"/>
    <mergeCell ref="E4:G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欢迎</vt:lpstr>
      <vt:lpstr>总览</vt:lpstr>
      <vt:lpstr>计算区</vt:lpstr>
      <vt:lpstr>版本更新内容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2021-10-17T13:09:27Z</cp:lastPrinted>
  <dcterms:created xsi:type="dcterms:W3CDTF">2015-06-05T18:19:34Z</dcterms:created>
  <dcterms:modified xsi:type="dcterms:W3CDTF">2022-07-24T07:20:49Z</dcterms:modified>
</cp:coreProperties>
</file>