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29232\Desktop\Delta_Air_Lines\PW1500G\DAL_1500_Test\Trim_Balance\"/>
    </mc:Choice>
  </mc:AlternateContent>
  <xr:revisionPtr revIDLastSave="0" documentId="8_{6FB56CE1-C6CE-4659-81BD-B60FC3630D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im Balancing" sheetId="1" r:id="rId1"/>
    <sheet name="Calculation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4" i="2"/>
  <c r="B48" i="2" l="1"/>
  <c r="B49" i="2"/>
  <c r="B50" i="2"/>
  <c r="B51" i="2"/>
  <c r="B52" i="2"/>
  <c r="B53" i="2"/>
  <c r="B54" i="2"/>
  <c r="B55" i="2"/>
  <c r="B56" i="2"/>
  <c r="B57" i="2"/>
  <c r="B58" i="2"/>
  <c r="B59" i="2"/>
  <c r="B60" i="2"/>
  <c r="C60" i="2" s="1"/>
  <c r="B61" i="2"/>
  <c r="C61" i="2" s="1"/>
  <c r="G33" i="2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C59" i="2" l="1"/>
  <c r="C58" i="2"/>
  <c r="B43" i="2" l="1"/>
  <c r="C43" i="2" s="1"/>
  <c r="B44" i="2"/>
  <c r="C44" i="2" s="1"/>
  <c r="B45" i="2"/>
  <c r="C45" i="2" s="1"/>
  <c r="B46" i="2"/>
  <c r="C46" i="2" s="1"/>
  <c r="B47" i="2"/>
  <c r="C49" i="2"/>
  <c r="C53" i="2"/>
  <c r="C56" i="2"/>
  <c r="C57" i="2"/>
  <c r="B42" i="2"/>
  <c r="C42" i="2" s="1"/>
  <c r="C47" i="2"/>
  <c r="C48" i="2"/>
  <c r="C50" i="2"/>
  <c r="C51" i="2"/>
  <c r="C52" i="2"/>
  <c r="C54" i="2"/>
  <c r="C55" i="2"/>
  <c r="J5" i="2" l="1"/>
  <c r="I5" i="2" s="1"/>
  <c r="J6" i="2" l="1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B32" i="2"/>
  <c r="B33" i="2"/>
  <c r="C33" i="2" s="1"/>
  <c r="B34" i="2"/>
  <c r="C34" i="2" s="1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F32" i="2" l="1"/>
  <c r="F40" i="2"/>
  <c r="F43" i="2"/>
  <c r="F42" i="2"/>
  <c r="I42" i="2" s="1"/>
  <c r="F37" i="2"/>
  <c r="F33" i="2"/>
  <c r="F35" i="2"/>
  <c r="F38" i="2"/>
  <c r="F46" i="2"/>
  <c r="F41" i="2"/>
  <c r="F44" i="2"/>
  <c r="F34" i="2"/>
  <c r="F45" i="2"/>
  <c r="F36" i="2"/>
  <c r="F47" i="2"/>
  <c r="C32" i="2"/>
  <c r="F39" i="2" s="1"/>
  <c r="N6" i="2"/>
  <c r="C35" i="2"/>
  <c r="H37" i="2" l="1"/>
  <c r="H33" i="2"/>
  <c r="H42" i="2"/>
  <c r="H44" i="2"/>
  <c r="I44" i="2"/>
  <c r="H43" i="2"/>
  <c r="I43" i="2"/>
  <c r="H47" i="2"/>
  <c r="I47" i="2"/>
  <c r="H46" i="2"/>
  <c r="I46" i="2"/>
  <c r="H34" i="2"/>
  <c r="I34" i="2"/>
  <c r="H36" i="2"/>
  <c r="I36" i="2"/>
  <c r="H39" i="2"/>
  <c r="I39" i="2"/>
  <c r="H38" i="2"/>
  <c r="I38" i="2"/>
  <c r="H41" i="2"/>
  <c r="I41" i="2"/>
  <c r="H40" i="2"/>
  <c r="I40" i="2"/>
  <c r="H45" i="2"/>
  <c r="I45" i="2"/>
  <c r="S5" i="2"/>
  <c r="I37" i="2" l="1"/>
  <c r="I33" i="2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5" i="2"/>
  <c r="R5" i="2" l="1"/>
  <c r="P27" i="2" s="1"/>
  <c r="M6" i="2"/>
  <c r="M7" i="2"/>
  <c r="M8" i="2"/>
  <c r="M9" i="2"/>
  <c r="M10" i="2"/>
  <c r="M12" i="2"/>
  <c r="M13" i="2"/>
  <c r="M14" i="2"/>
  <c r="M15" i="2"/>
  <c r="M16" i="2"/>
  <c r="M18" i="2"/>
  <c r="M19" i="2"/>
  <c r="M20" i="2"/>
  <c r="M11" i="2"/>
  <c r="M17" i="2"/>
  <c r="M5" i="2"/>
  <c r="P5" i="2" l="1"/>
  <c r="L6" i="2" s="1"/>
  <c r="O5" i="2"/>
  <c r="K6" i="2" s="1"/>
  <c r="O27" i="2"/>
  <c r="P6" i="2" l="1"/>
  <c r="L7" i="2" s="1"/>
  <c r="O6" i="2"/>
  <c r="K7" i="2" s="1"/>
  <c r="P7" i="2" l="1"/>
  <c r="L8" i="2" s="1"/>
  <c r="O7" i="2"/>
  <c r="K8" i="2" s="1"/>
  <c r="P8" i="2" l="1"/>
  <c r="L9" i="2" s="1"/>
  <c r="O8" i="2"/>
  <c r="K9" i="2" s="1"/>
  <c r="O9" i="2" l="1"/>
  <c r="K10" i="2" s="1"/>
  <c r="P9" i="2"/>
  <c r="L10" i="2" s="1"/>
  <c r="P10" i="2" l="1"/>
  <c r="L11" i="2" s="1"/>
  <c r="O10" i="2"/>
  <c r="K11" i="2" s="1"/>
  <c r="O11" i="2" l="1"/>
  <c r="K12" i="2" s="1"/>
  <c r="P11" i="2"/>
  <c r="L12" i="2" s="1"/>
  <c r="P12" i="2" l="1"/>
  <c r="L13" i="2" s="1"/>
  <c r="O12" i="2"/>
  <c r="K13" i="2" s="1"/>
  <c r="P13" i="2" l="1"/>
  <c r="L14" i="2" s="1"/>
  <c r="O13" i="2"/>
  <c r="K14" i="2" s="1"/>
  <c r="P14" i="2" l="1"/>
  <c r="L15" i="2" s="1"/>
  <c r="O14" i="2"/>
  <c r="K15" i="2" s="1"/>
  <c r="P15" i="2" l="1"/>
  <c r="L16" i="2" s="1"/>
  <c r="O15" i="2"/>
  <c r="K16" i="2" s="1"/>
  <c r="P16" i="2" l="1"/>
  <c r="L17" i="2" s="1"/>
  <c r="O16" i="2"/>
  <c r="K17" i="2" s="1"/>
  <c r="P17" i="2" l="1"/>
  <c r="L18" i="2" s="1"/>
  <c r="O17" i="2"/>
  <c r="K18" i="2" s="1"/>
  <c r="P18" i="2" l="1"/>
  <c r="L19" i="2" s="1"/>
  <c r="O18" i="2"/>
  <c r="K19" i="2" s="1"/>
  <c r="O19" i="2" l="1"/>
  <c r="K20" i="2" s="1"/>
  <c r="P19" i="2"/>
  <c r="L20" i="2" s="1"/>
  <c r="P20" i="2" l="1"/>
  <c r="S6" i="2" s="1"/>
  <c r="O20" i="2"/>
  <c r="P28" i="2" l="1"/>
  <c r="P29" i="2" s="1"/>
  <c r="R6" i="2"/>
  <c r="O28" i="2"/>
  <c r="O29" i="2" s="1"/>
  <c r="P30" i="2" l="1"/>
  <c r="S7" i="2" s="1"/>
  <c r="O30" i="2"/>
  <c r="R7" i="2" s="1"/>
  <c r="S10" i="2" l="1"/>
  <c r="R10" i="2"/>
  <c r="F19" i="1" s="1"/>
  <c r="E18" i="2"/>
  <c r="F18" i="2" s="1"/>
  <c r="E13" i="2"/>
  <c r="F13" i="2" s="1"/>
  <c r="E8" i="2"/>
  <c r="F8" i="2" s="1"/>
  <c r="E15" i="2"/>
  <c r="F15" i="2" s="1"/>
  <c r="E12" i="2"/>
  <c r="F12" i="2" s="1"/>
  <c r="E16" i="2"/>
  <c r="F16" i="2" s="1"/>
  <c r="E5" i="2"/>
  <c r="F5" i="2" s="1"/>
  <c r="E19" i="2"/>
  <c r="F19" i="2" s="1"/>
  <c r="E10" i="2"/>
  <c r="F10" i="2" s="1"/>
  <c r="E11" i="2"/>
  <c r="F11" i="2" s="1"/>
  <c r="E6" i="2"/>
  <c r="F6" i="2" s="1"/>
  <c r="E17" i="2"/>
  <c r="F17" i="2" s="1"/>
  <c r="E9" i="2"/>
  <c r="F9" i="2" s="1"/>
  <c r="E14" i="2"/>
  <c r="F14" i="2" s="1"/>
  <c r="R11" i="2" l="1"/>
  <c r="R12" i="2"/>
  <c r="H35" i="2"/>
  <c r="E7" i="2" s="1"/>
  <c r="F7" i="2" s="1"/>
  <c r="I35" i="2"/>
  <c r="H32" i="2"/>
  <c r="E4" i="2" s="1"/>
  <c r="F4" i="2" s="1"/>
  <c r="I32" i="2"/>
  <c r="S12" i="2" l="1"/>
  <c r="S11" i="2"/>
  <c r="R13" i="2"/>
  <c r="R14" i="2" s="1"/>
  <c r="S14" i="2" l="1"/>
  <c r="S13" i="2"/>
  <c r="S19" i="2" s="1"/>
  <c r="G19" i="1" s="1"/>
  <c r="R15" i="2"/>
  <c r="R16" i="2" s="1"/>
  <c r="S16" i="2" l="1"/>
  <c r="S15" i="2"/>
  <c r="R17" i="2"/>
  <c r="S17" i="2" s="1"/>
  <c r="R18" i="2" l="1"/>
  <c r="S18" i="2" s="1"/>
</calcChain>
</file>

<file path=xl/sharedStrings.xml><?xml version="1.0" encoding="utf-8"?>
<sst xmlns="http://schemas.openxmlformats.org/spreadsheetml/2006/main" count="95" uniqueCount="74">
  <si>
    <t>Instructions</t>
  </si>
  <si>
    <t>1. Enter the Correction Vector [magnitude (oz-in) and direction (degrees)] given by the PHMU</t>
  </si>
  <si>
    <t>2. Use the drop-down menus in columns J and L to assign weights to locations</t>
  </si>
  <si>
    <t xml:space="preserve">       2a. Add any weights already installed to the "Existing" table</t>
  </si>
  <si>
    <t xml:space="preserve">       2b. Add weights that are going to be installed to the "Added" table</t>
  </si>
  <si>
    <t>3. For the first added weight, pick a weight type close to the Vector Delta Magnitude and the recommended hole # (or closest available)</t>
  </si>
  <si>
    <t>4. Repeat step 3 until the Vector Delta Magnitude is less than 3</t>
  </si>
  <si>
    <r>
      <rPr>
        <u/>
        <sz val="16"/>
        <color rgb="FFFF0000"/>
        <rFont val="Arial"/>
        <family val="2"/>
      </rPr>
      <t>Note:</t>
    </r>
    <r>
      <rPr>
        <sz val="16"/>
        <color rgb="FFFF0000"/>
        <rFont val="Arial"/>
        <family val="2"/>
      </rPr>
      <t xml:space="preserve"> Ignore center holes (for rivet-on weights only)</t>
    </r>
  </si>
  <si>
    <r>
      <rPr>
        <u/>
        <sz val="16"/>
        <color rgb="FFFF0000"/>
        <rFont val="Arial"/>
        <family val="2"/>
      </rPr>
      <t>Note:</t>
    </r>
    <r>
      <rPr>
        <sz val="16"/>
        <color rgb="FFFF0000"/>
        <rFont val="Arial"/>
        <family val="2"/>
      </rPr>
      <t xml:space="preserve"> Relationship between 0° dimple and hole #1 is purely coincidental; Hole 1 is the first hole CCW VFF from the 1/rev reference dimple</t>
    </r>
  </si>
  <si>
    <t>Fan Trim Solution</t>
  </si>
  <si>
    <t>Vector Delta Remaining</t>
  </si>
  <si>
    <t>Magnitude</t>
  </si>
  <si>
    <t>Direction</t>
  </si>
  <si>
    <t>Target</t>
  </si>
  <si>
    <t>Existing Trim Balance Weights</t>
  </si>
  <si>
    <t>Label: 47</t>
  </si>
  <si>
    <t>Label: 54</t>
  </si>
  <si>
    <t>Residual</t>
  </si>
  <si>
    <t>Nearest</t>
  </si>
  <si>
    <t>Part Number - Correction</t>
  </si>
  <si>
    <t>Hole #</t>
  </si>
  <si>
    <t>Weight</t>
  </si>
  <si>
    <t>Angle (deg)</t>
  </si>
  <si>
    <t>oz*in</t>
  </si>
  <si>
    <t>Added Trim Balance Weights</t>
  </si>
  <si>
    <t>* Hole #1 is the first hole counterclockwise from the Once-per-rev dimple</t>
  </si>
  <si>
    <t>that is not a center rivet hole</t>
  </si>
  <si>
    <t>Available Weights</t>
  </si>
  <si>
    <t>Available Locations</t>
  </si>
  <si>
    <t>P/N</t>
  </si>
  <si>
    <t>Correction</t>
  </si>
  <si>
    <t>Angle</t>
  </si>
  <si>
    <t>Location</t>
  </si>
  <si>
    <t>User Input</t>
  </si>
  <si>
    <t>This Weight</t>
  </si>
  <si>
    <t>Component</t>
  </si>
  <si>
    <t>Result</t>
  </si>
  <si>
    <t>Answer Check</t>
  </si>
  <si>
    <t>51A591CL1</t>
  </si>
  <si>
    <t>Mag</t>
  </si>
  <si>
    <t>51A591CL2</t>
  </si>
  <si>
    <t>Weight 1</t>
  </si>
  <si>
    <t>51A592CL1</t>
  </si>
  <si>
    <t>Weight 2</t>
  </si>
  <si>
    <t>Trim</t>
  </si>
  <si>
    <t>51A592CL2</t>
  </si>
  <si>
    <t>Weight 3</t>
  </si>
  <si>
    <t>Delta</t>
  </si>
  <si>
    <t>51A592CL3</t>
  </si>
  <si>
    <t>Weight 4</t>
  </si>
  <si>
    <t>51A597CL1</t>
  </si>
  <si>
    <t>Weight 5</t>
  </si>
  <si>
    <t>Weight 6</t>
  </si>
  <si>
    <t>Weight 7</t>
  </si>
  <si>
    <t>Delta Angle to Hole #</t>
  </si>
  <si>
    <t>Weight 8</t>
  </si>
  <si>
    <t>Alt Hole if blocked</t>
  </si>
  <si>
    <t>Weight 9</t>
  </si>
  <si>
    <t>Recommended Hole</t>
  </si>
  <si>
    <t>Weight 10</t>
  </si>
  <si>
    <t>Weight 11</t>
  </si>
  <si>
    <t>Weight 12</t>
  </si>
  <si>
    <t>Weight 13</t>
  </si>
  <si>
    <t>Weight 14</t>
  </si>
  <si>
    <t>Weight 15</t>
  </si>
  <si>
    <t>Target Hole #</t>
  </si>
  <si>
    <t>Weight 16</t>
  </si>
  <si>
    <t>X</t>
  </si>
  <si>
    <t>Y</t>
  </si>
  <si>
    <t>Added</t>
  </si>
  <si>
    <t>Existing Slot</t>
  </si>
  <si>
    <t>Used?</t>
  </si>
  <si>
    <t>List</t>
  </si>
  <si>
    <t>Mag/Phs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</si>
</sst>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u/>
      <sz val="11"/>
      <color theme="1"/>
      <name val="Arial"/>
      <family val="2"/>
    </font>
    <font>
      <sz val="16"/>
      <color rgb="FFFF0000"/>
      <name val="Arial"/>
      <family val="2"/>
    </font>
    <font>
      <u/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4" xfId="0" applyFont="1" applyBorder="1"/>
    <xf numFmtId="0" fontId="0" fillId="0" borderId="3" xfId="0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3" fillId="0" borderId="0" xfId="0" applyFont="1"/>
    <xf numFmtId="0" fontId="1" fillId="3" borderId="1" xfId="0" applyFont="1" applyFill="1" applyBorder="1" applyProtection="1">
      <protection locked="0"/>
    </xf>
    <xf numFmtId="0" fontId="2" fillId="3" borderId="2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2" borderId="0" xfId="0" applyFont="1" applyFill="1"/>
    <xf numFmtId="0" fontId="0" fillId="2" borderId="0" xfId="0" applyFill="1"/>
    <xf numFmtId="0" fontId="2" fillId="3" borderId="4" xfId="0" applyFont="1" applyFill="1" applyBorder="1" applyProtection="1">
      <protection locked="0"/>
    </xf>
    <xf numFmtId="0" fontId="2" fillId="3" borderId="5" xfId="0" applyFont="1" applyFill="1" applyBorder="1" applyProtection="1">
      <protection locked="0"/>
    </xf>
    <xf numFmtId="2" fontId="0" fillId="0" borderId="3" xfId="0" applyNumberFormat="1" applyBorder="1"/>
    <xf numFmtId="2" fontId="0" fillId="4" borderId="3" xfId="0" applyNumberFormat="1" applyFill="1" applyBorder="1"/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/>
    <xf numFmtId="0" fontId="1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Calculations!$N$28</c:f>
              <c:strCache>
                <c:ptCount val="1"/>
                <c:pt idx="0">
                  <c:v>Added</c:v>
                </c:pt>
              </c:strCache>
            </c:strRef>
          </c:tx>
          <c:spPr>
            <a:ln w="28575">
              <a:noFill/>
            </a:ln>
          </c:spPr>
          <c:xVal>
            <c:numRef>
              <c:f>Calculations!$O$28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Calculations!$P$28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4-4D3A-91C0-EB1115E32BD1}"/>
            </c:ext>
          </c:extLst>
        </c:ser>
        <c:ser>
          <c:idx val="1"/>
          <c:order val="1"/>
          <c:tx>
            <c:strRef>
              <c:f>Calculations!$N$27</c:f>
              <c:strCache>
                <c:ptCount val="1"/>
                <c:pt idx="0">
                  <c:v>Fan Trim Solution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Calculations!$O$27</c:f>
              <c:numCache>
                <c:formatCode>0.0</c:formatCode>
                <c:ptCount val="1"/>
                <c:pt idx="0">
                  <c:v>6.1058878520494373</c:v>
                </c:pt>
              </c:numCache>
            </c:numRef>
          </c:xVal>
          <c:yVal>
            <c:numRef>
              <c:f>Calculations!$P$27</c:f>
              <c:numCache>
                <c:formatCode>0.0</c:formatCode>
                <c:ptCount val="1"/>
                <c:pt idx="0">
                  <c:v>-31.412069870325247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4-4D3A-91C0-EB1115E32BD1}"/>
            </c:ext>
          </c:extLst>
        </c:ser>
        <c:ser>
          <c:idx val="2"/>
          <c:order val="2"/>
          <c:tx>
            <c:strRef>
              <c:f>Calculations!$N$29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>
              <a:noFill/>
            </a:ln>
          </c:spPr>
          <c:xVal>
            <c:numRef>
              <c:f>Calculations!$O$29</c:f>
              <c:numCache>
                <c:formatCode>0.0</c:formatCode>
                <c:ptCount val="1"/>
                <c:pt idx="0">
                  <c:v>6.1058878520494373</c:v>
                </c:pt>
              </c:numCache>
            </c:numRef>
          </c:xVal>
          <c:yVal>
            <c:numRef>
              <c:f>Calculations!$P$29</c:f>
              <c:numCache>
                <c:formatCode>0.0</c:formatCode>
                <c:ptCount val="1"/>
                <c:pt idx="0">
                  <c:v>-31.412069870325247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4-4D3A-91C0-EB1115E3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9552"/>
        <c:axId val="172681088"/>
      </c:scatterChart>
      <c:valAx>
        <c:axId val="172679552"/>
        <c:scaling>
          <c:orientation val="minMax"/>
          <c:max val="25"/>
          <c:min val="-25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72681088"/>
        <c:crosses val="autoZero"/>
        <c:crossBetween val="midCat"/>
        <c:majorUnit val="5"/>
      </c:valAx>
      <c:valAx>
        <c:axId val="172681088"/>
        <c:scaling>
          <c:orientation val="minMax"/>
          <c:max val="25"/>
          <c:min val="-2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726795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336169</xdr:colOff>
      <xdr:row>19</xdr:row>
      <xdr:rowOff>224115</xdr:rowOff>
    </xdr:from>
    <xdr:to>
      <xdr:col>7</xdr:col>
      <xdr:colOff>652834</xdr:colOff>
      <xdr:row>50</xdr:row>
      <xdr:rowOff>29133</xdr:rowOff>
    </xdr:to>
    <xdr:pic>
      <xdr:nvPicPr>
        <xdr:cNvPr id="56" name="Picture 55" descr="m302586_5304811SK0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31" t="12343" r="33487" b="12595"/>
        <a:stretch/>
      </xdr:blipFill>
      <xdr:spPr bwMode="auto">
        <a:xfrm flipV="1">
          <a:off x="526669" y="3877233"/>
          <a:ext cx="6614371" cy="6629400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oneCellAnchor>
    <xdr:from>
      <xdr:col>3</xdr:col>
      <xdr:colOff>647292</xdr:colOff>
      <xdr:row>23</xdr:row>
      <xdr:rowOff>122142</xdr:rowOff>
    </xdr:from>
    <xdr:ext cx="374141" cy="91140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3600000">
          <a:off x="2440543" y="4940361"/>
          <a:ext cx="911403" cy="374141"/>
        </a:xfrm>
        <a:prstGeom prst="rect">
          <a:avLst/>
        </a:prstGeom>
        <a:solidFill>
          <a:srgbClr val="00B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Hole #1</a:t>
          </a:r>
        </a:p>
      </xdr:txBody>
    </xdr:sp>
    <xdr:clientData/>
  </xdr:oneCellAnchor>
  <xdr:twoCellAnchor>
    <xdr:from>
      <xdr:col>4</xdr:col>
      <xdr:colOff>231401</xdr:colOff>
      <xdr:row>29</xdr:row>
      <xdr:rowOff>130548</xdr:rowOff>
    </xdr:from>
    <xdr:to>
      <xdr:col>4</xdr:col>
      <xdr:colOff>321889</xdr:colOff>
      <xdr:row>32</xdr:row>
      <xdr:rowOff>57150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 flipV="1">
          <a:off x="3481107" y="5980019"/>
          <a:ext cx="90488" cy="66619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784647</xdr:colOff>
      <xdr:row>25</xdr:row>
      <xdr:rowOff>183823</xdr:rowOff>
    </xdr:from>
    <xdr:to>
      <xdr:col>6</xdr:col>
      <xdr:colOff>675812</xdr:colOff>
      <xdr:row>43</xdr:row>
      <xdr:rowOff>196289</xdr:rowOff>
    </xdr:to>
    <xdr:sp macro="" textlink="">
      <xdr:nvSpPr>
        <xdr:cNvPr id="32" name="Circular Arrow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14400000" flipH="1">
          <a:off x="1771746" y="5057401"/>
          <a:ext cx="4091407" cy="4317488"/>
        </a:xfrm>
        <a:prstGeom prst="circularArrow">
          <a:avLst>
            <a:gd name="adj1" fmla="val 12500"/>
            <a:gd name="adj2" fmla="val 808473"/>
            <a:gd name="adj3" fmla="val 20457681"/>
            <a:gd name="adj4" fmla="val 10800000"/>
            <a:gd name="adj5" fmla="val 1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1134880</xdr:colOff>
      <xdr:row>25</xdr:row>
      <xdr:rowOff>90219</xdr:rowOff>
    </xdr:from>
    <xdr:ext cx="374141" cy="91140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 rot="2700000">
          <a:off x="1740308" y="5356674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2</a:t>
          </a:r>
        </a:p>
      </xdr:txBody>
    </xdr:sp>
    <xdr:clientData/>
  </xdr:oneCellAnchor>
  <xdr:oneCellAnchor>
    <xdr:from>
      <xdr:col>2</xdr:col>
      <xdr:colOff>321189</xdr:colOff>
      <xdr:row>30</xdr:row>
      <xdr:rowOff>70038</xdr:rowOff>
    </xdr:from>
    <xdr:ext cx="911403" cy="374141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 rot="1182034">
          <a:off x="1195248" y="6210862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3</a:t>
          </a:r>
        </a:p>
      </xdr:txBody>
    </xdr:sp>
    <xdr:clientData/>
  </xdr:oneCellAnchor>
  <xdr:oneCellAnchor>
    <xdr:from>
      <xdr:col>2</xdr:col>
      <xdr:colOff>202588</xdr:colOff>
      <xdr:row>33</xdr:row>
      <xdr:rowOff>183777</xdr:rowOff>
    </xdr:from>
    <xdr:ext cx="911403" cy="374141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6647" y="6996953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4</a:t>
          </a:r>
        </a:p>
      </xdr:txBody>
    </xdr:sp>
    <xdr:clientData/>
  </xdr:oneCellAnchor>
  <xdr:oneCellAnchor>
    <xdr:from>
      <xdr:col>2</xdr:col>
      <xdr:colOff>315746</xdr:colOff>
      <xdr:row>37</xdr:row>
      <xdr:rowOff>138388</xdr:rowOff>
    </xdr:from>
    <xdr:ext cx="911403" cy="37414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 rot="19656675">
          <a:off x="1189805" y="8464359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5</a:t>
          </a:r>
        </a:p>
      </xdr:txBody>
    </xdr:sp>
    <xdr:clientData/>
  </xdr:oneCellAnchor>
  <xdr:oneCellAnchor>
    <xdr:from>
      <xdr:col>2</xdr:col>
      <xdr:colOff>893406</xdr:colOff>
      <xdr:row>41</xdr:row>
      <xdr:rowOff>117656</xdr:rowOff>
    </xdr:from>
    <xdr:ext cx="911403" cy="37414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 rot="19494215">
          <a:off x="1767465" y="8723774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6</a:t>
          </a:r>
        </a:p>
      </xdr:txBody>
    </xdr:sp>
    <xdr:clientData/>
  </xdr:oneCellAnchor>
  <xdr:oneCellAnchor>
    <xdr:from>
      <xdr:col>3</xdr:col>
      <xdr:colOff>712442</xdr:colOff>
      <xdr:row>42</xdr:row>
      <xdr:rowOff>4222</xdr:rowOff>
    </xdr:from>
    <xdr:ext cx="374141" cy="91140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 rot="17467732">
          <a:off x="2505693" y="9103088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7</a:t>
          </a:r>
        </a:p>
      </xdr:txBody>
    </xdr:sp>
    <xdr:clientData/>
  </xdr:oneCellAnchor>
  <xdr:oneCellAnchor>
    <xdr:from>
      <xdr:col>4</xdr:col>
      <xdr:colOff>417723</xdr:colOff>
      <xdr:row>42</xdr:row>
      <xdr:rowOff>173995</xdr:rowOff>
    </xdr:from>
    <xdr:ext cx="374141" cy="91140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 rot="16684527">
          <a:off x="3398798" y="9272861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8</a:t>
          </a:r>
        </a:p>
      </xdr:txBody>
    </xdr:sp>
    <xdr:clientData/>
  </xdr:oneCellAnchor>
  <xdr:oneCellAnchor>
    <xdr:from>
      <xdr:col>5</xdr:col>
      <xdr:colOff>569021</xdr:colOff>
      <xdr:row>42</xdr:row>
      <xdr:rowOff>18769</xdr:rowOff>
    </xdr:from>
    <xdr:ext cx="374141" cy="91140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 rot="3477742">
          <a:off x="4233655" y="9117635"/>
          <a:ext cx="91140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9</a:t>
          </a:r>
        </a:p>
      </xdr:txBody>
    </xdr:sp>
    <xdr:clientData/>
  </xdr:oneCellAnchor>
  <xdr:oneCellAnchor>
    <xdr:from>
      <xdr:col>6</xdr:col>
      <xdr:colOff>101374</xdr:colOff>
      <xdr:row>37</xdr:row>
      <xdr:rowOff>122125</xdr:rowOff>
    </xdr:from>
    <xdr:ext cx="1028423" cy="374141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 rot="1480732">
          <a:off x="5401756" y="7831772"/>
          <a:ext cx="102842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11</a:t>
          </a:r>
        </a:p>
      </xdr:txBody>
    </xdr:sp>
    <xdr:clientData/>
  </xdr:oneCellAnchor>
  <xdr:oneCellAnchor>
    <xdr:from>
      <xdr:col>6</xdr:col>
      <xdr:colOff>198582</xdr:colOff>
      <xdr:row>34</xdr:row>
      <xdr:rowOff>42580</xdr:rowOff>
    </xdr:from>
    <xdr:ext cx="1028423" cy="37414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498964" y="7079874"/>
          <a:ext cx="102842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12</a:t>
          </a:r>
        </a:p>
      </xdr:txBody>
    </xdr:sp>
    <xdr:clientData/>
  </xdr:oneCellAnchor>
  <xdr:oneCellAnchor>
    <xdr:from>
      <xdr:col>6</xdr:col>
      <xdr:colOff>39756</xdr:colOff>
      <xdr:row>30</xdr:row>
      <xdr:rowOff>78998</xdr:rowOff>
    </xdr:from>
    <xdr:ext cx="1028423" cy="37414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 rot="20036812">
          <a:off x="5340138" y="6219822"/>
          <a:ext cx="102842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13</a:t>
          </a:r>
        </a:p>
      </xdr:txBody>
    </xdr:sp>
    <xdr:clientData/>
  </xdr:oneCellAnchor>
  <xdr:oneCellAnchor>
    <xdr:from>
      <xdr:col>5</xdr:col>
      <xdr:colOff>939052</xdr:colOff>
      <xdr:row>26</xdr:row>
      <xdr:rowOff>187045</xdr:rowOff>
    </xdr:from>
    <xdr:ext cx="1030941" cy="37414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 rot="19419741">
          <a:off x="4872317" y="5408986"/>
          <a:ext cx="1030941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14</a:t>
          </a:r>
        </a:p>
      </xdr:txBody>
    </xdr:sp>
    <xdr:clientData/>
  </xdr:oneCellAnchor>
  <xdr:oneCellAnchor>
    <xdr:from>
      <xdr:col>5</xdr:col>
      <xdr:colOff>454746</xdr:colOff>
      <xdr:row>23</xdr:row>
      <xdr:rowOff>49520</xdr:rowOff>
    </xdr:from>
    <xdr:ext cx="374141" cy="105503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 rot="17878542">
          <a:off x="4047565" y="4928348"/>
          <a:ext cx="1055034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15</a:t>
          </a:r>
        </a:p>
      </xdr:txBody>
    </xdr:sp>
    <xdr:clientData/>
  </xdr:oneCellAnchor>
  <xdr:oneCellAnchor>
    <xdr:from>
      <xdr:col>4</xdr:col>
      <xdr:colOff>310748</xdr:colOff>
      <xdr:row>22</xdr:row>
      <xdr:rowOff>150931</xdr:rowOff>
    </xdr:from>
    <xdr:ext cx="374141" cy="10673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 rot="16733983">
          <a:off x="3213845" y="4811805"/>
          <a:ext cx="1067360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16</a:t>
          </a:r>
        </a:p>
      </xdr:txBody>
    </xdr:sp>
    <xdr:clientData/>
  </xdr:oneCellAnchor>
  <xdr:twoCellAnchor>
    <xdr:from>
      <xdr:col>3</xdr:col>
      <xdr:colOff>1181100</xdr:colOff>
      <xdr:row>28</xdr:row>
      <xdr:rowOff>60961</xdr:rowOff>
    </xdr:from>
    <xdr:to>
      <xdr:col>4</xdr:col>
      <xdr:colOff>480060</xdr:colOff>
      <xdr:row>29</xdr:row>
      <xdr:rowOff>229608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242982" y="5731137"/>
          <a:ext cx="486784" cy="347942"/>
        </a:xfrm>
        <a:prstGeom prst="ellipse">
          <a:avLst/>
        </a:prstGeom>
        <a:solidFill>
          <a:srgbClr val="FFFF00">
            <a:alpha val="44000"/>
          </a:srgb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798307</xdr:colOff>
      <xdr:row>34</xdr:row>
      <xdr:rowOff>92995</xdr:rowOff>
    </xdr:from>
    <xdr:ext cx="2603798" cy="968983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2860189" y="7130289"/>
          <a:ext cx="2603798" cy="968983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Positive Angle/ Hole # in CCW Direction Viewed From Front;</a:t>
          </a:r>
        </a:p>
        <a:p>
          <a:r>
            <a:rPr lang="en-US" sz="1400" b="1"/>
            <a:t>First Hole</a:t>
          </a:r>
          <a:r>
            <a:rPr lang="en-US" sz="1400" b="1" baseline="0"/>
            <a:t> CCW From Dimple Is Hole #1</a:t>
          </a:r>
          <a:endParaRPr lang="en-US" sz="1400" b="1"/>
        </a:p>
      </xdr:txBody>
    </xdr:sp>
    <xdr:clientData/>
  </xdr:oneCellAnchor>
  <xdr:twoCellAnchor>
    <xdr:from>
      <xdr:col>1</xdr:col>
      <xdr:colOff>571500</xdr:colOff>
      <xdr:row>31</xdr:row>
      <xdr:rowOff>156883</xdr:rowOff>
    </xdr:from>
    <xdr:to>
      <xdr:col>2</xdr:col>
      <xdr:colOff>201706</xdr:colOff>
      <xdr:row>32</xdr:row>
      <xdr:rowOff>192741</xdr:rowOff>
    </xdr:to>
    <xdr:sp macro="" textlink="">
      <xdr:nvSpPr>
        <xdr:cNvPr id="5" name="&quot;No&quot; Symbo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62000" y="6521824"/>
          <a:ext cx="313765" cy="259976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1176616</xdr:colOff>
      <xdr:row>23</xdr:row>
      <xdr:rowOff>172572</xdr:rowOff>
    </xdr:from>
    <xdr:to>
      <xdr:col>3</xdr:col>
      <xdr:colOff>302558</xdr:colOff>
      <xdr:row>24</xdr:row>
      <xdr:rowOff>208430</xdr:rowOff>
    </xdr:to>
    <xdr:sp macro="" textlink="">
      <xdr:nvSpPr>
        <xdr:cNvPr id="47" name="&quot;No&quot; Symbo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2050675" y="4722160"/>
          <a:ext cx="313765" cy="259976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277906</xdr:colOff>
      <xdr:row>21</xdr:row>
      <xdr:rowOff>181537</xdr:rowOff>
    </xdr:from>
    <xdr:to>
      <xdr:col>5</xdr:col>
      <xdr:colOff>591671</xdr:colOff>
      <xdr:row>22</xdr:row>
      <xdr:rowOff>217395</xdr:rowOff>
    </xdr:to>
    <xdr:sp macro="" textlink="">
      <xdr:nvSpPr>
        <xdr:cNvPr id="48" name="&quot;No&quot; Symbo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4211171" y="4282890"/>
          <a:ext cx="313765" cy="259976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719418</xdr:colOff>
      <xdr:row>27</xdr:row>
      <xdr:rowOff>44823</xdr:rowOff>
    </xdr:from>
    <xdr:to>
      <xdr:col>6</xdr:col>
      <xdr:colOff>1033183</xdr:colOff>
      <xdr:row>28</xdr:row>
      <xdr:rowOff>89648</xdr:rowOff>
    </xdr:to>
    <xdr:sp macro="" textlink="">
      <xdr:nvSpPr>
        <xdr:cNvPr id="50" name="&quot;No&quot; Symbo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6019800" y="5490882"/>
          <a:ext cx="313765" cy="268942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1140759</xdr:colOff>
      <xdr:row>36</xdr:row>
      <xdr:rowOff>156885</xdr:rowOff>
    </xdr:from>
    <xdr:to>
      <xdr:col>7</xdr:col>
      <xdr:colOff>266700</xdr:colOff>
      <xdr:row>37</xdr:row>
      <xdr:rowOff>201708</xdr:rowOff>
    </xdr:to>
    <xdr:sp macro="" textlink="">
      <xdr:nvSpPr>
        <xdr:cNvPr id="51" name="&quot;No&quot; Symbo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441141" y="7642414"/>
          <a:ext cx="313765" cy="268941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1295401</xdr:colOff>
      <xdr:row>44</xdr:row>
      <xdr:rowOff>168088</xdr:rowOff>
    </xdr:from>
    <xdr:to>
      <xdr:col>6</xdr:col>
      <xdr:colOff>242049</xdr:colOff>
      <xdr:row>45</xdr:row>
      <xdr:rowOff>212913</xdr:rowOff>
    </xdr:to>
    <xdr:sp macro="" textlink="">
      <xdr:nvSpPr>
        <xdr:cNvPr id="52" name="&quot;No&quot; Symbo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228666" y="9446559"/>
          <a:ext cx="313765" cy="268942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1044389</xdr:colOff>
      <xdr:row>46</xdr:row>
      <xdr:rowOff>136712</xdr:rowOff>
    </xdr:from>
    <xdr:to>
      <xdr:col>4</xdr:col>
      <xdr:colOff>170330</xdr:colOff>
      <xdr:row>47</xdr:row>
      <xdr:rowOff>181536</xdr:rowOff>
    </xdr:to>
    <xdr:sp macro="" textlink="">
      <xdr:nvSpPr>
        <xdr:cNvPr id="53" name="&quot;No&quot; Symbo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106271" y="9863418"/>
          <a:ext cx="313765" cy="268942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372035</xdr:colOff>
      <xdr:row>41</xdr:row>
      <xdr:rowOff>64995</xdr:rowOff>
    </xdr:from>
    <xdr:to>
      <xdr:col>2</xdr:col>
      <xdr:colOff>685800</xdr:colOff>
      <xdr:row>42</xdr:row>
      <xdr:rowOff>109819</xdr:rowOff>
    </xdr:to>
    <xdr:sp macro="" textlink="">
      <xdr:nvSpPr>
        <xdr:cNvPr id="54" name="&quot;No&quot; Symbo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246094" y="8671113"/>
          <a:ext cx="313765" cy="268941"/>
        </a:xfrm>
        <a:prstGeom prst="noSmoking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800101</xdr:colOff>
      <xdr:row>32</xdr:row>
      <xdr:rowOff>57150</xdr:rowOff>
    </xdr:from>
    <xdr:ext cx="1419224" cy="46801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861983" y="6646209"/>
          <a:ext cx="1419224" cy="468013"/>
        </a:xfrm>
        <a:prstGeom prst="rect">
          <a:avLst/>
        </a:prstGeom>
        <a:solidFill>
          <a:sysClr val="window" lastClr="FFFFFF"/>
        </a:solidFill>
        <a:ln w="28575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/>
            <a:t>0° Dimple</a:t>
          </a:r>
        </a:p>
      </xdr:txBody>
    </xdr:sp>
    <xdr:clientData/>
  </xdr:oneCellAnchor>
  <xdr:oneCellAnchor>
    <xdr:from>
      <xdr:col>5</xdr:col>
      <xdr:colOff>948538</xdr:colOff>
      <xdr:row>41</xdr:row>
      <xdr:rowOff>5581</xdr:rowOff>
    </xdr:from>
    <xdr:ext cx="1028423" cy="374141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 rot="2495706">
          <a:off x="4881803" y="8611699"/>
          <a:ext cx="1028423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Hole #</a:t>
          </a:r>
          <a:r>
            <a:rPr lang="en-US" sz="1800" b="1"/>
            <a:t>10</a:t>
          </a:r>
        </a:p>
      </xdr:txBody>
    </xdr:sp>
    <xdr:clientData/>
  </xdr:oneCellAnchor>
  <xdr:twoCellAnchor>
    <xdr:from>
      <xdr:col>4</xdr:col>
      <xdr:colOff>212016</xdr:colOff>
      <xdr:row>28</xdr:row>
      <xdr:rowOff>235324</xdr:rowOff>
    </xdr:from>
    <xdr:to>
      <xdr:col>4</xdr:col>
      <xdr:colOff>257735</xdr:colOff>
      <xdr:row>29</xdr:row>
      <xdr:rowOff>11205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61722" y="6477000"/>
          <a:ext cx="45719" cy="67234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161927</xdr:colOff>
      <xdr:row>19</xdr:row>
      <xdr:rowOff>125730</xdr:rowOff>
    </xdr:from>
    <xdr:to>
      <xdr:col>22</xdr:col>
      <xdr:colOff>409576</xdr:colOff>
      <xdr:row>41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53"/>
  <sheetViews>
    <sheetView tabSelected="1" topLeftCell="A11" zoomScale="70" zoomScaleNormal="70" workbookViewId="0">
      <selection activeCell="D19" sqref="D19"/>
    </sheetView>
  </sheetViews>
  <sheetFormatPr defaultRowHeight="14.1"/>
  <cols>
    <col min="1" max="1" width="2.5" customWidth="1"/>
    <col min="3" max="3" width="15.625" bestFit="1" customWidth="1"/>
    <col min="4" max="4" width="15.625" customWidth="1"/>
    <col min="6" max="6" width="18" bestFit="1" customWidth="1"/>
    <col min="7" max="7" width="15.625" customWidth="1"/>
    <col min="8" max="8" width="14.125" customWidth="1"/>
    <col min="9" max="9" width="4.25" customWidth="1"/>
    <col min="10" max="10" width="27.875" bestFit="1" customWidth="1"/>
    <col min="11" max="11" width="13" customWidth="1"/>
    <col min="12" max="12" width="7.5" customWidth="1"/>
    <col min="13" max="13" width="10.75" bestFit="1" customWidth="1"/>
  </cols>
  <sheetData>
    <row r="2" spans="3:11">
      <c r="C2" s="7" t="s">
        <v>0</v>
      </c>
    </row>
    <row r="3" spans="3:11">
      <c r="C3" t="s">
        <v>1</v>
      </c>
    </row>
    <row r="4" spans="3:11">
      <c r="C4" t="s">
        <v>2</v>
      </c>
    </row>
    <row r="5" spans="3:11">
      <c r="C5" t="s">
        <v>3</v>
      </c>
    </row>
    <row r="6" spans="3:11">
      <c r="C6" t="s">
        <v>4</v>
      </c>
    </row>
    <row r="7" spans="3:11">
      <c r="C7" t="s">
        <v>5</v>
      </c>
    </row>
    <row r="8" spans="3:11">
      <c r="C8" t="s">
        <v>6</v>
      </c>
    </row>
    <row r="10" spans="3:11" ht="20.100000000000001">
      <c r="C10" s="20" t="s">
        <v>7</v>
      </c>
      <c r="D10" s="21"/>
      <c r="E10" s="21"/>
      <c r="F10" s="21"/>
      <c r="G10" s="22"/>
    </row>
    <row r="11" spans="3:11" ht="20.45" customHeight="1">
      <c r="C11" s="23" t="s">
        <v>8</v>
      </c>
      <c r="D11" s="23"/>
      <c r="E11" s="23"/>
      <c r="F11" s="23"/>
      <c r="G11" s="23"/>
    </row>
    <row r="12" spans="3:11" ht="20.45" customHeight="1">
      <c r="C12" s="23"/>
      <c r="D12" s="23"/>
      <c r="E12" s="23"/>
      <c r="F12" s="23"/>
      <c r="G12" s="23"/>
    </row>
    <row r="13" spans="3:11" ht="20.45" customHeight="1">
      <c r="C13" s="23"/>
      <c r="D13" s="23"/>
      <c r="E13" s="23"/>
      <c r="F13" s="23"/>
      <c r="G13" s="23"/>
    </row>
    <row r="15" spans="3:11" ht="22.9" customHeight="1" thickBot="1">
      <c r="C15" s="24" t="s">
        <v>9</v>
      </c>
      <c r="D15" s="24"/>
      <c r="F15" s="24" t="s">
        <v>10</v>
      </c>
      <c r="G15" s="24"/>
    </row>
    <row r="16" spans="3:11" ht="23.45" customHeight="1">
      <c r="C16" s="1" t="s">
        <v>11</v>
      </c>
      <c r="D16" s="1" t="s">
        <v>12</v>
      </c>
      <c r="F16" s="1" t="s">
        <v>11</v>
      </c>
      <c r="G16" s="1" t="s">
        <v>13</v>
      </c>
      <c r="J16" s="25" t="s">
        <v>14</v>
      </c>
      <c r="K16" s="26"/>
    </row>
    <row r="17" spans="3:11" ht="23.45" customHeight="1">
      <c r="C17" s="19" t="s">
        <v>15</v>
      </c>
      <c r="D17" s="19" t="s">
        <v>16</v>
      </c>
      <c r="F17" s="1" t="s">
        <v>17</v>
      </c>
      <c r="G17" s="1" t="s">
        <v>18</v>
      </c>
      <c r="J17" s="2" t="s">
        <v>19</v>
      </c>
      <c r="K17" s="3" t="s">
        <v>20</v>
      </c>
    </row>
    <row r="18" spans="3:11" ht="23.1" thickBot="1">
      <c r="C18" s="1" t="s">
        <v>21</v>
      </c>
      <c r="D18" s="1" t="s">
        <v>22</v>
      </c>
      <c r="F18" s="1" t="s">
        <v>23</v>
      </c>
      <c r="G18" s="1" t="s">
        <v>20</v>
      </c>
      <c r="J18" s="9"/>
      <c r="K18" s="13"/>
    </row>
    <row r="19" spans="3:11" ht="23.1" thickBot="1">
      <c r="C19" s="8">
        <v>32</v>
      </c>
      <c r="D19" s="8">
        <v>-79</v>
      </c>
      <c r="F19" s="5">
        <f>Calculations!R10</f>
        <v>32</v>
      </c>
      <c r="G19" s="6">
        <f>Calculations!S19</f>
        <v>13</v>
      </c>
      <c r="J19" s="9"/>
      <c r="K19" s="13"/>
    </row>
    <row r="20" spans="3:11" ht="17.45">
      <c r="J20" s="9"/>
      <c r="K20" s="13"/>
    </row>
    <row r="21" spans="3:11" ht="17.45">
      <c r="J21" s="9"/>
      <c r="K21" s="13"/>
    </row>
    <row r="22" spans="3:11" ht="17.45">
      <c r="J22" s="9"/>
      <c r="K22" s="13"/>
    </row>
    <row r="23" spans="3:11" ht="17.45">
      <c r="J23" s="9"/>
      <c r="K23" s="13"/>
    </row>
    <row r="24" spans="3:11" ht="17.45">
      <c r="J24" s="9"/>
      <c r="K24" s="13"/>
    </row>
    <row r="25" spans="3:11" ht="17.45">
      <c r="J25" s="9"/>
      <c r="K25" s="13"/>
    </row>
    <row r="26" spans="3:11" ht="17.45">
      <c r="J26" s="9"/>
      <c r="K26" s="13"/>
    </row>
    <row r="27" spans="3:11" ht="18" thickBot="1">
      <c r="J27" s="10"/>
      <c r="K27" s="14"/>
    </row>
    <row r="28" spans="3:11" ht="14.45" thickBot="1"/>
    <row r="29" spans="3:11" ht="22.5">
      <c r="J29" s="25" t="s">
        <v>24</v>
      </c>
      <c r="K29" s="26"/>
    </row>
    <row r="30" spans="3:11" ht="17.45">
      <c r="J30" s="2" t="s">
        <v>19</v>
      </c>
      <c r="K30" s="3" t="s">
        <v>20</v>
      </c>
    </row>
    <row r="31" spans="3:11" ht="17.45">
      <c r="J31" s="9"/>
      <c r="K31" s="13"/>
    </row>
    <row r="32" spans="3:11" ht="17.45">
      <c r="J32" s="9"/>
      <c r="K32" s="13"/>
    </row>
    <row r="33" spans="10:11" ht="17.45">
      <c r="J33" s="9"/>
      <c r="K33" s="13"/>
    </row>
    <row r="34" spans="10:11" ht="17.45">
      <c r="J34" s="9"/>
      <c r="K34" s="13"/>
    </row>
    <row r="35" spans="10:11" ht="17.45">
      <c r="J35" s="9"/>
      <c r="K35" s="13"/>
    </row>
    <row r="36" spans="10:11" ht="17.45">
      <c r="J36" s="9"/>
      <c r="K36" s="13"/>
    </row>
    <row r="37" spans="10:11" ht="17.45">
      <c r="J37" s="9"/>
      <c r="K37" s="13"/>
    </row>
    <row r="38" spans="10:11" ht="17.45">
      <c r="J38" s="9"/>
      <c r="K38" s="13"/>
    </row>
    <row r="39" spans="10:11" ht="17.45">
      <c r="J39" s="9"/>
      <c r="K39" s="13"/>
    </row>
    <row r="40" spans="10:11" ht="17.45">
      <c r="J40" s="9"/>
      <c r="K40" s="13"/>
    </row>
    <row r="41" spans="10:11" ht="17.45">
      <c r="J41" s="9"/>
      <c r="K41" s="13"/>
    </row>
    <row r="42" spans="10:11" ht="17.45">
      <c r="J42" s="9"/>
      <c r="K42" s="13"/>
    </row>
    <row r="43" spans="10:11" ht="17.45">
      <c r="J43" s="9"/>
      <c r="K43" s="13"/>
    </row>
    <row r="44" spans="10:11" ht="17.45">
      <c r="J44" s="9"/>
      <c r="K44" s="13"/>
    </row>
    <row r="45" spans="10:11" ht="17.45">
      <c r="J45" s="9"/>
      <c r="K45" s="13"/>
    </row>
    <row r="46" spans="10:11" ht="18" thickBot="1">
      <c r="J46" s="10"/>
      <c r="K46" s="14"/>
    </row>
    <row r="52" spans="2:7" ht="17.45">
      <c r="B52" s="11" t="s">
        <v>25</v>
      </c>
      <c r="C52" s="12"/>
      <c r="D52" s="12"/>
      <c r="E52" s="12"/>
      <c r="F52" s="12"/>
      <c r="G52" s="12"/>
    </row>
    <row r="53" spans="2:7" ht="17.45">
      <c r="C53" s="11" t="s">
        <v>26</v>
      </c>
      <c r="D53" s="12"/>
      <c r="E53" s="12"/>
      <c r="F53" s="12"/>
      <c r="G53" s="12"/>
    </row>
  </sheetData>
  <sheetProtection password="CDB2" sheet="1" objects="1" scenarios="1" selectLockedCells="1"/>
  <mergeCells count="6">
    <mergeCell ref="C10:G10"/>
    <mergeCell ref="C11:G13"/>
    <mergeCell ref="C15:D15"/>
    <mergeCell ref="J29:K29"/>
    <mergeCell ref="J16:K16"/>
    <mergeCell ref="F15:G15"/>
  </mergeCells>
  <conditionalFormatting sqref="K31:K46">
    <cfRule type="duplicateValues" dxfId="2" priority="3"/>
  </conditionalFormatting>
  <conditionalFormatting sqref="F19">
    <cfRule type="cellIs" dxfId="1" priority="1" operator="greaterThanOrEqual">
      <formula>2</formula>
    </cfRule>
    <cfRule type="cellIs" dxfId="0" priority="2" operator="lessThan">
      <formula>2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Calculations!$A$3:$A$9</xm:f>
          </x14:formula1>
          <xm:sqref>J31:J46 J18:J27</xm:sqref>
        </x14:dataValidation>
        <x14:dataValidation type="list" allowBlank="1" showInputMessage="1" showErrorMessage="1" xr:uid="{00000000-0002-0000-0000-000002000000}">
          <x14:formula1>
            <xm:f>Calculations!$I$31:$I$47</xm:f>
          </x14:formula1>
          <xm:sqref>K18:K27 K31:K46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61"/>
  <sheetViews>
    <sheetView workbookViewId="0">
      <selection activeCell="I20" sqref="I20"/>
    </sheetView>
  </sheetViews>
  <sheetFormatPr defaultRowHeight="14.1"/>
  <cols>
    <col min="1" max="1" width="16.625" bestFit="1" customWidth="1"/>
    <col min="2" max="2" width="10.5" customWidth="1"/>
    <col min="11" max="11" width="10.75" bestFit="1" customWidth="1"/>
    <col min="15" max="15" width="12.25" bestFit="1" customWidth="1"/>
    <col min="16" max="16" width="9.375" bestFit="1" customWidth="1"/>
    <col min="18" max="18" width="12" bestFit="1" customWidth="1"/>
    <col min="19" max="19" width="11.375" bestFit="1" customWidth="1"/>
  </cols>
  <sheetData>
    <row r="1" spans="1:20">
      <c r="B1" t="s">
        <v>27</v>
      </c>
      <c r="E1" t="s">
        <v>28</v>
      </c>
    </row>
    <row r="2" spans="1:20">
      <c r="B2" t="s">
        <v>29</v>
      </c>
      <c r="C2" t="s">
        <v>30</v>
      </c>
      <c r="E2" t="s">
        <v>31</v>
      </c>
      <c r="F2" t="s">
        <v>32</v>
      </c>
    </row>
    <row r="3" spans="1:20">
      <c r="I3" s="27" t="s">
        <v>33</v>
      </c>
      <c r="J3" s="27"/>
      <c r="K3" s="27" t="s">
        <v>34</v>
      </c>
      <c r="L3" s="27"/>
      <c r="M3" s="27" t="s">
        <v>35</v>
      </c>
      <c r="N3" s="27"/>
      <c r="O3" s="28" t="s">
        <v>36</v>
      </c>
      <c r="P3" s="29"/>
      <c r="R3" s="27" t="s">
        <v>37</v>
      </c>
      <c r="S3" s="27"/>
    </row>
    <row r="4" spans="1:20">
      <c r="A4" t="str">
        <f>B4 &amp; " - " &amp; C4</f>
        <v>51A591CL1 - 1.66</v>
      </c>
      <c r="B4" t="s">
        <v>38</v>
      </c>
      <c r="C4">
        <v>1.66</v>
      </c>
      <c r="E4">
        <f>H32</f>
        <v>0</v>
      </c>
      <c r="F4" t="str">
        <f>IF(ISNUMBER(E4),"",G4)</f>
        <v/>
      </c>
      <c r="G4">
        <v>1</v>
      </c>
      <c r="I4" s="4" t="s">
        <v>39</v>
      </c>
      <c r="J4" s="4" t="s">
        <v>31</v>
      </c>
      <c r="K4" s="4" t="s">
        <v>39</v>
      </c>
      <c r="L4" s="4" t="s">
        <v>31</v>
      </c>
      <c r="M4" s="4" t="s">
        <v>39</v>
      </c>
      <c r="N4" s="4" t="s">
        <v>31</v>
      </c>
      <c r="O4" s="4" t="s">
        <v>39</v>
      </c>
      <c r="P4" s="4" t="s">
        <v>31</v>
      </c>
      <c r="R4" s="4" t="s">
        <v>39</v>
      </c>
      <c r="S4" s="4" t="s">
        <v>31</v>
      </c>
    </row>
    <row r="5" spans="1:20">
      <c r="A5" t="str">
        <f t="shared" ref="A5:A9" si="0">B5 &amp; " - " &amp; C5</f>
        <v>51A591CL2 - 3.33</v>
      </c>
      <c r="B5" t="s">
        <v>40</v>
      </c>
      <c r="C5">
        <v>3.33</v>
      </c>
      <c r="E5">
        <f t="shared" ref="E5:E19" si="1">H33</f>
        <v>22.5</v>
      </c>
      <c r="F5" t="str">
        <f t="shared" ref="F5:F19" si="2">IF(ISNUMBER(E5),"",G5)</f>
        <v/>
      </c>
      <c r="G5">
        <v>2</v>
      </c>
      <c r="H5" s="4" t="s">
        <v>41</v>
      </c>
      <c r="I5" s="4" t="e">
        <f>IF(ISNA(J5),NA(),VLOOKUP('Trim Balancing'!J31,Calculations!$A$4:$C$9,3,0))</f>
        <v>#N/A</v>
      </c>
      <c r="J5" s="4" t="e">
        <f>IF('Trim Balancing'!K31="N/A",NA(),VLOOKUP('Trim Balancing'!K31,$A$32:$D$47,4,FALSE))</f>
        <v>#N/A</v>
      </c>
      <c r="K5" s="4">
        <v>0</v>
      </c>
      <c r="L5" s="4">
        <v>0</v>
      </c>
      <c r="M5" s="4">
        <f>IFERROR(I5,0)</f>
        <v>0</v>
      </c>
      <c r="N5" s="4">
        <f>IFERROR(J5,0)</f>
        <v>0</v>
      </c>
      <c r="O5" s="4">
        <f>IFERROR(SQRT((K5*COS(RADIANS(L5))+M5*COS(RADIANS(N5)))^2+(K5*SIN(RADIANS(L5))+M5*SIN(RADIANS(N5)))^2),0)</f>
        <v>0</v>
      </c>
      <c r="P5" s="4">
        <f>IFERROR(DEGREES(ATAN2(K5*COS(RADIANS(L5))+M5*COS(RADIANS(N5)),K5*SIN(RADIANS(L5))+M5*SIN(RADIANS(N5)))),0)</f>
        <v>0</v>
      </c>
      <c r="R5" s="4">
        <f>'Trim Balancing'!C19</f>
        <v>32</v>
      </c>
      <c r="S5" s="4">
        <f>'Trim Balancing'!D19</f>
        <v>-79</v>
      </c>
      <c r="T5" s="4" t="s">
        <v>13</v>
      </c>
    </row>
    <row r="6" spans="1:20">
      <c r="A6" t="str">
        <f t="shared" si="0"/>
        <v>51A592CL1 - 4.95</v>
      </c>
      <c r="B6" t="s">
        <v>42</v>
      </c>
      <c r="C6">
        <v>4.95</v>
      </c>
      <c r="E6">
        <f t="shared" si="1"/>
        <v>45</v>
      </c>
      <c r="F6" t="str">
        <f t="shared" si="2"/>
        <v/>
      </c>
      <c r="G6">
        <v>3</v>
      </c>
      <c r="H6" s="4" t="s">
        <v>43</v>
      </c>
      <c r="I6" s="4" t="e">
        <f>IF(ISNA(J6),NA(),VLOOKUP('Trim Balancing'!J32,Calculations!$A$4:$C$9,3,0))</f>
        <v>#N/A</v>
      </c>
      <c r="J6" s="4" t="e">
        <f>IF('Trim Balancing'!K32="N/A",NA(),VLOOKUP('Trim Balancing'!K32,$A$32:$D$47,4,FALSE))</f>
        <v>#N/A</v>
      </c>
      <c r="K6" s="4">
        <f t="shared" ref="K6:K20" si="3">O5</f>
        <v>0</v>
      </c>
      <c r="L6" s="4">
        <f t="shared" ref="L6:L20" si="4">P5</f>
        <v>0</v>
      </c>
      <c r="M6" s="4">
        <f t="shared" ref="M6:M20" si="5">IFERROR(I6,0)</f>
        <v>0</v>
      </c>
      <c r="N6" s="4">
        <f>IFERROR(J6,0)</f>
        <v>0</v>
      </c>
      <c r="O6" s="4">
        <f t="shared" ref="O6:O20" si="6">IFERROR(SQRT((K6*COS(RADIANS(L6))+M6*COS(RADIANS(N6)))^2+(K6*SIN(RADIANS(L6))+M6*SIN(RADIANS(N6)))^2),0)</f>
        <v>0</v>
      </c>
      <c r="P6" s="4">
        <f t="shared" ref="P6:P20" si="7">IFERROR(DEGREES(ATAN2(K6*COS(RADIANS(L6))+M6*COS(RADIANS(N6)),K6*SIN(RADIANS(L6))+M6*SIN(RADIANS(N6)))),0)</f>
        <v>0</v>
      </c>
      <c r="R6" s="15">
        <f>O20</f>
        <v>0</v>
      </c>
      <c r="S6" s="15">
        <f>P20</f>
        <v>0</v>
      </c>
      <c r="T6" s="4" t="s">
        <v>44</v>
      </c>
    </row>
    <row r="7" spans="1:20">
      <c r="A7" t="str">
        <f t="shared" si="0"/>
        <v>51A592CL2 - 6.61</v>
      </c>
      <c r="B7" t="s">
        <v>45</v>
      </c>
      <c r="C7">
        <v>6.61</v>
      </c>
      <c r="E7">
        <f t="shared" si="1"/>
        <v>67.5</v>
      </c>
      <c r="F7" t="str">
        <f t="shared" si="2"/>
        <v/>
      </c>
      <c r="G7">
        <v>4</v>
      </c>
      <c r="H7" s="4" t="s">
        <v>46</v>
      </c>
      <c r="I7" s="4" t="e">
        <f>IF(ISNA(J7),NA(),VLOOKUP('Trim Balancing'!J33,Calculations!$A$4:$C$9,3,0))</f>
        <v>#N/A</v>
      </c>
      <c r="J7" s="4" t="e">
        <f>IF('Trim Balancing'!K33="N/A",NA(),VLOOKUP('Trim Balancing'!K33,$A$32:$D$47,4,FALSE))</f>
        <v>#N/A</v>
      </c>
      <c r="K7" s="4">
        <f t="shared" si="3"/>
        <v>0</v>
      </c>
      <c r="L7" s="4">
        <f t="shared" si="4"/>
        <v>0</v>
      </c>
      <c r="M7" s="4">
        <f t="shared" si="5"/>
        <v>0</v>
      </c>
      <c r="N7" s="4">
        <f t="shared" ref="N7:N20" si="8">IFERROR(J7,0)</f>
        <v>0</v>
      </c>
      <c r="O7" s="4">
        <f t="shared" si="6"/>
        <v>0</v>
      </c>
      <c r="P7" s="4">
        <f t="shared" si="7"/>
        <v>0</v>
      </c>
      <c r="R7" s="16">
        <f>O30</f>
        <v>32</v>
      </c>
      <c r="S7" s="16">
        <f>P30</f>
        <v>-79</v>
      </c>
      <c r="T7" s="4" t="s">
        <v>47</v>
      </c>
    </row>
    <row r="8" spans="1:20">
      <c r="A8" t="str">
        <f t="shared" si="0"/>
        <v>51A592CL3 - 8.26</v>
      </c>
      <c r="B8" t="s">
        <v>48</v>
      </c>
      <c r="C8">
        <v>8.26</v>
      </c>
      <c r="E8">
        <f t="shared" si="1"/>
        <v>90</v>
      </c>
      <c r="F8" t="str">
        <f t="shared" si="2"/>
        <v/>
      </c>
      <c r="G8">
        <v>5</v>
      </c>
      <c r="H8" s="4" t="s">
        <v>49</v>
      </c>
      <c r="I8" s="4" t="e">
        <f>IF(ISNA(J8),NA(),VLOOKUP('Trim Balancing'!J34,Calculations!$A$4:$C$9,3,0))</f>
        <v>#N/A</v>
      </c>
      <c r="J8" s="4" t="e">
        <f>IF('Trim Balancing'!K34="N/A",NA(),VLOOKUP('Trim Balancing'!K34,$A$32:$D$47,4,FALSE))</f>
        <v>#N/A</v>
      </c>
      <c r="K8" s="4">
        <f t="shared" si="3"/>
        <v>0</v>
      </c>
      <c r="L8" s="4">
        <f t="shared" si="4"/>
        <v>0</v>
      </c>
      <c r="M8" s="4">
        <f t="shared" si="5"/>
        <v>0</v>
      </c>
      <c r="N8" s="4">
        <f t="shared" si="8"/>
        <v>0</v>
      </c>
      <c r="O8" s="4">
        <f t="shared" si="6"/>
        <v>0</v>
      </c>
      <c r="P8" s="4">
        <f t="shared" si="7"/>
        <v>0</v>
      </c>
      <c r="R8" s="4"/>
      <c r="S8" s="4"/>
      <c r="T8" s="4"/>
    </row>
    <row r="9" spans="1:20">
      <c r="A9" t="str">
        <f t="shared" si="0"/>
        <v>51A597CL1 - 10.94</v>
      </c>
      <c r="B9" t="s">
        <v>50</v>
      </c>
      <c r="C9">
        <v>10.94</v>
      </c>
      <c r="E9">
        <f t="shared" si="1"/>
        <v>112.5</v>
      </c>
      <c r="F9" t="str">
        <f t="shared" si="2"/>
        <v/>
      </c>
      <c r="G9">
        <v>6</v>
      </c>
      <c r="H9" s="4" t="s">
        <v>51</v>
      </c>
      <c r="I9" s="4" t="e">
        <f>IF(ISNA(J9),NA(),VLOOKUP('Trim Balancing'!J35,Calculations!$A$4:$C$9,3,0))</f>
        <v>#N/A</v>
      </c>
      <c r="J9" s="4" t="e">
        <f>IF('Trim Balancing'!K35="N/A",NA(),VLOOKUP('Trim Balancing'!K35,$A$32:$D$47,4,FALSE))</f>
        <v>#N/A</v>
      </c>
      <c r="K9" s="4">
        <f t="shared" si="3"/>
        <v>0</v>
      </c>
      <c r="L9" s="4">
        <f t="shared" si="4"/>
        <v>0</v>
      </c>
      <c r="M9" s="4">
        <f t="shared" si="5"/>
        <v>0</v>
      </c>
      <c r="N9" s="4">
        <f t="shared" si="8"/>
        <v>0</v>
      </c>
      <c r="O9" s="4">
        <f t="shared" si="6"/>
        <v>0</v>
      </c>
      <c r="P9" s="4">
        <f t="shared" si="7"/>
        <v>0</v>
      </c>
      <c r="R9" s="4"/>
      <c r="S9" s="4"/>
    </row>
    <row r="10" spans="1:20">
      <c r="E10">
        <f t="shared" si="1"/>
        <v>135</v>
      </c>
      <c r="F10" t="str">
        <f t="shared" si="2"/>
        <v/>
      </c>
      <c r="G10">
        <v>7</v>
      </c>
      <c r="H10" s="4" t="s">
        <v>52</v>
      </c>
      <c r="I10" s="4" t="e">
        <f>IF(ISNA(J10),NA(),VLOOKUP('Trim Balancing'!J36,Calculations!$A$4:$C$9,3,0))</f>
        <v>#N/A</v>
      </c>
      <c r="J10" s="4" t="e">
        <f>IF('Trim Balancing'!K36="N/A",NA(),VLOOKUP('Trim Balancing'!K36,$A$32:$D$47,4,FALSE))</f>
        <v>#N/A</v>
      </c>
      <c r="K10" s="4">
        <f t="shared" si="3"/>
        <v>0</v>
      </c>
      <c r="L10" s="4">
        <f t="shared" si="4"/>
        <v>0</v>
      </c>
      <c r="M10" s="4">
        <f t="shared" si="5"/>
        <v>0</v>
      </c>
      <c r="N10" s="4">
        <f t="shared" si="8"/>
        <v>0</v>
      </c>
      <c r="O10" s="4">
        <f t="shared" si="6"/>
        <v>0</v>
      </c>
      <c r="P10" s="4">
        <f t="shared" si="7"/>
        <v>0</v>
      </c>
      <c r="R10" s="17">
        <f>IF(ISNUMBER(R7),R7,R5)</f>
        <v>32</v>
      </c>
      <c r="S10" s="17">
        <f>IF(ISNUMBER(S7),S7,S5)</f>
        <v>-79</v>
      </c>
    </row>
    <row r="11" spans="1:20" ht="13.9" customHeight="1">
      <c r="E11">
        <f t="shared" si="1"/>
        <v>157.5</v>
      </c>
      <c r="F11" t="str">
        <f t="shared" si="2"/>
        <v/>
      </c>
      <c r="G11">
        <v>8</v>
      </c>
      <c r="H11" s="4" t="s">
        <v>53</v>
      </c>
      <c r="I11" s="4" t="e">
        <f>IF(ISNA(J11),NA(),VLOOKUP('Trim Balancing'!J37,Calculations!$A$4:$C$9,3,0))</f>
        <v>#N/A</v>
      </c>
      <c r="J11" s="4" t="e">
        <f>IF('Trim Balancing'!K37="N/A",NA(),VLOOKUP('Trim Balancing'!K37,$A$32:$D$47,4,FALSE))</f>
        <v>#N/A</v>
      </c>
      <c r="K11" s="4">
        <f t="shared" si="3"/>
        <v>0</v>
      </c>
      <c r="L11" s="4">
        <f t="shared" si="4"/>
        <v>0</v>
      </c>
      <c r="M11" s="4">
        <f t="shared" si="5"/>
        <v>0</v>
      </c>
      <c r="N11" s="4">
        <f t="shared" si="8"/>
        <v>0</v>
      </c>
      <c r="O11" s="4">
        <f t="shared" si="6"/>
        <v>0</v>
      </c>
      <c r="P11" s="4">
        <f t="shared" si="7"/>
        <v>0</v>
      </c>
      <c r="R11">
        <f>IF((ROUND((Calculations!S10/22.5),0)+1)&lt;0,ROUND((Calculations!S10/22.5),0)+17,ROUND((Calculations!S10/22.5),0)+1)</f>
        <v>13</v>
      </c>
      <c r="S11">
        <f t="shared" ref="S11:S17" si="9">VLOOKUP(IF(R11&gt;=17,R11-16,IF(R11&lt;=0,R11+16,R11)),$A$32:$I$47,9,0)</f>
        <v>13</v>
      </c>
      <c r="T11" t="s">
        <v>54</v>
      </c>
    </row>
    <row r="12" spans="1:20">
      <c r="E12">
        <f t="shared" si="1"/>
        <v>180</v>
      </c>
      <c r="F12" t="str">
        <f t="shared" si="2"/>
        <v/>
      </c>
      <c r="G12">
        <v>9</v>
      </c>
      <c r="H12" s="4" t="s">
        <v>55</v>
      </c>
      <c r="I12" s="4" t="e">
        <f>IF(ISNA(J12),NA(),VLOOKUP('Trim Balancing'!J38,Calculations!$A$4:$C$9,3,0))</f>
        <v>#N/A</v>
      </c>
      <c r="J12" s="4" t="e">
        <f>IF('Trim Balancing'!K38="N/A",NA(),VLOOKUP('Trim Balancing'!K38,$A$32:$D$47,4,FALSE))</f>
        <v>#N/A</v>
      </c>
      <c r="K12" s="4">
        <f t="shared" si="3"/>
        <v>0</v>
      </c>
      <c r="L12" s="4">
        <f t="shared" si="4"/>
        <v>0</v>
      </c>
      <c r="M12" s="4">
        <f t="shared" si="5"/>
        <v>0</v>
      </c>
      <c r="N12" s="4">
        <f t="shared" si="8"/>
        <v>0</v>
      </c>
      <c r="O12" s="4">
        <f t="shared" si="6"/>
        <v>0</v>
      </c>
      <c r="P12" s="4">
        <f t="shared" si="7"/>
        <v>0</v>
      </c>
      <c r="R12">
        <f>IF(IF((ROUND((Calculations!S10/22.5),0)+1)&lt;0,ROUND((Calculations!S10/22.5),0)+17,ROUND((Calculations!S10/22.5),0)+1)=IF((ROUNDDOWN((Calculations!S10/22.5),0)+1)&lt;0,ROUNDDOWN((Calculations!S10/22.5),0)+17,ROUNDDOWN((Calculations!S10/22.5),0)+1),IF((ROUNDUP((Calculations!S10/22.5),0)+1)&lt;0,ROUNDUP((Calculations!S10/22.5),0)+17,ROUNDUP((Calculations!S10/22.5),0)+1),IF((ROUNDDOWN((Calculations!S10/22.5),0)+1)&lt;0,ROUNDDOWN((Calculations!S10/22.5),0)+17,ROUNDDOWN((Calculations!S10/22.5),0)+1))</f>
        <v>14</v>
      </c>
      <c r="S12">
        <f t="shared" si="9"/>
        <v>14</v>
      </c>
      <c r="T12" t="s">
        <v>56</v>
      </c>
    </row>
    <row r="13" spans="1:20">
      <c r="E13">
        <f t="shared" si="1"/>
        <v>202.5</v>
      </c>
      <c r="F13" t="str">
        <f t="shared" si="2"/>
        <v/>
      </c>
      <c r="G13">
        <v>10</v>
      </c>
      <c r="H13" s="4" t="s">
        <v>57</v>
      </c>
      <c r="I13" s="4" t="e">
        <f>IF(ISNA(J13),NA(),VLOOKUP('Trim Balancing'!J39,Calculations!$A$4:$C$9,3,0))</f>
        <v>#N/A</v>
      </c>
      <c r="J13" s="4" t="e">
        <f>IF('Trim Balancing'!K39="N/A",NA(),VLOOKUP('Trim Balancing'!K39,$A$32:$D$47,4,FALSE))</f>
        <v>#N/A</v>
      </c>
      <c r="K13" s="4">
        <f t="shared" si="3"/>
        <v>0</v>
      </c>
      <c r="L13" s="4">
        <f t="shared" si="4"/>
        <v>0</v>
      </c>
      <c r="M13" s="4">
        <f t="shared" si="5"/>
        <v>0</v>
      </c>
      <c r="N13" s="4">
        <f t="shared" si="8"/>
        <v>0</v>
      </c>
      <c r="O13" s="4">
        <f t="shared" si="6"/>
        <v>0</v>
      </c>
      <c r="P13" s="4">
        <f t="shared" si="7"/>
        <v>0</v>
      </c>
      <c r="R13">
        <f>IF(R11-R12&gt;0,R11+1,R11-1)</f>
        <v>12</v>
      </c>
      <c r="S13">
        <f t="shared" si="9"/>
        <v>12</v>
      </c>
      <c r="T13" t="s">
        <v>58</v>
      </c>
    </row>
    <row r="14" spans="1:20">
      <c r="E14">
        <f t="shared" si="1"/>
        <v>225</v>
      </c>
      <c r="F14" t="str">
        <f t="shared" si="2"/>
        <v/>
      </c>
      <c r="G14">
        <v>11</v>
      </c>
      <c r="H14" s="4" t="s">
        <v>59</v>
      </c>
      <c r="I14" s="4" t="e">
        <f>IF(ISNA(J14),NA(),VLOOKUP('Trim Balancing'!J40,Calculations!$A$4:$C$9,3,0))</f>
        <v>#N/A</v>
      </c>
      <c r="J14" s="4" t="e">
        <f>IF('Trim Balancing'!K40="N/A",NA(),VLOOKUP('Trim Balancing'!K40,$A$32:$D$47,4,FALSE))</f>
        <v>#N/A</v>
      </c>
      <c r="K14" s="4">
        <f t="shared" si="3"/>
        <v>0</v>
      </c>
      <c r="L14" s="4">
        <f t="shared" si="4"/>
        <v>0</v>
      </c>
      <c r="M14" s="4">
        <f t="shared" si="5"/>
        <v>0</v>
      </c>
      <c r="N14" s="4">
        <f t="shared" si="8"/>
        <v>0</v>
      </c>
      <c r="O14" s="4">
        <f t="shared" si="6"/>
        <v>0</v>
      </c>
      <c r="P14" s="4">
        <f t="shared" si="7"/>
        <v>0</v>
      </c>
      <c r="R14">
        <f t="shared" ref="R14:R18" si="10">IF(R12-R13&gt;0,R12+1,R12-1)</f>
        <v>15</v>
      </c>
      <c r="S14">
        <f t="shared" si="9"/>
        <v>15</v>
      </c>
    </row>
    <row r="15" spans="1:20">
      <c r="E15">
        <f t="shared" si="1"/>
        <v>247.5</v>
      </c>
      <c r="F15" t="str">
        <f t="shared" si="2"/>
        <v/>
      </c>
      <c r="G15">
        <v>12</v>
      </c>
      <c r="H15" s="4" t="s">
        <v>60</v>
      </c>
      <c r="I15" s="4" t="e">
        <f>IF(ISNA(J15),NA(),VLOOKUP('Trim Balancing'!J41,Calculations!$A$4:$C$9,3,0))</f>
        <v>#N/A</v>
      </c>
      <c r="J15" s="4" t="e">
        <f>IF('Trim Balancing'!K41="N/A",NA(),VLOOKUP('Trim Balancing'!K41,$A$32:$D$47,4,FALSE))</f>
        <v>#N/A</v>
      </c>
      <c r="K15" s="4">
        <f t="shared" si="3"/>
        <v>0</v>
      </c>
      <c r="L15" s="4">
        <f t="shared" si="4"/>
        <v>0</v>
      </c>
      <c r="M15" s="4">
        <f t="shared" si="5"/>
        <v>0</v>
      </c>
      <c r="N15" s="4">
        <f t="shared" si="8"/>
        <v>0</v>
      </c>
      <c r="O15" s="4">
        <f t="shared" si="6"/>
        <v>0</v>
      </c>
      <c r="P15" s="4">
        <f t="shared" si="7"/>
        <v>0</v>
      </c>
      <c r="R15">
        <f t="shared" si="10"/>
        <v>11</v>
      </c>
      <c r="S15">
        <f t="shared" si="9"/>
        <v>11</v>
      </c>
    </row>
    <row r="16" spans="1:20">
      <c r="E16">
        <f t="shared" si="1"/>
        <v>270</v>
      </c>
      <c r="F16" t="str">
        <f t="shared" si="2"/>
        <v/>
      </c>
      <c r="G16">
        <v>13</v>
      </c>
      <c r="H16" s="4" t="s">
        <v>61</v>
      </c>
      <c r="I16" s="4" t="e">
        <f>IF(ISNA(J16),NA(),VLOOKUP('Trim Balancing'!J42,Calculations!$A$4:$C$9,3,0))</f>
        <v>#N/A</v>
      </c>
      <c r="J16" s="4" t="e">
        <f>IF('Trim Balancing'!K42="N/A",NA(),VLOOKUP('Trim Balancing'!K42,$A$32:$D$47,4,FALSE))</f>
        <v>#N/A</v>
      </c>
      <c r="K16" s="4">
        <f t="shared" si="3"/>
        <v>0</v>
      </c>
      <c r="L16" s="4">
        <f t="shared" si="4"/>
        <v>0</v>
      </c>
      <c r="M16" s="4">
        <f t="shared" si="5"/>
        <v>0</v>
      </c>
      <c r="N16" s="4">
        <f t="shared" si="8"/>
        <v>0</v>
      </c>
      <c r="O16" s="4">
        <f t="shared" si="6"/>
        <v>0</v>
      </c>
      <c r="P16" s="4">
        <f t="shared" si="7"/>
        <v>0</v>
      </c>
      <c r="R16">
        <f t="shared" si="10"/>
        <v>16</v>
      </c>
      <c r="S16">
        <f t="shared" si="9"/>
        <v>16</v>
      </c>
    </row>
    <row r="17" spans="1:20">
      <c r="E17">
        <f t="shared" si="1"/>
        <v>292.5</v>
      </c>
      <c r="F17" t="str">
        <f t="shared" si="2"/>
        <v/>
      </c>
      <c r="G17">
        <v>14</v>
      </c>
      <c r="H17" s="4" t="s">
        <v>62</v>
      </c>
      <c r="I17" s="4" t="e">
        <f>IF(ISNA(J17),NA(),VLOOKUP('Trim Balancing'!J43,Calculations!$A$4:$C$9,3,0))</f>
        <v>#N/A</v>
      </c>
      <c r="J17" s="4" t="e">
        <f>IF('Trim Balancing'!K43="N/A",NA(),VLOOKUP('Trim Balancing'!K43,$A$32:$D$47,4,FALSE))</f>
        <v>#N/A</v>
      </c>
      <c r="K17" s="4">
        <f t="shared" si="3"/>
        <v>0</v>
      </c>
      <c r="L17" s="4">
        <f t="shared" si="4"/>
        <v>0</v>
      </c>
      <c r="M17" s="4">
        <f t="shared" si="5"/>
        <v>0</v>
      </c>
      <c r="N17" s="4">
        <f t="shared" si="8"/>
        <v>0</v>
      </c>
      <c r="O17" s="4">
        <f t="shared" si="6"/>
        <v>0</v>
      </c>
      <c r="P17" s="4">
        <f t="shared" si="7"/>
        <v>0</v>
      </c>
      <c r="R17">
        <f t="shared" si="10"/>
        <v>10</v>
      </c>
      <c r="S17">
        <f t="shared" si="9"/>
        <v>10</v>
      </c>
    </row>
    <row r="18" spans="1:20">
      <c r="E18">
        <f t="shared" si="1"/>
        <v>315</v>
      </c>
      <c r="F18" t="str">
        <f t="shared" si="2"/>
        <v/>
      </c>
      <c r="G18">
        <v>15</v>
      </c>
      <c r="H18" s="4" t="s">
        <v>63</v>
      </c>
      <c r="I18" s="4" t="e">
        <f>IF(ISNA(J18),NA(),VLOOKUP('Trim Balancing'!J44,Calculations!$A$4:$C$9,3,0))</f>
        <v>#N/A</v>
      </c>
      <c r="J18" s="4" t="e">
        <f>IF('Trim Balancing'!K44="N/A",NA(),VLOOKUP('Trim Balancing'!K44,$A$32:$D$47,4,FALSE))</f>
        <v>#N/A</v>
      </c>
      <c r="K18" s="4">
        <f t="shared" si="3"/>
        <v>0</v>
      </c>
      <c r="L18" s="4">
        <f t="shared" si="4"/>
        <v>0</v>
      </c>
      <c r="M18" s="4">
        <f t="shared" si="5"/>
        <v>0</v>
      </c>
      <c r="N18" s="4">
        <f t="shared" si="8"/>
        <v>0</v>
      </c>
      <c r="O18" s="4">
        <f t="shared" si="6"/>
        <v>0</v>
      </c>
      <c r="P18" s="4">
        <f t="shared" si="7"/>
        <v>0</v>
      </c>
      <c r="R18">
        <f t="shared" si="10"/>
        <v>17</v>
      </c>
      <c r="S18">
        <f>VLOOKUP(IF(R18&gt;=17,R18-16,IF(R18&lt;=0,R18+16,R18)),$A$32:$I$47,9,0)</f>
        <v>1</v>
      </c>
    </row>
    <row r="19" spans="1:20">
      <c r="E19">
        <f t="shared" si="1"/>
        <v>337.5</v>
      </c>
      <c r="F19" t="str">
        <f t="shared" si="2"/>
        <v/>
      </c>
      <c r="G19">
        <v>16</v>
      </c>
      <c r="H19" s="4" t="s">
        <v>64</v>
      </c>
      <c r="I19" s="4" t="e">
        <f>IF(ISNA(J19),NA(),VLOOKUP('Trim Balancing'!J45,Calculations!$A$4:$C$9,3,0))</f>
        <v>#N/A</v>
      </c>
      <c r="J19" s="4" t="e">
        <f>IF('Trim Balancing'!K45="N/A",NA(),VLOOKUP('Trim Balancing'!K45,$A$32:$D$47,4,FALSE))</f>
        <v>#N/A</v>
      </c>
      <c r="K19" s="4">
        <f t="shared" si="3"/>
        <v>0</v>
      </c>
      <c r="L19" s="4">
        <f t="shared" si="4"/>
        <v>0</v>
      </c>
      <c r="M19" s="4">
        <f t="shared" si="5"/>
        <v>0</v>
      </c>
      <c r="N19" s="4">
        <f t="shared" si="8"/>
        <v>0</v>
      </c>
      <c r="O19" s="4">
        <f t="shared" si="6"/>
        <v>0</v>
      </c>
      <c r="P19" s="4">
        <f t="shared" si="7"/>
        <v>0</v>
      </c>
      <c r="S19">
        <f>IF(ISNUMBER(S11)=TRUE,S11,IF(ISNUMBER(S12)=TRUE,S12,IF(ISNUMBER(S13)=TRUE,S13,IF(ISNUMBER(S14)=TRUE,S14,IF(ISNUMBER(S15)=TRUE,S15,IF(ISNUMBER(S16)=TRUE,S16,IF(ISNUMBER(S17)=TRUE,S17,S18)))))))</f>
        <v>13</v>
      </c>
      <c r="T19" t="s">
        <v>65</v>
      </c>
    </row>
    <row r="20" spans="1:20">
      <c r="H20" s="4" t="s">
        <v>66</v>
      </c>
      <c r="I20" s="4" t="e">
        <f>IF(ISNA(J20),NA(),VLOOKUP('Trim Balancing'!J46,Calculations!$A$4:$C$9,3,0))</f>
        <v>#N/A</v>
      </c>
      <c r="J20" s="4" t="e">
        <f>IF('Trim Balancing'!K46="N/A",NA(),VLOOKUP('Trim Balancing'!K46,$A$32:$D$47,4,FALSE))</f>
        <v>#N/A</v>
      </c>
      <c r="K20" s="4">
        <f t="shared" si="3"/>
        <v>0</v>
      </c>
      <c r="L20" s="4">
        <f t="shared" si="4"/>
        <v>0</v>
      </c>
      <c r="M20" s="4">
        <f t="shared" si="5"/>
        <v>0</v>
      </c>
      <c r="N20" s="4">
        <f t="shared" si="8"/>
        <v>0</v>
      </c>
      <c r="O20" s="4">
        <f t="shared" si="6"/>
        <v>0</v>
      </c>
      <c r="P20" s="4">
        <f t="shared" si="7"/>
        <v>0</v>
      </c>
    </row>
    <row r="21" spans="1:20">
      <c r="H21" s="4"/>
      <c r="I21" s="4"/>
      <c r="J21" s="4"/>
      <c r="K21" s="4"/>
      <c r="L21" s="4"/>
      <c r="M21" s="4"/>
      <c r="N21" s="4"/>
      <c r="O21" s="4"/>
      <c r="P21" s="4"/>
    </row>
    <row r="22" spans="1:20">
      <c r="H22" s="4"/>
      <c r="I22" s="4"/>
      <c r="J22" s="4"/>
      <c r="K22" s="4"/>
      <c r="L22" s="4"/>
      <c r="M22" s="4"/>
      <c r="N22" s="4"/>
      <c r="O22" s="4"/>
      <c r="P22" s="4"/>
    </row>
    <row r="23" spans="1:20">
      <c r="H23" s="4"/>
      <c r="I23" s="4"/>
      <c r="J23" s="4"/>
      <c r="K23" s="4"/>
      <c r="L23" s="4"/>
      <c r="M23" s="4"/>
      <c r="N23" s="4"/>
      <c r="O23" s="4"/>
      <c r="P23" s="4"/>
    </row>
    <row r="24" spans="1:20">
      <c r="H24" s="4"/>
      <c r="I24" s="4"/>
      <c r="J24" s="4"/>
      <c r="K24" s="4"/>
      <c r="L24" s="4"/>
      <c r="M24" s="4"/>
      <c r="N24" s="4"/>
      <c r="O24" s="4"/>
      <c r="P24" s="4"/>
    </row>
    <row r="26" spans="1:20">
      <c r="N26" s="4"/>
      <c r="O26" s="4" t="s">
        <v>67</v>
      </c>
      <c r="P26" s="4" t="s">
        <v>68</v>
      </c>
    </row>
    <row r="27" spans="1:20">
      <c r="N27" s="4" t="s">
        <v>9</v>
      </c>
      <c r="O27" s="18">
        <f>R5*COS(RADIANS(S5))</f>
        <v>6.1058878520494373</v>
      </c>
      <c r="P27" s="18">
        <f>R5*SIN(RADIANS(S5))</f>
        <v>-31.412069870325247</v>
      </c>
    </row>
    <row r="28" spans="1:20">
      <c r="N28" s="4" t="s">
        <v>69</v>
      </c>
      <c r="O28" s="18">
        <f>-O20*COS(RADIANS(P20))</f>
        <v>0</v>
      </c>
      <c r="P28" s="18">
        <f>-O20*SIN(RADIANS(P20))</f>
        <v>0</v>
      </c>
    </row>
    <row r="29" spans="1:20">
      <c r="N29" s="4" t="s">
        <v>17</v>
      </c>
      <c r="O29" s="18">
        <f>O27+O28</f>
        <v>6.1058878520494373</v>
      </c>
      <c r="P29" s="18">
        <f>P27+P28</f>
        <v>-31.412069870325247</v>
      </c>
    </row>
    <row r="30" spans="1:20">
      <c r="A30" t="s">
        <v>70</v>
      </c>
      <c r="B30" t="s">
        <v>32</v>
      </c>
      <c r="C30" t="s">
        <v>71</v>
      </c>
      <c r="D30" t="s">
        <v>31</v>
      </c>
      <c r="E30" t="s">
        <v>32</v>
      </c>
      <c r="F30" t="s">
        <v>71</v>
      </c>
      <c r="G30" t="s">
        <v>31</v>
      </c>
      <c r="H30" t="s">
        <v>72</v>
      </c>
      <c r="N30" s="4" t="s">
        <v>73</v>
      </c>
      <c r="O30" s="18">
        <f>SQRT(O29^2+P29^2)</f>
        <v>32</v>
      </c>
      <c r="P30" s="18">
        <f>DEGREES(ATAN2(O29,P29))</f>
        <v>-79</v>
      </c>
    </row>
    <row r="32" spans="1:20">
      <c r="A32">
        <v>1</v>
      </c>
      <c r="B32">
        <f>'Trim Balancing'!K18</f>
        <v>0</v>
      </c>
      <c r="C32" t="b">
        <f>IF(B32&gt;0.1,TRUE,FALSE)</f>
        <v>0</v>
      </c>
      <c r="D32">
        <v>0</v>
      </c>
      <c r="E32">
        <v>1</v>
      </c>
      <c r="F32" t="e">
        <f>IF(VLOOKUP(E32,$B$32:$C$61,2,FALSE)=TRUE,TRUE,FALSE)</f>
        <v>#N/A</v>
      </c>
      <c r="G32">
        <v>0</v>
      </c>
      <c r="H32">
        <f>IF(ISNA(F32),G32,"N/A")</f>
        <v>0</v>
      </c>
      <c r="I32">
        <f>IF(ISNA(F32),E32,"N/A")</f>
        <v>1</v>
      </c>
    </row>
    <row r="33" spans="1:9">
      <c r="A33">
        <v>2</v>
      </c>
      <c r="B33">
        <f>'Trim Balancing'!K19</f>
        <v>0</v>
      </c>
      <c r="C33" t="b">
        <f t="shared" ref="C33:C61" si="11">IF(B33&gt;0.1,TRUE,FALSE)</f>
        <v>0</v>
      </c>
      <c r="D33">
        <f>D32+22.5</f>
        <v>22.5</v>
      </c>
      <c r="E33">
        <v>2</v>
      </c>
      <c r="F33" t="e">
        <f t="shared" ref="F33:F47" si="12">IF(VLOOKUP(E33,$B$32:$C$61,2,FALSE)=TRUE,TRUE,FALSE)</f>
        <v>#N/A</v>
      </c>
      <c r="G33">
        <f>G32+22.5</f>
        <v>22.5</v>
      </c>
      <c r="H33">
        <f t="shared" ref="H33:H47" si="13">IF(ISNA(F33),G33,"N/A")</f>
        <v>22.5</v>
      </c>
      <c r="I33">
        <f t="shared" ref="I33:I47" si="14">IF(ISNA(F33),E33,"N/A")</f>
        <v>2</v>
      </c>
    </row>
    <row r="34" spans="1:9">
      <c r="A34">
        <v>3</v>
      </c>
      <c r="B34">
        <f>'Trim Balancing'!K20</f>
        <v>0</v>
      </c>
      <c r="C34" t="b">
        <f t="shared" si="11"/>
        <v>0</v>
      </c>
      <c r="D34">
        <f t="shared" ref="D34:D47" si="15">D33+22.5</f>
        <v>45</v>
      </c>
      <c r="E34">
        <v>3</v>
      </c>
      <c r="F34" t="e">
        <f t="shared" si="12"/>
        <v>#N/A</v>
      </c>
      <c r="G34">
        <f t="shared" ref="G34:G47" si="16">G33+22.5</f>
        <v>45</v>
      </c>
      <c r="H34">
        <f t="shared" si="13"/>
        <v>45</v>
      </c>
      <c r="I34">
        <f t="shared" si="14"/>
        <v>3</v>
      </c>
    </row>
    <row r="35" spans="1:9">
      <c r="A35">
        <v>4</v>
      </c>
      <c r="B35">
        <f>'Trim Balancing'!K21</f>
        <v>0</v>
      </c>
      <c r="C35" t="b">
        <f t="shared" si="11"/>
        <v>0</v>
      </c>
      <c r="D35">
        <f t="shared" si="15"/>
        <v>67.5</v>
      </c>
      <c r="E35">
        <v>4</v>
      </c>
      <c r="F35" t="e">
        <f t="shared" si="12"/>
        <v>#N/A</v>
      </c>
      <c r="G35">
        <f t="shared" si="16"/>
        <v>67.5</v>
      </c>
      <c r="H35">
        <f t="shared" si="13"/>
        <v>67.5</v>
      </c>
      <c r="I35">
        <f t="shared" si="14"/>
        <v>4</v>
      </c>
    </row>
    <row r="36" spans="1:9">
      <c r="A36">
        <v>5</v>
      </c>
      <c r="B36">
        <f>'Trim Balancing'!K22</f>
        <v>0</v>
      </c>
      <c r="C36" t="b">
        <f t="shared" si="11"/>
        <v>0</v>
      </c>
      <c r="D36">
        <f t="shared" si="15"/>
        <v>90</v>
      </c>
      <c r="E36">
        <v>5</v>
      </c>
      <c r="F36" t="e">
        <f t="shared" si="12"/>
        <v>#N/A</v>
      </c>
      <c r="G36">
        <f t="shared" si="16"/>
        <v>90</v>
      </c>
      <c r="H36">
        <f t="shared" si="13"/>
        <v>90</v>
      </c>
      <c r="I36">
        <f t="shared" si="14"/>
        <v>5</v>
      </c>
    </row>
    <row r="37" spans="1:9">
      <c r="A37">
        <v>6</v>
      </c>
      <c r="B37">
        <f>'Trim Balancing'!K23</f>
        <v>0</v>
      </c>
      <c r="C37" t="b">
        <f t="shared" si="11"/>
        <v>0</v>
      </c>
      <c r="D37">
        <f t="shared" si="15"/>
        <v>112.5</v>
      </c>
      <c r="E37">
        <v>6</v>
      </c>
      <c r="F37" t="e">
        <f t="shared" si="12"/>
        <v>#N/A</v>
      </c>
      <c r="G37">
        <f t="shared" si="16"/>
        <v>112.5</v>
      </c>
      <c r="H37">
        <f t="shared" si="13"/>
        <v>112.5</v>
      </c>
      <c r="I37">
        <f t="shared" si="14"/>
        <v>6</v>
      </c>
    </row>
    <row r="38" spans="1:9">
      <c r="A38">
        <v>7</v>
      </c>
      <c r="B38">
        <f>'Trim Balancing'!K24</f>
        <v>0</v>
      </c>
      <c r="C38" t="b">
        <f t="shared" si="11"/>
        <v>0</v>
      </c>
      <c r="D38">
        <f t="shared" si="15"/>
        <v>135</v>
      </c>
      <c r="E38">
        <v>7</v>
      </c>
      <c r="F38" t="e">
        <f t="shared" si="12"/>
        <v>#N/A</v>
      </c>
      <c r="G38">
        <f t="shared" si="16"/>
        <v>135</v>
      </c>
      <c r="H38">
        <f t="shared" si="13"/>
        <v>135</v>
      </c>
      <c r="I38">
        <f t="shared" si="14"/>
        <v>7</v>
      </c>
    </row>
    <row r="39" spans="1:9">
      <c r="A39">
        <v>8</v>
      </c>
      <c r="B39">
        <f>'Trim Balancing'!K25</f>
        <v>0</v>
      </c>
      <c r="C39" t="b">
        <f t="shared" si="11"/>
        <v>0</v>
      </c>
      <c r="D39">
        <f t="shared" si="15"/>
        <v>157.5</v>
      </c>
      <c r="E39">
        <v>8</v>
      </c>
      <c r="F39" t="e">
        <f t="shared" si="12"/>
        <v>#N/A</v>
      </c>
      <c r="G39">
        <f t="shared" si="16"/>
        <v>157.5</v>
      </c>
      <c r="H39">
        <f t="shared" si="13"/>
        <v>157.5</v>
      </c>
      <c r="I39">
        <f t="shared" si="14"/>
        <v>8</v>
      </c>
    </row>
    <row r="40" spans="1:9">
      <c r="A40">
        <v>9</v>
      </c>
      <c r="B40">
        <f>'Trim Balancing'!K26</f>
        <v>0</v>
      </c>
      <c r="C40" t="b">
        <f t="shared" si="11"/>
        <v>0</v>
      </c>
      <c r="D40">
        <f t="shared" si="15"/>
        <v>180</v>
      </c>
      <c r="E40">
        <v>9</v>
      </c>
      <c r="F40" t="e">
        <f t="shared" si="12"/>
        <v>#N/A</v>
      </c>
      <c r="G40">
        <f t="shared" si="16"/>
        <v>180</v>
      </c>
      <c r="H40">
        <f t="shared" si="13"/>
        <v>180</v>
      </c>
      <c r="I40">
        <f t="shared" si="14"/>
        <v>9</v>
      </c>
    </row>
    <row r="41" spans="1:9">
      <c r="A41">
        <v>10</v>
      </c>
      <c r="B41">
        <f>'Trim Balancing'!K27</f>
        <v>0</v>
      </c>
      <c r="C41" t="b">
        <f t="shared" si="11"/>
        <v>0</v>
      </c>
      <c r="D41">
        <f t="shared" si="15"/>
        <v>202.5</v>
      </c>
      <c r="E41">
        <v>10</v>
      </c>
      <c r="F41" t="e">
        <f t="shared" si="12"/>
        <v>#N/A</v>
      </c>
      <c r="G41">
        <f t="shared" si="16"/>
        <v>202.5</v>
      </c>
      <c r="H41">
        <f t="shared" si="13"/>
        <v>202.5</v>
      </c>
      <c r="I41">
        <f t="shared" si="14"/>
        <v>10</v>
      </c>
    </row>
    <row r="42" spans="1:9">
      <c r="A42">
        <v>11</v>
      </c>
      <c r="B42">
        <f>'Trim Balancing'!K31</f>
        <v>0</v>
      </c>
      <c r="C42" t="b">
        <f t="shared" si="11"/>
        <v>0</v>
      </c>
      <c r="D42">
        <f t="shared" si="15"/>
        <v>225</v>
      </c>
      <c r="E42">
        <v>11</v>
      </c>
      <c r="F42" t="e">
        <f t="shared" si="12"/>
        <v>#N/A</v>
      </c>
      <c r="G42">
        <f t="shared" si="16"/>
        <v>225</v>
      </c>
      <c r="H42">
        <f t="shared" si="13"/>
        <v>225</v>
      </c>
      <c r="I42">
        <f t="shared" si="14"/>
        <v>11</v>
      </c>
    </row>
    <row r="43" spans="1:9">
      <c r="A43">
        <v>12</v>
      </c>
      <c r="B43">
        <f>'Trim Balancing'!K32</f>
        <v>0</v>
      </c>
      <c r="C43" t="b">
        <f t="shared" si="11"/>
        <v>0</v>
      </c>
      <c r="D43">
        <f t="shared" si="15"/>
        <v>247.5</v>
      </c>
      <c r="E43">
        <v>12</v>
      </c>
      <c r="F43" t="e">
        <f t="shared" si="12"/>
        <v>#N/A</v>
      </c>
      <c r="G43">
        <f t="shared" si="16"/>
        <v>247.5</v>
      </c>
      <c r="H43">
        <f t="shared" si="13"/>
        <v>247.5</v>
      </c>
      <c r="I43">
        <f t="shared" si="14"/>
        <v>12</v>
      </c>
    </row>
    <row r="44" spans="1:9">
      <c r="A44">
        <v>13</v>
      </c>
      <c r="B44">
        <f>'Trim Balancing'!K33</f>
        <v>0</v>
      </c>
      <c r="C44" t="b">
        <f t="shared" si="11"/>
        <v>0</v>
      </c>
      <c r="D44">
        <f t="shared" si="15"/>
        <v>270</v>
      </c>
      <c r="E44">
        <v>13</v>
      </c>
      <c r="F44" t="e">
        <f t="shared" si="12"/>
        <v>#N/A</v>
      </c>
      <c r="G44">
        <f t="shared" si="16"/>
        <v>270</v>
      </c>
      <c r="H44">
        <f t="shared" si="13"/>
        <v>270</v>
      </c>
      <c r="I44">
        <f t="shared" si="14"/>
        <v>13</v>
      </c>
    </row>
    <row r="45" spans="1:9">
      <c r="A45">
        <v>14</v>
      </c>
      <c r="B45">
        <f>'Trim Balancing'!K34</f>
        <v>0</v>
      </c>
      <c r="C45" t="b">
        <f t="shared" si="11"/>
        <v>0</v>
      </c>
      <c r="D45">
        <f t="shared" si="15"/>
        <v>292.5</v>
      </c>
      <c r="E45">
        <v>14</v>
      </c>
      <c r="F45" t="e">
        <f t="shared" si="12"/>
        <v>#N/A</v>
      </c>
      <c r="G45">
        <f t="shared" si="16"/>
        <v>292.5</v>
      </c>
      <c r="H45">
        <f t="shared" si="13"/>
        <v>292.5</v>
      </c>
      <c r="I45">
        <f t="shared" si="14"/>
        <v>14</v>
      </c>
    </row>
    <row r="46" spans="1:9">
      <c r="A46">
        <v>15</v>
      </c>
      <c r="B46">
        <f>'Trim Balancing'!K35</f>
        <v>0</v>
      </c>
      <c r="C46" t="b">
        <f t="shared" si="11"/>
        <v>0</v>
      </c>
      <c r="D46">
        <f t="shared" si="15"/>
        <v>315</v>
      </c>
      <c r="E46">
        <v>15</v>
      </c>
      <c r="F46" t="e">
        <f t="shared" si="12"/>
        <v>#N/A</v>
      </c>
      <c r="G46">
        <f t="shared" si="16"/>
        <v>315</v>
      </c>
      <c r="H46">
        <f t="shared" si="13"/>
        <v>315</v>
      </c>
      <c r="I46">
        <f t="shared" si="14"/>
        <v>15</v>
      </c>
    </row>
    <row r="47" spans="1:9">
      <c r="A47">
        <v>16</v>
      </c>
      <c r="B47">
        <f>'Trim Balancing'!K36</f>
        <v>0</v>
      </c>
      <c r="C47" t="b">
        <f t="shared" si="11"/>
        <v>0</v>
      </c>
      <c r="D47">
        <f t="shared" si="15"/>
        <v>337.5</v>
      </c>
      <c r="E47">
        <v>16</v>
      </c>
      <c r="F47" t="e">
        <f t="shared" si="12"/>
        <v>#N/A</v>
      </c>
      <c r="G47">
        <f t="shared" si="16"/>
        <v>337.5</v>
      </c>
      <c r="H47">
        <f t="shared" si="13"/>
        <v>337.5</v>
      </c>
      <c r="I47">
        <f t="shared" si="14"/>
        <v>16</v>
      </c>
    </row>
    <row r="48" spans="1:9">
      <c r="B48">
        <f>'Trim Balancing'!K37</f>
        <v>0</v>
      </c>
      <c r="C48" t="b">
        <f t="shared" si="11"/>
        <v>0</v>
      </c>
    </row>
    <row r="49" spans="2:3">
      <c r="B49">
        <f>'Trim Balancing'!K38</f>
        <v>0</v>
      </c>
      <c r="C49" t="b">
        <f t="shared" si="11"/>
        <v>0</v>
      </c>
    </row>
    <row r="50" spans="2:3">
      <c r="B50">
        <f>'Trim Balancing'!K39</f>
        <v>0</v>
      </c>
      <c r="C50" t="b">
        <f t="shared" si="11"/>
        <v>0</v>
      </c>
    </row>
    <row r="51" spans="2:3">
      <c r="B51">
        <f>'Trim Balancing'!K40</f>
        <v>0</v>
      </c>
      <c r="C51" t="b">
        <f t="shared" si="11"/>
        <v>0</v>
      </c>
    </row>
    <row r="52" spans="2:3">
      <c r="B52">
        <f>'Trim Balancing'!K41</f>
        <v>0</v>
      </c>
      <c r="C52" t="b">
        <f t="shared" si="11"/>
        <v>0</v>
      </c>
    </row>
    <row r="53" spans="2:3">
      <c r="B53">
        <f>'Trim Balancing'!K42</f>
        <v>0</v>
      </c>
      <c r="C53" t="b">
        <f t="shared" si="11"/>
        <v>0</v>
      </c>
    </row>
    <row r="54" spans="2:3">
      <c r="B54">
        <f>'Trim Balancing'!K43</f>
        <v>0</v>
      </c>
      <c r="C54" t="b">
        <f t="shared" si="11"/>
        <v>0</v>
      </c>
    </row>
    <row r="55" spans="2:3">
      <c r="B55">
        <f>'Trim Balancing'!K44</f>
        <v>0</v>
      </c>
      <c r="C55" t="b">
        <f t="shared" si="11"/>
        <v>0</v>
      </c>
    </row>
    <row r="56" spans="2:3">
      <c r="B56">
        <f>'Trim Balancing'!K45</f>
        <v>0</v>
      </c>
      <c r="C56" t="b">
        <f t="shared" si="11"/>
        <v>0</v>
      </c>
    </row>
    <row r="57" spans="2:3">
      <c r="B57">
        <f>'Trim Balancing'!K46</f>
        <v>0</v>
      </c>
      <c r="C57" t="b">
        <f t="shared" si="11"/>
        <v>0</v>
      </c>
    </row>
    <row r="58" spans="2:3">
      <c r="B58">
        <f>'Trim Balancing'!K47</f>
        <v>0</v>
      </c>
      <c r="C58" t="b">
        <f t="shared" si="11"/>
        <v>0</v>
      </c>
    </row>
    <row r="59" spans="2:3">
      <c r="B59">
        <f>'Trim Balancing'!K48</f>
        <v>0</v>
      </c>
      <c r="C59" t="b">
        <f t="shared" si="11"/>
        <v>0</v>
      </c>
    </row>
    <row r="60" spans="2:3">
      <c r="B60">
        <f>'Trim Balancing'!K49</f>
        <v>0</v>
      </c>
      <c r="C60" t="b">
        <f t="shared" si="11"/>
        <v>0</v>
      </c>
    </row>
    <row r="61" spans="2:3">
      <c r="B61">
        <f>'Trim Balancing'!K50</f>
        <v>0</v>
      </c>
      <c r="C61" t="b">
        <f t="shared" si="11"/>
        <v>0</v>
      </c>
    </row>
  </sheetData>
  <sortState xmlns:xlrd2="http://schemas.microsoft.com/office/spreadsheetml/2017/richdata2" ref="C30:C49">
    <sortCondition ref="C30"/>
  </sortState>
  <mergeCells count="5">
    <mergeCell ref="I3:J3"/>
    <mergeCell ref="O3:P3"/>
    <mergeCell ref="K3:L3"/>
    <mergeCell ref="M3:N3"/>
    <mergeCell ref="R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United Technologies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Perron</dc:creator>
  <cp:keywords>Technical Data</cp:keywords>
  <dc:description/>
  <cp:lastModifiedBy/>
  <cp:revision/>
  <dcterms:created xsi:type="dcterms:W3CDTF">2015-08-19T22:06:45Z</dcterms:created>
  <dcterms:modified xsi:type="dcterms:W3CDTF">2024-07-01T15:58:35Z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2be51d7a-3710-4bd3-816f-f7c17292ba43</vt:lpwstr>
  </property>
  <property fmtid="{D5CDD505-2E9C-101B-9397-08002B2CF9AE}" pid="3" name="UTCTechnicalData">
    <vt:lpwstr>Yes</vt:lpwstr>
  </property>
  <property fmtid="{D5CDD505-2E9C-101B-9397-08002B2CF9AE}" pid="4" name="UTCTechnicalDataKeyword">
    <vt:lpwstr>Technical Data</vt:lpwstr>
  </property>
</Properties>
</file>