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827"/>
  <workbookPr codeName="ThisWorkbook" defaultThemeVersion="124226"/>
  <mc:AlternateContent xmlns:mc="http://schemas.openxmlformats.org/markup-compatibility/2006">
    <mc:Choice Requires="x15">
      <x15ac:absPath xmlns:x15ac="http://schemas.microsoft.com/office/spreadsheetml/2010/11/ac" url="https://deltaairlines-my.sharepoint.com/personal/geeheon_kim_delta_com/Documents/"/>
    </mc:Choice>
  </mc:AlternateContent>
  <xr:revisionPtr revIDLastSave="0" documentId="8_{FD3F419C-5C5D-4536-A280-A220E8EA1BAB}" xr6:coauthVersionLast="47" xr6:coauthVersionMax="47" xr10:uidLastSave="{00000000-0000-0000-0000-000000000000}"/>
  <bookViews>
    <workbookView xWindow="-120" yWindow="-120" windowWidth="16440" windowHeight="28440" firstSheet="1" activeTab="1" xr2:uid="{00000000-000D-0000-FFFF-FFFF00000000}"/>
  </bookViews>
  <sheets>
    <sheet name="ECCN" sheetId="3" r:id="rId1"/>
    <sheet name="Trim Balancing" sheetId="1" r:id="rId2"/>
    <sheet name="Calculations" sheetId="2" state="hidden"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5" i="2" l="1"/>
  <c r="K42" i="1" l="1"/>
  <c r="K41" i="1"/>
  <c r="K40" i="1"/>
  <c r="K39" i="1"/>
  <c r="K38" i="1"/>
  <c r="K37" i="1"/>
  <c r="K36" i="1"/>
  <c r="K35" i="1"/>
  <c r="K34" i="1"/>
  <c r="K33" i="1"/>
  <c r="K32" i="1"/>
  <c r="K31" i="1"/>
  <c r="K30" i="1"/>
  <c r="K23" i="1"/>
  <c r="K22" i="1"/>
  <c r="K21" i="1"/>
  <c r="K20" i="1"/>
  <c r="K19" i="1"/>
  <c r="K18" i="1"/>
  <c r="K17" i="1"/>
  <c r="K49" i="1"/>
  <c r="K48" i="1"/>
  <c r="K47" i="1"/>
  <c r="K46" i="1"/>
  <c r="K45" i="1"/>
  <c r="K44" i="1"/>
  <c r="K43" i="1"/>
  <c r="K26" i="1"/>
  <c r="K25" i="1"/>
  <c r="K24" i="1"/>
  <c r="B43" i="2" l="1"/>
  <c r="C43" i="2" s="1"/>
  <c r="B44" i="2"/>
  <c r="C44" i="2" s="1"/>
  <c r="B45" i="2"/>
  <c r="C45" i="2" s="1"/>
  <c r="B46" i="2"/>
  <c r="C46" i="2" s="1"/>
  <c r="B47" i="2"/>
  <c r="B48" i="2"/>
  <c r="B49" i="2"/>
  <c r="C49" i="2" s="1"/>
  <c r="B50" i="2"/>
  <c r="B51" i="2"/>
  <c r="B52" i="2"/>
  <c r="B53" i="2"/>
  <c r="C53" i="2" s="1"/>
  <c r="B54" i="2"/>
  <c r="C54" i="2" s="1"/>
  <c r="B55" i="2"/>
  <c r="B56" i="2"/>
  <c r="C56" i="2" s="1"/>
  <c r="B57" i="2"/>
  <c r="C57" i="2" s="1"/>
  <c r="B58" i="2"/>
  <c r="C58" i="2" s="1"/>
  <c r="B59" i="2"/>
  <c r="B60" i="2"/>
  <c r="B61" i="2"/>
  <c r="C61" i="2" s="1"/>
  <c r="B42" i="2"/>
  <c r="C42" i="2" s="1"/>
  <c r="C47" i="2"/>
  <c r="C48" i="2"/>
  <c r="C50" i="2"/>
  <c r="C51" i="2"/>
  <c r="C52" i="2"/>
  <c r="C55" i="2"/>
  <c r="C59" i="2"/>
  <c r="C60" i="2"/>
  <c r="D33" i="2" l="1"/>
  <c r="D34" i="2" s="1"/>
  <c r="D35" i="2" s="1"/>
  <c r="D36" i="2" s="1"/>
  <c r="D37" i="2" s="1"/>
  <c r="J5" i="2" l="1"/>
  <c r="I5" i="2" s="1"/>
  <c r="D38" i="2"/>
  <c r="D39" i="2" s="1"/>
  <c r="D40" i="2" s="1"/>
  <c r="D41" i="2" s="1"/>
  <c r="D42" i="2"/>
  <c r="D43" i="2" s="1"/>
  <c r="J6" i="2"/>
  <c r="J7" i="2"/>
  <c r="I7" i="2" s="1"/>
  <c r="J8" i="2"/>
  <c r="I8" i="2" s="1"/>
  <c r="J9" i="2"/>
  <c r="I9" i="2" s="1"/>
  <c r="J10" i="2"/>
  <c r="I10" i="2" s="1"/>
  <c r="J11" i="2"/>
  <c r="I11" i="2" s="1"/>
  <c r="J12" i="2"/>
  <c r="I12" i="2" s="1"/>
  <c r="J13" i="2"/>
  <c r="I13" i="2" s="1"/>
  <c r="J14" i="2"/>
  <c r="I14" i="2" s="1"/>
  <c r="J15" i="2"/>
  <c r="I15" i="2" s="1"/>
  <c r="J16" i="2"/>
  <c r="I16" i="2" s="1"/>
  <c r="J17" i="2"/>
  <c r="I17" i="2" s="1"/>
  <c r="J18" i="2"/>
  <c r="I18" i="2" s="1"/>
  <c r="J19" i="2"/>
  <c r="I19" i="2" s="1"/>
  <c r="J20" i="2"/>
  <c r="I20" i="2" s="1"/>
  <c r="J21" i="2"/>
  <c r="I21" i="2" s="1"/>
  <c r="J22" i="2"/>
  <c r="I22" i="2" s="1"/>
  <c r="J23" i="2"/>
  <c r="I23" i="2" s="1"/>
  <c r="J24" i="2"/>
  <c r="I24" i="2" s="1"/>
  <c r="B32" i="2"/>
  <c r="B33" i="2"/>
  <c r="C33" i="2" s="1"/>
  <c r="B34" i="2"/>
  <c r="C34" i="2" s="1"/>
  <c r="B35" i="2"/>
  <c r="B36" i="2"/>
  <c r="C36" i="2" s="1"/>
  <c r="B37" i="2"/>
  <c r="C37" i="2" s="1"/>
  <c r="B38" i="2"/>
  <c r="C38" i="2" s="1"/>
  <c r="B39" i="2"/>
  <c r="C39" i="2" s="1"/>
  <c r="B40" i="2"/>
  <c r="C40" i="2" s="1"/>
  <c r="B41" i="2"/>
  <c r="C41" i="2" s="1"/>
  <c r="F33" i="2" l="1"/>
  <c r="F41" i="2"/>
  <c r="F45" i="2"/>
  <c r="F49" i="2"/>
  <c r="F38" i="2"/>
  <c r="F47" i="2"/>
  <c r="F36" i="2"/>
  <c r="F40" i="2"/>
  <c r="F48" i="2"/>
  <c r="F32" i="2"/>
  <c r="F43" i="2"/>
  <c r="F51" i="2"/>
  <c r="C32" i="2"/>
  <c r="F44" i="2" s="1"/>
  <c r="D44" i="2"/>
  <c r="I6" i="2"/>
  <c r="N6" i="2"/>
  <c r="C35" i="2"/>
  <c r="F39" i="2" s="1"/>
  <c r="F46" i="2" l="1"/>
  <c r="F42" i="2"/>
  <c r="I42" i="2" s="1"/>
  <c r="F50" i="2"/>
  <c r="F34" i="2"/>
  <c r="F35" i="2"/>
  <c r="F37" i="2"/>
  <c r="H37" i="2" s="1"/>
  <c r="H33" i="2"/>
  <c r="D45" i="2"/>
  <c r="H42" i="2"/>
  <c r="H44" i="2"/>
  <c r="I44" i="2"/>
  <c r="H51" i="2"/>
  <c r="I51" i="2"/>
  <c r="H43" i="2"/>
  <c r="I43" i="2"/>
  <c r="H50" i="2"/>
  <c r="I50" i="2"/>
  <c r="H47" i="2"/>
  <c r="I47" i="2"/>
  <c r="H46" i="2"/>
  <c r="I46" i="2"/>
  <c r="H48" i="2"/>
  <c r="I48" i="2"/>
  <c r="H34" i="2"/>
  <c r="I34" i="2"/>
  <c r="H49" i="2"/>
  <c r="I49" i="2"/>
  <c r="H36" i="2"/>
  <c r="I36" i="2"/>
  <c r="H39" i="2"/>
  <c r="I39" i="2"/>
  <c r="H38" i="2"/>
  <c r="I38" i="2"/>
  <c r="H41" i="2"/>
  <c r="I41" i="2"/>
  <c r="H40" i="2"/>
  <c r="I40" i="2"/>
  <c r="H45" i="2"/>
  <c r="I45" i="2"/>
  <c r="I37" i="2" l="1"/>
  <c r="I33" i="2"/>
  <c r="D46" i="2"/>
  <c r="D47" i="2" l="1"/>
  <c r="N7" i="2"/>
  <c r="N8" i="2"/>
  <c r="N9" i="2"/>
  <c r="N10" i="2"/>
  <c r="N11" i="2"/>
  <c r="N12" i="2"/>
  <c r="N13" i="2"/>
  <c r="N14" i="2"/>
  <c r="N15" i="2"/>
  <c r="N16" i="2"/>
  <c r="N17" i="2"/>
  <c r="N18" i="2"/>
  <c r="N19" i="2"/>
  <c r="N20" i="2"/>
  <c r="N21" i="2"/>
  <c r="N22" i="2"/>
  <c r="N23" i="2"/>
  <c r="N24" i="2"/>
  <c r="N5" i="2"/>
  <c r="D48" i="2" l="1"/>
  <c r="M6" i="2"/>
  <c r="M7" i="2"/>
  <c r="M8" i="2"/>
  <c r="M9" i="2"/>
  <c r="M10" i="2"/>
  <c r="M12" i="2"/>
  <c r="M13" i="2"/>
  <c r="M14" i="2"/>
  <c r="M15" i="2"/>
  <c r="M16" i="2"/>
  <c r="M18" i="2"/>
  <c r="M19" i="2"/>
  <c r="M20" i="2"/>
  <c r="M21" i="2"/>
  <c r="M22" i="2"/>
  <c r="M23" i="2"/>
  <c r="M24" i="2"/>
  <c r="M11" i="2"/>
  <c r="M17" i="2"/>
  <c r="M5" i="2"/>
  <c r="P5" i="2" l="1"/>
  <c r="L6" i="2" s="1"/>
  <c r="O5" i="2"/>
  <c r="K6" i="2" s="1"/>
  <c r="D49" i="2"/>
  <c r="P6" i="2" l="1"/>
  <c r="L7" i="2" s="1"/>
  <c r="O6" i="2"/>
  <c r="K7" i="2" s="1"/>
  <c r="D50" i="2"/>
  <c r="P7" i="2" l="1"/>
  <c r="L8" i="2" s="1"/>
  <c r="O7" i="2"/>
  <c r="K8" i="2" s="1"/>
  <c r="D51" i="2"/>
  <c r="P8" i="2" l="1"/>
  <c r="L9" i="2" s="1"/>
  <c r="O8" i="2"/>
  <c r="K9" i="2" s="1"/>
  <c r="O9" i="2" l="1"/>
  <c r="K10" i="2" s="1"/>
  <c r="P9" i="2"/>
  <c r="L10" i="2" s="1"/>
  <c r="P10" i="2" l="1"/>
  <c r="L11" i="2" s="1"/>
  <c r="O10" i="2"/>
  <c r="K11" i="2" s="1"/>
  <c r="O11" i="2" l="1"/>
  <c r="K12" i="2" s="1"/>
  <c r="P11" i="2"/>
  <c r="L12" i="2" s="1"/>
  <c r="P12" i="2" l="1"/>
  <c r="L13" i="2" s="1"/>
  <c r="O12" i="2"/>
  <c r="K13" i="2" s="1"/>
  <c r="P13" i="2" l="1"/>
  <c r="L14" i="2" s="1"/>
  <c r="O13" i="2"/>
  <c r="K14" i="2" s="1"/>
  <c r="P14" i="2" l="1"/>
  <c r="L15" i="2" s="1"/>
  <c r="O14" i="2"/>
  <c r="K15" i="2" s="1"/>
  <c r="P15" i="2" l="1"/>
  <c r="L16" i="2" s="1"/>
  <c r="O15" i="2"/>
  <c r="K16" i="2" s="1"/>
  <c r="P16" i="2" l="1"/>
  <c r="L17" i="2" s="1"/>
  <c r="O16" i="2"/>
  <c r="K17" i="2" s="1"/>
  <c r="P17" i="2" l="1"/>
  <c r="L18" i="2" s="1"/>
  <c r="O17" i="2"/>
  <c r="K18" i="2" s="1"/>
  <c r="P18" i="2" l="1"/>
  <c r="L19" i="2" s="1"/>
  <c r="O18" i="2"/>
  <c r="K19" i="2" s="1"/>
  <c r="O19" i="2" l="1"/>
  <c r="K20" i="2" s="1"/>
  <c r="P19" i="2"/>
  <c r="L20" i="2" s="1"/>
  <c r="P20" i="2" l="1"/>
  <c r="L21" i="2" s="1"/>
  <c r="O20" i="2"/>
  <c r="K21" i="2" s="1"/>
  <c r="O21" i="2" l="1"/>
  <c r="K22" i="2" s="1"/>
  <c r="P21" i="2"/>
  <c r="L22" i="2" s="1"/>
  <c r="O22" i="2" l="1"/>
  <c r="K23" i="2" s="1"/>
  <c r="P22" i="2"/>
  <c r="L23" i="2" s="1"/>
  <c r="P23" i="2" l="1"/>
  <c r="L24" i="2" s="1"/>
  <c r="O23" i="2"/>
  <c r="K24" i="2" s="1"/>
  <c r="P24" i="2" l="1"/>
  <c r="O24" i="2"/>
  <c r="O28" i="2" l="1"/>
  <c r="P28" i="2"/>
  <c r="S6" i="2"/>
  <c r="R6" i="2"/>
  <c r="E20" i="2" l="1"/>
  <c r="F20" i="2" s="1"/>
  <c r="E18" i="2"/>
  <c r="F18" i="2" s="1"/>
  <c r="E13" i="2"/>
  <c r="F13" i="2" s="1"/>
  <c r="E8" i="2"/>
  <c r="F8" i="2" s="1"/>
  <c r="E15" i="2"/>
  <c r="F15" i="2" s="1"/>
  <c r="E22" i="2"/>
  <c r="F22" i="2" s="1"/>
  <c r="E12" i="2"/>
  <c r="F12" i="2" s="1"/>
  <c r="E21" i="2"/>
  <c r="F21" i="2" s="1"/>
  <c r="E16" i="2"/>
  <c r="F16" i="2" s="1"/>
  <c r="E5" i="2"/>
  <c r="F5" i="2" s="1"/>
  <c r="E19" i="2"/>
  <c r="F19" i="2" s="1"/>
  <c r="E10" i="2"/>
  <c r="F10" i="2" s="1"/>
  <c r="E23" i="2"/>
  <c r="F23" i="2" s="1"/>
  <c r="E11" i="2"/>
  <c r="F11" i="2" s="1"/>
  <c r="E6" i="2"/>
  <c r="F6" i="2" s="1"/>
  <c r="E17" i="2"/>
  <c r="F17" i="2" s="1"/>
  <c r="E9" i="2"/>
  <c r="F9" i="2" s="1"/>
  <c r="E14" i="2"/>
  <c r="F14" i="2" s="1"/>
  <c r="H35" i="2" l="1"/>
  <c r="E7" i="2" s="1"/>
  <c r="F7" i="2" s="1"/>
  <c r="I35" i="2"/>
  <c r="H32" i="2"/>
  <c r="E4" i="2" s="1"/>
  <c r="F4" i="2" s="1"/>
  <c r="I32" i="2"/>
  <c r="R5" i="2"/>
  <c r="P27" i="2" s="1"/>
  <c r="P29" i="2" s="1"/>
  <c r="O27" i="2" l="1"/>
  <c r="O29" i="2" s="1"/>
  <c r="O30" i="2" l="1"/>
  <c r="R7" i="2" s="1"/>
  <c r="P30" i="2"/>
  <c r="S7" i="2" s="1"/>
  <c r="S8" i="2" l="1"/>
  <c r="S10" i="2"/>
  <c r="R10" i="2"/>
  <c r="F17" i="1" s="1"/>
  <c r="R8" i="2"/>
  <c r="R11" i="2" l="1"/>
  <c r="R12" i="2"/>
  <c r="S12" i="2" l="1"/>
  <c r="S11" i="2"/>
  <c r="S31" i="2" s="1"/>
  <c r="G17" i="1" s="1"/>
  <c r="R13" i="2"/>
  <c r="S13" i="2" l="1"/>
  <c r="R14" i="2"/>
  <c r="S14" i="2" l="1"/>
  <c r="R15" i="2"/>
  <c r="S15" i="2" l="1"/>
  <c r="R16" i="2"/>
  <c r="S16" i="2" l="1"/>
  <c r="R17" i="2"/>
  <c r="R18" i="2" s="1"/>
  <c r="S18" i="2" l="1"/>
  <c r="S17" i="2"/>
  <c r="R19" i="2"/>
  <c r="S19" i="2" l="1"/>
  <c r="R20" i="2"/>
  <c r="S20" i="2" l="1"/>
  <c r="R21" i="2"/>
  <c r="R22" i="2" s="1"/>
  <c r="S22" i="2" l="1"/>
  <c r="S21" i="2"/>
  <c r="R23" i="2"/>
  <c r="S23" i="2" s="1"/>
  <c r="R24" i="2" l="1"/>
  <c r="S24" i="2" l="1"/>
  <c r="R25" i="2"/>
  <c r="S25" i="2" l="1"/>
  <c r="R26" i="2"/>
  <c r="R27" i="2" l="1"/>
  <c r="S26" i="2"/>
  <c r="S27" i="2" l="1"/>
  <c r="R28" i="2"/>
  <c r="S28" i="2" l="1"/>
  <c r="R29" i="2"/>
  <c r="S29" i="2" s="1"/>
  <c r="R30" i="2" l="1"/>
  <c r="S30" i="2" s="1"/>
</calcChain>
</file>

<file path=xl/sharedStrings.xml><?xml version="1.0" encoding="utf-8"?>
<sst xmlns="http://schemas.openxmlformats.org/spreadsheetml/2006/main" count="109" uniqueCount="78">
  <si>
    <t>Fan Trim Balance Helper Tool - PW1100G-JM / PW1400G-JM</t>
  </si>
  <si>
    <t>Instructions</t>
  </si>
  <si>
    <t>1. Enter the Correction Vector [magnitude (oz-in) and direction (degrees)] given by the PHMU</t>
  </si>
  <si>
    <t>2. Use the drop-down menus in columns J and L to assign weights to locations</t>
  </si>
  <si>
    <t xml:space="preserve">       2a. Add any weights already installed to the "Existing" table</t>
  </si>
  <si>
    <t xml:space="preserve">       2b. Add weights that are going to be installed to the "Added" table</t>
  </si>
  <si>
    <t>3. For the first added weight, pick a weight type close to the Vector Delta Magnitude and the recommended hole # (or closest available)</t>
  </si>
  <si>
    <t>4. Repeat step 3 until the Vector Delta Magnitude is less than 3</t>
  </si>
  <si>
    <r>
      <rPr>
        <u/>
        <sz val="16"/>
        <color rgb="FFFF0000"/>
        <rFont val="Arial"/>
        <family val="2"/>
      </rPr>
      <t>Note:</t>
    </r>
    <r>
      <rPr>
        <sz val="16"/>
        <color rgb="FFFF0000"/>
        <rFont val="Arial"/>
        <family val="2"/>
      </rPr>
      <t xml:space="preserve"> Ignore center holes (for rivet-on weights only)</t>
    </r>
  </si>
  <si>
    <r>
      <rPr>
        <u/>
        <sz val="16"/>
        <color rgb="FFFF0000"/>
        <rFont val="Arial"/>
        <family val="2"/>
      </rPr>
      <t>Note:</t>
    </r>
    <r>
      <rPr>
        <sz val="16"/>
        <color rgb="FFFF0000"/>
        <rFont val="Arial"/>
        <family val="2"/>
      </rPr>
      <t xml:space="preserve"> Relationship between 0° dimple and hole #1 is purely coincidental; Hole 1 is the first hole CCW VFF from the 1/rev reference dimple</t>
    </r>
  </si>
  <si>
    <t>Correction Vector</t>
  </si>
  <si>
    <t>Vector Delta</t>
  </si>
  <si>
    <t>Recommended</t>
  </si>
  <si>
    <t>Existing Trim Balance Weights</t>
  </si>
  <si>
    <t>Magnitude</t>
  </si>
  <si>
    <t>Direction</t>
  </si>
  <si>
    <t>Hole #</t>
  </si>
  <si>
    <t>Correction</t>
  </si>
  <si>
    <t>Part Number</t>
  </si>
  <si>
    <t>Added Trim Balance Weights</t>
  </si>
  <si>
    <t>* Hole #1 is the first hole counterclockwise from the Once-per-rev dimple</t>
  </si>
  <si>
    <t>that is not a center rivet hole</t>
  </si>
  <si>
    <t>Available Weights</t>
  </si>
  <si>
    <t>Available Locations</t>
  </si>
  <si>
    <t>P/N</t>
  </si>
  <si>
    <t>Angle</t>
  </si>
  <si>
    <t>Location</t>
  </si>
  <si>
    <t>User Input</t>
  </si>
  <si>
    <t>This Weight</t>
  </si>
  <si>
    <t>Component</t>
  </si>
  <si>
    <t>Result</t>
  </si>
  <si>
    <t>Answer Check</t>
  </si>
  <si>
    <t>51A591CL1</t>
  </si>
  <si>
    <t>Mag</t>
  </si>
  <si>
    <t>51A591CL2</t>
  </si>
  <si>
    <t>Weight 1</t>
  </si>
  <si>
    <t>Target</t>
  </si>
  <si>
    <t>51A592CL1</t>
  </si>
  <si>
    <t>Weight 2</t>
  </si>
  <si>
    <t>Trim</t>
  </si>
  <si>
    <t>51A592CL2</t>
  </si>
  <si>
    <t>Weight 3</t>
  </si>
  <si>
    <t>Delta</t>
  </si>
  <si>
    <t>51A592CL3</t>
  </si>
  <si>
    <t>Weight 4</t>
  </si>
  <si>
    <t>Good?</t>
  </si>
  <si>
    <t>51A597CL1</t>
  </si>
  <si>
    <t>Weight 5</t>
  </si>
  <si>
    <t>Weight 6</t>
  </si>
  <si>
    <t>Weight 7</t>
  </si>
  <si>
    <t>Delta Angle to Hole #</t>
  </si>
  <si>
    <t>Weight 8</t>
  </si>
  <si>
    <t>Alt Hole if blocked</t>
  </si>
  <si>
    <t>Weight 9</t>
  </si>
  <si>
    <t>Next alt hole</t>
  </si>
  <si>
    <t>Weight 10</t>
  </si>
  <si>
    <t>etc</t>
  </si>
  <si>
    <t>Weight 11</t>
  </si>
  <si>
    <t>Weight 12</t>
  </si>
  <si>
    <t>Weight 13</t>
  </si>
  <si>
    <t>Weight 14</t>
  </si>
  <si>
    <t>Weight 15</t>
  </si>
  <si>
    <t>Not included in logic</t>
  </si>
  <si>
    <t>Weight 16</t>
  </si>
  <si>
    <t>V</t>
  </si>
  <si>
    <t>Weight 17</t>
  </si>
  <si>
    <t>Weight 18</t>
  </si>
  <si>
    <t>Weight 19</t>
  </si>
  <si>
    <t>Weight 20</t>
  </si>
  <si>
    <t>X</t>
  </si>
  <si>
    <t>Y</t>
  </si>
  <si>
    <t>Cor'n Vec</t>
  </si>
  <si>
    <t>Resultant</t>
  </si>
  <si>
    <t>Existing Slot</t>
  </si>
  <si>
    <t>Used?</t>
  </si>
  <si>
    <t>List</t>
  </si>
  <si>
    <t>Mag/Phs</t>
  </si>
  <si>
    <t>Recommended Hole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</si>
</sst>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font>
      <sz val="11"/>
      <color theme="1"/>
      <name val="Arial"/>
      <family val="2"/>
    </font>
    <font>
      <sz val="18"/>
      <color theme="1"/>
      <name val="Arial"/>
      <family val="2"/>
    </font>
    <font>
      <sz val="14"/>
      <color theme="1"/>
      <name val="Arial"/>
      <family val="2"/>
    </font>
    <font>
      <b/>
      <u/>
      <sz val="11"/>
      <color theme="1"/>
      <name val="Arial"/>
      <family val="2"/>
    </font>
    <font>
      <sz val="16"/>
      <color rgb="FFFF0000"/>
      <name val="Arial"/>
      <family val="2"/>
    </font>
    <font>
      <u/>
      <sz val="16"/>
      <color rgb="FFFF0000"/>
      <name val="Arial"/>
      <family val="2"/>
    </font>
    <font>
      <sz val="10"/>
      <name val="Arial"/>
      <family val="2"/>
    </font>
    <font>
      <u/>
      <sz val="18"/>
      <name val="Arial"/>
      <family val="2"/>
    </font>
  </fonts>
  <fills count="5">
    <fill>
      <patternFill patternType="none"/>
    </fill>
    <fill>
      <patternFill patternType="gray125"/>
    </fill>
    <fill>
      <patternFill patternType="solid">
        <fgColor rgb="FFFFFF00"/>
        <bgColor indexed="64"/>
      </patternFill>
    </fill>
    <fill>
      <patternFill patternType="solid">
        <fgColor theme="6" tint="0.79998168889431442"/>
        <bgColor indexed="64"/>
      </patternFill>
    </fill>
    <fill>
      <patternFill patternType="solid">
        <fgColor theme="0"/>
        <bgColor indexed="64"/>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s>
  <cellStyleXfs count="2">
    <xf numFmtId="0" fontId="0" fillId="0" borderId="0"/>
    <xf numFmtId="0" fontId="6" fillId="0" borderId="0"/>
  </cellStyleXfs>
  <cellXfs count="35">
    <xf numFmtId="0" fontId="0" fillId="0" borderId="0" xfId="0"/>
    <xf numFmtId="0" fontId="1" fillId="0" borderId="0" xfId="0" applyFont="1"/>
    <xf numFmtId="0" fontId="2" fillId="0" borderId="3" xfId="0" applyFont="1" applyBorder="1"/>
    <xf numFmtId="0" fontId="2" fillId="0" borderId="2" xfId="0" applyFont="1" applyBorder="1"/>
    <xf numFmtId="0" fontId="2" fillId="0" borderId="4" xfId="0" applyFont="1" applyBorder="1"/>
    <xf numFmtId="0" fontId="0" fillId="0" borderId="3" xfId="0" applyBorder="1"/>
    <xf numFmtId="2" fontId="1" fillId="0" borderId="1" xfId="0" applyNumberFormat="1" applyFont="1" applyBorder="1"/>
    <xf numFmtId="1" fontId="1" fillId="0" borderId="1" xfId="0" applyNumberFormat="1" applyFont="1" applyBorder="1"/>
    <xf numFmtId="0" fontId="3" fillId="0" borderId="0" xfId="0" applyFont="1"/>
    <xf numFmtId="0" fontId="1" fillId="3" borderId="1" xfId="0" applyFont="1" applyFill="1" applyBorder="1" applyProtection="1">
      <protection locked="0"/>
    </xf>
    <xf numFmtId="0" fontId="2" fillId="0" borderId="5" xfId="0" applyFont="1" applyBorder="1"/>
    <xf numFmtId="0" fontId="2" fillId="3" borderId="2" xfId="0" applyFont="1" applyFill="1" applyBorder="1" applyProtection="1">
      <protection locked="0"/>
    </xf>
    <xf numFmtId="0" fontId="2" fillId="3" borderId="7" xfId="0" applyFont="1" applyFill="1" applyBorder="1" applyProtection="1">
      <protection locked="0"/>
    </xf>
    <xf numFmtId="0" fontId="2" fillId="2" borderId="0" xfId="0" applyFont="1" applyFill="1"/>
    <xf numFmtId="0" fontId="0" fillId="2" borderId="0" xfId="0" applyFill="1"/>
    <xf numFmtId="0" fontId="2" fillId="3" borderId="4" xfId="0" applyFont="1" applyFill="1" applyBorder="1" applyProtection="1">
      <protection locked="0"/>
    </xf>
    <xf numFmtId="0" fontId="2" fillId="3" borderId="6" xfId="0" applyFont="1" applyFill="1" applyBorder="1" applyProtection="1">
      <protection locked="0"/>
    </xf>
    <xf numFmtId="2" fontId="0" fillId="0" borderId="3" xfId="0" applyNumberFormat="1" applyBorder="1"/>
    <xf numFmtId="2" fontId="0" fillId="4" borderId="3" xfId="0" applyNumberFormat="1" applyFill="1" applyBorder="1"/>
    <xf numFmtId="2" fontId="0" fillId="0" borderId="3" xfId="0" applyNumberFormat="1" applyBorder="1" applyAlignment="1">
      <alignment horizontal="center" vertical="center"/>
    </xf>
    <xf numFmtId="164" fontId="0" fillId="0" borderId="3" xfId="0" applyNumberFormat="1" applyBorder="1"/>
    <xf numFmtId="0" fontId="0" fillId="0" borderId="0" xfId="0" quotePrefix="1"/>
    <xf numFmtId="0" fontId="6" fillId="0" borderId="0" xfId="1"/>
    <xf numFmtId="0" fontId="7" fillId="0" borderId="0" xfId="1" applyFont="1"/>
    <xf numFmtId="0" fontId="4" fillId="2" borderId="8" xfId="0" applyFont="1" applyFill="1" applyBorder="1" applyAlignment="1">
      <alignment horizontal="left"/>
    </xf>
    <xf numFmtId="0" fontId="4" fillId="2" borderId="13" xfId="0" applyFont="1" applyFill="1" applyBorder="1" applyAlignment="1">
      <alignment horizontal="left"/>
    </xf>
    <xf numFmtId="0" fontId="4" fillId="2" borderId="9" xfId="0" applyFont="1" applyFill="1" applyBorder="1" applyAlignment="1">
      <alignment horizontal="left"/>
    </xf>
    <xf numFmtId="0" fontId="4" fillId="2" borderId="3" xfId="0" applyFont="1" applyFill="1" applyBorder="1" applyAlignment="1">
      <alignment horizontal="left" vertical="top" wrapText="1"/>
    </xf>
    <xf numFmtId="0" fontId="1" fillId="0" borderId="0" xfId="0" applyFont="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12" xfId="0" applyFont="1" applyBorder="1" applyAlignment="1">
      <alignment horizontal="center"/>
    </xf>
    <xf numFmtId="0" fontId="0" fillId="0" borderId="3" xfId="0" applyBorder="1" applyAlignment="1">
      <alignment horizontal="center"/>
    </xf>
    <xf numFmtId="0" fontId="0" fillId="0" borderId="8" xfId="0" applyBorder="1" applyAlignment="1">
      <alignment horizontal="center"/>
    </xf>
    <xf numFmtId="0" fontId="0" fillId="0" borderId="9" xfId="0" applyBorder="1" applyAlignment="1">
      <alignment horizontal="center"/>
    </xf>
  </cellXfs>
  <cellStyles count="2">
    <cellStyle name="Normal" xfId="0" builtinId="0"/>
    <cellStyle name="Normal_ExportControlMarkings_Macro" xfId="1" xr:uid="{00000000-0005-0000-0000-000001000000}"/>
  </cellStyles>
  <dxfs count="1">
    <dxf>
      <font>
        <color rgb="FF9C0006"/>
      </font>
      <fill>
        <patternFill>
          <bgColor rgb="FFFFC7CE"/>
        </patternFill>
      </fill>
    </dxf>
  </dxfs>
  <tableStyles count="0" defaultTableStyle="TableStyleMedium2" defaultPivotStyle="PivotStyleLight16"/>
  <colors>
    <mruColors>
      <color rgb="FF66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Calculations!$N$28</c:f>
              <c:strCache>
                <c:ptCount val="1"/>
                <c:pt idx="0">
                  <c:v>Resultant</c:v>
                </c:pt>
              </c:strCache>
            </c:strRef>
          </c:tx>
          <c:spPr>
            <a:ln w="28575">
              <a:noFill/>
            </a:ln>
          </c:spPr>
          <c:xVal>
            <c:numRef>
              <c:f>Calculations!$O$28</c:f>
              <c:numCache>
                <c:formatCode>0.0</c:formatCode>
                <c:ptCount val="1"/>
                <c:pt idx="0">
                  <c:v>0</c:v>
                </c:pt>
              </c:numCache>
            </c:numRef>
          </c:xVal>
          <c:yVal>
            <c:numRef>
              <c:f>Calculations!$P$28</c:f>
              <c:numCache>
                <c:formatCode>0.0</c:formatCode>
                <c:ptCount val="1"/>
                <c:pt idx="0">
                  <c:v>0</c:v>
                </c:pt>
              </c:numCache>
            </c:numRef>
          </c:yVal>
          <c:smooth val="0"/>
          <c:extLst>
            <c:ext xmlns:c16="http://schemas.microsoft.com/office/drawing/2014/chart" uri="{C3380CC4-5D6E-409C-BE32-E72D297353CC}">
              <c16:uniqueId val="{00000000-77E5-4625-9C42-B5FEDE82C40D}"/>
            </c:ext>
          </c:extLst>
        </c:ser>
        <c:ser>
          <c:idx val="1"/>
          <c:order val="1"/>
          <c:tx>
            <c:strRef>
              <c:f>Calculations!$N$27</c:f>
              <c:strCache>
                <c:ptCount val="1"/>
                <c:pt idx="0">
                  <c:v>Cor'n Vec</c:v>
                </c:pt>
              </c:strCache>
            </c:strRef>
          </c:tx>
          <c:spPr>
            <a:ln w="28575">
              <a:noFill/>
            </a:ln>
          </c:spPr>
          <c:xVal>
            <c:numRef>
              <c:f>Calculations!$O$27</c:f>
              <c:numCache>
                <c:formatCode>0.0</c:formatCode>
                <c:ptCount val="1"/>
                <c:pt idx="0">
                  <c:v>-14</c:v>
                </c:pt>
              </c:numCache>
            </c:numRef>
          </c:xVal>
          <c:yVal>
            <c:numRef>
              <c:f>Calculations!$P$27</c:f>
              <c:numCache>
                <c:formatCode>0.0</c:formatCode>
                <c:ptCount val="1"/>
                <c:pt idx="0">
                  <c:v>0</c:v>
                </c:pt>
              </c:numCache>
            </c:numRef>
          </c:yVal>
          <c:smooth val="0"/>
          <c:extLst>
            <c:ext xmlns:c16="http://schemas.microsoft.com/office/drawing/2014/chart" uri="{C3380CC4-5D6E-409C-BE32-E72D297353CC}">
              <c16:uniqueId val="{00000001-77E5-4625-9C42-B5FEDE82C40D}"/>
            </c:ext>
          </c:extLst>
        </c:ser>
        <c:ser>
          <c:idx val="2"/>
          <c:order val="2"/>
          <c:tx>
            <c:strRef>
              <c:f>Calculations!$N$29</c:f>
              <c:strCache>
                <c:ptCount val="1"/>
                <c:pt idx="0">
                  <c:v>Delta</c:v>
                </c:pt>
              </c:strCache>
            </c:strRef>
          </c:tx>
          <c:spPr>
            <a:ln w="28575">
              <a:noFill/>
            </a:ln>
          </c:spPr>
          <c:xVal>
            <c:numRef>
              <c:f>Calculations!$O$29</c:f>
              <c:numCache>
                <c:formatCode>0.0</c:formatCode>
                <c:ptCount val="1"/>
                <c:pt idx="0">
                  <c:v>-14</c:v>
                </c:pt>
              </c:numCache>
            </c:numRef>
          </c:xVal>
          <c:yVal>
            <c:numRef>
              <c:f>Calculations!$P$29</c:f>
              <c:numCache>
                <c:formatCode>0.0</c:formatCode>
                <c:ptCount val="1"/>
                <c:pt idx="0">
                  <c:v>0</c:v>
                </c:pt>
              </c:numCache>
            </c:numRef>
          </c:yVal>
          <c:smooth val="0"/>
          <c:extLst>
            <c:ext xmlns:c16="http://schemas.microsoft.com/office/drawing/2014/chart" uri="{C3380CC4-5D6E-409C-BE32-E72D297353CC}">
              <c16:uniqueId val="{00000002-77E5-4625-9C42-B5FEDE82C40D}"/>
            </c:ext>
          </c:extLst>
        </c:ser>
        <c:dLbls>
          <c:showLegendKey val="0"/>
          <c:showVal val="0"/>
          <c:showCatName val="0"/>
          <c:showSerName val="0"/>
          <c:showPercent val="0"/>
          <c:showBubbleSize val="0"/>
        </c:dLbls>
        <c:axId val="310360704"/>
        <c:axId val="310366592"/>
      </c:scatterChart>
      <c:valAx>
        <c:axId val="310360704"/>
        <c:scaling>
          <c:orientation val="minMax"/>
          <c:max val="25"/>
          <c:min val="-25"/>
        </c:scaling>
        <c:delete val="0"/>
        <c:axPos val="b"/>
        <c:majorGridlines>
          <c:spPr>
            <a:ln>
              <a:solidFill>
                <a:schemeClr val="bg1">
                  <a:lumMod val="85000"/>
                </a:schemeClr>
              </a:solidFill>
              <a:prstDash val="sysDash"/>
            </a:ln>
          </c:spPr>
        </c:majorGridlines>
        <c:numFmt formatCode="0.0" sourceLinked="1"/>
        <c:majorTickMark val="out"/>
        <c:minorTickMark val="none"/>
        <c:tickLblPos val="nextTo"/>
        <c:crossAx val="310366592"/>
        <c:crosses val="autoZero"/>
        <c:crossBetween val="midCat"/>
        <c:majorUnit val="5"/>
      </c:valAx>
      <c:valAx>
        <c:axId val="310366592"/>
        <c:scaling>
          <c:orientation val="minMax"/>
          <c:max val="25"/>
          <c:min val="-25"/>
        </c:scaling>
        <c:delete val="0"/>
        <c:axPos val="l"/>
        <c:majorGridlines>
          <c:spPr>
            <a:ln>
              <a:solidFill>
                <a:schemeClr val="bg1">
                  <a:lumMod val="85000"/>
                </a:schemeClr>
              </a:solidFill>
              <a:prstDash val="sysDash"/>
            </a:ln>
          </c:spPr>
        </c:majorGridlines>
        <c:numFmt formatCode="0.0" sourceLinked="1"/>
        <c:majorTickMark val="out"/>
        <c:minorTickMark val="none"/>
        <c:tickLblPos val="nextTo"/>
        <c:crossAx val="310360704"/>
        <c:crosses val="autoZero"/>
        <c:crossBetween val="midCat"/>
      </c:valAx>
    </c:plotArea>
    <c:legend>
      <c:legendPos val="r"/>
      <c:layout>
        <c:manualLayout>
          <c:xMode val="edge"/>
          <c:yMode val="edge"/>
          <c:x val="0.84067048437127179"/>
          <c:y val="1.0609011117012315E-3"/>
          <c:w val="0.14799235621863058"/>
          <c:h val="0.17676357170896159"/>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409575</xdr:colOff>
      <xdr:row>2</xdr:row>
      <xdr:rowOff>152400</xdr:rowOff>
    </xdr:from>
    <xdr:to>
      <xdr:col>11</xdr:col>
      <xdr:colOff>561975</xdr:colOff>
      <xdr:row>35</xdr:row>
      <xdr:rowOff>66675</xdr:rowOff>
    </xdr:to>
    <xdr:pic>
      <xdr:nvPicPr>
        <xdr:cNvPr id="2" name="Picture 1" descr="eagle">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9575" y="609600"/>
          <a:ext cx="7696200" cy="525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472440</xdr:colOff>
      <xdr:row>11</xdr:row>
      <xdr:rowOff>104775</xdr:rowOff>
    </xdr:from>
    <xdr:to>
      <xdr:col>11</xdr:col>
      <xdr:colOff>436277</xdr:colOff>
      <xdr:row>21</xdr:row>
      <xdr:rowOff>57150</xdr:rowOff>
    </xdr:to>
    <xdr:sp macro="" textlink="">
      <xdr:nvSpPr>
        <xdr:cNvPr id="3" name="Text Box 2">
          <a:extLst>
            <a:ext uri="{FF2B5EF4-FFF2-40B4-BE49-F238E27FC236}">
              <a16:creationId xmlns:a16="http://schemas.microsoft.com/office/drawing/2014/main" id="{00000000-0008-0000-0000-000003000000}"/>
            </a:ext>
          </a:extLst>
        </xdr:cNvPr>
        <xdr:cNvSpPr txBox="1">
          <a:spLocks noChangeArrowheads="1"/>
        </xdr:cNvSpPr>
      </xdr:nvSpPr>
      <xdr:spPr bwMode="auto">
        <a:xfrm>
          <a:off x="472440" y="1885950"/>
          <a:ext cx="6669437" cy="1571625"/>
        </a:xfrm>
        <a:prstGeom prst="rect">
          <a:avLst/>
        </a:prstGeom>
        <a:solidFill>
          <a:srgbClr val="FFFFFF">
            <a:alpha val="30000"/>
          </a:srgbClr>
        </a:solidFill>
        <a:ln w="9525">
          <a:noFill/>
          <a:miter lim="800000"/>
          <a:headEnd/>
          <a:tailEnd/>
        </a:ln>
      </xdr:spPr>
      <xdr:txBody>
        <a:bodyPr vertOverflow="clip" wrap="square" lIns="36576" tIns="27432" rIns="36576" bIns="0" anchor="t" upright="1"/>
        <a:lstStyle/>
        <a:p>
          <a:pPr algn="ctr" rtl="0">
            <a:defRPr sz="1000"/>
          </a:pPr>
          <a:r>
            <a:rPr lang="en-US" sz="1200" b="1" i="0" u="none" strike="noStrike" baseline="0">
              <a:solidFill>
                <a:srgbClr val="FF0000"/>
              </a:solidFill>
              <a:latin typeface="Arial"/>
              <a:cs typeface="Arial"/>
            </a:rPr>
            <a:t>WARNING</a:t>
          </a:r>
          <a:endParaRPr lang="en-US" sz="1200" b="0" i="0" u="none" strike="noStrike" baseline="0">
            <a:solidFill>
              <a:srgbClr val="000000"/>
            </a:solidFill>
            <a:latin typeface="Arial"/>
            <a:cs typeface="Arial"/>
          </a:endParaRPr>
        </a:p>
        <a:p>
          <a:pPr algn="ctr" rtl="0">
            <a:defRPr sz="1000"/>
          </a:pPr>
          <a:endParaRPr lang="en-US" sz="1200" b="0" i="0" u="none" strike="noStrike" baseline="0">
            <a:solidFill>
              <a:srgbClr val="000000"/>
            </a:solidFill>
            <a:latin typeface="Arial"/>
            <a:cs typeface="Arial"/>
          </a:endParaRPr>
        </a:p>
        <a:p>
          <a:pPr algn="ctr" rtl="0">
            <a:defRPr sz="1000"/>
          </a:pPr>
          <a:r>
            <a:rPr lang="en-US" sz="1200" b="0" i="0" u="none" strike="noStrike" baseline="0">
              <a:solidFill>
                <a:srgbClr val="000000"/>
              </a:solidFill>
              <a:latin typeface="Arial"/>
              <a:cs typeface="Arial"/>
            </a:rPr>
            <a:t>This document contains technical data the export of which is or may be restricted by the Export Administration Act and the Export Administration Regulations (EAR), 15 C.F.R. parts 730-774.  Diversion contrary to U.S. law is prohibited.  The export, reexport, transfer or re-transfer of this technical data to any other company, entity, person, or destination, or for any use or purpose other than that for which the technical data was originally provided by P&amp;W, is prohibited without prior written approval from P&amp;W and authorization under applicable export control laws.</a:t>
          </a:r>
        </a:p>
      </xdr:txBody>
    </xdr:sp>
    <xdr:clientData/>
  </xdr:twoCellAnchor>
  <xdr:twoCellAnchor editAs="oneCell">
    <xdr:from>
      <xdr:col>0</xdr:col>
      <xdr:colOff>472440</xdr:colOff>
      <xdr:row>25</xdr:row>
      <xdr:rowOff>108585</xdr:rowOff>
    </xdr:from>
    <xdr:to>
      <xdr:col>11</xdr:col>
      <xdr:colOff>476267</xdr:colOff>
      <xdr:row>34</xdr:row>
      <xdr:rowOff>104851</xdr:rowOff>
    </xdr:to>
    <xdr:sp macro="" textlink="">
      <xdr:nvSpPr>
        <xdr:cNvPr id="4" name="Rectangle 3">
          <a:extLst>
            <a:ext uri="{FF2B5EF4-FFF2-40B4-BE49-F238E27FC236}">
              <a16:creationId xmlns:a16="http://schemas.microsoft.com/office/drawing/2014/main" id="{00000000-0008-0000-0000-000004000000}"/>
            </a:ext>
          </a:extLst>
        </xdr:cNvPr>
        <xdr:cNvSpPr>
          <a:spLocks noChangeArrowheads="1"/>
        </xdr:cNvSpPr>
      </xdr:nvSpPr>
      <xdr:spPr bwMode="auto">
        <a:xfrm>
          <a:off x="472440" y="4156710"/>
          <a:ext cx="6709427" cy="1453591"/>
        </a:xfrm>
        <a:prstGeom prst="rect">
          <a:avLst/>
        </a:prstGeom>
        <a:solidFill>
          <a:srgbClr val="FFFFFF">
            <a:alpha val="30000"/>
          </a:srgbClr>
        </a:solidFill>
        <a:ln w="12700">
          <a:noFill/>
          <a:miter lim="800000"/>
          <a:headEnd/>
          <a:tailEnd/>
        </a:ln>
        <a:effectLst/>
      </xdr:spPr>
      <xdr:txBody>
        <a:bodyPr vertOverflow="clip" wrap="square" lIns="91440" tIns="45720" rIns="91440" bIns="45720" anchor="t" upright="1"/>
        <a:lstStyle/>
        <a:p>
          <a:pPr algn="ctr" rtl="0">
            <a:defRPr sz="1000"/>
          </a:pPr>
          <a:r>
            <a:rPr lang="en-US" sz="900" b="0" i="0" u="none" strike="noStrike" baseline="0">
              <a:solidFill>
                <a:srgbClr val="000000"/>
              </a:solidFill>
              <a:latin typeface="Arial"/>
              <a:cs typeface="Arial"/>
            </a:rPr>
            <a:t>This document is the property of United Technologies Corporation (UTC).  You may not possess, use, copy or disclose this document or any information in it, for any purpose, including without limitation to design, manufacture, or repair parts, or obtain FAA or other government approval to do so, without UTC’s express written permission.  Neither receipt nor possession of this document alone, from any source, constitutes such permission.  Possession, use, copying or disclosure by anyone without UTC’s express written permission is not authorized and may result in criminal and/or civil liability</a:t>
          </a:r>
        </a:p>
        <a:p>
          <a:pPr algn="ctr" rtl="0">
            <a:defRPr sz="1000"/>
          </a:pPr>
          <a:endParaRPr lang="en-US" sz="900" b="0" i="0" u="none" strike="noStrike" baseline="0">
            <a:solidFill>
              <a:srgbClr val="000000"/>
            </a:solidFill>
            <a:latin typeface="Arial"/>
            <a:cs typeface="Arial"/>
          </a:endParaRPr>
        </a:p>
        <a:p>
          <a:pPr algn="ctr" rtl="0">
            <a:defRPr sz="1000"/>
          </a:pPr>
          <a:r>
            <a:rPr lang="en-US" sz="900" b="0" i="0" u="none" strike="noStrike" baseline="0">
              <a:solidFill>
                <a:srgbClr val="000000"/>
              </a:solidFill>
              <a:latin typeface="Arial"/>
              <a:cs typeface="Arial"/>
            </a:rPr>
            <a:t>Pratt &amp; Whitney Proprietary Information</a:t>
          </a:r>
          <a:endParaRPr lang="en-US" sz="900" b="0" i="0" u="none" strike="noStrike" baseline="0">
            <a:solidFill>
              <a:srgbClr val="000000"/>
            </a:solidFill>
            <a:latin typeface="Times New Roman"/>
            <a:cs typeface="Times New Roman"/>
          </a:endParaRPr>
        </a:p>
        <a:p>
          <a:pPr algn="ctr" rtl="0">
            <a:defRPr sz="1000"/>
          </a:pPr>
          <a:endParaRPr lang="en-US" sz="900" b="0" i="0" u="none" strike="noStrike" baseline="0">
            <a:solidFill>
              <a:srgbClr val="000000"/>
            </a:solidFill>
            <a:latin typeface="Times New Roman"/>
            <a:cs typeface="Times New Roman"/>
          </a:endParaRPr>
        </a:p>
      </xdr:txBody>
    </xdr:sp>
    <xdr:clientData/>
  </xdr:twoCellAnchor>
  <xdr:twoCellAnchor>
    <xdr:from>
      <xdr:col>3</xdr:col>
      <xdr:colOff>80010</xdr:colOff>
      <xdr:row>22</xdr:row>
      <xdr:rowOff>133350</xdr:rowOff>
    </xdr:from>
    <xdr:to>
      <xdr:col>9</xdr:col>
      <xdr:colOff>57204</xdr:colOff>
      <xdr:row>24</xdr:row>
      <xdr:rowOff>57150</xdr:rowOff>
    </xdr:to>
    <xdr:sp macro="" textlink="">
      <xdr:nvSpPr>
        <xdr:cNvPr id="5" name="Text Box 4">
          <a:extLst>
            <a:ext uri="{FF2B5EF4-FFF2-40B4-BE49-F238E27FC236}">
              <a16:creationId xmlns:a16="http://schemas.microsoft.com/office/drawing/2014/main" id="{00000000-0008-0000-0000-000005000000}"/>
            </a:ext>
          </a:extLst>
        </xdr:cNvPr>
        <xdr:cNvSpPr txBox="1">
          <a:spLocks noChangeArrowheads="1"/>
        </xdr:cNvSpPr>
      </xdr:nvSpPr>
      <xdr:spPr bwMode="auto">
        <a:xfrm>
          <a:off x="1908810" y="3695700"/>
          <a:ext cx="3634794" cy="247650"/>
        </a:xfrm>
        <a:prstGeom prst="rect">
          <a:avLst/>
        </a:prstGeom>
        <a:noFill/>
        <a:ln w="9525">
          <a:noFill/>
          <a:miter lim="800000"/>
          <a:headEnd/>
          <a:tailEnd/>
        </a:ln>
      </xdr:spPr>
      <xdr:txBody>
        <a:bodyPr vertOverflow="clip" wrap="square" lIns="36576" tIns="22860" rIns="36576" bIns="22860" anchor="ctr" upright="1"/>
        <a:lstStyle/>
        <a:p>
          <a:pPr algn="ctr" rtl="0">
            <a:defRPr sz="1000"/>
          </a:pPr>
          <a:r>
            <a:rPr lang="en-US" sz="1200" b="0" i="0" u="none" strike="noStrike" baseline="0">
              <a:solidFill>
                <a:srgbClr val="000000"/>
              </a:solidFill>
              <a:latin typeface="Arial"/>
              <a:cs typeface="Arial"/>
            </a:rPr>
            <a:t>EAR Export Classification: ECCN 9E991</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265019</xdr:colOff>
      <xdr:row>17</xdr:row>
      <xdr:rowOff>96370</xdr:rowOff>
    </xdr:from>
    <xdr:to>
      <xdr:col>7</xdr:col>
      <xdr:colOff>600075</xdr:colOff>
      <xdr:row>46</xdr:row>
      <xdr:rowOff>210882</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1780" t="4891" r="28694" b="6552"/>
        <a:stretch/>
      </xdr:blipFill>
      <xdr:spPr>
        <a:xfrm>
          <a:off x="455519" y="3738282"/>
          <a:ext cx="6632762" cy="6636335"/>
        </a:xfrm>
        <a:prstGeom prst="rect">
          <a:avLst/>
        </a:prstGeom>
      </xdr:spPr>
    </xdr:pic>
    <xdr:clientData/>
  </xdr:twoCellAnchor>
  <xdr:oneCellAnchor>
    <xdr:from>
      <xdr:col>3</xdr:col>
      <xdr:colOff>434379</xdr:colOff>
      <xdr:row>21</xdr:row>
      <xdr:rowOff>32495</xdr:rowOff>
    </xdr:from>
    <xdr:ext cx="374141" cy="911403"/>
    <xdr:sp macro="" textlink="">
      <xdr:nvSpPr>
        <xdr:cNvPr id="3" name="TextBox 2">
          <a:extLst>
            <a:ext uri="{FF2B5EF4-FFF2-40B4-BE49-F238E27FC236}">
              <a16:creationId xmlns:a16="http://schemas.microsoft.com/office/drawing/2014/main" id="{00000000-0008-0000-0100-000003000000}"/>
            </a:ext>
          </a:extLst>
        </xdr:cNvPr>
        <xdr:cNvSpPr txBox="1"/>
      </xdr:nvSpPr>
      <xdr:spPr>
        <a:xfrm rot="3600000">
          <a:off x="2218666" y="4164914"/>
          <a:ext cx="911403" cy="374141"/>
        </a:xfrm>
        <a:prstGeom prst="rect">
          <a:avLst/>
        </a:prstGeom>
        <a:solidFill>
          <a:srgbClr val="00B05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b="1"/>
            <a:t>Hole #1</a:t>
          </a:r>
        </a:p>
      </xdr:txBody>
    </xdr:sp>
    <xdr:clientData/>
  </xdr:oneCellAnchor>
  <xdr:twoCellAnchor>
    <xdr:from>
      <xdr:col>3</xdr:col>
      <xdr:colOff>1038225</xdr:colOff>
      <xdr:row>26</xdr:row>
      <xdr:rowOff>85725</xdr:rowOff>
    </xdr:from>
    <xdr:to>
      <xdr:col>3</xdr:col>
      <xdr:colOff>1128713</xdr:colOff>
      <xdr:row>29</xdr:row>
      <xdr:rowOff>57150</xdr:rowOff>
    </xdr:to>
    <xdr:cxnSp macro="">
      <xdr:nvCxnSpPr>
        <xdr:cNvPr id="25" name="Straight Arrow Connector 24">
          <a:extLst>
            <a:ext uri="{FF2B5EF4-FFF2-40B4-BE49-F238E27FC236}">
              <a16:creationId xmlns:a16="http://schemas.microsoft.com/office/drawing/2014/main" id="{00000000-0008-0000-0100-000019000000}"/>
            </a:ext>
          </a:extLst>
        </xdr:cNvPr>
        <xdr:cNvCxnSpPr/>
      </xdr:nvCxnSpPr>
      <xdr:spPr>
        <a:xfrm flipH="1" flipV="1">
          <a:off x="3095625" y="5038725"/>
          <a:ext cx="90488" cy="624568"/>
        </a:xfrm>
        <a:prstGeom prst="straightConnector1">
          <a:avLst/>
        </a:prstGeom>
        <a:ln w="28575">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717413</xdr:colOff>
      <xdr:row>23</xdr:row>
      <xdr:rowOff>60558</xdr:rowOff>
    </xdr:from>
    <xdr:to>
      <xdr:col>6</xdr:col>
      <xdr:colOff>608578</xdr:colOff>
      <xdr:row>41</xdr:row>
      <xdr:rowOff>73024</xdr:rowOff>
    </xdr:to>
    <xdr:sp macro="" textlink="">
      <xdr:nvSpPr>
        <xdr:cNvPr id="32" name="Circular Arrow 31">
          <a:extLst>
            <a:ext uri="{FF2B5EF4-FFF2-40B4-BE49-F238E27FC236}">
              <a16:creationId xmlns:a16="http://schemas.microsoft.com/office/drawing/2014/main" id="{00000000-0008-0000-0100-000020000000}"/>
            </a:ext>
          </a:extLst>
        </xdr:cNvPr>
        <xdr:cNvSpPr/>
      </xdr:nvSpPr>
      <xdr:spPr>
        <a:xfrm rot="14400000" flipH="1">
          <a:off x="1611504" y="5083173"/>
          <a:ext cx="4073478" cy="4140435"/>
        </a:xfrm>
        <a:prstGeom prst="circularArrow">
          <a:avLst>
            <a:gd name="adj1" fmla="val 12500"/>
            <a:gd name="adj2" fmla="val 808473"/>
            <a:gd name="adj3" fmla="val 20457681"/>
            <a:gd name="adj4" fmla="val 10800000"/>
            <a:gd name="adj5" fmla="val 125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oneCellAnchor>
    <xdr:from>
      <xdr:col>2</xdr:col>
      <xdr:colOff>1134880</xdr:colOff>
      <xdr:row>22</xdr:row>
      <xdr:rowOff>146248</xdr:rowOff>
    </xdr:from>
    <xdr:ext cx="374141" cy="911403"/>
    <xdr:sp macro="" textlink="">
      <xdr:nvSpPr>
        <xdr:cNvPr id="26" name="TextBox 25">
          <a:extLst>
            <a:ext uri="{FF2B5EF4-FFF2-40B4-BE49-F238E27FC236}">
              <a16:creationId xmlns:a16="http://schemas.microsoft.com/office/drawing/2014/main" id="{00000000-0008-0000-0100-00001A000000}"/>
            </a:ext>
          </a:extLst>
        </xdr:cNvPr>
        <xdr:cNvSpPr txBox="1"/>
      </xdr:nvSpPr>
      <xdr:spPr>
        <a:xfrm rot="2700000">
          <a:off x="1726861" y="4511750"/>
          <a:ext cx="911403" cy="374141"/>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b="1">
              <a:solidFill>
                <a:schemeClr val="tx1"/>
              </a:solidFill>
              <a:effectLst/>
              <a:latin typeface="+mn-lt"/>
              <a:ea typeface="+mn-ea"/>
              <a:cs typeface="+mn-cs"/>
            </a:rPr>
            <a:t>Hole #</a:t>
          </a:r>
          <a:r>
            <a:rPr lang="en-US" sz="1800" b="1"/>
            <a:t>2</a:t>
          </a:r>
        </a:p>
      </xdr:txBody>
    </xdr:sp>
    <xdr:clientData/>
  </xdr:oneCellAnchor>
  <xdr:oneCellAnchor>
    <xdr:from>
      <xdr:col>2</xdr:col>
      <xdr:colOff>489278</xdr:colOff>
      <xdr:row>25</xdr:row>
      <xdr:rowOff>170891</xdr:rowOff>
    </xdr:from>
    <xdr:ext cx="911403" cy="374141"/>
    <xdr:sp macro="" textlink="">
      <xdr:nvSpPr>
        <xdr:cNvPr id="27" name="TextBox 26">
          <a:extLst>
            <a:ext uri="{FF2B5EF4-FFF2-40B4-BE49-F238E27FC236}">
              <a16:creationId xmlns:a16="http://schemas.microsoft.com/office/drawing/2014/main" id="{00000000-0008-0000-0100-00001B000000}"/>
            </a:ext>
          </a:extLst>
        </xdr:cNvPr>
        <xdr:cNvSpPr txBox="1"/>
      </xdr:nvSpPr>
      <xdr:spPr>
        <a:xfrm rot="1800000">
          <a:off x="1349890" y="4967009"/>
          <a:ext cx="911403" cy="374141"/>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b="1">
              <a:solidFill>
                <a:schemeClr val="tx1"/>
              </a:solidFill>
              <a:effectLst/>
              <a:latin typeface="+mn-lt"/>
              <a:ea typeface="+mn-ea"/>
              <a:cs typeface="+mn-cs"/>
            </a:rPr>
            <a:t>Hole #</a:t>
          </a:r>
          <a:r>
            <a:rPr lang="en-US" sz="1800" b="1"/>
            <a:t>3</a:t>
          </a:r>
        </a:p>
      </xdr:txBody>
    </xdr:sp>
    <xdr:clientData/>
  </xdr:oneCellAnchor>
  <xdr:oneCellAnchor>
    <xdr:from>
      <xdr:col>2</xdr:col>
      <xdr:colOff>124146</xdr:colOff>
      <xdr:row>29</xdr:row>
      <xdr:rowOff>183777</xdr:rowOff>
    </xdr:from>
    <xdr:ext cx="911403" cy="374141"/>
    <xdr:sp macro="" textlink="">
      <xdr:nvSpPr>
        <xdr:cNvPr id="28" name="TextBox 27">
          <a:extLst>
            <a:ext uri="{FF2B5EF4-FFF2-40B4-BE49-F238E27FC236}">
              <a16:creationId xmlns:a16="http://schemas.microsoft.com/office/drawing/2014/main" id="{00000000-0008-0000-0100-00001C000000}"/>
            </a:ext>
          </a:extLst>
        </xdr:cNvPr>
        <xdr:cNvSpPr txBox="1"/>
      </xdr:nvSpPr>
      <xdr:spPr>
        <a:xfrm>
          <a:off x="984758" y="5867401"/>
          <a:ext cx="911403" cy="374141"/>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b="1">
              <a:solidFill>
                <a:schemeClr val="tx1"/>
              </a:solidFill>
              <a:effectLst/>
              <a:latin typeface="+mn-lt"/>
              <a:ea typeface="+mn-ea"/>
              <a:cs typeface="+mn-cs"/>
            </a:rPr>
            <a:t>Hole #</a:t>
          </a:r>
          <a:r>
            <a:rPr lang="en-US" sz="1800" b="1"/>
            <a:t>4</a:t>
          </a:r>
        </a:p>
      </xdr:txBody>
    </xdr:sp>
    <xdr:clientData/>
  </xdr:oneCellAnchor>
  <xdr:oneCellAnchor>
    <xdr:from>
      <xdr:col>2</xdr:col>
      <xdr:colOff>136451</xdr:colOff>
      <xdr:row>32</xdr:row>
      <xdr:rowOff>138390</xdr:rowOff>
    </xdr:from>
    <xdr:ext cx="911403" cy="374141"/>
    <xdr:sp macro="" textlink="">
      <xdr:nvSpPr>
        <xdr:cNvPr id="29" name="TextBox 28">
          <a:extLst>
            <a:ext uri="{FF2B5EF4-FFF2-40B4-BE49-F238E27FC236}">
              <a16:creationId xmlns:a16="http://schemas.microsoft.com/office/drawing/2014/main" id="{00000000-0008-0000-0100-00001D000000}"/>
            </a:ext>
          </a:extLst>
        </xdr:cNvPr>
        <xdr:cNvSpPr txBox="1"/>
      </xdr:nvSpPr>
      <xdr:spPr>
        <a:xfrm rot="20926803">
          <a:off x="997063" y="6584014"/>
          <a:ext cx="911403" cy="374141"/>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b="1">
              <a:solidFill>
                <a:schemeClr val="tx1"/>
              </a:solidFill>
              <a:effectLst/>
              <a:latin typeface="+mn-lt"/>
              <a:ea typeface="+mn-ea"/>
              <a:cs typeface="+mn-cs"/>
            </a:rPr>
            <a:t>Hole #</a:t>
          </a:r>
          <a:r>
            <a:rPr lang="en-US" sz="1800" b="1"/>
            <a:t>5</a:t>
          </a:r>
        </a:p>
      </xdr:txBody>
    </xdr:sp>
    <xdr:clientData/>
  </xdr:oneCellAnchor>
  <xdr:oneCellAnchor>
    <xdr:from>
      <xdr:col>2</xdr:col>
      <xdr:colOff>299495</xdr:colOff>
      <xdr:row>35</xdr:row>
      <xdr:rowOff>39215</xdr:rowOff>
    </xdr:from>
    <xdr:ext cx="911403" cy="374141"/>
    <xdr:sp macro="" textlink="">
      <xdr:nvSpPr>
        <xdr:cNvPr id="30" name="TextBox 29">
          <a:extLst>
            <a:ext uri="{FF2B5EF4-FFF2-40B4-BE49-F238E27FC236}">
              <a16:creationId xmlns:a16="http://schemas.microsoft.com/office/drawing/2014/main" id="{00000000-0008-0000-0100-00001E000000}"/>
            </a:ext>
          </a:extLst>
        </xdr:cNvPr>
        <xdr:cNvSpPr txBox="1"/>
      </xdr:nvSpPr>
      <xdr:spPr>
        <a:xfrm rot="20093637">
          <a:off x="1160107" y="7130297"/>
          <a:ext cx="911403" cy="374141"/>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b="1">
              <a:solidFill>
                <a:schemeClr val="tx1"/>
              </a:solidFill>
              <a:effectLst/>
              <a:latin typeface="+mn-lt"/>
              <a:ea typeface="+mn-ea"/>
              <a:cs typeface="+mn-cs"/>
            </a:rPr>
            <a:t>Hole #</a:t>
          </a:r>
          <a:r>
            <a:rPr lang="en-US" sz="1800" b="1"/>
            <a:t>6</a:t>
          </a:r>
        </a:p>
      </xdr:txBody>
    </xdr:sp>
    <xdr:clientData/>
  </xdr:oneCellAnchor>
  <xdr:oneCellAnchor>
    <xdr:from>
      <xdr:col>2</xdr:col>
      <xdr:colOff>690339</xdr:colOff>
      <xdr:row>37</xdr:row>
      <xdr:rowOff>216824</xdr:rowOff>
    </xdr:from>
    <xdr:ext cx="911403" cy="374141"/>
    <xdr:sp macro="" textlink="">
      <xdr:nvSpPr>
        <xdr:cNvPr id="31" name="TextBox 30">
          <a:extLst>
            <a:ext uri="{FF2B5EF4-FFF2-40B4-BE49-F238E27FC236}">
              <a16:creationId xmlns:a16="http://schemas.microsoft.com/office/drawing/2014/main" id="{00000000-0008-0000-0100-00001F000000}"/>
            </a:ext>
          </a:extLst>
        </xdr:cNvPr>
        <xdr:cNvSpPr txBox="1"/>
      </xdr:nvSpPr>
      <xdr:spPr>
        <a:xfrm rot="19184206">
          <a:off x="1550951" y="7756142"/>
          <a:ext cx="911403" cy="374141"/>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b="1">
              <a:solidFill>
                <a:schemeClr val="tx1"/>
              </a:solidFill>
              <a:effectLst/>
              <a:latin typeface="+mn-lt"/>
              <a:ea typeface="+mn-ea"/>
              <a:cs typeface="+mn-cs"/>
            </a:rPr>
            <a:t>Hole #</a:t>
          </a:r>
          <a:r>
            <a:rPr lang="en-US" sz="1800" b="1"/>
            <a:t>7</a:t>
          </a:r>
        </a:p>
      </xdr:txBody>
    </xdr:sp>
    <xdr:clientData/>
  </xdr:oneCellAnchor>
  <xdr:oneCellAnchor>
    <xdr:from>
      <xdr:col>3</xdr:col>
      <xdr:colOff>540987</xdr:colOff>
      <xdr:row>39</xdr:row>
      <xdr:rowOff>73141</xdr:rowOff>
    </xdr:from>
    <xdr:ext cx="374141" cy="911403"/>
    <xdr:sp macro="" textlink="">
      <xdr:nvSpPr>
        <xdr:cNvPr id="33" name="TextBox 32">
          <a:extLst>
            <a:ext uri="{FF2B5EF4-FFF2-40B4-BE49-F238E27FC236}">
              <a16:creationId xmlns:a16="http://schemas.microsoft.com/office/drawing/2014/main" id="{00000000-0008-0000-0100-000021000000}"/>
            </a:ext>
          </a:extLst>
        </xdr:cNvPr>
        <xdr:cNvSpPr txBox="1"/>
      </xdr:nvSpPr>
      <xdr:spPr>
        <a:xfrm rot="17546385">
          <a:off x="2325274" y="8329325"/>
          <a:ext cx="911403" cy="374141"/>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b="1">
              <a:solidFill>
                <a:schemeClr val="tx1"/>
              </a:solidFill>
              <a:effectLst/>
              <a:latin typeface="+mn-lt"/>
              <a:ea typeface="+mn-ea"/>
              <a:cs typeface="+mn-cs"/>
            </a:rPr>
            <a:t>Hole #</a:t>
          </a:r>
          <a:r>
            <a:rPr lang="en-US" sz="1800" b="1"/>
            <a:t>8</a:t>
          </a:r>
        </a:p>
      </xdr:txBody>
    </xdr:sp>
    <xdr:clientData/>
  </xdr:oneCellAnchor>
  <xdr:oneCellAnchor>
    <xdr:from>
      <xdr:col>4</xdr:col>
      <xdr:colOff>8727</xdr:colOff>
      <xdr:row>40</xdr:row>
      <xdr:rowOff>29974</xdr:rowOff>
    </xdr:from>
    <xdr:ext cx="374141" cy="911403"/>
    <xdr:sp macro="" textlink="">
      <xdr:nvSpPr>
        <xdr:cNvPr id="34" name="TextBox 33">
          <a:extLst>
            <a:ext uri="{FF2B5EF4-FFF2-40B4-BE49-F238E27FC236}">
              <a16:creationId xmlns:a16="http://schemas.microsoft.com/office/drawing/2014/main" id="{00000000-0008-0000-0100-000022000000}"/>
            </a:ext>
          </a:extLst>
        </xdr:cNvPr>
        <xdr:cNvSpPr txBox="1"/>
      </xdr:nvSpPr>
      <xdr:spPr>
        <a:xfrm rot="16800516">
          <a:off x="2985320" y="8510276"/>
          <a:ext cx="911403" cy="374141"/>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b="1">
              <a:solidFill>
                <a:schemeClr val="tx1"/>
              </a:solidFill>
              <a:effectLst/>
              <a:latin typeface="+mn-lt"/>
              <a:ea typeface="+mn-ea"/>
              <a:cs typeface="+mn-cs"/>
            </a:rPr>
            <a:t>Hole #</a:t>
          </a:r>
          <a:r>
            <a:rPr lang="en-US" sz="1800" b="1"/>
            <a:t>9</a:t>
          </a:r>
        </a:p>
      </xdr:txBody>
    </xdr:sp>
    <xdr:clientData/>
  </xdr:oneCellAnchor>
  <xdr:oneCellAnchor>
    <xdr:from>
      <xdr:col>4</xdr:col>
      <xdr:colOff>585396</xdr:colOff>
      <xdr:row>39</xdr:row>
      <xdr:rowOff>187189</xdr:rowOff>
    </xdr:from>
    <xdr:ext cx="374141" cy="1028423"/>
    <xdr:sp macro="" textlink="">
      <xdr:nvSpPr>
        <xdr:cNvPr id="35" name="TextBox 34">
          <a:extLst>
            <a:ext uri="{FF2B5EF4-FFF2-40B4-BE49-F238E27FC236}">
              <a16:creationId xmlns:a16="http://schemas.microsoft.com/office/drawing/2014/main" id="{00000000-0008-0000-0100-000023000000}"/>
            </a:ext>
          </a:extLst>
        </xdr:cNvPr>
        <xdr:cNvSpPr txBox="1"/>
      </xdr:nvSpPr>
      <xdr:spPr>
        <a:xfrm rot="4938567">
          <a:off x="3503479" y="8501883"/>
          <a:ext cx="1028423" cy="374141"/>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b="1">
              <a:solidFill>
                <a:schemeClr val="tx1"/>
              </a:solidFill>
              <a:effectLst/>
              <a:latin typeface="+mn-lt"/>
              <a:ea typeface="+mn-ea"/>
              <a:cs typeface="+mn-cs"/>
            </a:rPr>
            <a:t>Hole #</a:t>
          </a:r>
          <a:r>
            <a:rPr lang="en-US" sz="1800" b="1"/>
            <a:t>10</a:t>
          </a:r>
        </a:p>
      </xdr:txBody>
    </xdr:sp>
    <xdr:clientData/>
  </xdr:oneCellAnchor>
  <xdr:oneCellAnchor>
    <xdr:from>
      <xdr:col>5</xdr:col>
      <xdr:colOff>536928</xdr:colOff>
      <xdr:row>39</xdr:row>
      <xdr:rowOff>17998</xdr:rowOff>
    </xdr:from>
    <xdr:ext cx="374141" cy="1028423"/>
    <xdr:sp macro="" textlink="">
      <xdr:nvSpPr>
        <xdr:cNvPr id="36" name="TextBox 35">
          <a:extLst>
            <a:ext uri="{FF2B5EF4-FFF2-40B4-BE49-F238E27FC236}">
              <a16:creationId xmlns:a16="http://schemas.microsoft.com/office/drawing/2014/main" id="{00000000-0008-0000-0100-000024000000}"/>
            </a:ext>
          </a:extLst>
        </xdr:cNvPr>
        <xdr:cNvSpPr txBox="1"/>
      </xdr:nvSpPr>
      <xdr:spPr>
        <a:xfrm rot="3857070">
          <a:off x="4127363" y="8332692"/>
          <a:ext cx="1028423" cy="374141"/>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b="1">
              <a:solidFill>
                <a:schemeClr val="tx1"/>
              </a:solidFill>
              <a:effectLst/>
              <a:latin typeface="+mn-lt"/>
              <a:ea typeface="+mn-ea"/>
              <a:cs typeface="+mn-cs"/>
            </a:rPr>
            <a:t>Hole #</a:t>
          </a:r>
          <a:r>
            <a:rPr lang="en-US" sz="1800" b="1"/>
            <a:t>11</a:t>
          </a:r>
        </a:p>
      </xdr:txBody>
    </xdr:sp>
    <xdr:clientData/>
  </xdr:oneCellAnchor>
  <xdr:oneCellAnchor>
    <xdr:from>
      <xdr:col>6</xdr:col>
      <xdr:colOff>19515</xdr:colOff>
      <xdr:row>36</xdr:row>
      <xdr:rowOff>144064</xdr:rowOff>
    </xdr:from>
    <xdr:ext cx="374141" cy="1028423"/>
    <xdr:sp macro="" textlink="">
      <xdr:nvSpPr>
        <xdr:cNvPr id="37" name="TextBox 36">
          <a:extLst>
            <a:ext uri="{FF2B5EF4-FFF2-40B4-BE49-F238E27FC236}">
              <a16:creationId xmlns:a16="http://schemas.microsoft.com/office/drawing/2014/main" id="{00000000-0008-0000-0100-000025000000}"/>
            </a:ext>
          </a:extLst>
        </xdr:cNvPr>
        <xdr:cNvSpPr txBox="1"/>
      </xdr:nvSpPr>
      <xdr:spPr>
        <a:xfrm rot="2893649">
          <a:off x="4992756" y="8404970"/>
          <a:ext cx="1028423" cy="374141"/>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b="1">
              <a:solidFill>
                <a:schemeClr val="tx1"/>
              </a:solidFill>
              <a:effectLst/>
              <a:latin typeface="+mn-lt"/>
              <a:ea typeface="+mn-ea"/>
              <a:cs typeface="+mn-cs"/>
            </a:rPr>
            <a:t>Hole #</a:t>
          </a:r>
          <a:r>
            <a:rPr lang="en-US" sz="1800" b="1"/>
            <a:t>12</a:t>
          </a:r>
        </a:p>
      </xdr:txBody>
    </xdr:sp>
    <xdr:clientData/>
  </xdr:oneCellAnchor>
  <xdr:oneCellAnchor>
    <xdr:from>
      <xdr:col>5</xdr:col>
      <xdr:colOff>1331258</xdr:colOff>
      <xdr:row>35</xdr:row>
      <xdr:rowOff>108602</xdr:rowOff>
    </xdr:from>
    <xdr:ext cx="1030941" cy="374141"/>
    <xdr:sp macro="" textlink="">
      <xdr:nvSpPr>
        <xdr:cNvPr id="38" name="TextBox 37">
          <a:extLst>
            <a:ext uri="{FF2B5EF4-FFF2-40B4-BE49-F238E27FC236}">
              <a16:creationId xmlns:a16="http://schemas.microsoft.com/office/drawing/2014/main" id="{00000000-0008-0000-0100-000026000000}"/>
            </a:ext>
          </a:extLst>
        </xdr:cNvPr>
        <xdr:cNvSpPr txBox="1"/>
      </xdr:nvSpPr>
      <xdr:spPr>
        <a:xfrm rot="1569619">
          <a:off x="5264523" y="7818249"/>
          <a:ext cx="1030941" cy="374141"/>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800" b="1">
              <a:solidFill>
                <a:schemeClr val="tx1"/>
              </a:solidFill>
              <a:effectLst/>
              <a:latin typeface="+mn-lt"/>
              <a:ea typeface="+mn-ea"/>
              <a:cs typeface="+mn-cs"/>
            </a:rPr>
            <a:t>Hole #</a:t>
          </a:r>
          <a:r>
            <a:rPr lang="en-US" sz="1800" b="1"/>
            <a:t>13</a:t>
          </a:r>
        </a:p>
      </xdr:txBody>
    </xdr:sp>
    <xdr:clientData/>
  </xdr:oneCellAnchor>
  <xdr:oneCellAnchor>
    <xdr:from>
      <xdr:col>6</xdr:col>
      <xdr:colOff>136713</xdr:colOff>
      <xdr:row>33</xdr:row>
      <xdr:rowOff>31377</xdr:rowOff>
    </xdr:from>
    <xdr:ext cx="1055034" cy="374141"/>
    <xdr:sp macro="" textlink="">
      <xdr:nvSpPr>
        <xdr:cNvPr id="39" name="TextBox 38">
          <a:extLst>
            <a:ext uri="{FF2B5EF4-FFF2-40B4-BE49-F238E27FC236}">
              <a16:creationId xmlns:a16="http://schemas.microsoft.com/office/drawing/2014/main" id="{00000000-0008-0000-0100-000027000000}"/>
            </a:ext>
          </a:extLst>
        </xdr:cNvPr>
        <xdr:cNvSpPr txBox="1"/>
      </xdr:nvSpPr>
      <xdr:spPr>
        <a:xfrm rot="598310">
          <a:off x="5437095" y="7292789"/>
          <a:ext cx="1055034" cy="374141"/>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800" b="1">
              <a:solidFill>
                <a:schemeClr val="tx1"/>
              </a:solidFill>
              <a:effectLst/>
              <a:latin typeface="+mn-lt"/>
              <a:ea typeface="+mn-ea"/>
              <a:cs typeface="+mn-cs"/>
            </a:rPr>
            <a:t>Hole #</a:t>
          </a:r>
          <a:r>
            <a:rPr lang="en-US" sz="1800" b="1"/>
            <a:t>14</a:t>
          </a:r>
        </a:p>
      </xdr:txBody>
    </xdr:sp>
    <xdr:clientData/>
  </xdr:oneCellAnchor>
  <xdr:oneCellAnchor>
    <xdr:from>
      <xdr:col>6</xdr:col>
      <xdr:colOff>177052</xdr:colOff>
      <xdr:row>30</xdr:row>
      <xdr:rowOff>60510</xdr:rowOff>
    </xdr:from>
    <xdr:ext cx="1067360" cy="374141"/>
    <xdr:sp macro="" textlink="">
      <xdr:nvSpPr>
        <xdr:cNvPr id="40" name="TextBox 39">
          <a:extLst>
            <a:ext uri="{FF2B5EF4-FFF2-40B4-BE49-F238E27FC236}">
              <a16:creationId xmlns:a16="http://schemas.microsoft.com/office/drawing/2014/main" id="{00000000-0008-0000-0100-000028000000}"/>
            </a:ext>
          </a:extLst>
        </xdr:cNvPr>
        <xdr:cNvSpPr txBox="1"/>
      </xdr:nvSpPr>
      <xdr:spPr>
        <a:xfrm rot="21211371">
          <a:off x="5477434" y="6649569"/>
          <a:ext cx="1067360" cy="374141"/>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800" b="1">
              <a:solidFill>
                <a:schemeClr val="tx1"/>
              </a:solidFill>
              <a:effectLst/>
              <a:latin typeface="+mn-lt"/>
              <a:ea typeface="+mn-ea"/>
              <a:cs typeface="+mn-cs"/>
            </a:rPr>
            <a:t>Hole #</a:t>
          </a:r>
          <a:r>
            <a:rPr lang="en-US" sz="1800" b="1"/>
            <a:t>15</a:t>
          </a:r>
        </a:p>
      </xdr:txBody>
    </xdr:sp>
    <xdr:clientData/>
  </xdr:oneCellAnchor>
  <xdr:oneCellAnchor>
    <xdr:from>
      <xdr:col>5</xdr:col>
      <xdr:colOff>1319874</xdr:colOff>
      <xdr:row>26</xdr:row>
      <xdr:rowOff>151282</xdr:rowOff>
    </xdr:from>
    <xdr:ext cx="1028423" cy="374141"/>
    <xdr:sp macro="" textlink="">
      <xdr:nvSpPr>
        <xdr:cNvPr id="41" name="TextBox 40">
          <a:extLst>
            <a:ext uri="{FF2B5EF4-FFF2-40B4-BE49-F238E27FC236}">
              <a16:creationId xmlns:a16="http://schemas.microsoft.com/office/drawing/2014/main" id="{00000000-0008-0000-0100-000029000000}"/>
            </a:ext>
          </a:extLst>
        </xdr:cNvPr>
        <xdr:cNvSpPr txBox="1"/>
      </xdr:nvSpPr>
      <xdr:spPr>
        <a:xfrm rot="19711320">
          <a:off x="5253139" y="5821458"/>
          <a:ext cx="1028423" cy="374141"/>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b="1">
              <a:solidFill>
                <a:schemeClr val="tx1"/>
              </a:solidFill>
              <a:effectLst/>
              <a:latin typeface="+mn-lt"/>
              <a:ea typeface="+mn-ea"/>
              <a:cs typeface="+mn-cs"/>
            </a:rPr>
            <a:t>Hole #</a:t>
          </a:r>
          <a:r>
            <a:rPr lang="en-US" sz="1800" b="1"/>
            <a:t>16</a:t>
          </a:r>
        </a:p>
      </xdr:txBody>
    </xdr:sp>
    <xdr:clientData/>
  </xdr:oneCellAnchor>
  <xdr:oneCellAnchor>
    <xdr:from>
      <xdr:col>5</xdr:col>
      <xdr:colOff>915896</xdr:colOff>
      <xdr:row>24</xdr:row>
      <xdr:rowOff>39794</xdr:rowOff>
    </xdr:from>
    <xdr:ext cx="1028423" cy="374141"/>
    <xdr:sp macro="" textlink="">
      <xdr:nvSpPr>
        <xdr:cNvPr id="42" name="TextBox 41">
          <a:extLst>
            <a:ext uri="{FF2B5EF4-FFF2-40B4-BE49-F238E27FC236}">
              <a16:creationId xmlns:a16="http://schemas.microsoft.com/office/drawing/2014/main" id="{00000000-0008-0000-0100-00002A000000}"/>
            </a:ext>
          </a:extLst>
        </xdr:cNvPr>
        <xdr:cNvSpPr txBox="1"/>
      </xdr:nvSpPr>
      <xdr:spPr>
        <a:xfrm rot="18900000">
          <a:off x="4833472" y="4602829"/>
          <a:ext cx="1028423" cy="374141"/>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b="1">
              <a:solidFill>
                <a:schemeClr val="tx1"/>
              </a:solidFill>
              <a:effectLst/>
              <a:latin typeface="+mn-lt"/>
              <a:ea typeface="+mn-ea"/>
              <a:cs typeface="+mn-cs"/>
            </a:rPr>
            <a:t>Hole #</a:t>
          </a:r>
          <a:r>
            <a:rPr lang="en-US" sz="1800" b="1"/>
            <a:t>17</a:t>
          </a:r>
        </a:p>
      </xdr:txBody>
    </xdr:sp>
    <xdr:clientData/>
  </xdr:oneCellAnchor>
  <xdr:oneCellAnchor>
    <xdr:from>
      <xdr:col>5</xdr:col>
      <xdr:colOff>760366</xdr:colOff>
      <xdr:row>21</xdr:row>
      <xdr:rowOff>21924</xdr:rowOff>
    </xdr:from>
    <xdr:ext cx="374141" cy="1028423"/>
    <xdr:sp macro="" textlink="">
      <xdr:nvSpPr>
        <xdr:cNvPr id="43" name="TextBox 42">
          <a:extLst>
            <a:ext uri="{FF2B5EF4-FFF2-40B4-BE49-F238E27FC236}">
              <a16:creationId xmlns:a16="http://schemas.microsoft.com/office/drawing/2014/main" id="{00000000-0008-0000-0100-00002B000000}"/>
            </a:ext>
          </a:extLst>
        </xdr:cNvPr>
        <xdr:cNvSpPr txBox="1"/>
      </xdr:nvSpPr>
      <xdr:spPr>
        <a:xfrm rot="17964042">
          <a:off x="4350801" y="4212853"/>
          <a:ext cx="1028423" cy="374141"/>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b="1">
              <a:solidFill>
                <a:schemeClr val="tx1"/>
              </a:solidFill>
              <a:effectLst/>
              <a:latin typeface="+mn-lt"/>
              <a:ea typeface="+mn-ea"/>
              <a:cs typeface="+mn-cs"/>
            </a:rPr>
            <a:t>Hole #</a:t>
          </a:r>
          <a:r>
            <a:rPr lang="en-US" sz="1800" b="1"/>
            <a:t>18</a:t>
          </a:r>
        </a:p>
      </xdr:txBody>
    </xdr:sp>
    <xdr:clientData/>
  </xdr:oneCellAnchor>
  <xdr:oneCellAnchor>
    <xdr:from>
      <xdr:col>5</xdr:col>
      <xdr:colOff>153009</xdr:colOff>
      <xdr:row>20</xdr:row>
      <xdr:rowOff>38171</xdr:rowOff>
    </xdr:from>
    <xdr:ext cx="374141" cy="1028423"/>
    <xdr:sp macro="" textlink="">
      <xdr:nvSpPr>
        <xdr:cNvPr id="44" name="TextBox 43">
          <a:extLst>
            <a:ext uri="{FF2B5EF4-FFF2-40B4-BE49-F238E27FC236}">
              <a16:creationId xmlns:a16="http://schemas.microsoft.com/office/drawing/2014/main" id="{00000000-0008-0000-0100-00002C000000}"/>
            </a:ext>
          </a:extLst>
        </xdr:cNvPr>
        <xdr:cNvSpPr txBox="1"/>
      </xdr:nvSpPr>
      <xdr:spPr>
        <a:xfrm rot="17040461">
          <a:off x="3743444" y="3996018"/>
          <a:ext cx="1028423" cy="374141"/>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b="1">
              <a:solidFill>
                <a:schemeClr val="tx1"/>
              </a:solidFill>
              <a:effectLst/>
              <a:latin typeface="+mn-lt"/>
              <a:ea typeface="+mn-ea"/>
              <a:cs typeface="+mn-cs"/>
            </a:rPr>
            <a:t>Hole #</a:t>
          </a:r>
          <a:r>
            <a:rPr lang="en-US" sz="1800" b="1"/>
            <a:t>19</a:t>
          </a:r>
        </a:p>
      </xdr:txBody>
    </xdr:sp>
    <xdr:clientData/>
  </xdr:oneCellAnchor>
  <xdr:oneCellAnchor>
    <xdr:from>
      <xdr:col>3</xdr:col>
      <xdr:colOff>1124116</xdr:colOff>
      <xdr:row>20</xdr:row>
      <xdr:rowOff>29124</xdr:rowOff>
    </xdr:from>
    <xdr:ext cx="374141" cy="1028423"/>
    <xdr:sp macro="" textlink="">
      <xdr:nvSpPr>
        <xdr:cNvPr id="45" name="TextBox 44">
          <a:extLst>
            <a:ext uri="{FF2B5EF4-FFF2-40B4-BE49-F238E27FC236}">
              <a16:creationId xmlns:a16="http://schemas.microsoft.com/office/drawing/2014/main" id="{00000000-0008-0000-0100-00002D000000}"/>
            </a:ext>
          </a:extLst>
        </xdr:cNvPr>
        <xdr:cNvSpPr txBox="1"/>
      </xdr:nvSpPr>
      <xdr:spPr>
        <a:xfrm rot="4736313">
          <a:off x="2849893" y="3986971"/>
          <a:ext cx="1028423" cy="374141"/>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b="1">
              <a:solidFill>
                <a:schemeClr val="tx1"/>
              </a:solidFill>
              <a:effectLst/>
              <a:latin typeface="+mn-lt"/>
              <a:ea typeface="+mn-ea"/>
              <a:cs typeface="+mn-cs"/>
            </a:rPr>
            <a:t>Hole #2</a:t>
          </a:r>
          <a:r>
            <a:rPr lang="en-US" sz="1800" b="1"/>
            <a:t>0</a:t>
          </a:r>
        </a:p>
      </xdr:txBody>
    </xdr:sp>
    <xdr:clientData/>
  </xdr:oneCellAnchor>
  <xdr:twoCellAnchor>
    <xdr:from>
      <xdr:col>3</xdr:col>
      <xdr:colOff>800100</xdr:colOff>
      <xdr:row>25</xdr:row>
      <xdr:rowOff>60960</xdr:rowOff>
    </xdr:from>
    <xdr:to>
      <xdr:col>4</xdr:col>
      <xdr:colOff>99060</xdr:colOff>
      <xdr:row>26</xdr:row>
      <xdr:rowOff>213360</xdr:rowOff>
    </xdr:to>
    <xdr:sp macro="" textlink="">
      <xdr:nvSpPr>
        <xdr:cNvPr id="4" name="Oval 3">
          <a:extLst>
            <a:ext uri="{FF2B5EF4-FFF2-40B4-BE49-F238E27FC236}">
              <a16:creationId xmlns:a16="http://schemas.microsoft.com/office/drawing/2014/main" id="{00000000-0008-0000-0100-000004000000}"/>
            </a:ext>
          </a:extLst>
        </xdr:cNvPr>
        <xdr:cNvSpPr/>
      </xdr:nvSpPr>
      <xdr:spPr>
        <a:xfrm>
          <a:off x="2849880" y="4785360"/>
          <a:ext cx="487680" cy="381000"/>
        </a:xfrm>
        <a:prstGeom prst="ellipse">
          <a:avLst/>
        </a:prstGeom>
        <a:solidFill>
          <a:srgbClr val="FFFF00">
            <a:alpha val="44000"/>
          </a:srgb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3</xdr:col>
      <xdr:colOff>417307</xdr:colOff>
      <xdr:row>31</xdr:row>
      <xdr:rowOff>92995</xdr:rowOff>
    </xdr:from>
    <xdr:ext cx="2603798" cy="968983"/>
    <xdr:sp macro="" textlink="">
      <xdr:nvSpPr>
        <xdr:cNvPr id="46" name="TextBox 45">
          <a:extLst>
            <a:ext uri="{FF2B5EF4-FFF2-40B4-BE49-F238E27FC236}">
              <a16:creationId xmlns:a16="http://schemas.microsoft.com/office/drawing/2014/main" id="{00000000-0008-0000-0100-00002E000000}"/>
            </a:ext>
          </a:extLst>
        </xdr:cNvPr>
        <xdr:cNvSpPr txBox="1"/>
      </xdr:nvSpPr>
      <xdr:spPr>
        <a:xfrm>
          <a:off x="2470225" y="6968924"/>
          <a:ext cx="2603798" cy="968983"/>
        </a:xfrm>
        <a:prstGeom prst="rect">
          <a:avLst/>
        </a:prstGeom>
        <a:solidFill>
          <a:sysClr val="window" lastClr="FFFFFF"/>
        </a:solidFill>
        <a:ln w="28575">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1"/>
            <a:t>Positive Angle/ Hole # in CCW Direction Viewed From Front;</a:t>
          </a:r>
        </a:p>
        <a:p>
          <a:r>
            <a:rPr lang="en-US" sz="1400" b="1"/>
            <a:t>First Hole</a:t>
          </a:r>
          <a:r>
            <a:rPr lang="en-US" sz="1400" b="1" baseline="0"/>
            <a:t> CCW From Dimple Is Hole #1</a:t>
          </a:r>
          <a:endParaRPr lang="en-US" sz="1400" b="1"/>
        </a:p>
      </xdr:txBody>
    </xdr:sp>
    <xdr:clientData/>
  </xdr:oneCellAnchor>
  <xdr:twoCellAnchor>
    <xdr:from>
      <xdr:col>2</xdr:col>
      <xdr:colOff>537882</xdr:colOff>
      <xdr:row>23</xdr:row>
      <xdr:rowOff>134471</xdr:rowOff>
    </xdr:from>
    <xdr:to>
      <xdr:col>2</xdr:col>
      <xdr:colOff>851647</xdr:colOff>
      <xdr:row>24</xdr:row>
      <xdr:rowOff>170330</xdr:rowOff>
    </xdr:to>
    <xdr:sp macro="" textlink="">
      <xdr:nvSpPr>
        <xdr:cNvPr id="5" name="&quot;No&quot; Symbol 4">
          <a:extLst>
            <a:ext uri="{FF2B5EF4-FFF2-40B4-BE49-F238E27FC236}">
              <a16:creationId xmlns:a16="http://schemas.microsoft.com/office/drawing/2014/main" id="{00000000-0008-0000-0100-000005000000}"/>
            </a:ext>
          </a:extLst>
        </xdr:cNvPr>
        <xdr:cNvSpPr/>
      </xdr:nvSpPr>
      <xdr:spPr>
        <a:xfrm>
          <a:off x="1398494" y="4491318"/>
          <a:ext cx="313765" cy="268941"/>
        </a:xfrm>
        <a:prstGeom prst="noSmoking">
          <a:avLst/>
        </a:prstGeom>
        <a:solidFill>
          <a:srgbClr val="FF000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3</xdr:col>
      <xdr:colOff>627528</xdr:colOff>
      <xdr:row>20</xdr:row>
      <xdr:rowOff>26895</xdr:rowOff>
    </xdr:from>
    <xdr:to>
      <xdr:col>3</xdr:col>
      <xdr:colOff>941293</xdr:colOff>
      <xdr:row>21</xdr:row>
      <xdr:rowOff>62754</xdr:rowOff>
    </xdr:to>
    <xdr:sp macro="" textlink="">
      <xdr:nvSpPr>
        <xdr:cNvPr id="47" name="&quot;No&quot; Symbol 46">
          <a:extLst>
            <a:ext uri="{FF2B5EF4-FFF2-40B4-BE49-F238E27FC236}">
              <a16:creationId xmlns:a16="http://schemas.microsoft.com/office/drawing/2014/main" id="{00000000-0008-0000-0100-00002F000000}"/>
            </a:ext>
          </a:extLst>
        </xdr:cNvPr>
        <xdr:cNvSpPr/>
      </xdr:nvSpPr>
      <xdr:spPr>
        <a:xfrm>
          <a:off x="2680446" y="3684495"/>
          <a:ext cx="313765" cy="268941"/>
        </a:xfrm>
        <a:prstGeom prst="noSmoking">
          <a:avLst/>
        </a:prstGeom>
        <a:solidFill>
          <a:srgbClr val="FF000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5</xdr:col>
      <xdr:colOff>681318</xdr:colOff>
      <xdr:row>20</xdr:row>
      <xdr:rowOff>35860</xdr:rowOff>
    </xdr:from>
    <xdr:to>
      <xdr:col>5</xdr:col>
      <xdr:colOff>995083</xdr:colOff>
      <xdr:row>21</xdr:row>
      <xdr:rowOff>71719</xdr:rowOff>
    </xdr:to>
    <xdr:sp macro="" textlink="">
      <xdr:nvSpPr>
        <xdr:cNvPr id="48" name="&quot;No&quot; Symbol 47">
          <a:extLst>
            <a:ext uri="{FF2B5EF4-FFF2-40B4-BE49-F238E27FC236}">
              <a16:creationId xmlns:a16="http://schemas.microsoft.com/office/drawing/2014/main" id="{00000000-0008-0000-0100-000030000000}"/>
            </a:ext>
          </a:extLst>
        </xdr:cNvPr>
        <xdr:cNvSpPr/>
      </xdr:nvSpPr>
      <xdr:spPr>
        <a:xfrm>
          <a:off x="4598894" y="3693460"/>
          <a:ext cx="313765" cy="268941"/>
        </a:xfrm>
        <a:prstGeom prst="noSmoking">
          <a:avLst/>
        </a:prstGeom>
        <a:solidFill>
          <a:srgbClr val="FF000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6</xdr:col>
      <xdr:colOff>510989</xdr:colOff>
      <xdr:row>24</xdr:row>
      <xdr:rowOff>24655</xdr:rowOff>
    </xdr:from>
    <xdr:to>
      <xdr:col>6</xdr:col>
      <xdr:colOff>824754</xdr:colOff>
      <xdr:row>25</xdr:row>
      <xdr:rowOff>60513</xdr:rowOff>
    </xdr:to>
    <xdr:sp macro="" textlink="">
      <xdr:nvSpPr>
        <xdr:cNvPr id="49" name="&quot;No&quot; Symbol 48">
          <a:extLst>
            <a:ext uri="{FF2B5EF4-FFF2-40B4-BE49-F238E27FC236}">
              <a16:creationId xmlns:a16="http://schemas.microsoft.com/office/drawing/2014/main" id="{00000000-0008-0000-0100-000031000000}"/>
            </a:ext>
          </a:extLst>
        </xdr:cNvPr>
        <xdr:cNvSpPr/>
      </xdr:nvSpPr>
      <xdr:spPr>
        <a:xfrm>
          <a:off x="5811371" y="5246596"/>
          <a:ext cx="313765" cy="259976"/>
        </a:xfrm>
        <a:prstGeom prst="noSmoking">
          <a:avLst/>
        </a:prstGeom>
        <a:solidFill>
          <a:srgbClr val="FF000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6</xdr:col>
      <xdr:colOff>1167654</xdr:colOff>
      <xdr:row>32</xdr:row>
      <xdr:rowOff>22412</xdr:rowOff>
    </xdr:from>
    <xdr:to>
      <xdr:col>7</xdr:col>
      <xdr:colOff>293595</xdr:colOff>
      <xdr:row>33</xdr:row>
      <xdr:rowOff>67236</xdr:rowOff>
    </xdr:to>
    <xdr:sp macro="" textlink="">
      <xdr:nvSpPr>
        <xdr:cNvPr id="50" name="&quot;No&quot; Symbol 49">
          <a:extLst>
            <a:ext uri="{FF2B5EF4-FFF2-40B4-BE49-F238E27FC236}">
              <a16:creationId xmlns:a16="http://schemas.microsoft.com/office/drawing/2014/main" id="{00000000-0008-0000-0100-000032000000}"/>
            </a:ext>
          </a:extLst>
        </xdr:cNvPr>
        <xdr:cNvSpPr/>
      </xdr:nvSpPr>
      <xdr:spPr>
        <a:xfrm>
          <a:off x="6468036" y="7059706"/>
          <a:ext cx="313765" cy="268942"/>
        </a:xfrm>
        <a:prstGeom prst="noSmoking">
          <a:avLst/>
        </a:prstGeom>
        <a:solidFill>
          <a:srgbClr val="FF000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6</xdr:col>
      <xdr:colOff>647701</xdr:colOff>
      <xdr:row>38</xdr:row>
      <xdr:rowOff>179296</xdr:rowOff>
    </xdr:from>
    <xdr:to>
      <xdr:col>6</xdr:col>
      <xdr:colOff>961466</xdr:colOff>
      <xdr:row>40</xdr:row>
      <xdr:rowOff>2</xdr:rowOff>
    </xdr:to>
    <xdr:sp macro="" textlink="">
      <xdr:nvSpPr>
        <xdr:cNvPr id="51" name="&quot;No&quot; Symbol 50">
          <a:extLst>
            <a:ext uri="{FF2B5EF4-FFF2-40B4-BE49-F238E27FC236}">
              <a16:creationId xmlns:a16="http://schemas.microsoft.com/office/drawing/2014/main" id="{00000000-0008-0000-0100-000033000000}"/>
            </a:ext>
          </a:extLst>
        </xdr:cNvPr>
        <xdr:cNvSpPr/>
      </xdr:nvSpPr>
      <xdr:spPr>
        <a:xfrm>
          <a:off x="5948083" y="8561296"/>
          <a:ext cx="313765" cy="268941"/>
        </a:xfrm>
        <a:prstGeom prst="noSmoking">
          <a:avLst/>
        </a:prstGeom>
        <a:solidFill>
          <a:srgbClr val="FF000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5</xdr:col>
      <xdr:colOff>421342</xdr:colOff>
      <xdr:row>43</xdr:row>
      <xdr:rowOff>179295</xdr:rowOff>
    </xdr:from>
    <xdr:to>
      <xdr:col>5</xdr:col>
      <xdr:colOff>735107</xdr:colOff>
      <xdr:row>45</xdr:row>
      <xdr:rowOff>1</xdr:rowOff>
    </xdr:to>
    <xdr:sp macro="" textlink="">
      <xdr:nvSpPr>
        <xdr:cNvPr id="52" name="&quot;No&quot; Symbol 51">
          <a:extLst>
            <a:ext uri="{FF2B5EF4-FFF2-40B4-BE49-F238E27FC236}">
              <a16:creationId xmlns:a16="http://schemas.microsoft.com/office/drawing/2014/main" id="{00000000-0008-0000-0100-000034000000}"/>
            </a:ext>
          </a:extLst>
        </xdr:cNvPr>
        <xdr:cNvSpPr/>
      </xdr:nvSpPr>
      <xdr:spPr>
        <a:xfrm>
          <a:off x="4338918" y="9090213"/>
          <a:ext cx="313765" cy="268941"/>
        </a:xfrm>
        <a:prstGeom prst="noSmoking">
          <a:avLst/>
        </a:prstGeom>
        <a:solidFill>
          <a:srgbClr val="FF000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3</xdr:col>
      <xdr:colOff>708212</xdr:colOff>
      <xdr:row>43</xdr:row>
      <xdr:rowOff>170330</xdr:rowOff>
    </xdr:from>
    <xdr:to>
      <xdr:col>3</xdr:col>
      <xdr:colOff>1021977</xdr:colOff>
      <xdr:row>44</xdr:row>
      <xdr:rowOff>215154</xdr:rowOff>
    </xdr:to>
    <xdr:sp macro="" textlink="">
      <xdr:nvSpPr>
        <xdr:cNvPr id="53" name="&quot;No&quot; Symbol 52">
          <a:extLst>
            <a:ext uri="{FF2B5EF4-FFF2-40B4-BE49-F238E27FC236}">
              <a16:creationId xmlns:a16="http://schemas.microsoft.com/office/drawing/2014/main" id="{00000000-0008-0000-0100-000035000000}"/>
            </a:ext>
          </a:extLst>
        </xdr:cNvPr>
        <xdr:cNvSpPr/>
      </xdr:nvSpPr>
      <xdr:spPr>
        <a:xfrm>
          <a:off x="2761130" y="9081248"/>
          <a:ext cx="313765" cy="268941"/>
        </a:xfrm>
        <a:prstGeom prst="noSmoking">
          <a:avLst/>
        </a:prstGeom>
        <a:solidFill>
          <a:srgbClr val="FF000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2</xdr:col>
      <xdr:colOff>304800</xdr:colOff>
      <xdr:row>38</xdr:row>
      <xdr:rowOff>53789</xdr:rowOff>
    </xdr:from>
    <xdr:to>
      <xdr:col>2</xdr:col>
      <xdr:colOff>618565</xdr:colOff>
      <xdr:row>39</xdr:row>
      <xdr:rowOff>98612</xdr:rowOff>
    </xdr:to>
    <xdr:sp macro="" textlink="">
      <xdr:nvSpPr>
        <xdr:cNvPr id="54" name="&quot;No&quot; Symbol 53">
          <a:extLst>
            <a:ext uri="{FF2B5EF4-FFF2-40B4-BE49-F238E27FC236}">
              <a16:creationId xmlns:a16="http://schemas.microsoft.com/office/drawing/2014/main" id="{00000000-0008-0000-0100-000036000000}"/>
            </a:ext>
          </a:extLst>
        </xdr:cNvPr>
        <xdr:cNvSpPr/>
      </xdr:nvSpPr>
      <xdr:spPr>
        <a:xfrm>
          <a:off x="1165412" y="7844118"/>
          <a:ext cx="313765" cy="268941"/>
        </a:xfrm>
        <a:prstGeom prst="noSmoking">
          <a:avLst/>
        </a:prstGeom>
        <a:solidFill>
          <a:srgbClr val="FF000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xdr:col>
      <xdr:colOff>510988</xdr:colOff>
      <xdr:row>31</xdr:row>
      <xdr:rowOff>116541</xdr:rowOff>
    </xdr:from>
    <xdr:to>
      <xdr:col>2</xdr:col>
      <xdr:colOff>152400</xdr:colOff>
      <xdr:row>32</xdr:row>
      <xdr:rowOff>161364</xdr:rowOff>
    </xdr:to>
    <xdr:sp macro="" textlink="">
      <xdr:nvSpPr>
        <xdr:cNvPr id="55" name="&quot;No&quot; Symbol 54">
          <a:extLst>
            <a:ext uri="{FF2B5EF4-FFF2-40B4-BE49-F238E27FC236}">
              <a16:creationId xmlns:a16="http://schemas.microsoft.com/office/drawing/2014/main" id="{00000000-0008-0000-0100-000037000000}"/>
            </a:ext>
          </a:extLst>
        </xdr:cNvPr>
        <xdr:cNvSpPr/>
      </xdr:nvSpPr>
      <xdr:spPr>
        <a:xfrm>
          <a:off x="699247" y="6338047"/>
          <a:ext cx="313765" cy="268941"/>
        </a:xfrm>
        <a:prstGeom prst="noSmoking">
          <a:avLst/>
        </a:prstGeom>
        <a:solidFill>
          <a:srgbClr val="FF000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oneCellAnchor>
    <xdr:from>
      <xdr:col>3</xdr:col>
      <xdr:colOff>419101</xdr:colOff>
      <xdr:row>29</xdr:row>
      <xdr:rowOff>57150</xdr:rowOff>
    </xdr:from>
    <xdr:ext cx="1419224" cy="468013"/>
    <xdr:sp macro="" textlink="">
      <xdr:nvSpPr>
        <xdr:cNvPr id="23" name="TextBox 22">
          <a:extLst>
            <a:ext uri="{FF2B5EF4-FFF2-40B4-BE49-F238E27FC236}">
              <a16:creationId xmlns:a16="http://schemas.microsoft.com/office/drawing/2014/main" id="{00000000-0008-0000-0100-000017000000}"/>
            </a:ext>
          </a:extLst>
        </xdr:cNvPr>
        <xdr:cNvSpPr txBox="1"/>
      </xdr:nvSpPr>
      <xdr:spPr>
        <a:xfrm>
          <a:off x="2295526" y="5781675"/>
          <a:ext cx="1419224" cy="468013"/>
        </a:xfrm>
        <a:prstGeom prst="rect">
          <a:avLst/>
        </a:prstGeom>
        <a:solidFill>
          <a:sysClr val="window" lastClr="FFFFFF"/>
        </a:solidFill>
        <a:ln w="28575">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400" b="1"/>
            <a:t>0° Dimple</a:t>
          </a: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9</xdr:col>
      <xdr:colOff>171450</xdr:colOff>
      <xdr:row>30</xdr:row>
      <xdr:rowOff>116205</xdr:rowOff>
    </xdr:from>
    <xdr:to>
      <xdr:col>17</xdr:col>
      <xdr:colOff>161925</xdr:colOff>
      <xdr:row>52</xdr:row>
      <xdr:rowOff>24765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
  <sheetViews>
    <sheetView workbookViewId="0"/>
  </sheetViews>
  <sheetFormatPr defaultColWidth="9" defaultRowHeight="12.75"/>
  <cols>
    <col min="1" max="16384" width="9" style="22"/>
  </cols>
  <sheetData>
    <row r="1" spans="2:2" ht="23.25">
      <c r="B1" s="23" t="s">
        <v>0</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B2:L51"/>
  <sheetViews>
    <sheetView tabSelected="1" zoomScale="70" zoomScaleNormal="70" workbookViewId="0">
      <selection activeCell="D17" sqref="D17"/>
    </sheetView>
  </sheetViews>
  <sheetFormatPr defaultRowHeight="14.25"/>
  <cols>
    <col min="1" max="1" width="2.5" customWidth="1"/>
    <col min="3" max="3" width="15.625" bestFit="1" customWidth="1"/>
    <col min="4" max="4" width="15.625" customWidth="1"/>
    <col min="6" max="6" width="18" bestFit="1" customWidth="1"/>
    <col min="7" max="7" width="15.625" customWidth="1"/>
    <col min="8" max="8" width="14.125" customWidth="1"/>
    <col min="9" max="9" width="4.125" customWidth="1"/>
    <col min="10" max="10" width="13.625" customWidth="1"/>
    <col min="11" max="11" width="16.625" customWidth="1"/>
    <col min="12" max="12" width="13" customWidth="1"/>
    <col min="13" max="13" width="7.5" customWidth="1"/>
    <col min="14" max="14" width="10.625" bestFit="1" customWidth="1"/>
  </cols>
  <sheetData>
    <row r="2" spans="3:12" ht="15">
      <c r="C2" s="8" t="s">
        <v>1</v>
      </c>
    </row>
    <row r="3" spans="3:12">
      <c r="C3" t="s">
        <v>2</v>
      </c>
    </row>
    <row r="4" spans="3:12">
      <c r="C4" t="s">
        <v>3</v>
      </c>
    </row>
    <row r="5" spans="3:12">
      <c r="C5" t="s">
        <v>4</v>
      </c>
    </row>
    <row r="6" spans="3:12">
      <c r="C6" t="s">
        <v>5</v>
      </c>
    </row>
    <row r="7" spans="3:12">
      <c r="C7" t="s">
        <v>6</v>
      </c>
    </row>
    <row r="8" spans="3:12">
      <c r="C8" t="s">
        <v>7</v>
      </c>
    </row>
    <row r="10" spans="3:12" ht="20.25">
      <c r="C10" s="24" t="s">
        <v>8</v>
      </c>
      <c r="D10" s="25"/>
      <c r="E10" s="25"/>
      <c r="F10" s="25"/>
      <c r="G10" s="26"/>
    </row>
    <row r="11" spans="3:12" ht="20.45" customHeight="1">
      <c r="C11" s="27" t="s">
        <v>9</v>
      </c>
      <c r="D11" s="27"/>
      <c r="E11" s="27"/>
      <c r="F11" s="27"/>
      <c r="G11" s="27"/>
    </row>
    <row r="12" spans="3:12" ht="20.45" customHeight="1">
      <c r="C12" s="27"/>
      <c r="D12" s="27"/>
      <c r="E12" s="27"/>
      <c r="F12" s="27"/>
      <c r="G12" s="27"/>
    </row>
    <row r="13" spans="3:12" ht="20.45" customHeight="1">
      <c r="C13" s="27"/>
      <c r="D13" s="27"/>
      <c r="E13" s="27"/>
      <c r="F13" s="27"/>
      <c r="G13" s="27"/>
    </row>
    <row r="14" spans="3:12" ht="15" thickBot="1"/>
    <row r="15" spans="3:12" ht="23.1" customHeight="1">
      <c r="C15" s="28" t="s">
        <v>10</v>
      </c>
      <c r="D15" s="28"/>
      <c r="F15" s="1" t="s">
        <v>11</v>
      </c>
      <c r="G15" s="1" t="s">
        <v>12</v>
      </c>
      <c r="J15" s="29" t="s">
        <v>13</v>
      </c>
      <c r="K15" s="30"/>
      <c r="L15" s="31"/>
    </row>
    <row r="16" spans="3:12" ht="23.45" customHeight="1" thickBot="1">
      <c r="C16" s="1" t="s">
        <v>14</v>
      </c>
      <c r="D16" s="1" t="s">
        <v>15</v>
      </c>
      <c r="F16" s="1" t="s">
        <v>14</v>
      </c>
      <c r="G16" s="1" t="s">
        <v>16</v>
      </c>
      <c r="J16" s="3" t="s">
        <v>17</v>
      </c>
      <c r="K16" s="2" t="s">
        <v>18</v>
      </c>
      <c r="L16" s="4" t="s">
        <v>16</v>
      </c>
    </row>
    <row r="17" spans="3:12" ht="23.45" customHeight="1" thickBot="1">
      <c r="C17" s="9">
        <v>-14</v>
      </c>
      <c r="D17" s="9">
        <v>0</v>
      </c>
      <c r="F17" s="6">
        <f>Calculations!R10</f>
        <v>14</v>
      </c>
      <c r="G17" s="7">
        <f>Calculations!S31</f>
        <v>11</v>
      </c>
      <c r="J17" s="11"/>
      <c r="K17" s="2" t="str">
        <f>IF(J17="","",VLOOKUP(J17,Calculations!$B$4:$C$9,2,FALSE))</f>
        <v/>
      </c>
      <c r="L17" s="15"/>
    </row>
    <row r="18" spans="3:12" ht="18">
      <c r="J18" s="11"/>
      <c r="K18" s="2" t="str">
        <f>IF(J18="","",VLOOKUP(J18,Calculations!$B$4:$C$9,2,FALSE))</f>
        <v/>
      </c>
      <c r="L18" s="15"/>
    </row>
    <row r="19" spans="3:12" ht="18">
      <c r="J19" s="11"/>
      <c r="K19" s="2" t="str">
        <f>IF(J19="","",VLOOKUP(J19,Calculations!$B$4:$C$9,2,FALSE))</f>
        <v/>
      </c>
      <c r="L19" s="15"/>
    </row>
    <row r="20" spans="3:12" ht="18">
      <c r="J20" s="11"/>
      <c r="K20" s="2" t="str">
        <f>IF(J20="","",VLOOKUP(J20,Calculations!$B$4:$C$9,2,FALSE))</f>
        <v/>
      </c>
      <c r="L20" s="15"/>
    </row>
    <row r="21" spans="3:12" ht="18">
      <c r="J21" s="11"/>
      <c r="K21" s="2" t="str">
        <f>IF(J21="","",VLOOKUP(J21,Calculations!$B$4:$C$9,2,FALSE))</f>
        <v/>
      </c>
      <c r="L21" s="15"/>
    </row>
    <row r="22" spans="3:12" ht="18">
      <c r="J22" s="11"/>
      <c r="K22" s="2" t="str">
        <f>IF(J22="","",VLOOKUP(J22,Calculations!$B$4:$C$9,2,FALSE))</f>
        <v/>
      </c>
      <c r="L22" s="15"/>
    </row>
    <row r="23" spans="3:12" ht="18">
      <c r="J23" s="11"/>
      <c r="K23" s="2" t="str">
        <f>IF(J23="","",VLOOKUP(J23,Calculations!$B$4:$C$9,2,FALSE))</f>
        <v/>
      </c>
      <c r="L23" s="15"/>
    </row>
    <row r="24" spans="3:12" ht="18">
      <c r="J24" s="11"/>
      <c r="K24" s="2" t="str">
        <f>IF(J24="","",VLOOKUP(J24,Calculations!$B$4:$C$9,2,FALSE))</f>
        <v/>
      </c>
      <c r="L24" s="15"/>
    </row>
    <row r="25" spans="3:12" ht="18">
      <c r="J25" s="11"/>
      <c r="K25" s="2" t="str">
        <f>IF(J25="","",VLOOKUP(J25,Calculations!$B$4:$C$9,2,FALSE))</f>
        <v/>
      </c>
      <c r="L25" s="15"/>
    </row>
    <row r="26" spans="3:12" ht="18.75" thickBot="1">
      <c r="J26" s="12"/>
      <c r="K26" s="10" t="str">
        <f>IF(J26="","",VLOOKUP(J26,Calculations!$B$4:$C$9,2,FALSE))</f>
        <v/>
      </c>
      <c r="L26" s="16"/>
    </row>
    <row r="27" spans="3:12" ht="15" thickBot="1"/>
    <row r="28" spans="3:12" ht="23.25">
      <c r="J28" s="29" t="s">
        <v>19</v>
      </c>
      <c r="K28" s="30"/>
      <c r="L28" s="31"/>
    </row>
    <row r="29" spans="3:12" ht="18">
      <c r="J29" s="3" t="s">
        <v>17</v>
      </c>
      <c r="K29" s="2" t="s">
        <v>18</v>
      </c>
      <c r="L29" s="4" t="s">
        <v>16</v>
      </c>
    </row>
    <row r="30" spans="3:12" ht="18">
      <c r="J30" s="11"/>
      <c r="K30" s="2" t="str">
        <f>IF(J30="","",VLOOKUP(J30,Calculations!$B$4:$C$9,2,FALSE))</f>
        <v/>
      </c>
      <c r="L30" s="15"/>
    </row>
    <row r="31" spans="3:12" ht="18">
      <c r="J31" s="11"/>
      <c r="K31" s="2" t="str">
        <f>IF(J31="","",VLOOKUP(J31,Calculations!$B$4:$C$9,2,FALSE))</f>
        <v/>
      </c>
      <c r="L31" s="15"/>
    </row>
    <row r="32" spans="3:12" ht="18">
      <c r="J32" s="11"/>
      <c r="K32" s="2" t="str">
        <f>IF(J32="","",VLOOKUP(J32,Calculations!$B$4:$C$9,2,FALSE))</f>
        <v/>
      </c>
      <c r="L32" s="15"/>
    </row>
    <row r="33" spans="10:12" ht="18">
      <c r="J33" s="11"/>
      <c r="K33" s="2" t="str">
        <f>IF(J33="","",VLOOKUP(J33,Calculations!$B$4:$C$9,2,FALSE))</f>
        <v/>
      </c>
      <c r="L33" s="15"/>
    </row>
    <row r="34" spans="10:12" ht="18">
      <c r="J34" s="11"/>
      <c r="K34" s="2" t="str">
        <f>IF(J34="","",VLOOKUP(J34,Calculations!$B$4:$C$9,2,FALSE))</f>
        <v/>
      </c>
      <c r="L34" s="15"/>
    </row>
    <row r="35" spans="10:12" ht="18">
      <c r="J35" s="11"/>
      <c r="K35" s="2" t="str">
        <f>IF(J35="","",VLOOKUP(J35,Calculations!$B$4:$C$9,2,FALSE))</f>
        <v/>
      </c>
      <c r="L35" s="15"/>
    </row>
    <row r="36" spans="10:12" ht="18">
      <c r="J36" s="11"/>
      <c r="K36" s="2" t="str">
        <f>IF(J36="","",VLOOKUP(J36,Calculations!$B$4:$C$9,2,FALSE))</f>
        <v/>
      </c>
      <c r="L36" s="15"/>
    </row>
    <row r="37" spans="10:12" ht="18">
      <c r="J37" s="11"/>
      <c r="K37" s="2" t="str">
        <f>IF(J37="","",VLOOKUP(J37,Calculations!$B$4:$C$9,2,FALSE))</f>
        <v/>
      </c>
      <c r="L37" s="15"/>
    </row>
    <row r="38" spans="10:12" ht="18">
      <c r="J38" s="11"/>
      <c r="K38" s="2" t="str">
        <f>IF(J38="","",VLOOKUP(J38,Calculations!$B$4:$C$9,2,FALSE))</f>
        <v/>
      </c>
      <c r="L38" s="15"/>
    </row>
    <row r="39" spans="10:12" ht="18">
      <c r="J39" s="11"/>
      <c r="K39" s="2" t="str">
        <f>IF(J39="","",VLOOKUP(J39,Calculations!$B$4:$C$9,2,FALSE))</f>
        <v/>
      </c>
      <c r="L39" s="15"/>
    </row>
    <row r="40" spans="10:12" ht="18">
      <c r="J40" s="11"/>
      <c r="K40" s="2" t="str">
        <f>IF(J40="","",VLOOKUP(J40,Calculations!$B$4:$C$9,2,FALSE))</f>
        <v/>
      </c>
      <c r="L40" s="15"/>
    </row>
    <row r="41" spans="10:12" ht="18">
      <c r="J41" s="11"/>
      <c r="K41" s="2" t="str">
        <f>IF(J41="","",VLOOKUP(J41,Calculations!$B$4:$C$9,2,FALSE))</f>
        <v/>
      </c>
      <c r="L41" s="15"/>
    </row>
    <row r="42" spans="10:12" ht="18">
      <c r="J42" s="11"/>
      <c r="K42" s="2" t="str">
        <f>IF(J42="","",VLOOKUP(J42,Calculations!$B$4:$C$9,2,FALSE))</f>
        <v/>
      </c>
      <c r="L42" s="15"/>
    </row>
    <row r="43" spans="10:12" ht="18">
      <c r="J43" s="11"/>
      <c r="K43" s="2" t="str">
        <f>IF(J43="","",VLOOKUP(J43,Calculations!$B$4:$C$9,2,FALSE))</f>
        <v/>
      </c>
      <c r="L43" s="15"/>
    </row>
    <row r="44" spans="10:12" ht="18">
      <c r="J44" s="11"/>
      <c r="K44" s="2" t="str">
        <f>IF(J44="","",VLOOKUP(J44,Calculations!$B$4:$C$9,2,FALSE))</f>
        <v/>
      </c>
      <c r="L44" s="15"/>
    </row>
    <row r="45" spans="10:12" ht="18">
      <c r="J45" s="11"/>
      <c r="K45" s="2" t="str">
        <f>IF(J45="","",VLOOKUP(J45,Calculations!$B$4:$C$9,2,FALSE))</f>
        <v/>
      </c>
      <c r="L45" s="15"/>
    </row>
    <row r="46" spans="10:12" ht="18">
      <c r="J46" s="11"/>
      <c r="K46" s="2" t="str">
        <f>IF(J46="","",VLOOKUP(J46,Calculations!$B$4:$C$9,2,FALSE))</f>
        <v/>
      </c>
      <c r="L46" s="15"/>
    </row>
    <row r="47" spans="10:12" ht="18">
      <c r="J47" s="11"/>
      <c r="K47" s="2" t="str">
        <f>IF(J47="","",VLOOKUP(J47,Calculations!$B$4:$C$9,2,FALSE))</f>
        <v/>
      </c>
      <c r="L47" s="15"/>
    </row>
    <row r="48" spans="10:12" ht="18">
      <c r="J48" s="11"/>
      <c r="K48" s="2" t="str">
        <f>IF(J48="","",VLOOKUP(J48,Calculations!$B$4:$C$9,2,FALSE))</f>
        <v/>
      </c>
      <c r="L48" s="15"/>
    </row>
    <row r="49" spans="2:12" ht="18.75" thickBot="1">
      <c r="J49" s="12"/>
      <c r="K49" s="10" t="str">
        <f>IF(J49="","",VLOOKUP(J49,Calculations!$B$4:$C$9,2,FALSE))</f>
        <v/>
      </c>
      <c r="L49" s="16"/>
    </row>
    <row r="50" spans="2:12" ht="18">
      <c r="B50" s="13" t="s">
        <v>20</v>
      </c>
      <c r="C50" s="14"/>
      <c r="D50" s="14"/>
      <c r="E50" s="14"/>
      <c r="F50" s="14"/>
      <c r="G50" s="14"/>
    </row>
    <row r="51" spans="2:12" ht="18">
      <c r="C51" s="13" t="s">
        <v>21</v>
      </c>
      <c r="D51" s="14"/>
      <c r="E51" s="14"/>
      <c r="F51" s="14"/>
      <c r="G51" s="14"/>
    </row>
  </sheetData>
  <sheetProtection password="CDB2" sheet="1" objects="1" scenarios="1" selectLockedCells="1"/>
  <mergeCells count="5">
    <mergeCell ref="C10:G10"/>
    <mergeCell ref="C11:G13"/>
    <mergeCell ref="C15:D15"/>
    <mergeCell ref="J28:L28"/>
    <mergeCell ref="J15:L15"/>
  </mergeCells>
  <conditionalFormatting sqref="L30:L49">
    <cfRule type="duplicateValues" dxfId="0" priority="1"/>
  </conditionalFormatting>
  <pageMargins left="0.7" right="0.7" top="0.75" bottom="0.75" header="0.3" footer="0.3"/>
  <pageSetup scale="57"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Calculations!$B$3:$B$9</xm:f>
          </x14:formula1>
          <xm:sqref>J30:J49 J17:J26</xm:sqref>
        </x14:dataValidation>
        <x14:dataValidation type="list" allowBlank="1" showInputMessage="1" showErrorMessage="1" xr:uid="{00000000-0002-0000-0100-000001000000}">
          <x14:formula1>
            <xm:f>Calculations!$I$31:$I$51</xm:f>
          </x14:formula1>
          <xm:sqref>L17:L26 L30:L49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T61"/>
  <sheetViews>
    <sheetView workbookViewId="0">
      <selection activeCell="S21" sqref="S21"/>
    </sheetView>
  </sheetViews>
  <sheetFormatPr defaultRowHeight="14.25"/>
  <cols>
    <col min="2" max="2" width="10.5" customWidth="1"/>
    <col min="11" max="11" width="10.625" bestFit="1" customWidth="1"/>
    <col min="15" max="15" width="12.125" bestFit="1" customWidth="1"/>
    <col min="16" max="16" width="9.375" bestFit="1" customWidth="1"/>
    <col min="18" max="18" width="12" bestFit="1" customWidth="1"/>
    <col min="19" max="19" width="11.375" bestFit="1" customWidth="1"/>
  </cols>
  <sheetData>
    <row r="1" spans="2:20">
      <c r="B1" t="s">
        <v>22</v>
      </c>
      <c r="E1" t="s">
        <v>23</v>
      </c>
    </row>
    <row r="2" spans="2:20">
      <c r="B2" t="s">
        <v>17</v>
      </c>
      <c r="C2" t="s">
        <v>24</v>
      </c>
      <c r="E2" t="s">
        <v>25</v>
      </c>
      <c r="F2" t="s">
        <v>26</v>
      </c>
    </row>
    <row r="3" spans="2:20">
      <c r="I3" s="32" t="s">
        <v>27</v>
      </c>
      <c r="J3" s="32"/>
      <c r="K3" s="32" t="s">
        <v>28</v>
      </c>
      <c r="L3" s="32"/>
      <c r="M3" s="32" t="s">
        <v>29</v>
      </c>
      <c r="N3" s="32"/>
      <c r="O3" s="33" t="s">
        <v>30</v>
      </c>
      <c r="P3" s="34"/>
      <c r="R3" s="32" t="s">
        <v>31</v>
      </c>
      <c r="S3" s="32"/>
    </row>
    <row r="4" spans="2:20">
      <c r="B4">
        <v>1.86</v>
      </c>
      <c r="C4" t="s">
        <v>32</v>
      </c>
      <c r="E4">
        <f>H32</f>
        <v>0.5</v>
      </c>
      <c r="F4" t="str">
        <f>IF(ISNUMBER(E4),"",G4)</f>
        <v/>
      </c>
      <c r="G4">
        <v>1</v>
      </c>
      <c r="I4" s="5" t="s">
        <v>33</v>
      </c>
      <c r="J4" s="5" t="s">
        <v>25</v>
      </c>
      <c r="K4" s="5" t="s">
        <v>33</v>
      </c>
      <c r="L4" s="5" t="s">
        <v>25</v>
      </c>
      <c r="M4" s="5" t="s">
        <v>33</v>
      </c>
      <c r="N4" s="5" t="s">
        <v>25</v>
      </c>
      <c r="O4" s="5" t="s">
        <v>33</v>
      </c>
      <c r="P4" s="5" t="s">
        <v>25</v>
      </c>
      <c r="R4" s="5" t="s">
        <v>33</v>
      </c>
      <c r="S4" s="5" t="s">
        <v>25</v>
      </c>
    </row>
    <row r="5" spans="2:20">
      <c r="B5">
        <v>3.73</v>
      </c>
      <c r="C5" t="s">
        <v>34</v>
      </c>
      <c r="E5">
        <f t="shared" ref="E5:E23" si="0">H33</f>
        <v>16</v>
      </c>
      <c r="F5" t="str">
        <f t="shared" ref="F5:F23" si="1">IF(ISNUMBER(E5),"",G5)</f>
        <v/>
      </c>
      <c r="G5">
        <v>2</v>
      </c>
      <c r="H5" s="5" t="s">
        <v>35</v>
      </c>
      <c r="I5" s="5" t="e">
        <f>IF(ISNA(J5),NA(),'Trim Balancing'!J30)</f>
        <v>#N/A</v>
      </c>
      <c r="J5" s="5" t="e">
        <f>IF('Trim Balancing'!L30="N/A",NA(),VLOOKUP('Trim Balancing'!L30,$A$32:$D$51,4,FALSE))</f>
        <v>#N/A</v>
      </c>
      <c r="K5" s="5">
        <v>0</v>
      </c>
      <c r="L5" s="5">
        <v>0</v>
      </c>
      <c r="M5" s="5">
        <f>IFERROR(I5,0)</f>
        <v>0</v>
      </c>
      <c r="N5" s="5">
        <f>IFERROR(J5,0)</f>
        <v>0</v>
      </c>
      <c r="O5" s="5">
        <f>IFERROR(SQRT((K5*COS(RADIANS(L5))+M5*COS(RADIANS(N5)))^2+(K5*SIN(RADIANS(L5))+M5*SIN(RADIANS(N5)))^2),0)</f>
        <v>0</v>
      </c>
      <c r="P5" s="5">
        <f>IFERROR(DEGREES(ATAN2(K5*COS(RADIANS(L5))+M5*COS(RADIANS(N5)),K5*SIN(RADIANS(L5))+M5*SIN(RADIANS(N5)))),0)</f>
        <v>0</v>
      </c>
      <c r="R5" s="5">
        <f>'Trim Balancing'!C17</f>
        <v>-14</v>
      </c>
      <c r="S5" s="5">
        <f>'Trim Balancing'!D17</f>
        <v>0</v>
      </c>
      <c r="T5" s="5" t="s">
        <v>36</v>
      </c>
    </row>
    <row r="6" spans="2:20">
      <c r="B6">
        <v>5.6</v>
      </c>
      <c r="C6" t="s">
        <v>37</v>
      </c>
      <c r="E6">
        <f t="shared" si="0"/>
        <v>32</v>
      </c>
      <c r="F6" t="str">
        <f t="shared" si="1"/>
        <v/>
      </c>
      <c r="G6">
        <v>3</v>
      </c>
      <c r="H6" s="5" t="s">
        <v>38</v>
      </c>
      <c r="I6" s="5" t="e">
        <f>IF(ISNA(J6),NA(),'Trim Balancing'!J31)</f>
        <v>#N/A</v>
      </c>
      <c r="J6" s="5" t="e">
        <f>IF('Trim Balancing'!L31="N/A",NA(),VLOOKUP('Trim Balancing'!L31,$A$32:$D$51,4,FALSE))</f>
        <v>#N/A</v>
      </c>
      <c r="K6" s="5">
        <f t="shared" ref="K6:K24" si="2">O5</f>
        <v>0</v>
      </c>
      <c r="L6" s="5">
        <f t="shared" ref="L6:L24" si="3">P5</f>
        <v>0</v>
      </c>
      <c r="M6" s="5">
        <f t="shared" ref="M6:M24" si="4">IFERROR(I6,0)</f>
        <v>0</v>
      </c>
      <c r="N6" s="5">
        <f>IFERROR(J6,0)</f>
        <v>0</v>
      </c>
      <c r="O6" s="5">
        <f t="shared" ref="O6:O24" si="5">IFERROR(SQRT((K6*COS(RADIANS(L6))+M6*COS(RADIANS(N6)))^2+(K6*SIN(RADIANS(L6))+M6*SIN(RADIANS(N6)))^2),0)</f>
        <v>0</v>
      </c>
      <c r="P6" s="5">
        <f t="shared" ref="P6:P24" si="6">IFERROR(DEGREES(ATAN2(K6*COS(RADIANS(L6))+M6*COS(RADIANS(N6)),K6*SIN(RADIANS(L6))+M6*SIN(RADIANS(N6)))),0)</f>
        <v>0</v>
      </c>
      <c r="R6" s="17">
        <f>O24</f>
        <v>0</v>
      </c>
      <c r="S6" s="17">
        <f>P24</f>
        <v>0</v>
      </c>
      <c r="T6" s="5" t="s">
        <v>39</v>
      </c>
    </row>
    <row r="7" spans="2:20">
      <c r="B7">
        <v>7.43</v>
      </c>
      <c r="C7" t="s">
        <v>40</v>
      </c>
      <c r="E7">
        <f t="shared" si="0"/>
        <v>55</v>
      </c>
      <c r="F7" t="str">
        <f t="shared" si="1"/>
        <v/>
      </c>
      <c r="G7">
        <v>4</v>
      </c>
      <c r="H7" s="5" t="s">
        <v>41</v>
      </c>
      <c r="I7" s="5" t="e">
        <f>IF(ISNA(J7),NA(),'Trim Balancing'!J32)</f>
        <v>#N/A</v>
      </c>
      <c r="J7" s="5" t="e">
        <f>IF('Trim Balancing'!L32="N/A",NA(),VLOOKUP('Trim Balancing'!L32,$A$32:$D$51,4,FALSE))</f>
        <v>#N/A</v>
      </c>
      <c r="K7" s="5">
        <f t="shared" si="2"/>
        <v>0</v>
      </c>
      <c r="L7" s="5">
        <f t="shared" si="3"/>
        <v>0</v>
      </c>
      <c r="M7" s="5">
        <f t="shared" si="4"/>
        <v>0</v>
      </c>
      <c r="N7" s="5">
        <f t="shared" ref="N7:N24" si="7">IFERROR(J7,0)</f>
        <v>0</v>
      </c>
      <c r="O7" s="5">
        <f t="shared" si="5"/>
        <v>0</v>
      </c>
      <c r="P7" s="5">
        <f t="shared" si="6"/>
        <v>0</v>
      </c>
      <c r="R7" s="18">
        <f>O30</f>
        <v>14</v>
      </c>
      <c r="S7" s="18">
        <f>P30</f>
        <v>180</v>
      </c>
      <c r="T7" s="5" t="s">
        <v>42</v>
      </c>
    </row>
    <row r="8" spans="2:20">
      <c r="B8">
        <v>9.24</v>
      </c>
      <c r="C8" t="s">
        <v>43</v>
      </c>
      <c r="E8">
        <f t="shared" si="0"/>
        <v>71</v>
      </c>
      <c r="F8" t="str">
        <f t="shared" si="1"/>
        <v/>
      </c>
      <c r="G8">
        <v>5</v>
      </c>
      <c r="H8" s="5" t="s">
        <v>44</v>
      </c>
      <c r="I8" s="5" t="e">
        <f>IF(ISNA(J8),NA(),'Trim Balancing'!J33)</f>
        <v>#N/A</v>
      </c>
      <c r="J8" s="5" t="e">
        <f>IF('Trim Balancing'!L33="N/A",NA(),VLOOKUP('Trim Balancing'!L33,$A$32:$D$51,4,FALSE))</f>
        <v>#N/A</v>
      </c>
      <c r="K8" s="5">
        <f t="shared" si="2"/>
        <v>0</v>
      </c>
      <c r="L8" s="5">
        <f t="shared" si="3"/>
        <v>0</v>
      </c>
      <c r="M8" s="5">
        <f t="shared" si="4"/>
        <v>0</v>
      </c>
      <c r="N8" s="5">
        <f t="shared" si="7"/>
        <v>0</v>
      </c>
      <c r="O8" s="5">
        <f t="shared" si="5"/>
        <v>0</v>
      </c>
      <c r="P8" s="5">
        <f t="shared" si="6"/>
        <v>0</v>
      </c>
      <c r="R8" s="5">
        <f>IF(R7&lt;=(R6*0.15),1,0)</f>
        <v>0</v>
      </c>
      <c r="S8" s="5">
        <f>IF(ABS(S7)&lt;=10,1,0)</f>
        <v>0</v>
      </c>
      <c r="T8" s="5" t="s">
        <v>45</v>
      </c>
    </row>
    <row r="9" spans="2:20">
      <c r="B9">
        <v>12.31</v>
      </c>
      <c r="C9" t="s">
        <v>46</v>
      </c>
      <c r="E9">
        <f t="shared" si="0"/>
        <v>87</v>
      </c>
      <c r="F9" t="str">
        <f t="shared" si="1"/>
        <v/>
      </c>
      <c r="G9">
        <v>6</v>
      </c>
      <c r="H9" s="5" t="s">
        <v>47</v>
      </c>
      <c r="I9" s="5" t="e">
        <f>IF(ISNA(J9),NA(),'Trim Balancing'!J34)</f>
        <v>#N/A</v>
      </c>
      <c r="J9" s="5" t="e">
        <f>IF('Trim Balancing'!L34="N/A",NA(),VLOOKUP('Trim Balancing'!L34,$A$32:$D$51,4,FALSE))</f>
        <v>#N/A</v>
      </c>
      <c r="K9" s="5">
        <f t="shared" si="2"/>
        <v>0</v>
      </c>
      <c r="L9" s="5">
        <f t="shared" si="3"/>
        <v>0</v>
      </c>
      <c r="M9" s="5">
        <f t="shared" si="4"/>
        <v>0</v>
      </c>
      <c r="N9" s="5">
        <f t="shared" si="7"/>
        <v>0</v>
      </c>
      <c r="O9" s="5">
        <f t="shared" si="5"/>
        <v>0</v>
      </c>
      <c r="P9" s="5">
        <f t="shared" si="6"/>
        <v>0</v>
      </c>
      <c r="R9" s="5"/>
      <c r="S9" s="5"/>
    </row>
    <row r="10" spans="2:20">
      <c r="E10">
        <f t="shared" si="0"/>
        <v>103</v>
      </c>
      <c r="F10" t="str">
        <f t="shared" si="1"/>
        <v/>
      </c>
      <c r="G10">
        <v>7</v>
      </c>
      <c r="H10" s="5" t="s">
        <v>48</v>
      </c>
      <c r="I10" s="5" t="e">
        <f>IF(ISNA(J10),NA(),'Trim Balancing'!J35)</f>
        <v>#N/A</v>
      </c>
      <c r="J10" s="5" t="e">
        <f>IF('Trim Balancing'!L35="N/A",NA(),VLOOKUP('Trim Balancing'!L35,$A$32:$D$51,4,FALSE))</f>
        <v>#N/A</v>
      </c>
      <c r="K10" s="5">
        <f t="shared" si="2"/>
        <v>0</v>
      </c>
      <c r="L10" s="5">
        <f t="shared" si="3"/>
        <v>0</v>
      </c>
      <c r="M10" s="5">
        <f t="shared" si="4"/>
        <v>0</v>
      </c>
      <c r="N10" s="5">
        <f t="shared" si="7"/>
        <v>0</v>
      </c>
      <c r="O10" s="5">
        <f t="shared" si="5"/>
        <v>0</v>
      </c>
      <c r="P10" s="5">
        <f t="shared" si="6"/>
        <v>0</v>
      </c>
      <c r="R10" s="19">
        <f>IF(ISNUMBER(R7),R7,R5)</f>
        <v>14</v>
      </c>
      <c r="S10" s="19">
        <f>IF(ISNUMBER(S7),S7,S5)</f>
        <v>180</v>
      </c>
    </row>
    <row r="11" spans="2:20" ht="14.1" customHeight="1">
      <c r="E11">
        <f t="shared" si="0"/>
        <v>127</v>
      </c>
      <c r="F11" t="str">
        <f t="shared" si="1"/>
        <v/>
      </c>
      <c r="G11">
        <v>8</v>
      </c>
      <c r="H11" s="5" t="s">
        <v>49</v>
      </c>
      <c r="I11" s="5" t="e">
        <f>IF(ISNA(J11),NA(),'Trim Balancing'!J36)</f>
        <v>#N/A</v>
      </c>
      <c r="J11" s="5" t="e">
        <f>IF('Trim Balancing'!L36="N/A",NA(),VLOOKUP('Trim Balancing'!L36,$A$32:$D$51,4,FALSE))</f>
        <v>#N/A</v>
      </c>
      <c r="K11" s="5">
        <f t="shared" si="2"/>
        <v>0</v>
      </c>
      <c r="L11" s="5">
        <f t="shared" si="3"/>
        <v>0</v>
      </c>
      <c r="M11" s="5">
        <f t="shared" si="4"/>
        <v>0</v>
      </c>
      <c r="N11" s="5">
        <f t="shared" si="7"/>
        <v>0</v>
      </c>
      <c r="O11" s="5">
        <f t="shared" si="5"/>
        <v>0</v>
      </c>
      <c r="P11" s="5">
        <f t="shared" si="6"/>
        <v>0</v>
      </c>
      <c r="R11">
        <f>IF((ROUND((Calculations!S10/18),0)+1)&lt;0,ROUND((Calculations!S10/18),0)+21,ROUND((Calculations!S10/18),0)+1)</f>
        <v>11</v>
      </c>
      <c r="S11">
        <f t="shared" ref="S11:S12" si="8">VLOOKUP(IF(R11&gt;=21,R11-20,IF(R11&lt;=0,R11+20,R11)),$A$32:$I$51,9,0)</f>
        <v>11</v>
      </c>
      <c r="T11" t="s">
        <v>50</v>
      </c>
    </row>
    <row r="12" spans="2:20">
      <c r="E12">
        <f t="shared" si="0"/>
        <v>143</v>
      </c>
      <c r="F12" t="str">
        <f t="shared" si="1"/>
        <v/>
      </c>
      <c r="G12">
        <v>9</v>
      </c>
      <c r="H12" s="5" t="s">
        <v>51</v>
      </c>
      <c r="I12" s="5" t="e">
        <f>IF(ISNA(J12),NA(),'Trim Balancing'!J37)</f>
        <v>#N/A</v>
      </c>
      <c r="J12" s="5" t="e">
        <f>IF('Trim Balancing'!L37="N/A",NA(),VLOOKUP('Trim Balancing'!L37,$A$32:$D$51,4,FALSE))</f>
        <v>#N/A</v>
      </c>
      <c r="K12" s="5">
        <f t="shared" si="2"/>
        <v>0</v>
      </c>
      <c r="L12" s="5">
        <f t="shared" si="3"/>
        <v>0</v>
      </c>
      <c r="M12" s="5">
        <f t="shared" si="4"/>
        <v>0</v>
      </c>
      <c r="N12" s="5">
        <f t="shared" si="7"/>
        <v>0</v>
      </c>
      <c r="O12" s="5">
        <f t="shared" si="5"/>
        <v>0</v>
      </c>
      <c r="P12" s="5">
        <f t="shared" si="6"/>
        <v>0</v>
      </c>
      <c r="R12">
        <f>IF(IF((ROUND((Calculations!S10/18),0)+1)&lt;0,ROUND((Calculations!S10/18),0)+21,ROUND((Calculations!S10/18),0)+1)=IF((ROUNDDOWN((Calculations!S10/18),0)+1)&lt;0,ROUNDDOWN((Calculations!S10/18),0)+21,ROUNDDOWN((Calculations!S10/18),0)+1),IF((ROUNDUP((Calculations!S10/18),0)+1)&lt;0,ROUNDUP((Calculations!S10/18),0)+21,ROUNDUP((Calculations!S10/18),0)+1),IF((ROUNDDOWN((Calculations!S10/18),0)+1)&lt;0,ROUNDDOWN((Calculations!S10/18),0)+21,ROUNDDOWN((Calculations!S10/18),0)+1))</f>
        <v>11</v>
      </c>
      <c r="S12">
        <f t="shared" si="8"/>
        <v>11</v>
      </c>
      <c r="T12" t="s">
        <v>52</v>
      </c>
    </row>
    <row r="13" spans="2:20">
      <c r="E13">
        <f t="shared" si="0"/>
        <v>159.5</v>
      </c>
      <c r="F13" t="str">
        <f t="shared" si="1"/>
        <v/>
      </c>
      <c r="G13">
        <v>10</v>
      </c>
      <c r="H13" s="5" t="s">
        <v>53</v>
      </c>
      <c r="I13" s="5" t="e">
        <f>IF(ISNA(J13),NA(),'Trim Balancing'!J38)</f>
        <v>#N/A</v>
      </c>
      <c r="J13" s="5" t="e">
        <f>IF('Trim Balancing'!L38="N/A",NA(),VLOOKUP('Trim Balancing'!L38,$A$32:$D$51,4,FALSE))</f>
        <v>#N/A</v>
      </c>
      <c r="K13" s="5">
        <f t="shared" si="2"/>
        <v>0</v>
      </c>
      <c r="L13" s="5">
        <f t="shared" si="3"/>
        <v>0</v>
      </c>
      <c r="M13" s="5">
        <f t="shared" si="4"/>
        <v>0</v>
      </c>
      <c r="N13" s="5">
        <f t="shared" si="7"/>
        <v>0</v>
      </c>
      <c r="O13" s="5">
        <f t="shared" si="5"/>
        <v>0</v>
      </c>
      <c r="P13" s="5">
        <f t="shared" si="6"/>
        <v>0</v>
      </c>
      <c r="R13">
        <f>IF(R11-R12&gt;0,R11+1,R11-1)</f>
        <v>10</v>
      </c>
      <c r="S13">
        <f>VLOOKUP(IF(R13&gt;=21,R13-20,IF(R13&lt;=0,R13+20,R13)),$A$32:$I$51,9,0)</f>
        <v>10</v>
      </c>
      <c r="T13" t="s">
        <v>54</v>
      </c>
    </row>
    <row r="14" spans="2:20">
      <c r="E14">
        <f t="shared" si="0"/>
        <v>176</v>
      </c>
      <c r="F14" t="str">
        <f t="shared" si="1"/>
        <v/>
      </c>
      <c r="G14">
        <v>11</v>
      </c>
      <c r="H14" s="5" t="s">
        <v>55</v>
      </c>
      <c r="I14" s="5" t="e">
        <f>IF(ISNA(J14),NA(),'Trim Balancing'!J39)</f>
        <v>#N/A</v>
      </c>
      <c r="J14" s="5" t="e">
        <f>IF('Trim Balancing'!L39="N/A",NA(),VLOOKUP('Trim Balancing'!L39,$A$32:$D$51,4,FALSE))</f>
        <v>#N/A</v>
      </c>
      <c r="K14" s="5">
        <f t="shared" si="2"/>
        <v>0</v>
      </c>
      <c r="L14" s="5">
        <f t="shared" si="3"/>
        <v>0</v>
      </c>
      <c r="M14" s="5">
        <f t="shared" si="4"/>
        <v>0</v>
      </c>
      <c r="N14" s="5">
        <f t="shared" si="7"/>
        <v>0</v>
      </c>
      <c r="O14" s="5">
        <f t="shared" si="5"/>
        <v>0</v>
      </c>
      <c r="P14" s="5">
        <f t="shared" si="6"/>
        <v>0</v>
      </c>
      <c r="R14">
        <f t="shared" ref="R14:R30" si="9">IF(R12-R13&gt;0,R12+1,R12-1)</f>
        <v>12</v>
      </c>
      <c r="S14">
        <f t="shared" ref="S14:S30" si="10">VLOOKUP(IF(R14&gt;=21,R14-20,IF(R14&lt;=0,R14+20,R14)),$A$32:$I$51,9,0)</f>
        <v>12</v>
      </c>
      <c r="T14" t="s">
        <v>56</v>
      </c>
    </row>
    <row r="15" spans="2:20">
      <c r="E15">
        <f t="shared" si="0"/>
        <v>200.5</v>
      </c>
      <c r="F15" t="str">
        <f t="shared" si="1"/>
        <v/>
      </c>
      <c r="G15">
        <v>12</v>
      </c>
      <c r="H15" s="5" t="s">
        <v>57</v>
      </c>
      <c r="I15" s="5" t="e">
        <f>IF(ISNA(J15),NA(),'Trim Balancing'!J40)</f>
        <v>#N/A</v>
      </c>
      <c r="J15" s="5" t="e">
        <f>IF('Trim Balancing'!L40="N/A",NA(),VLOOKUP('Trim Balancing'!L40,$A$32:$D$51,4,FALSE))</f>
        <v>#N/A</v>
      </c>
      <c r="K15" s="5">
        <f t="shared" si="2"/>
        <v>0</v>
      </c>
      <c r="L15" s="5">
        <f t="shared" si="3"/>
        <v>0</v>
      </c>
      <c r="M15" s="5">
        <f t="shared" si="4"/>
        <v>0</v>
      </c>
      <c r="N15" s="5">
        <f t="shared" si="7"/>
        <v>0</v>
      </c>
      <c r="O15" s="5">
        <f t="shared" si="5"/>
        <v>0</v>
      </c>
      <c r="P15" s="5">
        <f t="shared" si="6"/>
        <v>0</v>
      </c>
      <c r="R15">
        <f t="shared" si="9"/>
        <v>9</v>
      </c>
      <c r="S15">
        <f t="shared" si="10"/>
        <v>9</v>
      </c>
    </row>
    <row r="16" spans="2:20">
      <c r="E16">
        <f t="shared" si="0"/>
        <v>217</v>
      </c>
      <c r="F16" t="str">
        <f t="shared" si="1"/>
        <v/>
      </c>
      <c r="G16">
        <v>13</v>
      </c>
      <c r="H16" s="5" t="s">
        <v>58</v>
      </c>
      <c r="I16" s="5" t="e">
        <f>IF(ISNA(J16),NA(),'Trim Balancing'!J41)</f>
        <v>#N/A</v>
      </c>
      <c r="J16" s="5" t="e">
        <f>IF('Trim Balancing'!L41="N/A",NA(),VLOOKUP('Trim Balancing'!L41,$A$32:$D$51,4,FALSE))</f>
        <v>#N/A</v>
      </c>
      <c r="K16" s="5">
        <f t="shared" si="2"/>
        <v>0</v>
      </c>
      <c r="L16" s="5">
        <f t="shared" si="3"/>
        <v>0</v>
      </c>
      <c r="M16" s="5">
        <f t="shared" si="4"/>
        <v>0</v>
      </c>
      <c r="N16" s="5">
        <f t="shared" si="7"/>
        <v>0</v>
      </c>
      <c r="O16" s="5">
        <f t="shared" si="5"/>
        <v>0</v>
      </c>
      <c r="P16" s="5">
        <f t="shared" si="6"/>
        <v>0</v>
      </c>
      <c r="R16">
        <f t="shared" si="9"/>
        <v>13</v>
      </c>
      <c r="S16">
        <f t="shared" si="10"/>
        <v>13</v>
      </c>
    </row>
    <row r="17" spans="1:20">
      <c r="E17">
        <f t="shared" si="0"/>
        <v>233</v>
      </c>
      <c r="F17" t="str">
        <f t="shared" si="1"/>
        <v/>
      </c>
      <c r="G17">
        <v>14</v>
      </c>
      <c r="H17" s="5" t="s">
        <v>59</v>
      </c>
      <c r="I17" s="5" t="e">
        <f>IF(ISNA(J17),NA(),'Trim Balancing'!J42)</f>
        <v>#N/A</v>
      </c>
      <c r="J17" s="5" t="e">
        <f>IF('Trim Balancing'!L42="N/A",NA(),VLOOKUP('Trim Balancing'!L42,$A$32:$D$51,4,FALSE))</f>
        <v>#N/A</v>
      </c>
      <c r="K17" s="5">
        <f t="shared" si="2"/>
        <v>0</v>
      </c>
      <c r="L17" s="5">
        <f t="shared" si="3"/>
        <v>0</v>
      </c>
      <c r="M17" s="5">
        <f t="shared" si="4"/>
        <v>0</v>
      </c>
      <c r="N17" s="5">
        <f t="shared" si="7"/>
        <v>0</v>
      </c>
      <c r="O17" s="5">
        <f t="shared" si="5"/>
        <v>0</v>
      </c>
      <c r="P17" s="5">
        <f t="shared" si="6"/>
        <v>0</v>
      </c>
      <c r="R17">
        <f t="shared" si="9"/>
        <v>8</v>
      </c>
      <c r="S17">
        <f t="shared" si="10"/>
        <v>8</v>
      </c>
    </row>
    <row r="18" spans="1:20">
      <c r="E18">
        <f t="shared" si="0"/>
        <v>250</v>
      </c>
      <c r="F18" t="str">
        <f t="shared" si="1"/>
        <v/>
      </c>
      <c r="G18">
        <v>15</v>
      </c>
      <c r="H18" s="5" t="s">
        <v>60</v>
      </c>
      <c r="I18" s="5" t="e">
        <f>IF(ISNA(J18),NA(),'Trim Balancing'!J43)</f>
        <v>#N/A</v>
      </c>
      <c r="J18" s="5" t="e">
        <f>IF('Trim Balancing'!L43="N/A",NA(),VLOOKUP('Trim Balancing'!L43,$A$32:$D$51,4,FALSE))</f>
        <v>#N/A</v>
      </c>
      <c r="K18" s="5">
        <f t="shared" si="2"/>
        <v>0</v>
      </c>
      <c r="L18" s="5">
        <f t="shared" si="3"/>
        <v>0</v>
      </c>
      <c r="M18" s="5">
        <f t="shared" si="4"/>
        <v>0</v>
      </c>
      <c r="N18" s="5">
        <f t="shared" si="7"/>
        <v>0</v>
      </c>
      <c r="O18" s="5">
        <f t="shared" si="5"/>
        <v>0</v>
      </c>
      <c r="P18" s="5">
        <f t="shared" si="6"/>
        <v>0</v>
      </c>
      <c r="R18">
        <f t="shared" si="9"/>
        <v>14</v>
      </c>
      <c r="S18">
        <f t="shared" si="10"/>
        <v>14</v>
      </c>
    </row>
    <row r="19" spans="1:20">
      <c r="E19">
        <f t="shared" si="0"/>
        <v>274</v>
      </c>
      <c r="F19" t="str">
        <f t="shared" si="1"/>
        <v/>
      </c>
      <c r="G19">
        <v>16</v>
      </c>
      <c r="H19" s="5" t="s">
        <v>61</v>
      </c>
      <c r="I19" s="5" t="e">
        <f>IF(ISNA(J19),NA(),'Trim Balancing'!J44)</f>
        <v>#N/A</v>
      </c>
      <c r="J19" s="5" t="e">
        <f>IF('Trim Balancing'!L44="N/A",NA(),VLOOKUP('Trim Balancing'!L44,$A$32:$D$51,4,FALSE))</f>
        <v>#N/A</v>
      </c>
      <c r="K19" s="5">
        <f t="shared" si="2"/>
        <v>0</v>
      </c>
      <c r="L19" s="5">
        <f t="shared" si="3"/>
        <v>0</v>
      </c>
      <c r="M19" s="5">
        <f t="shared" si="4"/>
        <v>0</v>
      </c>
      <c r="N19" s="5">
        <f t="shared" si="7"/>
        <v>0</v>
      </c>
      <c r="O19" s="5">
        <f t="shared" si="5"/>
        <v>0</v>
      </c>
      <c r="P19" s="5">
        <f t="shared" si="6"/>
        <v>0</v>
      </c>
      <c r="R19">
        <f t="shared" si="9"/>
        <v>7</v>
      </c>
      <c r="S19">
        <f t="shared" si="10"/>
        <v>7</v>
      </c>
      <c r="T19" t="s">
        <v>62</v>
      </c>
    </row>
    <row r="20" spans="1:20">
      <c r="E20">
        <f t="shared" si="0"/>
        <v>290</v>
      </c>
      <c r="F20" t="str">
        <f t="shared" si="1"/>
        <v/>
      </c>
      <c r="G20">
        <v>17</v>
      </c>
      <c r="H20" s="5" t="s">
        <v>63</v>
      </c>
      <c r="I20" s="5" t="e">
        <f>IF(ISNA(J20),NA(),'Trim Balancing'!J45)</f>
        <v>#N/A</v>
      </c>
      <c r="J20" s="5" t="e">
        <f>IF('Trim Balancing'!L45="N/A",NA(),VLOOKUP('Trim Balancing'!L45,$A$32:$D$51,4,FALSE))</f>
        <v>#N/A</v>
      </c>
      <c r="K20" s="5">
        <f t="shared" si="2"/>
        <v>0</v>
      </c>
      <c r="L20" s="5">
        <f t="shared" si="3"/>
        <v>0</v>
      </c>
      <c r="M20" s="5">
        <f t="shared" si="4"/>
        <v>0</v>
      </c>
      <c r="N20" s="5">
        <f t="shared" si="7"/>
        <v>0</v>
      </c>
      <c r="O20" s="5">
        <f t="shared" si="5"/>
        <v>0</v>
      </c>
      <c r="P20" s="5">
        <f t="shared" si="6"/>
        <v>0</v>
      </c>
      <c r="R20">
        <f t="shared" si="9"/>
        <v>15</v>
      </c>
      <c r="S20">
        <f t="shared" si="10"/>
        <v>15</v>
      </c>
      <c r="T20" t="s">
        <v>64</v>
      </c>
    </row>
    <row r="21" spans="1:20">
      <c r="E21">
        <f t="shared" si="0"/>
        <v>305.5</v>
      </c>
      <c r="F21" t="str">
        <f t="shared" si="1"/>
        <v/>
      </c>
      <c r="G21">
        <v>18</v>
      </c>
      <c r="H21" s="5" t="s">
        <v>65</v>
      </c>
      <c r="I21" s="5" t="e">
        <f>IF(ISNA(J21),NA(),'Trim Balancing'!J46)</f>
        <v>#N/A</v>
      </c>
      <c r="J21" s="5" t="e">
        <f>IF('Trim Balancing'!L46="N/A",NA(),VLOOKUP('Trim Balancing'!L46,$A$32:$D$51,4,FALSE))</f>
        <v>#N/A</v>
      </c>
      <c r="K21" s="5">
        <f t="shared" si="2"/>
        <v>0</v>
      </c>
      <c r="L21" s="5">
        <f t="shared" si="3"/>
        <v>0</v>
      </c>
      <c r="M21" s="5">
        <f t="shared" si="4"/>
        <v>0</v>
      </c>
      <c r="N21" s="5">
        <f t="shared" si="7"/>
        <v>0</v>
      </c>
      <c r="O21" s="5">
        <f t="shared" si="5"/>
        <v>0</v>
      </c>
      <c r="P21" s="5">
        <f t="shared" si="6"/>
        <v>0</v>
      </c>
      <c r="R21">
        <f t="shared" si="9"/>
        <v>6</v>
      </c>
      <c r="S21">
        <f t="shared" si="10"/>
        <v>6</v>
      </c>
      <c r="T21" t="s">
        <v>64</v>
      </c>
    </row>
    <row r="22" spans="1:20">
      <c r="E22">
        <f t="shared" si="0"/>
        <v>321.5</v>
      </c>
      <c r="F22" t="str">
        <f t="shared" si="1"/>
        <v/>
      </c>
      <c r="G22">
        <v>19</v>
      </c>
      <c r="H22" s="5" t="s">
        <v>66</v>
      </c>
      <c r="I22" s="5" t="e">
        <f>IF(ISNA(J22),NA(),'Trim Balancing'!J47)</f>
        <v>#N/A</v>
      </c>
      <c r="J22" s="5" t="e">
        <f>IF('Trim Balancing'!L47="N/A",NA(),VLOOKUP('Trim Balancing'!L47,$A$32:$D$51,4,FALSE))</f>
        <v>#N/A</v>
      </c>
      <c r="K22" s="5">
        <f t="shared" si="2"/>
        <v>0</v>
      </c>
      <c r="L22" s="5">
        <f t="shared" si="3"/>
        <v>0</v>
      </c>
      <c r="M22" s="5">
        <f t="shared" si="4"/>
        <v>0</v>
      </c>
      <c r="N22" s="5">
        <f t="shared" si="7"/>
        <v>0</v>
      </c>
      <c r="O22" s="5">
        <f t="shared" si="5"/>
        <v>0</v>
      </c>
      <c r="P22" s="5">
        <f t="shared" si="6"/>
        <v>0</v>
      </c>
      <c r="R22">
        <f t="shared" si="9"/>
        <v>16</v>
      </c>
      <c r="S22">
        <f t="shared" si="10"/>
        <v>16</v>
      </c>
      <c r="T22" t="s">
        <v>64</v>
      </c>
    </row>
    <row r="23" spans="1:20">
      <c r="E23">
        <f t="shared" si="0"/>
        <v>345</v>
      </c>
      <c r="F23" t="str">
        <f t="shared" si="1"/>
        <v/>
      </c>
      <c r="G23">
        <v>20</v>
      </c>
      <c r="H23" s="5" t="s">
        <v>67</v>
      </c>
      <c r="I23" s="5" t="e">
        <f>IF(ISNA(J23),NA(),'Trim Balancing'!J48)</f>
        <v>#N/A</v>
      </c>
      <c r="J23" s="5" t="e">
        <f>IF('Trim Balancing'!L48="N/A",NA(),VLOOKUP('Trim Balancing'!L48,$A$32:$D$51,4,FALSE))</f>
        <v>#N/A</v>
      </c>
      <c r="K23" s="5">
        <f t="shared" si="2"/>
        <v>0</v>
      </c>
      <c r="L23" s="5">
        <f t="shared" si="3"/>
        <v>0</v>
      </c>
      <c r="M23" s="5">
        <f t="shared" si="4"/>
        <v>0</v>
      </c>
      <c r="N23" s="5">
        <f t="shared" si="7"/>
        <v>0</v>
      </c>
      <c r="O23" s="5">
        <f t="shared" si="5"/>
        <v>0</v>
      </c>
      <c r="P23" s="5">
        <f t="shared" si="6"/>
        <v>0</v>
      </c>
      <c r="R23">
        <f t="shared" si="9"/>
        <v>5</v>
      </c>
      <c r="S23">
        <f t="shared" si="10"/>
        <v>5</v>
      </c>
      <c r="T23" t="s">
        <v>64</v>
      </c>
    </row>
    <row r="24" spans="1:20">
      <c r="H24" s="5" t="s">
        <v>68</v>
      </c>
      <c r="I24" s="5" t="e">
        <f>IF(ISNA(J24),NA(),'Trim Balancing'!J49)</f>
        <v>#N/A</v>
      </c>
      <c r="J24" s="5" t="e">
        <f>IF('Trim Balancing'!L49="N/A",NA(),VLOOKUP('Trim Balancing'!L49,$A$32:$D$51,4,FALSE))</f>
        <v>#N/A</v>
      </c>
      <c r="K24" s="5">
        <f t="shared" si="2"/>
        <v>0</v>
      </c>
      <c r="L24" s="5">
        <f t="shared" si="3"/>
        <v>0</v>
      </c>
      <c r="M24" s="5">
        <f t="shared" si="4"/>
        <v>0</v>
      </c>
      <c r="N24" s="5">
        <f t="shared" si="7"/>
        <v>0</v>
      </c>
      <c r="O24" s="5">
        <f t="shared" si="5"/>
        <v>0</v>
      </c>
      <c r="P24" s="5">
        <f t="shared" si="6"/>
        <v>0</v>
      </c>
      <c r="R24">
        <f t="shared" si="9"/>
        <v>17</v>
      </c>
      <c r="S24">
        <f t="shared" si="10"/>
        <v>17</v>
      </c>
      <c r="T24" t="s">
        <v>64</v>
      </c>
    </row>
    <row r="25" spans="1:20">
      <c r="R25">
        <f t="shared" si="9"/>
        <v>4</v>
      </c>
      <c r="S25">
        <f t="shared" si="10"/>
        <v>4</v>
      </c>
      <c r="T25" t="s">
        <v>64</v>
      </c>
    </row>
    <row r="26" spans="1:20">
      <c r="N26" s="5"/>
      <c r="O26" s="5" t="s">
        <v>69</v>
      </c>
      <c r="P26" s="5" t="s">
        <v>70</v>
      </c>
      <c r="R26">
        <f t="shared" si="9"/>
        <v>18</v>
      </c>
      <c r="S26">
        <f t="shared" si="10"/>
        <v>18</v>
      </c>
      <c r="T26" t="s">
        <v>64</v>
      </c>
    </row>
    <row r="27" spans="1:20">
      <c r="N27" s="5" t="s">
        <v>71</v>
      </c>
      <c r="O27" s="20">
        <f>R5*COS(RADIANS(S5))</f>
        <v>-14</v>
      </c>
      <c r="P27" s="20">
        <f>R5*SIN(RADIANS(S5))</f>
        <v>0</v>
      </c>
      <c r="R27">
        <f t="shared" si="9"/>
        <v>3</v>
      </c>
      <c r="S27">
        <f t="shared" si="10"/>
        <v>3</v>
      </c>
      <c r="T27" t="s">
        <v>64</v>
      </c>
    </row>
    <row r="28" spans="1:20">
      <c r="N28" s="5" t="s">
        <v>72</v>
      </c>
      <c r="O28" s="20">
        <f>-O24*COS(RADIANS(P24))</f>
        <v>0</v>
      </c>
      <c r="P28" s="20">
        <f>-O24*SIN(RADIANS(P24))</f>
        <v>0</v>
      </c>
      <c r="R28">
        <f t="shared" si="9"/>
        <v>19</v>
      </c>
      <c r="S28">
        <f t="shared" si="10"/>
        <v>19</v>
      </c>
      <c r="T28" t="s">
        <v>64</v>
      </c>
    </row>
    <row r="29" spans="1:20">
      <c r="N29" s="5" t="s">
        <v>42</v>
      </c>
      <c r="O29" s="20">
        <f>O27+O28</f>
        <v>-14</v>
      </c>
      <c r="P29" s="20">
        <f>P27+P28</f>
        <v>0</v>
      </c>
      <c r="R29">
        <f t="shared" si="9"/>
        <v>2</v>
      </c>
      <c r="S29">
        <f t="shared" si="10"/>
        <v>2</v>
      </c>
      <c r="T29" t="s">
        <v>64</v>
      </c>
    </row>
    <row r="30" spans="1:20">
      <c r="A30" t="s">
        <v>73</v>
      </c>
      <c r="B30" t="s">
        <v>26</v>
      </c>
      <c r="C30" t="s">
        <v>74</v>
      </c>
      <c r="D30" t="s">
        <v>25</v>
      </c>
      <c r="E30" t="s">
        <v>26</v>
      </c>
      <c r="F30" t="s">
        <v>74</v>
      </c>
      <c r="G30" t="s">
        <v>25</v>
      </c>
      <c r="H30" t="s">
        <v>75</v>
      </c>
      <c r="N30" s="5" t="s">
        <v>76</v>
      </c>
      <c r="O30" s="20">
        <f>SQRT(O29^2+P29^2)</f>
        <v>14</v>
      </c>
      <c r="P30" s="20">
        <f>DEGREES(ATAN2(O29,P29))</f>
        <v>180</v>
      </c>
      <c r="R30">
        <f t="shared" si="9"/>
        <v>20</v>
      </c>
      <c r="S30">
        <f t="shared" si="10"/>
        <v>20</v>
      </c>
      <c r="T30" t="s">
        <v>64</v>
      </c>
    </row>
    <row r="31" spans="1:20">
      <c r="S31" s="21">
        <f>IF(ISNUMBER(S11)=TRUE,S11,IF(ISNUMBER(S12)=TRUE,S12,IF(ISNUMBER(S13)=TRUE,S13,IF(ISNUMBER(S14)=TRUE,S14,IF(ISNUMBER(S15)=TRUE,S15,IF(ISNUMBER(S16)=TRUE,S16,IF(ISNUMBER(S17)=TRUE,S17,S18)))))))</f>
        <v>11</v>
      </c>
      <c r="T31" t="s">
        <v>77</v>
      </c>
    </row>
    <row r="32" spans="1:20">
      <c r="A32">
        <v>1</v>
      </c>
      <c r="B32">
        <f>'Trim Balancing'!L17</f>
        <v>0</v>
      </c>
      <c r="C32" t="b">
        <f>IF(B32&gt;0.1,TRUE,FALSE)</f>
        <v>0</v>
      </c>
      <c r="D32">
        <v>0</v>
      </c>
      <c r="E32">
        <v>1</v>
      </c>
      <c r="F32" t="e">
        <f>IF(VLOOKUP(E32,$B$32:$C$61,2,FALSE)=TRUE,TRUE,FALSE)</f>
        <v>#N/A</v>
      </c>
      <c r="G32">
        <v>0.5</v>
      </c>
      <c r="H32">
        <f>IF(ISNA(F32),G32,"N/A")</f>
        <v>0.5</v>
      </c>
      <c r="I32">
        <f>IF(ISNA(F32),E32,"N/A")</f>
        <v>1</v>
      </c>
    </row>
    <row r="33" spans="1:9">
      <c r="A33">
        <v>2</v>
      </c>
      <c r="B33">
        <f>'Trim Balancing'!L18</f>
        <v>0</v>
      </c>
      <c r="C33" t="b">
        <f t="shared" ref="C33:C61" si="11">IF(B33&gt;0.1,TRUE,FALSE)</f>
        <v>0</v>
      </c>
      <c r="D33">
        <f>D32+18</f>
        <v>18</v>
      </c>
      <c r="E33">
        <v>2</v>
      </c>
      <c r="F33" t="e">
        <f t="shared" ref="F33:F51" si="12">IF(VLOOKUP(E33,$B$32:$C$61,2,FALSE)=TRUE,TRUE,FALSE)</f>
        <v>#N/A</v>
      </c>
      <c r="G33">
        <v>16</v>
      </c>
      <c r="H33">
        <f t="shared" ref="H33:H51" si="13">IF(ISNA(F33),G33,"N/A")</f>
        <v>16</v>
      </c>
      <c r="I33">
        <f t="shared" ref="I33:I51" si="14">IF(ISNA(F33),E33,"N/A")</f>
        <v>2</v>
      </c>
    </row>
    <row r="34" spans="1:9">
      <c r="A34">
        <v>3</v>
      </c>
      <c r="B34">
        <f>'Trim Balancing'!L19</f>
        <v>0</v>
      </c>
      <c r="C34" t="b">
        <f t="shared" si="11"/>
        <v>0</v>
      </c>
      <c r="D34">
        <f t="shared" ref="D34:D51" si="15">D33+18</f>
        <v>36</v>
      </c>
      <c r="E34">
        <v>3</v>
      </c>
      <c r="F34" t="e">
        <f t="shared" si="12"/>
        <v>#N/A</v>
      </c>
      <c r="G34">
        <v>32</v>
      </c>
      <c r="H34">
        <f t="shared" si="13"/>
        <v>32</v>
      </c>
      <c r="I34">
        <f t="shared" si="14"/>
        <v>3</v>
      </c>
    </row>
    <row r="35" spans="1:9">
      <c r="A35">
        <v>4</v>
      </c>
      <c r="B35">
        <f>'Trim Balancing'!L20</f>
        <v>0</v>
      </c>
      <c r="C35" t="b">
        <f t="shared" si="11"/>
        <v>0</v>
      </c>
      <c r="D35">
        <f t="shared" si="15"/>
        <v>54</v>
      </c>
      <c r="E35">
        <v>4</v>
      </c>
      <c r="F35" t="e">
        <f t="shared" si="12"/>
        <v>#N/A</v>
      </c>
      <c r="G35">
        <v>55</v>
      </c>
      <c r="H35">
        <f t="shared" si="13"/>
        <v>55</v>
      </c>
      <c r="I35">
        <f t="shared" si="14"/>
        <v>4</v>
      </c>
    </row>
    <row r="36" spans="1:9">
      <c r="A36">
        <v>5</v>
      </c>
      <c r="B36">
        <f>'Trim Balancing'!L21</f>
        <v>0</v>
      </c>
      <c r="C36" t="b">
        <f t="shared" si="11"/>
        <v>0</v>
      </c>
      <c r="D36">
        <f t="shared" si="15"/>
        <v>72</v>
      </c>
      <c r="E36">
        <v>5</v>
      </c>
      <c r="F36" t="e">
        <f t="shared" si="12"/>
        <v>#N/A</v>
      </c>
      <c r="G36">
        <v>71</v>
      </c>
      <c r="H36">
        <f t="shared" si="13"/>
        <v>71</v>
      </c>
      <c r="I36">
        <f t="shared" si="14"/>
        <v>5</v>
      </c>
    </row>
    <row r="37" spans="1:9">
      <c r="A37">
        <v>6</v>
      </c>
      <c r="B37">
        <f>'Trim Balancing'!L22</f>
        <v>0</v>
      </c>
      <c r="C37" t="b">
        <f t="shared" si="11"/>
        <v>0</v>
      </c>
      <c r="D37">
        <f t="shared" si="15"/>
        <v>90</v>
      </c>
      <c r="E37">
        <v>6</v>
      </c>
      <c r="F37" t="e">
        <f t="shared" si="12"/>
        <v>#N/A</v>
      </c>
      <c r="G37">
        <v>87</v>
      </c>
      <c r="H37">
        <f t="shared" si="13"/>
        <v>87</v>
      </c>
      <c r="I37">
        <f t="shared" si="14"/>
        <v>6</v>
      </c>
    </row>
    <row r="38" spans="1:9">
      <c r="A38">
        <v>7</v>
      </c>
      <c r="B38">
        <f>'Trim Balancing'!L23</f>
        <v>0</v>
      </c>
      <c r="C38" t="b">
        <f t="shared" si="11"/>
        <v>0</v>
      </c>
      <c r="D38">
        <f t="shared" si="15"/>
        <v>108</v>
      </c>
      <c r="E38">
        <v>7</v>
      </c>
      <c r="F38" t="e">
        <f t="shared" si="12"/>
        <v>#N/A</v>
      </c>
      <c r="G38">
        <v>103</v>
      </c>
      <c r="H38">
        <f t="shared" si="13"/>
        <v>103</v>
      </c>
      <c r="I38">
        <f t="shared" si="14"/>
        <v>7</v>
      </c>
    </row>
    <row r="39" spans="1:9">
      <c r="A39">
        <v>8</v>
      </c>
      <c r="B39">
        <f>'Trim Balancing'!L24</f>
        <v>0</v>
      </c>
      <c r="C39" t="b">
        <f t="shared" si="11"/>
        <v>0</v>
      </c>
      <c r="D39">
        <f t="shared" si="15"/>
        <v>126</v>
      </c>
      <c r="E39">
        <v>8</v>
      </c>
      <c r="F39" t="e">
        <f t="shared" si="12"/>
        <v>#N/A</v>
      </c>
      <c r="G39">
        <v>127</v>
      </c>
      <c r="H39">
        <f t="shared" si="13"/>
        <v>127</v>
      </c>
      <c r="I39">
        <f t="shared" si="14"/>
        <v>8</v>
      </c>
    </row>
    <row r="40" spans="1:9">
      <c r="A40">
        <v>9</v>
      </c>
      <c r="B40">
        <f>'Trim Balancing'!L25</f>
        <v>0</v>
      </c>
      <c r="C40" t="b">
        <f t="shared" si="11"/>
        <v>0</v>
      </c>
      <c r="D40">
        <f t="shared" si="15"/>
        <v>144</v>
      </c>
      <c r="E40">
        <v>9</v>
      </c>
      <c r="F40" t="e">
        <f t="shared" si="12"/>
        <v>#N/A</v>
      </c>
      <c r="G40">
        <v>143</v>
      </c>
      <c r="H40">
        <f t="shared" si="13"/>
        <v>143</v>
      </c>
      <c r="I40">
        <f t="shared" si="14"/>
        <v>9</v>
      </c>
    </row>
    <row r="41" spans="1:9">
      <c r="A41">
        <v>10</v>
      </c>
      <c r="B41">
        <f>'Trim Balancing'!L26</f>
        <v>0</v>
      </c>
      <c r="C41" t="b">
        <f t="shared" si="11"/>
        <v>0</v>
      </c>
      <c r="D41">
        <f t="shared" si="15"/>
        <v>162</v>
      </c>
      <c r="E41">
        <v>10</v>
      </c>
      <c r="F41" t="e">
        <f t="shared" si="12"/>
        <v>#N/A</v>
      </c>
      <c r="G41">
        <v>159.5</v>
      </c>
      <c r="H41">
        <f t="shared" si="13"/>
        <v>159.5</v>
      </c>
      <c r="I41">
        <f t="shared" si="14"/>
        <v>10</v>
      </c>
    </row>
    <row r="42" spans="1:9">
      <c r="A42">
        <v>11</v>
      </c>
      <c r="B42">
        <f>'Trim Balancing'!L30</f>
        <v>0</v>
      </c>
      <c r="C42" t="b">
        <f t="shared" si="11"/>
        <v>0</v>
      </c>
      <c r="D42">
        <f t="shared" si="15"/>
        <v>180</v>
      </c>
      <c r="E42">
        <v>11</v>
      </c>
      <c r="F42" t="e">
        <f t="shared" si="12"/>
        <v>#N/A</v>
      </c>
      <c r="G42">
        <v>176</v>
      </c>
      <c r="H42">
        <f t="shared" si="13"/>
        <v>176</v>
      </c>
      <c r="I42">
        <f t="shared" si="14"/>
        <v>11</v>
      </c>
    </row>
    <row r="43" spans="1:9">
      <c r="A43">
        <v>12</v>
      </c>
      <c r="B43">
        <f>'Trim Balancing'!L31</f>
        <v>0</v>
      </c>
      <c r="C43" t="b">
        <f t="shared" si="11"/>
        <v>0</v>
      </c>
      <c r="D43">
        <f t="shared" si="15"/>
        <v>198</v>
      </c>
      <c r="E43">
        <v>12</v>
      </c>
      <c r="F43" t="e">
        <f t="shared" si="12"/>
        <v>#N/A</v>
      </c>
      <c r="G43">
        <v>200.5</v>
      </c>
      <c r="H43">
        <f t="shared" si="13"/>
        <v>200.5</v>
      </c>
      <c r="I43">
        <f t="shared" si="14"/>
        <v>12</v>
      </c>
    </row>
    <row r="44" spans="1:9">
      <c r="A44">
        <v>13</v>
      </c>
      <c r="B44">
        <f>'Trim Balancing'!L32</f>
        <v>0</v>
      </c>
      <c r="C44" t="b">
        <f t="shared" si="11"/>
        <v>0</v>
      </c>
      <c r="D44">
        <f t="shared" si="15"/>
        <v>216</v>
      </c>
      <c r="E44">
        <v>13</v>
      </c>
      <c r="F44" t="e">
        <f t="shared" si="12"/>
        <v>#N/A</v>
      </c>
      <c r="G44">
        <v>217</v>
      </c>
      <c r="H44">
        <f t="shared" si="13"/>
        <v>217</v>
      </c>
      <c r="I44">
        <f t="shared" si="14"/>
        <v>13</v>
      </c>
    </row>
    <row r="45" spans="1:9">
      <c r="A45">
        <v>14</v>
      </c>
      <c r="B45">
        <f>'Trim Balancing'!L33</f>
        <v>0</v>
      </c>
      <c r="C45" t="b">
        <f t="shared" si="11"/>
        <v>0</v>
      </c>
      <c r="D45">
        <f t="shared" si="15"/>
        <v>234</v>
      </c>
      <c r="E45">
        <v>14</v>
      </c>
      <c r="F45" t="e">
        <f t="shared" si="12"/>
        <v>#N/A</v>
      </c>
      <c r="G45">
        <v>233</v>
      </c>
      <c r="H45">
        <f t="shared" si="13"/>
        <v>233</v>
      </c>
      <c r="I45">
        <f t="shared" si="14"/>
        <v>14</v>
      </c>
    </row>
    <row r="46" spans="1:9">
      <c r="A46">
        <v>15</v>
      </c>
      <c r="B46">
        <f>'Trim Balancing'!L34</f>
        <v>0</v>
      </c>
      <c r="C46" t="b">
        <f t="shared" si="11"/>
        <v>0</v>
      </c>
      <c r="D46">
        <f t="shared" si="15"/>
        <v>252</v>
      </c>
      <c r="E46">
        <v>15</v>
      </c>
      <c r="F46" t="e">
        <f t="shared" si="12"/>
        <v>#N/A</v>
      </c>
      <c r="G46">
        <v>250</v>
      </c>
      <c r="H46">
        <f t="shared" si="13"/>
        <v>250</v>
      </c>
      <c r="I46">
        <f t="shared" si="14"/>
        <v>15</v>
      </c>
    </row>
    <row r="47" spans="1:9">
      <c r="A47">
        <v>16</v>
      </c>
      <c r="B47">
        <f>'Trim Balancing'!L35</f>
        <v>0</v>
      </c>
      <c r="C47" t="b">
        <f t="shared" si="11"/>
        <v>0</v>
      </c>
      <c r="D47">
        <f t="shared" si="15"/>
        <v>270</v>
      </c>
      <c r="E47">
        <v>16</v>
      </c>
      <c r="F47" t="e">
        <f t="shared" si="12"/>
        <v>#N/A</v>
      </c>
      <c r="G47">
        <v>274</v>
      </c>
      <c r="H47">
        <f t="shared" si="13"/>
        <v>274</v>
      </c>
      <c r="I47">
        <f t="shared" si="14"/>
        <v>16</v>
      </c>
    </row>
    <row r="48" spans="1:9">
      <c r="A48">
        <v>17</v>
      </c>
      <c r="B48">
        <f>'Trim Balancing'!L36</f>
        <v>0</v>
      </c>
      <c r="C48" t="b">
        <f t="shared" si="11"/>
        <v>0</v>
      </c>
      <c r="D48">
        <f t="shared" si="15"/>
        <v>288</v>
      </c>
      <c r="E48">
        <v>17</v>
      </c>
      <c r="F48" t="e">
        <f t="shared" si="12"/>
        <v>#N/A</v>
      </c>
      <c r="G48">
        <v>290</v>
      </c>
      <c r="H48">
        <f t="shared" si="13"/>
        <v>290</v>
      </c>
      <c r="I48">
        <f t="shared" si="14"/>
        <v>17</v>
      </c>
    </row>
    <row r="49" spans="1:9">
      <c r="A49">
        <v>18</v>
      </c>
      <c r="B49">
        <f>'Trim Balancing'!L37</f>
        <v>0</v>
      </c>
      <c r="C49" t="b">
        <f t="shared" si="11"/>
        <v>0</v>
      </c>
      <c r="D49">
        <f t="shared" si="15"/>
        <v>306</v>
      </c>
      <c r="E49">
        <v>18</v>
      </c>
      <c r="F49" t="e">
        <f t="shared" si="12"/>
        <v>#N/A</v>
      </c>
      <c r="G49">
        <v>305.5</v>
      </c>
      <c r="H49">
        <f t="shared" si="13"/>
        <v>305.5</v>
      </c>
      <c r="I49">
        <f t="shared" si="14"/>
        <v>18</v>
      </c>
    </row>
    <row r="50" spans="1:9">
      <c r="A50">
        <v>19</v>
      </c>
      <c r="B50">
        <f>'Trim Balancing'!L38</f>
        <v>0</v>
      </c>
      <c r="C50" t="b">
        <f t="shared" si="11"/>
        <v>0</v>
      </c>
      <c r="D50">
        <f t="shared" si="15"/>
        <v>324</v>
      </c>
      <c r="E50">
        <v>19</v>
      </c>
      <c r="F50" t="e">
        <f t="shared" si="12"/>
        <v>#N/A</v>
      </c>
      <c r="G50">
        <v>321.5</v>
      </c>
      <c r="H50">
        <f t="shared" si="13"/>
        <v>321.5</v>
      </c>
      <c r="I50">
        <f t="shared" si="14"/>
        <v>19</v>
      </c>
    </row>
    <row r="51" spans="1:9">
      <c r="A51">
        <v>20</v>
      </c>
      <c r="B51">
        <f>'Trim Balancing'!L39</f>
        <v>0</v>
      </c>
      <c r="C51" t="b">
        <f t="shared" si="11"/>
        <v>0</v>
      </c>
      <c r="D51">
        <f t="shared" si="15"/>
        <v>342</v>
      </c>
      <c r="E51">
        <v>20</v>
      </c>
      <c r="F51" t="e">
        <f t="shared" si="12"/>
        <v>#N/A</v>
      </c>
      <c r="G51">
        <v>345</v>
      </c>
      <c r="H51">
        <f t="shared" si="13"/>
        <v>345</v>
      </c>
      <c r="I51">
        <f t="shared" si="14"/>
        <v>20</v>
      </c>
    </row>
    <row r="52" spans="1:9">
      <c r="B52">
        <f>'Trim Balancing'!L40</f>
        <v>0</v>
      </c>
      <c r="C52" t="b">
        <f t="shared" si="11"/>
        <v>0</v>
      </c>
    </row>
    <row r="53" spans="1:9">
      <c r="B53">
        <f>'Trim Balancing'!L41</f>
        <v>0</v>
      </c>
      <c r="C53" t="b">
        <f t="shared" si="11"/>
        <v>0</v>
      </c>
    </row>
    <row r="54" spans="1:9">
      <c r="B54">
        <f>'Trim Balancing'!L42</f>
        <v>0</v>
      </c>
      <c r="C54" t="b">
        <f t="shared" si="11"/>
        <v>0</v>
      </c>
    </row>
    <row r="55" spans="1:9">
      <c r="B55">
        <f>'Trim Balancing'!L43</f>
        <v>0</v>
      </c>
      <c r="C55" t="b">
        <f t="shared" si="11"/>
        <v>0</v>
      </c>
    </row>
    <row r="56" spans="1:9">
      <c r="B56">
        <f>'Trim Balancing'!L44</f>
        <v>0</v>
      </c>
      <c r="C56" t="b">
        <f t="shared" si="11"/>
        <v>0</v>
      </c>
    </row>
    <row r="57" spans="1:9">
      <c r="B57">
        <f>'Trim Balancing'!L45</f>
        <v>0</v>
      </c>
      <c r="C57" t="b">
        <f t="shared" si="11"/>
        <v>0</v>
      </c>
    </row>
    <row r="58" spans="1:9">
      <c r="B58">
        <f>'Trim Balancing'!L46</f>
        <v>0</v>
      </c>
      <c r="C58" t="b">
        <f t="shared" si="11"/>
        <v>0</v>
      </c>
    </row>
    <row r="59" spans="1:9">
      <c r="B59">
        <f>'Trim Balancing'!L47</f>
        <v>0</v>
      </c>
      <c r="C59" t="b">
        <f t="shared" si="11"/>
        <v>0</v>
      </c>
    </row>
    <row r="60" spans="1:9">
      <c r="B60">
        <f>'Trim Balancing'!L48</f>
        <v>0</v>
      </c>
      <c r="C60" t="b">
        <f t="shared" si="11"/>
        <v>0</v>
      </c>
    </row>
    <row r="61" spans="1:9">
      <c r="B61">
        <f>'Trim Balancing'!L49</f>
        <v>0</v>
      </c>
      <c r="C61" t="b">
        <f t="shared" si="11"/>
        <v>0</v>
      </c>
    </row>
  </sheetData>
  <sheetProtection password="CDB2" sheet="1" objects="1" scenarios="1" selectLockedCells="1" selectUnlockedCells="1"/>
  <sortState xmlns:xlrd2="http://schemas.microsoft.com/office/spreadsheetml/2017/richdata2" ref="C30:C49">
    <sortCondition ref="C30"/>
  </sortState>
  <mergeCells count="5">
    <mergeCell ref="I3:J3"/>
    <mergeCell ref="O3:P3"/>
    <mergeCell ref="K3:L3"/>
    <mergeCell ref="M3:N3"/>
    <mergeCell ref="R3:S3"/>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28FEF43E4FCA643BD65B22F0BF533D6" ma:contentTypeVersion="2" ma:contentTypeDescription="Create a new document." ma:contentTypeScope="" ma:versionID="7b6fa1c032c48763f454608095801012">
  <xsd:schema xmlns:xsd="http://www.w3.org/2001/XMLSchema" xmlns:xs="http://www.w3.org/2001/XMLSchema" xmlns:p="http://schemas.microsoft.com/office/2006/metadata/properties" xmlns:ns3="87dd5c24-4a6b-43e9-9633-bd898b641317" targetNamespace="http://schemas.microsoft.com/office/2006/metadata/properties" ma:root="true" ma:fieldsID="d2add04d0f5bda0d0b66fb2371b38e6d" ns3:_="">
    <xsd:import namespace="87dd5c24-4a6b-43e9-9633-bd898b641317"/>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7dd5c24-4a6b-43e9-9633-bd898b64131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9819EE1-01DE-4B05-862D-D2995B810F1B}"/>
</file>

<file path=customXml/itemProps2.xml><?xml version="1.0" encoding="utf-8"?>
<ds:datastoreItem xmlns:ds="http://schemas.openxmlformats.org/officeDocument/2006/customXml" ds:itemID="{536B49E1-3CEE-42F2-8C99-1BE71C05A15A}"/>
</file>

<file path=customXml/itemProps3.xml><?xml version="1.0" encoding="utf-8"?>
<ds:datastoreItem xmlns:ds="http://schemas.openxmlformats.org/officeDocument/2006/customXml" ds:itemID="{A4B0FD3F-007D-4D34-9696-EE1A2AA1A8DF}"/>
</file>

<file path=docProps/app.xml><?xml version="1.0" encoding="utf-8"?>
<Properties xmlns="http://schemas.openxmlformats.org/officeDocument/2006/extended-properties" xmlns:vt="http://schemas.openxmlformats.org/officeDocument/2006/docPropsVTypes">
  <Application>Microsoft Excel Online</Application>
  <Manager/>
  <Company>United Technologies Corporation</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Trim Balance Helper</dc:title>
  <dc:subject/>
  <dc:creator>Scott Perron</dc:creator>
  <cp:keywords>Technical Data</cp:keywords>
  <dc:description/>
  <cp:lastModifiedBy/>
  <cp:revision/>
  <dcterms:created xsi:type="dcterms:W3CDTF">2015-08-19T22:06:45Z</dcterms:created>
  <dcterms:modified xsi:type="dcterms:W3CDTF">2024-07-01T15:59:23Z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2be51d7a-3710-4bd3-816f-f7c17292ba43</vt:lpwstr>
  </property>
  <property fmtid="{D5CDD505-2E9C-101B-9397-08002B2CF9AE}" pid="3" name="ContentTypeId">
    <vt:lpwstr>0x010100228FEF43E4FCA643BD65B22F0BF533D6</vt:lpwstr>
  </property>
  <property fmtid="{D5CDD505-2E9C-101B-9397-08002B2CF9AE}" pid="4" name="UTCTechnicalData">
    <vt:lpwstr>Yes</vt:lpwstr>
  </property>
  <property fmtid="{D5CDD505-2E9C-101B-9397-08002B2CF9AE}" pid="5" name="UTCTechnicalDataKeyword">
    <vt:lpwstr>Technical Data</vt:lpwstr>
  </property>
</Properties>
</file>