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Intermediate II\Week 4\"/>
    </mc:Choice>
  </mc:AlternateContent>
  <xr:revisionPtr revIDLastSave="0" documentId="13_ncr:1_{F2B6B9B6-5F58-4E72-B215-EABC4BA3100A}" xr6:coauthVersionLast="47" xr6:coauthVersionMax="47" xr10:uidLastSave="{00000000-0000-0000-0000-000000000000}"/>
  <bookViews>
    <workbookView xWindow="11328" yWindow="696" windowWidth="11520" windowHeight="6132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0" l="1"/>
  <c r="G19" i="10"/>
  <c r="D8" i="15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D5" i="12" l="1"/>
  <c r="D6" i="12"/>
  <c r="D7" i="12"/>
  <c r="D8" i="12"/>
  <c r="D9" i="12"/>
  <c r="D10" i="12"/>
  <c r="D11" i="12"/>
  <c r="B5" i="10" s="1"/>
  <c r="D12" i="12"/>
  <c r="B6" i="10" s="1"/>
  <c r="D13" i="12"/>
  <c r="D14" i="12"/>
  <c r="B7" i="10" s="1"/>
  <c r="D15" i="12"/>
  <c r="D16" i="12"/>
  <c r="B8" i="10" s="1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B14" i="10" s="1"/>
  <c r="D29" i="12"/>
  <c r="D30" i="12"/>
  <c r="D31" i="12"/>
  <c r="B15" i="10" s="1"/>
  <c r="D32" i="12"/>
  <c r="B16" i="10" s="1"/>
  <c r="D33" i="12"/>
  <c r="D34" i="12"/>
  <c r="B17" i="10" s="1"/>
  <c r="D35" i="12"/>
  <c r="D36" i="12"/>
  <c r="B18" i="10" s="1"/>
  <c r="D37" i="12"/>
  <c r="D38" i="12"/>
  <c r="D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C29" i="10" l="1"/>
  <c r="B30" i="10" s="1"/>
  <c r="C30" i="10" s="1"/>
  <c r="H31" i="10" l="1"/>
  <c r="H33" i="10"/>
  <c r="H30" i="10"/>
  <c r="H32" i="10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H34" i="10" l="1"/>
  <c r="F10" i="10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W499" i="1"/>
  <c r="X499" i="1" s="1"/>
  <c r="Z499" i="1" s="1"/>
  <c r="W497" i="1"/>
  <c r="X497" i="1" s="1"/>
  <c r="Z497" i="1" s="1"/>
  <c r="W495" i="1"/>
  <c r="X495" i="1" s="1"/>
  <c r="Z495" i="1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E10" i="10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D7" i="10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D8" i="10" l="1"/>
  <c r="F5" i="10"/>
  <c r="F6" i="10"/>
  <c r="F14" i="10"/>
  <c r="Z3" i="1"/>
  <c r="F11" i="10"/>
  <c r="E12" i="10"/>
  <c r="E8" i="10"/>
  <c r="F16" i="10"/>
  <c r="G8" i="10"/>
  <c r="H8" i="10" s="1"/>
  <c r="G13" i="10"/>
  <c r="H13" i="10" s="1"/>
  <c r="G15" i="10"/>
  <c r="H15" i="10" s="1"/>
  <c r="E13" i="10"/>
  <c r="E25" i="10"/>
  <c r="F18" i="10"/>
  <c r="C23" i="10"/>
  <c r="D14" i="10"/>
  <c r="D9" i="10"/>
  <c r="D13" i="10"/>
  <c r="E9" i="10"/>
  <c r="F17" i="10"/>
  <c r="G14" i="10"/>
  <c r="H14" i="10" s="1"/>
  <c r="G11" i="10"/>
  <c r="H11" i="10" s="1"/>
  <c r="G18" i="10"/>
  <c r="H18" i="10" s="1"/>
  <c r="F25" i="10"/>
  <c r="B7" i="15" s="1"/>
  <c r="C7" i="15" s="1"/>
  <c r="E7" i="15" s="1"/>
  <c r="G12" i="10"/>
  <c r="F24" i="10"/>
  <c r="B6" i="15" s="1"/>
  <c r="C6" i="15" s="1"/>
  <c r="E6" i="15" s="1"/>
  <c r="D12" i="10"/>
  <c r="D25" i="10"/>
  <c r="F9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H17" i="10" s="1"/>
  <c r="D23" i="10"/>
  <c r="E16" i="10"/>
  <c r="C24" i="10"/>
  <c r="D17" i="10"/>
  <c r="D6" i="10"/>
  <c r="D24" i="10"/>
  <c r="E17" i="10"/>
  <c r="E11" i="10"/>
  <c r="E23" i="10"/>
  <c r="F7" i="10"/>
  <c r="G6" i="10"/>
  <c r="H6" i="10" s="1"/>
  <c r="F8" i="10"/>
  <c r="G16" i="10"/>
  <c r="H16" i="10" s="1"/>
  <c r="F23" i="10"/>
  <c r="G10" i="10"/>
  <c r="H10" i="10" s="1"/>
  <c r="G7" i="10"/>
  <c r="H7" i="10" s="1"/>
  <c r="G9" i="10"/>
  <c r="H9" i="10" s="1"/>
  <c r="G5" i="10"/>
  <c r="H5" i="10" s="1"/>
  <c r="D5" i="10"/>
  <c r="E5" i="10"/>
  <c r="G24" i="10" l="1"/>
  <c r="H24" i="10"/>
  <c r="G25" i="10"/>
  <c r="C32" i="10"/>
  <c r="H12" i="10"/>
  <c r="C8" i="10"/>
  <c r="F26" i="10"/>
  <c r="B5" i="15"/>
  <c r="G23" i="10"/>
  <c r="H19" i="10"/>
  <c r="H23" i="10"/>
  <c r="D26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D19" i="10"/>
  <c r="C5" i="15" l="1"/>
  <c r="B8" i="15"/>
  <c r="C31" i="10"/>
  <c r="C19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<sst xmlns="http://schemas.openxmlformats.org/spreadsheetml/2006/main" count="12806" uniqueCount="2160">
  <si>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</si>
  <si>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</si>
  <si>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</si>
  <si>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</si>
  <si>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</si>
  <si>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</si>
  <si>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</si>
  <si>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</si>
  <si>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</si>
  <si>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</si>
  <si>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</si>
  <si>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</si>
  <si>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</si>
  <si>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</si>
  <si>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</si>
  <si>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</si>
  <si>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</si>
  <si>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</si>
  <si>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</si>
  <si>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</si>
  <si>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</si>
  <si>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</si>
  <si>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</si>
  <si>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</si>
  <si>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</si>
  <si>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</si>
  <si>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</si>
  <si>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</si>
  <si>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</si>
  <si>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</si>
  <si>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</si>
  <si>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</si>
  <si>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</si>
  <si>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</si>
  <si>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</si>
  <si>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</si>
  <si>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</si>
  <si>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</si>
  <si>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</si>
  <si>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</si>
  <si>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</si>
  <si>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</si>
  <si>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</si>
  <si>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</si>
  <si>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</si>
  <si>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</si>
  <si>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</si>
  <si>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</si>
  <si>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</si>
  <si>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</si>
  <si>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</si>
  <si>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</si>
  <si>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</si>
  <si>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</si>
  <si>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</si>
  <si>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</si>
  <si>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</si>
  <si>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</si>
  <si>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</si>
  <si>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</si>
  <si>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</si>
  <si>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</si>
  <si>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</si>
  <si>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</si>
  <si>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</si>
  <si>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</si>
  <si>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</si>
  <si>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</si>
  <si>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</si>
  <si>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</si>
  <si>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</si>
  <si>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</si>
  <si>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</si>
  <si>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</si>
  <si>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</si>
  <si>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</si>
  <si>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</si>
  <si>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</si>
  <si>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</si>
  <si>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</si>
  <si>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</si>
  <si>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</si>
  <si>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</si>
  <si>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</si>
  <si>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</si>
  <si>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</si>
  <si>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</si>
  <si>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</si>
  <si>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</si>
  <si>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</si>
  <si>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</si>
  <si>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</si>
  <si>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</si>
  <si>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</si>
  <si>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</si>
  <si>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</si>
  <si>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</si>
  <si>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</si>
  <si>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</si>
  <si>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</si>
  <si>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</si>
  <si>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</si>
  <si>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</si>
  <si>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</si>
  <si>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</si>
  <si>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</si>
  <si>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</si>
  <si>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</si>
  <si>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</si>
  <si>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</si>
  <si>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</si>
  <si>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</si>
  <si>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</si>
  <si>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</si>
  <si>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</si>
  <si>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</si>
  <si>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</si>
  <si>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</si>
  <si>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</si>
  <si>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</si>
  <si>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</si>
  <si>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</si>
  <si>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</si>
  <si>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</si>
  <si>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</si>
  <si>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</si>
  <si>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</si>
  <si>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</si>
  <si>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</si>
  <si>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</si>
  <si>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</si>
  <si>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</si>
  <si>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</si>
  <si>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</si>
  <si>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</si>
  <si>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</si>
  <si>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</si>
  <si>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</si>
  <si>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</si>
  <si>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</si>
  <si>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</si>
  <si>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</si>
  <si>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</si>
  <si>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</si>
  <si>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</si>
  <si>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</si>
  <si>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</si>
  <si>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</si>
  <si>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</si>
  <si>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</si>
  <si>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</si>
  <si>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</si>
  <si>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</si>
  <si>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</si>
  <si>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</si>
  <si>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</si>
  <si>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</si>
  <si>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</si>
  <si>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</si>
  <si>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</si>
  <si>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</si>
  <si>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</si>
  <si>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</si>
  <si>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</si>
  <si>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</si>
  <si>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</si>
  <si>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</si>
  <si>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</si>
  <si>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</si>
  <si>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</si>
  <si>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</si>
  <si>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</si>
  <si>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</si>
  <si>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</si>
  <si>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</si>
  <si>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</si>
  <si>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</si>
  <si>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</si>
  <si>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</si>
  <si>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</si>
  <si>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</si>
  <si>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</si>
  <si>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</si>
  <si>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</si>
  <si>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</si>
  <si>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</si>
  <si>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</si>
  <si>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</si>
  <si>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</si>
  <si>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</si>
  <si>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</si>
  <si>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</si>
  <si>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</si>
  <si>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</si>
  <si>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</si>
  <si>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</si>
  <si>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</si>
  <si>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</si>
  <si>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</si>
  <si>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</si>
  <si>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</si>
  <si>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</si>
  <si>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</si>
  <si>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</si>
  <si>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</si>
  <si>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</si>
  <si>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</si>
  <si>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</si>
  <si>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</si>
  <si>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</si>
  <si>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</si>
  <si>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</si>
  <si>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</si>
  <si>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</si>
  <si>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</si>
  <si>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</si>
  <si>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</si>
  <si>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</si>
  <si>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</si>
  <si>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</si>
  <si>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</si>
  <si>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</si>
  <si>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</si>
  <si>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</si>
  <si>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</si>
  <si>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</si>
  <si>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</si>
  <si>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</si>
  <si>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</si>
  <si>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</si>
  <si>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</si>
  <si>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</si>
  <si>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</si>
  <si>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</si>
  <si>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</si>
  <si>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</si>
  <si>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</si>
  <si>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</si>
  <si>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</si>
  <si>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</si>
  <si>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</si>
  <si>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</si>
  <si>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</si>
  <si>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</si>
  <si>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</si>
  <si>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</si>
  <si>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</si>
  <si>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</si>
  <si>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</si>
  <si>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</si>
  <si>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</si>
  <si>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</si>
  <si>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</si>
  <si>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</si>
  <si>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</si>
  <si>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</si>
  <si>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</si>
  <si>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</si>
  <si>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</si>
  <si>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</si>
  <si>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</si>
  <si>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</si>
  <si>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</si>
  <si>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</si>
  <si>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</si>
  <si>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</si>
  <si>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</si>
  <si>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</si>
  <si>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</si>
  <si>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</si>
  <si>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</si>
  <si>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</si>
  <si>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</si>
  <si>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</si>
  <si>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</si>
  <si>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</si>
  <si>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</si>
  <si>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</si>
  <si>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</si>
  <si>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</si>
  <si>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</si>
  <si>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</si>
  <si>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</si>
  <si>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</si>
  <si>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</si>
  <si>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</si>
  <si>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</si>
  <si>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</si>
  <si>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</si>
  <si>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</si>
  <si>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</si>
  <si>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</si>
  <si>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</si>
  <si>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</si>
  <si>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</si>
  <si>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</si>
  <si>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</si>
  <si>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</si>
  <si>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</si>
  <si>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</si>
  <si>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</si>
  <si>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</si>
  <si>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</si>
  <si>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</si>
  <si>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</si>
  <si>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</si>
  <si>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</si>
  <si>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</si>
  <si>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</si>
  <si>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</si>
  <si>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</si>
  <si>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</si>
  <si>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</si>
  <si>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</si>
  <si>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</si>
  <si>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</si>
  <si>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</si>
  <si>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</si>
  <si>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</si>
  <si>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</si>
  <si>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</si>
  <si>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</si>
  <si>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</si>
  <si>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</si>
  <si>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</si>
  <si>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</si>
  <si>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</si>
  <si>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</si>
  <si>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</si>
  <si>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</si>
  <si>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</si>
  <si>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</si>
  <si>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</si>
  <si>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</si>
  <si>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</si>
  <si>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</si>
  <si>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</si>
  <si>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</si>
  <si>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</si>
  <si>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</si>
  <si>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</si>
  <si>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</si>
  <si>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</si>
  <si>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</si>
  <si>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</si>
  <si>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</si>
  <si>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</si>
  <si>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</si>
  <si>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</si>
  <si>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</si>
  <si>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</si>
  <si>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</si>
  <si>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</si>
  <si>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</si>
  <si>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</si>
  <si>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</si>
  <si>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</si>
  <si>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</si>
  <si>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</si>
  <si>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</si>
  <si>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</si>
  <si>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</si>
  <si>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</si>
  <si>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</si>
  <si>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</si>
  <si>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</si>
  <si>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</si>
  <si>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</si>
  <si>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</si>
  <si>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</si>
  <si>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</si>
  <si>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</si>
  <si>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</si>
  <si>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</si>
  <si>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</si>
  <si>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</si>
  <si>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</si>
  <si>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</si>
  <si>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</si>
  <si>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</si>
  <si>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</si>
  <si>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</si>
  <si>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</si>
  <si>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</si>
  <si>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</si>
  <si>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</si>
  <si>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</si>
  <si>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</si>
  <si>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</si>
  <si>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</si>
  <si>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</si>
  <si>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</si>
  <si>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</si>
  <si>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</si>
  <si>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</si>
  <si>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</si>
  <si>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</si>
  <si>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</si>
  <si>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</si>
  <si>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</si>
  <si>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</si>
  <si>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</si>
  <si>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</si>
  <si>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</si>
  <si>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</si>
  <si>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</si>
  <si>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</si>
  <si>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</si>
  <si>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</si>
  <si>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</si>
  <si>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</si>
  <si>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</si>
  <si>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</si>
  <si>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</si>
  <si>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</si>
  <si>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</si>
  <si>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</si>
  <si>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</si>
  <si>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</si>
  <si>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</si>
  <si>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</si>
  <si>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</si>
  <si>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</si>
  <si>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</si>
  <si>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</si>
  <si>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</si>
  <si>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</si>
  <si>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</si>
  <si>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</si>
  <si>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</si>
  <si>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</si>
  <si>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</si>
  <si>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</si>
  <si>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</si>
  <si>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</si>
  <si>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</si>
  <si>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</si>
  <si>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</si>
  <si>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</si>
  <si>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</si>
  <si>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</si>
  <si>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</si>
  <si>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</si>
  <si>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</si>
  <si>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</si>
  <si>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</si>
  <si>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</si>
  <si>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</si>
  <si>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</si>
  <si>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</si>
  <si>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</si>
  <si>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</si>
  <si>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</si>
  <si>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</si>
  <si>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</si>
  <si>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</si>
  <si>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</si>
  <si>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</si>
  <si>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</si>
  <si>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</si>
  <si>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</si>
  <si>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</si>
  <si>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</si>
  <si>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</si>
  <si>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</si>
  <si>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</si>
  <si>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</si>
  <si>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</si>
  <si>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</si>
  <si>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</si>
  <si>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</si>
  <si>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</si>
  <si>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</si>
  <si>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</si>
  <si>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</si>
  <si>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</si>
  <si>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</si>
  <si>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</si>
  <si>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</si>
  <si>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</si>
  <si>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</si>
  <si>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</si>
  <si>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</si>
  <si>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</si>
  <si>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</si>
  <si>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</si>
  <si>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</si>
  <si>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</si>
  <si>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</si>
  <si>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</si>
  <si>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</si>
  <si>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</si>
  <si>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</si>
  <si>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</si>
  <si>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</si>
  <si>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</si>
  <si>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</si>
  <si>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</si>
  <si>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</si>
  <si>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</si>
  <si>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</si>
  <si>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</si>
  <si>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</si>
  <si>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</si>
  <si>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</si>
  <si>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</si>
  <si>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</si>
  <si>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</si>
  <si>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</si>
  <si>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</si>
  <si>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</si>
  <si>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</si>
  <si>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</si>
  <si>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</si>
  <si>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</si>
  <si>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</si>
  <si>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</si>
  <si>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</si>
  <si>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</si>
  <si>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</si>
  <si>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</si>
  <si>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</si>
  <si>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</si>
  <si>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</si>
  <si>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</si>
  <si>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</si>
  <si>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</si>
  <si>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</si>
  <si>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</si>
  <si>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</si>
  <si>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</si>
  <si>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</si>
  <si>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</si>
  <si>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</si>
  <si>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</si>
  <si>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</si>
  <si>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</si>
  <si>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</si>
  <si>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</si>
  <si>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</si>
  <si>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</si>
  <si>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</si>
  <si>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</si>
  <si>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</si>
  <si>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</si>
  <si>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</si>
  <si>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</si>
  <si>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</si>
  <si>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</si>
  <si>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</si>
  <si>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</si>
  <si>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</si>
  <si>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</si>
  <si>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</si>
  <si>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</si>
  <si>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</si>
  <si>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</si>
  <si>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</si>
  <si>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</si>
  <si>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</si>
  <si>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</si>
  <si>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</si>
  <si>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</si>
  <si>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</si>
  <si>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</si>
  <si>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</si>
  <si>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</si>
  <si>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</si>
  <si>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</si>
  <si>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</si>
  <si>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</si>
  <si>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</si>
  <si>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</si>
  <si>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</si>
  <si>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</si>
  <si>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</si>
  <si>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</si>
  <si>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</si>
  <si>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</si>
  <si>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</si>
  <si>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</si>
  <si>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</si>
  <si>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</si>
  <si>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</si>
  <si>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</si>
  <si>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</si>
  <si>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</si>
  <si>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</si>
  <si>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</si>
  <si>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</si>
  <si>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</si>
  <si>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</si>
  <si>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</si>
  <si>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</si>
  <si>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</si>
  <si>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</si>
  <si>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</si>
  <si>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</si>
  <si>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</si>
  <si>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</si>
  <si>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</si>
  <si>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</si>
  <si>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</si>
  <si>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</si>
  <si>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</si>
  <si>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</si>
  <si>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</si>
  <si>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</si>
  <si>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</si>
  <si>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</si>
  <si>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</si>
  <si>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</si>
  <si>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</si>
  <si>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</si>
  <si>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</si>
  <si>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</si>
  <si>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</si>
  <si>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</si>
  <si>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</si>
  <si>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</si>
  <si>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</si>
  <si>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</si>
  <si>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</si>
  <si>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</si>
  <si>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</si>
  <si>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</si>
  <si>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</si>
  <si>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</si>
  <si>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</si>
  <si>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</si>
  <si>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</si>
  <si>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</si>
  <si>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</si>
  <si>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</si>
  <si>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</si>
  <si>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</si>
  <si>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</si>
  <si>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</si>
  <si>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</si>
  <si>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</si>
  <si>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</si>
  <si>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</si>
  <si>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</si>
  <si>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</si>
  <si>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</si>
  <si>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</si>
  <si>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</si>
  <si>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</si>
  <si>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</si>
  <si>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</si>
  <si>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</si>
  <si>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</si>
  <si>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</si>
  <si>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</si>
  <si>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</si>
  <si>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</si>
  <si>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</si>
  <si>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</si>
  <si>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</si>
  <si>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</si>
  <si>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</si>
  <si>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</si>
  <si>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</si>
  <si>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</si>
  <si>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</si>
  <si>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</si>
  <si>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</si>
  <si>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</si>
  <si>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</si>
  <si>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</si>
  <si>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</si>
  <si>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</si>
  <si>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</si>
  <si>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</si>
  <si>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</si>
  <si>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</si>
  <si>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</si>
  <si>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</si>
  <si>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</si>
  <si>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</si>
  <si>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</si>
  <si>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</si>
  <si>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</si>
  <si>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</si>
  <si>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</si>
  <si>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</si>
  <si>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</si>
  <si>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</si>
  <si>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</si>
  <si>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</si>
  <si>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</si>
  <si>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</si>
  <si>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</si>
  <si>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</si>
  <si>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</si>
  <si>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</si>
  <si>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</si>
  <si>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</si>
  <si>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</si>
  <si>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</si>
  <si>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</si>
  <si>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</si>
  <si>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</si>
  <si>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</si>
  <si>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</si>
  <si>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</si>
  <si>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</si>
  <si>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</si>
  <si>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</si>
  <si>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</si>
  <si>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</si>
  <si>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</si>
  <si>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</si>
  <si>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</si>
  <si>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</si>
  <si>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</si>
  <si>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</si>
  <si>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</si>
  <si>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</si>
  <si>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</si>
  <si>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</si>
  <si>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</si>
  <si>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</si>
  <si>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</si>
  <si>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</si>
  <si>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</si>
  <si>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</si>
  <si>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</si>
  <si>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</si>
  <si>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</si>
  <si>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</si>
  <si>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</si>
  <si>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</si>
  <si>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</si>
  <si>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</si>
  <si>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</si>
  <si>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</si>
  <si>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</si>
  <si>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</si>
  <si>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</si>
  <si>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</si>
  <si>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</si>
  <si>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</si>
  <si>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</si>
  <si>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</si>
  <si>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</si>
  <si>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</si>
  <si>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</si>
  <si>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</si>
  <si>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</si>
  <si>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</si>
  <si>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</si>
  <si>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</si>
  <si>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</si>
  <si>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</si>
  <si>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</si>
  <si>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</si>
  <si>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</si>
  <si>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</si>
  <si>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</si>
  <si>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</si>
  <si>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</si>
  <si>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</si>
  <si>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</si>
  <si>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</si>
  <si>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</si>
  <si>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</si>
  <si>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</si>
  <si>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</si>
  <si>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</si>
  <si>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</si>
  <si>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</si>
  <si>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</si>
  <si>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</si>
  <si>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</si>
  <si>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</si>
  <si>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</si>
  <si>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</si>
  <si>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</si>
  <si>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</si>
  <si>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</si>
  <si>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</si>
  <si>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</si>
  <si>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</si>
  <si>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</si>
  <si>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</si>
  <si>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</si>
  <si>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</si>
  <si>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</si>
  <si>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</si>
  <si>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</si>
  <si>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</si>
  <si>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</si>
  <si>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</si>
  <si>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</si>
  <si>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</si>
  <si>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</si>
  <si>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</si>
  <si>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</si>
  <si>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</si>
  <si>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</si>
  <si>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</si>
  <si>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</si>
  <si>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</si>
  <si>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</si>
  <si>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</si>
  <si>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</si>
  <si>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</si>
  <si>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</si>
  <si>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</si>
  <si>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</si>
  <si>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</si>
  <si>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</si>
  <si>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</si>
  <si>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</si>
  <si>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</si>
  <si>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</si>
  <si>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</si>
  <si>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</si>
  <si>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</si>
  <si>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</si>
  <si>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</si>
  <si>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</si>
  <si>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</si>
  <si>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</si>
  <si>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</si>
  <si>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</si>
  <si>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</si>
  <si>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</si>
  <si>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</si>
  <si>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</si>
  <si>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</si>
  <si>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</si>
  <si>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</si>
  <si>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</si>
  <si>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</si>
  <si>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</si>
  <si>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</si>
  <si>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</si>
  <si>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</si>
  <si>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</si>
  <si>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</si>
  <si>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</si>
  <si>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</si>
  <si>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</si>
  <si>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</si>
  <si>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</si>
  <si>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</si>
  <si>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</si>
  <si>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</si>
  <si>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</si>
  <si>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</si>
  <si>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</si>
  <si>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</si>
  <si>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</si>
  <si>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</si>
  <si>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</si>
  <si>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</si>
  <si>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</si>
  <si>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</si>
  <si>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</si>
  <si>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</si>
  <si>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</si>
  <si>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</si>
  <si>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</si>
  <si>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</si>
  <si>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</si>
  <si>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</si>
  <si>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</si>
  <si>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</si>
  <si>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</si>
  <si>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</si>
  <si>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</si>
  <si>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</si>
  <si>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</si>
  <si>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</si>
  <si>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</si>
  <si>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</si>
  <si>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</si>
  <si>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</si>
  <si>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</si>
  <si>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</si>
  <si>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</si>
  <si>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</si>
  <si>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</si>
  <si>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</si>
  <si>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</si>
  <si>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</si>
  <si>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</si>
  <si>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</si>
  <si>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</si>
  <si>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</si>
  <si>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</si>
  <si>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</si>
  <si>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</si>
  <si>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</si>
  <si>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</si>
  <si>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</si>
  <si>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</si>
  <si>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</si>
  <si>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</si>
  <si>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</si>
  <si>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</si>
  <si>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</si>
  <si>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</si>
  <si>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</si>
  <si>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</si>
  <si>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</si>
  <si>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</si>
  <si>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</si>
  <si>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</si>
  <si>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</si>
  <si>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</si>
  <si>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</si>
  <si>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</si>
  <si>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</si>
  <si>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</si>
  <si>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</si>
  <si>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</si>
  <si>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</si>
  <si>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</si>
  <si>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</si>
  <si>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</si>
  <si>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</si>
  <si>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</si>
  <si>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</si>
  <si>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</si>
  <si>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</si>
  <si>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</si>
  <si>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</si>
  <si>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</si>
  <si>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</si>
  <si>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</si>
  <si>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</si>
  <si>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</si>
  <si>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</si>
  <si>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</si>
  <si>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</si>
  <si>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</si>
  <si>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</si>
  <si>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</si>
  <si>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</si>
  <si>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</si>
  <si>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</si>
  <si>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</si>
  <si>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</si>
  <si>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</si>
  <si>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</si>
  <si>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</si>
  <si>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</si>
  <si>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</si>
  <si>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</si>
  <si>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</si>
  <si>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</si>
  <si>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</si>
  <si>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</si>
  <si>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</si>
  <si>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</si>
  <si>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</si>
  <si>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</si>
  <si>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</si>
  <si>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</si>
  <si>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</si>
  <si>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</si>
  <si>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</si>
  <si>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</si>
  <si>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</si>
  <si>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</si>
  <si>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</si>
  <si>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</si>
  <si>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</si>
  <si>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</si>
  <si>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</si>
  <si>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</si>
  <si>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</si>
  <si>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</si>
  <si>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</si>
  <si>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</si>
  <si>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</si>
  <si>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</si>
  <si>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</si>
  <si>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</si>
  <si>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</si>
  <si>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</si>
  <si>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</si>
  <si>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</si>
  <si>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</si>
  <si>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</si>
  <si>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</si>
  <si>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</si>
  <si>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</si>
  <si>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</si>
  <si>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</si>
  <si>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</si>
  <si>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</si>
  <si>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</si>
  <si>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</si>
  <si>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</si>
  <si>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</si>
  <si>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</si>
  <si>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</si>
  <si>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</si>
  <si>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</si>
  <si>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</si>
  <si>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</si>
  <si>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</si>
  <si>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</si>
  <si>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</si>
  <si>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</si>
  <si>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</si>
  <si>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</si>
  <si>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</si>
  <si>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</si>
  <si>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</si>
  <si>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</si>
  <si>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</si>
  <si>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</si>
  <si>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</si>
  <si>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</si>
  <si>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</si>
  <si>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</si>
  <si>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</si>
  <si>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</si>
  <si>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</si>
  <si>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</si>
  <si>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</si>
  <si>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</si>
  <si>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</si>
  <si>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</si>
  <si>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</si>
  <si>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</si>
  <si>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</si>
  <si>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</si>
  <si>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</si>
  <si>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</si>
  <si>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</si>
  <si>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</si>
  <si>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</si>
  <si>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</si>
  <si>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</si>
  <si>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</si>
  <si>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</si>
  <si>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</si>
  <si>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</si>
  <si>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</si>
  <si>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</si>
  <si>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</si>
  <si>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</si>
  <si>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</si>
  <si>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</si>
  <si>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</si>
  <si>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</si>
  <si>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</si>
  <si>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</si>
  <si>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</si>
  <si>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</si>
  <si>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</si>
  <si>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</si>
  <si>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</si>
  <si>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</si>
  <si>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</si>
  <si>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</si>
  <si>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</si>
  <si>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</si>
  <si>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</si>
  <si>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</si>
  <si>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</si>
  <si>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</si>
  <si>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</si>
  <si>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</si>
  <si>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</si>
  <si>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</si>
  <si>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</si>
  <si>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</si>
  <si>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</si>
  <si>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</si>
  <si>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</si>
  <si>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</si>
  <si>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</si>
  <si>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</si>
  <si>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</si>
  <si>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</si>
  <si>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</si>
  <si>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</si>
  <si>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</si>
  <si>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</si>
  <si>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</si>
  <si>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</si>
  <si>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</si>
  <si>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</si>
  <si>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</si>
  <si>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</si>
  <si>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</si>
  <si>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</si>
  <si>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</si>
  <si>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</si>
  <si>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</si>
  <si>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</si>
  <si>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</si>
  <si>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</si>
  <si>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</si>
  <si>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</si>
  <si>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</si>
  <si>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</si>
  <si>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</si>
  <si>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</si>
  <si>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</si>
  <si>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</si>
  <si>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</si>
  <si>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</si>
  <si>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</si>
  <si>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</si>
  <si>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</si>
  <si>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</si>
  <si>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</si>
  <si>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</si>
  <si>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</si>
  <si>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</si>
  <si>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</si>
  <si>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</si>
  <si>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</si>
  <si>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</si>
  <si>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</si>
  <si>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</si>
  <si>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</si>
  <si>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</si>
  <si>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</si>
  <si>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</si>
  <si>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</si>
  <si>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</si>
  <si>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</si>
  <si>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</si>
  <si>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</si>
  <si>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</si>
  <si>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</si>
  <si>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</si>
  <si>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</si>
  <si>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</si>
  <si>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</si>
  <si>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</si>
  <si>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</si>
  <si>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</si>
  <si>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</si>
  <si>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</si>
  <si>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</si>
  <si>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</si>
  <si>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</si>
  <si>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</si>
  <si>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</si>
  <si>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</si>
  <si>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</si>
  <si>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</si>
  <si>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</si>
  <si>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</si>
  <si>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</si>
  <si>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</si>
  <si>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</si>
  <si>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</si>
  <si>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</si>
  <si>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</si>
  <si>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</si>
  <si>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</si>
  <si>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</si>
  <si>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</si>
  <si>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</si>
  <si>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</si>
  <si>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</si>
  <si>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</si>
  <si>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</si>
  <si>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</si>
  <si>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</si>
  <si>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</si>
  <si>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</si>
  <si>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</si>
  <si>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</si>
  <si>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</si>
  <si>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</si>
  <si>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</si>
  <si>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</si>
  <si>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</si>
  <si>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</si>
  <si>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</si>
  <si>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</si>
  <si>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</si>
  <si>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</si>
  <si>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</si>
  <si>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</si>
  <si>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</si>
  <si>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</si>
  <si>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</si>
  <si>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</si>
  <si>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</si>
  <si>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</si>
  <si>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</si>
  <si>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</si>
  <si>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</si>
  <si>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</si>
  <si>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</si>
  <si>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</si>
  <si>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</si>
  <si>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</si>
  <si>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</si>
  <si>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</si>
  <si>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</si>
  <si>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</si>
  <si>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</si>
  <si>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</si>
  <si>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</si>
  <si>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</si>
  <si>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</si>
  <si>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</si>
  <si>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</si>
  <si>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</si>
  <si>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</si>
  <si>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</si>
  <si>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</si>
  <si>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</si>
  <si>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</si>
  <si>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</si>
  <si>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</si>
  <si>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</si>
  <si>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</si>
  <si>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</si>
  <si>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</si>
  <si>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</si>
  <si>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</si>
  <si>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</si>
  <si>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</si>
  <si>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</si>
  <si>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</si>
  <si>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</si>
  <si>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</si>
  <si>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</si>
  <si>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</si>
  <si>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</si>
  <si>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</si>
  <si>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</si>
  <si>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</si>
  <si>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</si>
  <si>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</si>
  <si>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</si>
  <si>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</si>
  <si>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</si>
  <si>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</si>
  <si>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</si>
  <si>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</si>
  <si>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</si>
  <si>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</si>
  <si>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</si>
  <si>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</si>
  <si>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</si>
  <si>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</si>
  <si>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</si>
  <si>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</si>
  <si>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</si>
  <si>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</si>
  <si>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</si>
  <si>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</si>
  <si>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</si>
  <si>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</si>
  <si>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</si>
  <si>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</si>
  <si>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</si>
  <si>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</si>
  <si>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</si>
  <si>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</si>
  <si>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</si>
  <si>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</si>
  <si>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</si>
  <si>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</si>
  <si>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</si>
  <si>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</si>
  <si>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</si>
  <si>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</si>
  <si>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</si>
  <si>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</si>
  <si>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</si>
  <si>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</si>
  <si>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</si>
  <si>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</si>
  <si>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</si>
  <si>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</si>
  <si>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</si>
  <si>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</si>
  <si>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</si>
  <si>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</si>
  <si>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</si>
  <si>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</si>
  <si>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</si>
  <si>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</si>
  <si>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</si>
  <si>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</si>
  <si>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</si>
  <si>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</si>
  <si>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</si>
  <si>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</si>
  <si>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</si>
  <si>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</si>
  <si>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</si>
  <si>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</si>
  <si>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</si>
  <si>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</si>
  <si>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</si>
  <si>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</si>
  <si>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</si>
  <si>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</si>
  <si>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</si>
  <si>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</si>
  <si>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</si>
  <si>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</si>
  <si>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</si>
  <si>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</si>
  <si>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</si>
  <si>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</si>
  <si>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</si>
  <si>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</si>
  <si>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</si>
  <si>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</si>
  <si>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</si>
  <si>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</si>
  <si>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</si>
  <si>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</si>
  <si>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</si>
  <si>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</si>
  <si>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</si>
  <si>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</si>
  <si>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</si>
  <si>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</si>
  <si>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</si>
  <si>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</si>
  <si>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</si>
  <si>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</si>
  <si>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</si>
  <si>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</si>
  <si>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</si>
  <si>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</si>
  <si>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</si>
  <si>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</si>
  <si>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</si>
  <si>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</si>
  <si>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</si>
  <si>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</si>
  <si>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</si>
  <si>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</si>
  <si>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</si>
  <si>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</si>
  <si>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</si>
  <si>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</si>
  <si>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</si>
  <si>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</si>
  <si>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</si>
  <si>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</si>
  <si>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</si>
  <si>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</si>
  <si>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</si>
  <si>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</si>
  <si>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</si>
  <si>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</si>
  <si>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</si>
  <si>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</si>
  <si>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</si>
  <si>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</si>
  <si>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</si>
  <si>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</si>
  <si>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</si>
  <si>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</si>
  <si>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</si>
  <si>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</si>
  <si>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</si>
  <si>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</si>
  <si>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</si>
  <si>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</si>
  <si>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</si>
  <si>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</si>
  <si>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</si>
  <si>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</si>
  <si>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</si>
  <si>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</si>
  <si>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</si>
  <si>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</si>
  <si>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</si>
  <si>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</si>
  <si>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</si>
  <si>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</si>
  <si>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</si>
  <si>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</si>
  <si>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</si>
  <si>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</si>
  <si>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</si>
  <si>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</si>
  <si>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</si>
  <si>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</si>
  <si>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</si>
  <si>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</si>
  <si>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</si>
  <si>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</si>
  <si>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</si>
  <si>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</si>
  <si>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</si>
  <si>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</si>
  <si>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</si>
  <si>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</si>
  <si>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</si>
  <si>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</si>
  <si>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</si>
  <si>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</si>
  <si>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</si>
  <si>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</si>
  <si>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</si>
  <si>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</si>
  <si>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</si>
  <si>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</si>
  <si>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</si>
  <si>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</si>
  <si>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</si>
  <si>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</si>
  <si>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</si>
  <si>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</si>
  <si>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</si>
  <si>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</si>
  <si>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</si>
  <si>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</si>
  <si>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</si>
  <si>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</si>
  <si>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</si>
  <si>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</si>
  <si>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</si>
  <si>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</si>
  <si>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</si>
  <si>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</si>
  <si>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</si>
  <si>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</si>
  <si>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</si>
  <si>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</si>
  <si>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</si>
  <si>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</si>
  <si>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</si>
  <si>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</si>
  <si>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</si>
  <si>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</si>
  <si>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</si>
  <si>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</si>
  <si>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</si>
  <si>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</si>
  <si>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</si>
  <si>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</si>
  <si>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</si>
  <si>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</si>
  <si>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</si>
  <si>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</si>
  <si>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</si>
  <si>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</si>
  <si>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</si>
  <si>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</si>
  <si>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</si>
  <si>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</si>
  <si>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</si>
  <si>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</si>
  <si>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</si>
  <si>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</si>
  <si>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</si>
  <si>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</si>
  <si>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</si>
  <si>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</si>
  <si>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</si>
  <si>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</si>
  <si>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</si>
  <si>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</si>
  <si>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</si>
  <si>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</si>
  <si>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</si>
  <si>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</si>
  <si>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</si>
  <si>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</si>
  <si>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</si>
  <si>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</si>
  <si>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</si>
  <si>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</si>
  <si>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</si>
  <si>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</si>
  <si>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</si>
  <si>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</si>
  <si>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</si>
  <si>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</si>
  <si>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</si>
  <si>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</si>
  <si>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</si>
  <si>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</si>
  <si>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</si>
  <si>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</si>
  <si>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</si>
  <si>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</si>
  <si>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</si>
  <si>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</si>
  <si>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</si>
  <si>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</si>
  <si>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</si>
  <si>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</si>
  <si>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</si>
  <si>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</si>
  <si>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</si>
  <si>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</si>
  <si>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</si>
  <si>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</si>
  <si>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</si>
  <si>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</si>
  <si>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</si>
  <si>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</si>
  <si>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</si>
  <si>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</si>
  <si>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</si>
  <si>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</si>
  <si>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</si>
  <si>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</si>
  <si>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</si>
  <si>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</si>
  <si>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</si>
  <si>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</si>
  <si>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</si>
  <si>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</si>
  <si>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</si>
  <si>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</si>
  <si>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</si>
  <si>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</si>
  <si>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</si>
  <si>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</si>
  <si>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</si>
  <si>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</si>
  <si>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</si>
  <si>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</si>
  <si>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</si>
  <si>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</si>
  <si>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</si>
  <si>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</si>
  <si>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</si>
  <si>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</si>
  <si>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</si>
  <si>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</si>
  <si>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</si>
  <si>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</si>
  <si>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</si>
  <si>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</si>
  <si>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</si>
  <si>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</si>
  <si>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</si>
  <si>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</si>
  <si>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</si>
  <si>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</si>
  <si>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</si>
  <si>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</si>
  <si>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</si>
  <si>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</si>
  <si>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</si>
  <si>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</si>
  <si>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</si>
  <si>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</si>
  <si>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</si>
  <si>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</si>
  <si>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</si>
  <si>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</si>
  <si>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</si>
  <si>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</si>
  <si>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</si>
  <si>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</si>
  <si>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</si>
  <si>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</si>
  <si>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</si>
  <si>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</si>
  <si>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</si>
  <si>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</si>
  <si>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</si>
  <si>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</si>
  <si>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</si>
  <si>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</si>
  <si>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</si>
  <si>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</si>
  <si>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</si>
  <si>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</si>
  <si>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</si>
  <si>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</si>
  <si>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</si>
  <si>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</si>
  <si>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</si>
  <si>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</si>
  <si>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</si>
  <si>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</si>
  <si>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</si>
  <si>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</si>
  <si>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</si>
  <si>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</si>
  <si>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</si>
  <si>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</si>
  <si>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</si>
  <si>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</si>
  <si>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</si>
  <si>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</si>
  <si>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</si>
  <si>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</si>
  <si>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</si>
  <si>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</si>
  <si>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</si>
  <si>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</si>
  <si>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</si>
  <si>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</si>
  <si>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</si>
  <si>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</si>
  <si>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</si>
  <si>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</si>
  <si>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</si>
  <si>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</si>
  <si>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</si>
  <si>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</si>
  <si>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</si>
  <si>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</si>
  <si>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</si>
  <si>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</si>
  <si>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</si>
  <si>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</si>
  <si>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</si>
  <si>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</si>
  <si>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</si>
  <si>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</si>
  <si>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</si>
  <si>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</si>
  <si>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</si>
  <si>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</si>
  <si>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</si>
  <si>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</si>
  <si>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</si>
  <si>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</si>
  <si>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</si>
  <si>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</si>
  <si>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</si>
  <si>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</si>
  <si>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</si>
  <si>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</si>
  <si>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</si>
  <si>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</si>
  <si>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</si>
  <si>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</si>
  <si>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</si>
  <si>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</si>
  <si>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</si>
  <si>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</si>
  <si>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</si>
  <si>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</si>
  <si>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</si>
  <si>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</si>
  <si>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</si>
  <si>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</si>
  <si>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</si>
  <si>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</si>
  <si>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</si>
  <si>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</si>
  <si>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</si>
  <si>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</si>
  <si>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</si>
  <si>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</si>
  <si>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</si>
  <si>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</si>
  <si>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</si>
  <si>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</si>
  <si>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</si>
  <si>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</si>
  <si>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</si>
  <si>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</si>
  <si>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</si>
  <si>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</si>
  <si>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</si>
  <si>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</si>
  <si>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</si>
  <si>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</si>
  <si>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</si>
  <si>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</si>
  <si>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</si>
  <si>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</si>
  <si>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</si>
  <si>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</si>
  <si>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</si>
  <si>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</si>
  <si>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</si>
  <si>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</si>
  <si>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</si>
  <si>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</si>
  <si>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</si>
  <si>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</si>
  <si>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</si>
  <si>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</si>
  <si>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</si>
  <si>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</si>
  <si>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</si>
  <si>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</si>
  <si>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</si>
  <si>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</si>
  <si>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</si>
  <si>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</si>
  <si>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</si>
  <si>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</si>
  <si>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</si>
  <si>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</si>
  <si>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</si>
  <si>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</si>
  <si>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</si>
  <si>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</si>
  <si>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</si>
  <si>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</si>
  <si>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</si>
  <si>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</si>
  <si>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</si>
  <si>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</si>
  <si>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</si>
  <si>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</si>
  <si>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</si>
  <si>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</si>
  <si>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</si>
  <si>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</si>
  <si>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</si>
  <si>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</si>
  <si>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</si>
  <si>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</si>
  <si>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</si>
  <si>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</si>
  <si>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</si>
  <si>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</si>
  <si>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</si>
  <si>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</si>
  <si>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</si>
  <si>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</si>
  <si>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</si>
  <si>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</si>
  <si>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</si>
  <si>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</si>
  <si>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</si>
  <si>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</si>
  <si>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</si>
  <si>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</si>
  <si>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</si>
  <si>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</si>
  <si>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</si>
  <si>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</si>
  <si>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</si>
  <si>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</si>
  <si>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</si>
  <si>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</si>
  <si>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</si>
  <si>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</si>
  <si>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</si>
  <si>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</si>
  <si>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</si>
  <si>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</si>
  <si>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</si>
  <si>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</si>
  <si>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</si>
  <si>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</si>
  <si>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</si>
  <si>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</si>
  <si>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</si>
  <si>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</si>
  <si>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</si>
  <si>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</si>
  <si>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</si>
  <si>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</si>
  <si>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</si>
  <si>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</si>
  <si>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</si>
  <si>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</si>
  <si>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</si>
  <si>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</si>
  <si>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</si>
  <si>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</si>
  <si>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</si>
  <si>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</si>
  <si>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</si>
  <si>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</si>
  <si>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</si>
  <si>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</si>
  <si>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</si>
  <si>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</si>
  <si>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</si>
  <si>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</si>
  <si>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</si>
  <si>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</si>
  <si>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</si>
  <si>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</si>
  <si>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</si>
  <si>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</si>
  <si>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</si>
  <si>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</si>
  <si>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</si>
  <si>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</si>
  <si>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</si>
  <si>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</si>
  <si>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</si>
  <si>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</si>
  <si>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</si>
  <si>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</si>
  <si>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</si>
  <si>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</si>
  <si>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</si>
  <si>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</si>
  <si>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</si>
  <si>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</si>
  <si>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</si>
  <si>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</si>
  <si>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</si>
  <si>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</si>
  <si>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</si>
  <si>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</si>
  <si>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</si>
  <si>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</si>
  <si>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</si>
  <si>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</si>
  <si>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</si>
  <si>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</si>
  <si>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</si>
  <si>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</si>
  <si>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</si>
  <si>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</si>
  <si>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</si>
  <si>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</si>
  <si>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</si>
  <si>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</si>
  <si>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</si>
  <si>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</si>
  <si>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</si>
  <si>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</si>
  <si>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</si>
  <si>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</si>
  <si>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</si>
  <si>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</si>
  <si>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</si>
  <si>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</si>
  <si>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</si>
  <si>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</si>
  <si>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</si>
  <si>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</si>
  <si>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</si>
  <si>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</si>
  <si>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</si>
  <si>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</si>
  <si>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</si>
  <si>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</si>
  <si>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</si>
  <si>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</si>
  <si>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</si>
  <si>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</si>
  <si>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</si>
  <si>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</si>
  <si>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</si>
  <si>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</si>
  <si>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</si>
  <si>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</si>
  <si>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</si>
  <si>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</si>
  <si>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</si>
  <si>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</si>
  <si>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</si>
  <si>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</si>
  <si>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</si>
  <si>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</si>
  <si>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</si>
  <si>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</si>
  <si>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</si>
  <si>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</si>
  <si>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</si>
  <si>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</si>
  <si>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</si>
  <si>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</si>
  <si>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</si>
  <si>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</si>
  <si>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</si>
  <si>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</si>
  <si>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</si>
  <si>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</si>
  <si>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</si>
  <si>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</si>
  <si>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</si>
  <si>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</si>
  <si>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</si>
  <si>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</si>
  <si>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</si>
  <si>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</si>
  <si>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</si>
  <si>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</si>
  <si>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</si>
  <si>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</si>
  <si>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</si>
  <si>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</si>
  <si>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</si>
  <si>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</si>
  <si>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</si>
  <si>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</si>
  <si>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</si>
  <si>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</si>
  <si>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</si>
  <si>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</si>
  <si>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</si>
  <si>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</si>
  <si>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</si>
  <si>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</si>
  <si>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</si>
  <si>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</si>
  <si>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</si>
  <si>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</si>
  <si>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</si>
  <si>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</si>
  <si>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</si>
  <si>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</si>
  <si>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</si>
  <si>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</si>
  <si>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</si>
  <si>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</si>
  <si>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</si>
  <si>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</si>
  <si>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</si>
  <si>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</si>
  <si>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</si>
  <si>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</si>
  <si>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</si>
  <si>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</si>
  <si>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</si>
  <si>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</si>
  <si>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</si>
  <si>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</si>
  <si>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</si>
  <si>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</si>
  <si>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</si>
  <si>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</si>
  <si>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</si>
  <si>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</si>
  <si>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</si>
  <si>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</si>
  <si>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</si>
  <si>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</si>
  <si>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</si>
  <si>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</si>
  <si>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</si>
  <si>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</si>
  <si>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</si>
  <si>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</si>
  <si>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</si>
  <si>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</si>
  <si>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</si>
  <si>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</si>
  <si>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</si>
  <si>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</si>
  <si>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</si>
  <si>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</si>
  <si>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</si>
  <si>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</si>
  <si>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</si>
  <si>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</si>
  <si>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</si>
  <si>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</si>
  <si>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</si>
  <si>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</si>
  <si>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</si>
  <si>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</si>
  <si>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</si>
  <si>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</si>
  <si>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</si>
  <si>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</si>
  <si>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</si>
  <si>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</si>
  <si>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</si>
  <si>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</si>
  <si>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</si>
  <si>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</si>
  <si>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</si>
  <si>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</si>
  <si>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</si>
  <si>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</si>
  <si>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</si>
  <si>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</si>
  <si>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</si>
  <si>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</si>
  <si>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</si>
  <si>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</si>
  <si>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</si>
  <si>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</si>
  <si>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</si>
  <si>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</si>
  <si>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</si>
  <si>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</si>
  <si>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</si>
  <si>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</si>
  <si>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</si>
  <si>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</si>
  <si>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</si>
  <si>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</si>
  <si>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</si>
  <si>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</si>
  <si>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</si>
  <si>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</si>
  <si>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</si>
  <si>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</si>
  <si>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</si>
  <si>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</si>
  <si>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</si>
  <si>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</si>
  <si>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</si>
  <si>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</si>
  <si>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</si>
  <si>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</si>
  <si>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</si>
  <si>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</si>
  <si>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</si>
  <si>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</si>
  <si>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</si>
  <si>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</si>
  <si>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</si>
  <si>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</si>
  <si>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</si>
  <si>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</si>
  <si>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</si>
  <si>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</si>
  <si>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</si>
  <si>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</si>
  <si>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</si>
  <si>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</si>
  <si>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</si>
  <si>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</si>
  <si>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</si>
  <si>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</si>
  <si>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</si>
  <si>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</si>
  <si>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</si>
  <si>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</si>
  <si>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</si>
  <si>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</si>
  <si>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</si>
  <si>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</si>
  <si>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</si>
  <si>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</si>
  <si>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</si>
  <si>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</si>
  <si>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</si>
  <si>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</si>
  <si>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</si>
  <si>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</si>
  <si>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</si>
  <si>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</si>
  <si>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</si>
  <si>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</si>
  <si>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</si>
  <si>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</si>
  <si>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</si>
  <si>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</si>
  <si>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</si>
  <si>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</si>
  <si>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</si>
  <si>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</si>
  <si>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</si>
  <si>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</si>
  <si>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</si>
  <si>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</si>
  <si>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</si>
  <si>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</si>
  <si>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</si>
  <si>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</si>
  <si>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</si>
  <si>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</si>
  <si>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</si>
  <si>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</si>
  <si>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</si>
  <si>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</si>
  <si>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</si>
  <si>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</si>
  <si>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</si>
  <si>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</si>
  <si>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</si>
  <si>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</si>
  <si>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</si>
  <si>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</si>
  <si>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</si>
  <si>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</si>
  <si>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</si>
  <si>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</si>
  <si>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</si>
  <si>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</si>
  <si>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</si>
  <si>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</si>
  <si>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</si>
  <si>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</si>
  <si>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</si>
  <si>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</si>
  <si>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</si>
  <si>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</si>
  <si>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</si>
  <si>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</si>
  <si>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</si>
  <si>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</si>
  <si>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</si>
  <si>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</si>
  <si>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</si>
  <si>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</si>
  <si>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</si>
  <si>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</si>
  <si>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</si>
  <si>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</si>
  <si>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</si>
  <si>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</si>
  <si>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</si>
  <si>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</si>
  <si>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</si>
  <si>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</si>
  <si>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</si>
  <si>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</si>
  <si>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</si>
  <si>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</si>
  <si>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</si>
  <si>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</si>
  <si>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</si>
  <si>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</si>
  <si>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</si>
  <si>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</si>
  <si>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</si>
  <si>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</si>
  <si>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</si>
  <si>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</si>
  <si>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</si>
  <si>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</si>
  <si>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</si>
  <si>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</si>
  <si>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</si>
  <si>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</si>
  <si>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</si>
  <si>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</si>
  <si>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</si>
  <si>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</si>
  <si>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</si>
  <si>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</si>
  <si>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</si>
  <si>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</si>
  <si>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</si>
  <si>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</si>
  <si>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</si>
  <si>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</si>
  <si>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</si>
  <si>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</si>
  <si>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</si>
  <si>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</si>
  <si>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</si>
  <si>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</si>
  <si>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</si>
  <si>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</si>
  <si>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</si>
  <si>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Connor Betts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</si>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</sst>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0" fontId="2" fillId="9" borderId="0" xfId="0" applyFont="1" applyFill="1" applyAlignment="1"/>
    <xf numFmtId="0" fontId="0" fillId="9" borderId="1" xfId="0" applyFill="1" applyBorder="1"/>
    <xf numFmtId="166" fontId="4" fillId="2" borderId="1" xfId="2" applyNumberFormat="1"/>
    <xf numFmtId="0" fontId="4" fillId="9" borderId="1" xfId="2" applyFill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11-4202-BD7E-F8DB5F96B1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11-4202-BD7E-F8DB5F96B1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11-4202-BD7E-F8DB5F96B176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646628.11790000042</c:v>
                </c:pt>
                <c:pt idx="1">
                  <c:v>223410.76010000001</c:v>
                </c:pt>
                <c:pt idx="2">
                  <c:v>74244.423900000009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0E-4405-8FF2-21685021BB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0E-4405-8FF2-21685021BB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0E-4405-8FF2-21685021BB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0E-4405-8FF2-21685021BB95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47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92590.410262000005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DC25E-AF28-4F8E-8942-50DF7907ABC1}" name="orders" displayName="orders" ref="A5:Z1044" totalsRowShown="0" dataDxfId="43" headerRowCellStyle="Accent5" dataCellStyle="Percent">
  <autoFilter ref="A5:Z1044" xr:uid="{00000000-0009-0000-0000-000000000000}"/>
  <tableColumns count="26">
    <tableColumn id="1" xr3:uid="{CA88A65A-403F-4DAB-A228-616F270FE429}" name="Order No" dataDxfId="42"/>
    <tableColumn id="2" xr3:uid="{539B986F-5293-4140-9002-9240ADFECC74}" name="Order Date" dataDxfId="41"/>
    <tableColumn id="3" xr3:uid="{B8E94537-374E-4F45-B095-DA187885D6AC}" name="Order Year" dataDxfId="40">
      <calculatedColumnFormula>TEXT(B6,"yyyy")</calculatedColumnFormula>
    </tableColumn>
    <tableColumn id="4" xr3:uid="{B5F28DA9-4199-4DE6-AB40-CF3725A02F2E}" name="Customer Name" dataDxfId="39"/>
    <tableColumn id="5" xr3:uid="{3960D86A-7AC7-4DFE-878D-D6DDCDD3B515}" name="Address" dataDxfId="38"/>
    <tableColumn id="6" xr3:uid="{59B4114E-AC45-4468-A4E0-63162A04BFD3}" name="City" dataDxfId="37"/>
    <tableColumn id="7" xr3:uid="{ABDBA810-0BCD-4729-A9C2-EA784A19921A}" name="State" dataDxfId="36"/>
    <tableColumn id="8" xr3:uid="{C30BCE9D-8497-4220-B7A6-477B2070737F}" name="Customer Type" dataDxfId="35"/>
    <tableColumn id="9" xr3:uid="{4E5FBBD0-F190-4DCA-B92D-90DBFB1EEA3E}" name="Emp ID" dataDxfId="34"/>
    <tableColumn id="10" xr3:uid="{4E10CDA2-B380-4706-8E16-B1070D34B28D}" name="Order Priority" dataDxfId="33"/>
    <tableColumn id="11" xr3:uid="{843139EF-A59E-4D97-A939-40A162019572}" name="Product Name" dataDxfId="32"/>
    <tableColumn id="12" xr3:uid="{4550CD98-44E0-47F1-9C4E-040B0FFC8F51}" name="Product Category" dataDxfId="31"/>
    <tableColumn id="13" xr3:uid="{7B7A662D-B2C9-4D77-8FFD-51513C4D6783}" name="Product Container" dataDxfId="30"/>
    <tableColumn id="14" xr3:uid="{1C5137A0-1F31-4E7F-9257-510D525A5E9D}" name="Ship Mode" dataDxfId="29"/>
    <tableColumn id="15" xr3:uid="{24D6FF93-89EA-49DF-AE4B-0A36513B5944}" name="Ship Date" dataDxfId="28"/>
    <tableColumn id="16" xr3:uid="{0B434D2A-2F3B-4FEF-A963-F481FF3DA61C}" name="Days to Ship" dataDxfId="27">
      <calculatedColumnFormula>O6-B6</calculatedColumnFormula>
    </tableColumn>
    <tableColumn id="17" xr3:uid="{473D0FD2-61D7-468D-9EE7-1BE4192DA01D}" name="Cost Price" dataDxfId="26"/>
    <tableColumn id="18" xr3:uid="{BE1D1216-B1E8-4A3E-B2EA-09B8C997EFE4}" name="Retail Price" dataDxfId="25"/>
    <tableColumn id="19" xr3:uid="{0BF34CF6-F0DC-4C0D-896E-C6DDF378C916}" name="Profit Margin" dataDxfId="24">
      <calculatedColumnFormula>R6-Q6</calculatedColumnFormula>
    </tableColumn>
    <tableColumn id="20" xr3:uid="{A6CFA64A-9177-4273-8D7A-9D5CCDD8B0D2}" name="Order Quantity" dataDxfId="23"/>
    <tableColumn id="21" xr3:uid="{DD20FA29-5747-488D-94A1-9193AB7BF6E6}" name="Sub Total" dataDxfId="22">
      <calculatedColumnFormula>R6*T6</calculatedColumnFormula>
    </tableColumn>
    <tableColumn id="22" xr3:uid="{5AADEE49-644C-469E-B78B-C3899D9DF184}" name="Discount %" dataDxfId="21" dataCellStyle="Percent"/>
    <tableColumn id="23" xr3:uid="{F3E15983-26E8-48EA-BAE3-93AE57AB691D}" name="Discount $" dataDxfId="20" dataCellStyle="Percent">
      <calculatedColumnFormula>U6*V6</calculatedColumnFormula>
    </tableColumn>
    <tableColumn id="24" xr3:uid="{0E51287A-B935-4452-97C9-D74BB7955A2F}" name="Order Total" dataDxfId="19" dataCellStyle="Percent">
      <calculatedColumnFormula>U6-W6</calculatedColumnFormula>
    </tableColumn>
    <tableColumn id="25" xr3:uid="{FF5C67D0-C133-4ADF-B022-48987643FA8D}" name="Shipping Cost" dataDxfId="18"/>
    <tableColumn id="26" xr3:uid="{9FE109B9-9F88-4A26-9E5C-B6A71C146059}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A7635E-E620-41BE-A12F-6BAB9B6F00FA}" name="Staff" displayName="Staff" ref="A3:O38" totalsRowShown="0" headerRowDxfId="16" dataDxfId="15" headerRowCellStyle="Accent5">
  <tableColumns count="15">
    <tableColumn id="1" xr3:uid="{42BC9A76-D7C6-415C-9521-3DE127C426CD}" name="Emp ID" dataDxfId="14"/>
    <tableColumn id="2" xr3:uid="{4661A146-6E29-4D5D-966D-41BECB95C2CC}" name="Last" dataDxfId="13"/>
    <tableColumn id="3" xr3:uid="{C409A10A-EF2F-4611-AEC2-924BE561BE4F}" name="First" dataDxfId="12"/>
    <tableColumn id="4" xr3:uid="{D581DB2E-BB9E-4B11-B368-537CF3B993CA}" name="Full Name" dataDxfId="11">
      <calculatedColumnFormula>PROPER(C4&amp;" "&amp;B4)</calculatedColumnFormula>
    </tableColumn>
    <tableColumn id="5" xr3:uid="{D4785217-37E0-4BB5-9F0F-683E88F2ABCC}" name="Gender" dataDxfId="10"/>
    <tableColumn id="6" xr3:uid="{FAAD2B34-28DA-4EAD-A902-5D40714226F0}" name="Email" dataDxfId="9"/>
    <tableColumn id="7" xr3:uid="{C1D9AEEB-F8A8-4DDE-A193-E536432A2FF2}" name="Date of Hire" dataDxfId="8"/>
    <tableColumn id="8" xr3:uid="{696142E1-104F-4757-BD34-66EA55DF2B09}" name="Years Service" dataDxfId="7">
      <calculatedColumnFormula>YEARFRAC(G4,TODAY())</calculatedColumnFormula>
    </tableColumn>
    <tableColumn id="9" xr3:uid="{E63443AA-531A-4DFB-8AFD-7D3E4351314D}" name="Department" dataDxfId="6"/>
    <tableColumn id="10" xr3:uid="{AE2D7D33-E744-4586-A161-76837993DDC6}" name="Location" dataDxfId="5"/>
    <tableColumn id="11" xr3:uid="{ACB28EC5-9899-47A8-BE78-D2A5878374B4}" name="Floor" dataDxfId="4">
      <calculatedColumnFormula>LEFT(J4,2)</calculatedColumnFormula>
    </tableColumn>
    <tableColumn id="12" xr3:uid="{EC1CDD3A-6532-4501-8CF6-1C3AF58B7BCD}" name="Extension" dataDxfId="3">
      <calculatedColumnFormula>RIGHT(J4,4)</calculatedColumnFormula>
    </tableColumn>
    <tableColumn id="13" xr3:uid="{09A174EB-23A9-4335-A6B2-CD5125ABEA46}" name="Last Review" dataDxfId="2"/>
    <tableColumn id="14" xr3:uid="{2C18F890-AF73-4CC2-AE9F-F81467BC625E}" name="Next Review" dataDxfId="1">
      <calculatedColumnFormula>M4+365</calculatedColumnFormula>
    </tableColumn>
    <tableColumn id="15" xr3:uid="{55A2BE16-5E83-4EF4-8DA4-33E346F5BC2B}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zoomScaleNormal="100" workbookViewId="0">
      <selection activeCell="H16" sqref="H16"/>
    </sheetView>
  </sheetViews>
  <sheetFormatPr defaultColWidth="8.88671875" defaultRowHeight="14.4" x14ac:dyDescent="0.3"/>
  <cols>
    <col min="1" max="1" width="10.33203125" style="1" customWidth="1"/>
    <col min="2" max="2" width="13.33203125" style="1" customWidth="1"/>
    <col min="3" max="3" width="11.77734375" style="1" customWidth="1"/>
    <col min="4" max="4" width="18.6640625" style="1" hidden="1" customWidth="1"/>
    <col min="5" max="5" width="27.33203125" style="1" hidden="1" customWidth="1"/>
    <col min="6" max="6" width="10.33203125" style="1" hidden="1" customWidth="1"/>
    <col min="7" max="7" width="9" style="1" customWidth="1"/>
    <col min="8" max="8" width="15.109375" style="1" customWidth="1"/>
    <col min="9" max="9" width="17.109375" style="1" customWidth="1"/>
    <col min="10" max="10" width="15" style="1" customWidth="1"/>
    <col min="11" max="11" width="27.109375" style="1" customWidth="1"/>
    <col min="12" max="12" width="18.33203125" style="1" customWidth="1"/>
    <col min="13" max="13" width="19" style="1" customWidth="1"/>
    <col min="14" max="14" width="12.33203125" style="1" customWidth="1"/>
    <col min="15" max="15" width="11.33203125" style="1" customWidth="1"/>
    <col min="16" max="16" width="12.88671875" style="1" customWidth="1"/>
    <col min="17" max="17" width="12" style="1" customWidth="1"/>
    <col min="18" max="18" width="12.6640625" style="1" customWidth="1"/>
    <col min="19" max="19" width="13.6640625" style="1" customWidth="1"/>
    <col min="20" max="20" width="15.33203125" style="1" customWidth="1"/>
    <col min="21" max="21" width="12.109375" style="1" customWidth="1"/>
    <col min="22" max="22" width="11.88671875" style="1" customWidth="1"/>
    <col min="23" max="23" width="11.33203125" style="1" customWidth="1"/>
    <col min="24" max="24" width="12.5546875" style="1" customWidth="1"/>
    <col min="25" max="25" width="14.33203125" style="1" customWidth="1"/>
    <col min="26" max="26" width="12.44140625" style="1" bestFit="1" customWidth="1"/>
    <col min="27" max="16384" width="8.88671875" style="1"/>
  </cols>
  <sheetData>
    <row r="1" spans="1:26" customFormat="1" ht="34.049999999999997" customHeight="1" x14ac:dyDescent="0.6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3">
      <c r="P2" s="27"/>
    </row>
    <row r="3" spans="1:26" customFormat="1" x14ac:dyDescent="0.3">
      <c r="A3" s="9" t="s">
        <v>1862</v>
      </c>
      <c r="B3" s="12">
        <f>COUNTA(Order_No)</f>
        <v>1039</v>
      </c>
      <c r="N3" s="1"/>
      <c r="O3" s="1"/>
      <c r="Y3" s="9" t="s">
        <v>2152</v>
      </c>
      <c r="Z3" s="46">
        <f>SUM(Total)</f>
        <v>1138806.9295619989</v>
      </c>
    </row>
    <row r="4" spans="1:26" customFormat="1" x14ac:dyDescent="0.3">
      <c r="P4" s="27"/>
    </row>
    <row r="5" spans="1:26" customFormat="1" ht="18" customHeight="1" x14ac:dyDescent="0.3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3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3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3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3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3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3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3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3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3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3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3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3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3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3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3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3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3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3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3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3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3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3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3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3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3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3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3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3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3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3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3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3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3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3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3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3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3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3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3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3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3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3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3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3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3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3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3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3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3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3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3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3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3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3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3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3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3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3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3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3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3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3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3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3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3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3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3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3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3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3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3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3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3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3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3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3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3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3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3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3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3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3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3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3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3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3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3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3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3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3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3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3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3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3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3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3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3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3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3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3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3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3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3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3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3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3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3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3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3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3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3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3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3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3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3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3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3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3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3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3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3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3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3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3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3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3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3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3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3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3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3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3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3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3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3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3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3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3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3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3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3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3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3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3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3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3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3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3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3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3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3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3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3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3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3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3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3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3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3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3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3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3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3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3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3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3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3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3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3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3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3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3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3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3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3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3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3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3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3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3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3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3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3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3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3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3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3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3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3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3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3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3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3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3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3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3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3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3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3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3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3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2151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3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3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3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3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3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3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3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3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3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3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3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3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3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3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3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3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3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3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3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3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3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3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3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3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3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3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3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3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3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3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3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3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3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3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3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3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3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3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3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3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3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3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3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3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3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3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3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3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3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3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3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3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3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3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3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3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3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3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3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3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3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3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3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3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3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3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3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3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3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3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3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3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3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3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3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3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3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3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3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3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3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3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3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3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3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3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3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3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3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3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3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3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3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3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3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3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3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3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3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3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3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3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3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3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3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3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3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3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3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3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3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3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3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3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3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3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3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3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3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3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3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3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3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3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3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3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3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3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3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3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3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3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3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3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3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3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3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3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3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3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3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3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3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3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3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3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3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3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3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3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3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3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3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3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3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3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3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3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3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3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3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3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3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3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3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3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3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3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3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3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3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3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3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3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3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3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3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3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3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3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3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3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3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3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3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3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3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3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3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3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3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3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3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3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3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3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3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3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3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3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3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3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3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3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3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3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3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3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3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3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3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3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3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3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3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3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3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3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3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3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3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3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3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3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3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3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3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3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3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3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3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3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3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3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3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3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3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3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3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3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3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3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3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3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3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3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3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3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3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3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3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3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3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3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3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3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3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3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3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3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3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3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3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3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3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3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3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3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3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3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3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3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3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3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3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3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3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3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3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3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3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3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3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3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3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3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3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3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3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3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3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3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3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3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3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3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3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3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3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3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3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3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3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3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3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3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3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3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3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3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3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3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3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3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3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3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3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3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3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3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3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3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3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3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3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3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3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3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3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3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3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3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3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3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3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3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3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3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3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3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3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3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3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3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3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3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3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3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3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3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3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3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3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3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3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3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3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3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3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3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3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3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3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3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3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3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3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3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3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3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3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3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3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3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3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3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3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3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3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3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3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3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3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3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3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3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3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3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3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3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3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3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3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3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3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3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3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3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3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3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3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3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3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3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3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3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3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3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3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3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3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3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3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3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3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3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3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3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3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3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3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3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3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3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3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3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3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3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3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3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3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3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3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3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3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3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3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3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3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3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3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3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3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3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3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3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3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3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3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3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3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3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3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3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3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3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3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3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3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3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3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3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3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3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3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3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3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3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3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3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3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3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3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3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3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3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3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3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3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3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3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3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3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3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3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3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3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3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3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3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3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3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3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3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3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3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3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3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3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3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3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3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3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3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3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3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3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3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3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3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3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3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3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3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3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3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3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3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3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3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3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3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3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3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3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3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3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3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3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3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3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3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3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3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3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3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3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3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3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3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3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3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3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3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3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3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3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3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3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3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3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3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3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3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3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3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3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3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3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3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3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3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3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3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3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3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3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3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3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3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3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3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3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3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3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3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3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3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3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3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3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3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3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3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3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3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3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3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3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3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3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3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3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3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3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3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3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3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3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3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3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3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3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3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3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3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3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3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3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3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3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3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3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3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3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3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3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3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3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3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3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3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3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3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3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3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3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3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3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3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3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3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3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3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3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3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3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3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3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3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3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3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3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3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3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3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3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3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3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3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3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3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3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3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3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3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3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3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3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3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3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3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3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3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3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3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3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3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3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3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3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3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3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3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3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3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3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3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3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3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3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3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3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3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3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3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3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3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3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3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3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3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3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3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3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3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3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3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3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3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3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3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3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3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3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3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3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3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3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3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3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3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3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3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3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3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3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3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3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3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3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3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3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3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3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3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3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3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3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3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3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3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3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3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3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3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3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3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3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3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3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3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3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3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3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3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3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3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3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3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3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3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3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3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3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3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3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3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3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3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3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3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3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3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3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3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3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3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3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3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3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3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3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3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3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3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3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3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3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3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3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3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3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3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3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3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3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3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3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3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3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3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3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3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3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3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3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3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3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3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3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3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3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3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3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3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3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3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3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3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3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3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3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3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3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3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3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3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3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3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3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3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3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3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3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3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3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3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3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3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3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3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3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3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3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3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3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3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xmlns:xlrd2="http://schemas.microsoft.com/office/spreadsheetml/2017/richdata2"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topLeftCell="A7" workbookViewId="0">
      <selection activeCell="B29" sqref="B29"/>
    </sheetView>
  </sheetViews>
  <sheetFormatPr defaultRowHeight="14.4" x14ac:dyDescent="0.3"/>
  <cols>
    <col min="1" max="1" width="12.88671875" customWidth="1"/>
    <col min="2" max="2" width="20.21875" style="27" customWidth="1"/>
    <col min="3" max="3" width="15.33203125" customWidth="1"/>
    <col min="4" max="7" width="14.88671875" customWidth="1"/>
    <col min="8" max="8" width="21.77734375" style="27" customWidth="1"/>
  </cols>
  <sheetData>
    <row r="1" spans="1:19" ht="34.049999999999997" customHeight="1" x14ac:dyDescent="0.6">
      <c r="A1" s="11" t="s">
        <v>2150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3"/>
    <row r="3" spans="1:19" x14ac:dyDescent="0.3">
      <c r="A3" s="33" t="s">
        <v>1863</v>
      </c>
      <c r="B3" s="33"/>
      <c r="G3" s="42" t="s">
        <v>2159</v>
      </c>
      <c r="H3" s="50">
        <v>7.0000000000000007E-2</v>
      </c>
    </row>
    <row r="4" spans="1:19" x14ac:dyDescent="0.3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2153</v>
      </c>
    </row>
    <row r="5" spans="1:19" x14ac:dyDescent="0.3">
      <c r="A5" s="3" t="s">
        <v>1996</v>
      </c>
      <c r="B5" s="48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29132.394697000003</v>
      </c>
    </row>
    <row r="6" spans="1:19" x14ac:dyDescent="0.3">
      <c r="A6" s="3" t="s">
        <v>2002</v>
      </c>
      <c r="B6" s="3" t="str">
        <f>VLOOKUP(A6,Staff[],4,0)</f>
        <v>Stevie Bacata</v>
      </c>
      <c r="C6" s="31">
        <f t="shared" ref="C6:C18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477.28377199999994</v>
      </c>
    </row>
    <row r="7" spans="1:19" x14ac:dyDescent="0.3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3003.7935589999997</v>
      </c>
    </row>
    <row r="8" spans="1:19" x14ac:dyDescent="0.3">
      <c r="A8" s="3" t="s">
        <v>2022</v>
      </c>
      <c r="B8" s="48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11431.330983</v>
      </c>
    </row>
    <row r="9" spans="1:19" x14ac:dyDescent="0.3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22063.253945</v>
      </c>
    </row>
    <row r="10" spans="1:19" x14ac:dyDescent="0.3">
      <c r="A10" s="3" t="s">
        <v>2038</v>
      </c>
      <c r="B10" s="3" t="str">
        <f>VLOOKUP(A10,Staff[],4,0)</f>
        <v>Tina Carlton</v>
      </c>
      <c r="C10" s="31">
        <f t="shared" si="1"/>
        <v>92590.410262000005</v>
      </c>
      <c r="D10" s="31">
        <f t="shared" ref="D10:E18" si="3">SUMIFS(Total,Account_Manager,$A10,Order_Year,D$4)</f>
        <v>21750.561262000003</v>
      </c>
      <c r="E10" s="31">
        <f t="shared" si="3"/>
        <v>42012.128400000001</v>
      </c>
      <c r="F10" s="31">
        <f>SUMIFS(Order_Quantity,Account_Manager,$A10,Order_Year,F$4)</f>
        <v>848</v>
      </c>
      <c r="G10" s="31">
        <f t="shared" ref="G10:G18" si="4">SUMIFS(Total,Account_Manager,$A10,Order_Year,G$4)</f>
        <v>27979.720600000004</v>
      </c>
      <c r="H10" s="31">
        <f t="shared" si="2"/>
        <v>29938.301042000006</v>
      </c>
    </row>
    <row r="11" spans="1:19" x14ac:dyDescent="0.3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2912.7671610000002</v>
      </c>
    </row>
    <row r="12" spans="1:19" x14ac:dyDescent="0.3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51149.116481999998</v>
      </c>
    </row>
    <row r="13" spans="1:19" x14ac:dyDescent="0.3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44620.304008999999</v>
      </c>
    </row>
    <row r="14" spans="1:19" x14ac:dyDescent="0.3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28695.568160000003</v>
      </c>
    </row>
    <row r="15" spans="1:19" x14ac:dyDescent="0.3">
      <c r="A15" s="3" t="s">
        <v>2097</v>
      </c>
      <c r="B15" s="3" t="str">
        <f>VLOOKUP(A15,Staff[],4,0)</f>
        <v>Radhya Staples</v>
      </c>
      <c r="C15" s="31">
        <f t="shared" si="1"/>
        <v>72189.382999999987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11340.959104000001</v>
      </c>
    </row>
    <row r="16" spans="1:19" x14ac:dyDescent="0.3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7867.8123990000004</v>
      </c>
    </row>
    <row r="17" spans="1:8" x14ac:dyDescent="0.3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15014.479037999999</v>
      </c>
    </row>
    <row r="18" spans="1:8" x14ac:dyDescent="0.3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33701.540583000002</v>
      </c>
    </row>
    <row r="19" spans="1:8" ht="15" thickBot="1" x14ac:dyDescent="0.35">
      <c r="A19" s="34" t="s">
        <v>2139</v>
      </c>
      <c r="B19" s="35"/>
      <c r="C19" s="36">
        <f>SUM(C5:C18)</f>
        <v>1089772.102562</v>
      </c>
      <c r="D19" s="36">
        <f>SUM(D5:D18)</f>
        <v>171750.79886200003</v>
      </c>
      <c r="E19" s="36">
        <f>SUM(E5:E18)</f>
        <v>319231.65949999995</v>
      </c>
      <c r="F19" s="36">
        <f>SUM(F5:F18)</f>
        <v>326500.94799999992</v>
      </c>
      <c r="G19" s="36">
        <f>SUM(G5:G18)</f>
        <v>272288.69620000001</v>
      </c>
      <c r="H19" s="36">
        <f>SUM(H17:H18)</f>
        <v>48716.019620999999</v>
      </c>
    </row>
    <row r="20" spans="1:8" ht="15" thickTop="1" x14ac:dyDescent="0.3"/>
    <row r="21" spans="1:8" x14ac:dyDescent="0.3">
      <c r="A21" s="37" t="s">
        <v>2141</v>
      </c>
    </row>
    <row r="22" spans="1:8" x14ac:dyDescent="0.3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3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>SUM(D23:F23)</f>
        <v>646628.11790000042</v>
      </c>
      <c r="H23" s="31">
        <f t="shared" ref="H23:H25" si="7">AVERAGE(D23:F23)</f>
        <v>215542.70596666681</v>
      </c>
    </row>
    <row r="24" spans="1:8" x14ac:dyDescent="0.3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>SUM(D24:F24)</f>
        <v>223410.76010000001</v>
      </c>
      <c r="H24" s="31">
        <f t="shared" si="7"/>
        <v>74470.253366666671</v>
      </c>
    </row>
    <row r="25" spans="1:8" x14ac:dyDescent="0.3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>SUM(D25:F25)</f>
        <v>74244.423900000009</v>
      </c>
      <c r="H25" s="31">
        <f t="shared" si="7"/>
        <v>24748.141300000003</v>
      </c>
    </row>
    <row r="26" spans="1:8" ht="15" thickBot="1" x14ac:dyDescent="0.35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944283.30190000054</v>
      </c>
      <c r="H26" s="36">
        <f>AVERAGE(C26:G26)</f>
        <v>412466.08053240017</v>
      </c>
    </row>
    <row r="27" spans="1:8" ht="15" thickTop="1" x14ac:dyDescent="0.3">
      <c r="A27" s="14"/>
      <c r="B27"/>
    </row>
    <row r="28" spans="1:8" x14ac:dyDescent="0.3">
      <c r="A28" s="40" t="s">
        <v>2144</v>
      </c>
    </row>
    <row r="29" spans="1:8" x14ac:dyDescent="0.3">
      <c r="A29" s="9" t="s">
        <v>2145</v>
      </c>
      <c r="B29" s="47" t="s">
        <v>2147</v>
      </c>
      <c r="C29" s="41" t="str">
        <f>INDEX(Emp_ID,MATCH(B29,Full_Name,0))</f>
        <v>E1232</v>
      </c>
      <c r="G29" s="9"/>
      <c r="H29" s="13" t="s">
        <v>2149</v>
      </c>
    </row>
    <row r="30" spans="1:8" x14ac:dyDescent="0.3">
      <c r="A30" s="14" t="s">
        <v>2146</v>
      </c>
      <c r="B30">
        <f>COUNTIFS(Account_Manager,C29)</f>
        <v>161</v>
      </c>
      <c r="C30" s="42" t="str">
        <f>IF(B30&lt;20,"Poor",IF(B30&lt;50,"Medium",IF(B30&lt;100,Good,"Excellent")))</f>
        <v>Excellent</v>
      </c>
      <c r="G30" s="44" t="s">
        <v>20</v>
      </c>
      <c r="H30" s="18">
        <f>COUNTIFS(Customer_Type,G30,Account_Manager,$C$29)</f>
        <v>33</v>
      </c>
    </row>
    <row r="31" spans="1:8" x14ac:dyDescent="0.3">
      <c r="A31" t="s">
        <v>1939</v>
      </c>
      <c r="B31" s="31">
        <f>INDEX(C5:C18,MATCH(C29,A5:A18,0))</f>
        <v>126287.17390000001</v>
      </c>
      <c r="C31" s="42" t="str">
        <f>IF(B31&gt;=AVERAGE(C5:C18),"Above Average","Below Average")</f>
        <v>Above Average</v>
      </c>
      <c r="G31" s="45" t="s">
        <v>27</v>
      </c>
      <c r="H31" s="51">
        <f>COUNTIFS(Customer_Type,G31,Account_Manager,$C$29)</f>
        <v>28</v>
      </c>
    </row>
    <row r="32" spans="1:8" x14ac:dyDescent="0.3">
      <c r="A32" t="s">
        <v>2148</v>
      </c>
      <c r="B32" s="12">
        <v>2015</v>
      </c>
      <c r="C32" s="31">
        <f>INDEX(D5:G18,MATCH(B29,B5:B18,0),MATCH(B32,C4:G4,0))</f>
        <v>47802.912599999996</v>
      </c>
      <c r="G32" s="38" t="s">
        <v>39</v>
      </c>
      <c r="H32" s="18">
        <f>COUNTIFS(Customer_Type,G32,Account_Manager,$C$29)</f>
        <v>47</v>
      </c>
    </row>
    <row r="33" spans="7:8" x14ac:dyDescent="0.3">
      <c r="G33" s="39" t="s">
        <v>46</v>
      </c>
      <c r="H33" s="18">
        <f>COUNTIFS(Customer_Type,G33,Account_Manager,$C$29)</f>
        <v>53</v>
      </c>
    </row>
    <row r="34" spans="7:8" x14ac:dyDescent="0.3">
      <c r="G34" s="19" t="s">
        <v>839</v>
      </c>
      <c r="H34" s="49">
        <f>SUM(H30:H33)</f>
        <v>161</v>
      </c>
    </row>
  </sheetData>
  <dataValidations count="2">
    <dataValidation type="list" allowBlank="1" showInputMessage="1" showErrorMessage="1" sqref="B29" xr:uid="{0719C57D-FA92-4C26-8945-0B1DBC9E3820}">
      <formula1>$B$5:$B$18</formula1>
    </dataValidation>
    <dataValidation type="list" allowBlank="1" showInputMessage="1" showErrorMessage="1" sqref="B32" xr:uid="{3B6E9D6A-767B-4FA0-8D96-2E9394632D89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70D8-3B75-4CB7-810E-A4A83C72ED0A}">
  <dimension ref="A1:O9"/>
  <sheetViews>
    <sheetView zoomScale="130" zoomScaleNormal="130" workbookViewId="0">
      <selection activeCell="E5" sqref="E5"/>
    </sheetView>
  </sheetViews>
  <sheetFormatPr defaultRowHeight="14.4" x14ac:dyDescent="0.3"/>
  <cols>
    <col min="1" max="1" width="16.44140625" customWidth="1"/>
    <col min="2" max="2" width="12.33203125" bestFit="1" customWidth="1"/>
    <col min="3" max="4" width="15.88671875" bestFit="1" customWidth="1"/>
    <col min="5" max="5" width="17.88671875" customWidth="1"/>
  </cols>
  <sheetData>
    <row r="1" spans="1:15" s="27" customFormat="1" ht="34.049999999999997" customHeight="1" x14ac:dyDescent="0.6">
      <c r="A1" s="11" t="s">
        <v>2154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3">
      <c r="A3" s="37" t="s">
        <v>2154</v>
      </c>
    </row>
    <row r="4" spans="1:15" x14ac:dyDescent="0.3">
      <c r="A4" s="32" t="s">
        <v>2142</v>
      </c>
      <c r="B4" s="32" t="s">
        <v>2156</v>
      </c>
      <c r="C4" s="32" t="s">
        <v>2157</v>
      </c>
      <c r="D4" s="32" t="s">
        <v>2155</v>
      </c>
      <c r="E4" s="32" t="s">
        <v>2158</v>
      </c>
    </row>
    <row r="5" spans="1:15" x14ac:dyDescent="0.3">
      <c r="A5" s="3" t="s">
        <v>35</v>
      </c>
      <c r="B5" s="31">
        <f>'Sales Dash'!F23</f>
        <v>185959.90620000003</v>
      </c>
      <c r="C5" s="31">
        <f>B5*('Sales Dash'!$H$3+1)</f>
        <v>198977.09963400004</v>
      </c>
      <c r="D5" s="31">
        <v>64000</v>
      </c>
      <c r="E5" s="31">
        <f>C5-D5</f>
        <v>134977.09963400004</v>
      </c>
    </row>
    <row r="6" spans="1:15" x14ac:dyDescent="0.3">
      <c r="A6" s="3" t="s">
        <v>19</v>
      </c>
      <c r="B6" s="31">
        <f>'Sales Dash'!F24</f>
        <v>61835.135999999999</v>
      </c>
      <c r="C6" s="31">
        <f>B6*('Sales Dash'!$H$3+1)</f>
        <v>66163.595520000003</v>
      </c>
      <c r="D6" s="31">
        <v>38500</v>
      </c>
      <c r="E6" s="31">
        <f t="shared" ref="E6:E7" si="0">C6-D6</f>
        <v>27663.595520000003</v>
      </c>
    </row>
    <row r="7" spans="1:15" x14ac:dyDescent="0.3">
      <c r="A7" s="3" t="s">
        <v>1866</v>
      </c>
      <c r="B7" s="31">
        <f>'Sales Dash'!F25</f>
        <v>24493.654000000002</v>
      </c>
      <c r="C7" s="31">
        <f>B7*('Sales Dash'!$H$3+1)</f>
        <v>26208.209780000005</v>
      </c>
      <c r="D7" s="31">
        <v>12500</v>
      </c>
      <c r="E7" s="31">
        <f t="shared" si="0"/>
        <v>13708.209780000005</v>
      </c>
    </row>
    <row r="8" spans="1:15" ht="15" thickBot="1" x14ac:dyDescent="0.35">
      <c r="A8" s="35" t="s">
        <v>2139</v>
      </c>
      <c r="B8" s="36">
        <f>SUM(B5:B7)</f>
        <v>272288.69620000001</v>
      </c>
      <c r="C8" s="36">
        <f>SUM(C5:C7)</f>
        <v>291348.90493400011</v>
      </c>
      <c r="D8" s="36">
        <f>SUM(D5:D7)</f>
        <v>115000</v>
      </c>
      <c r="E8" s="36">
        <f>SUM(E5:E7)</f>
        <v>176348.90493400005</v>
      </c>
    </row>
    <row r="9" spans="1:15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1101-FB05-4019-854B-5C5B09EAF892}">
  <dimension ref="A1:Z38"/>
  <sheetViews>
    <sheetView workbookViewId="0">
      <selection activeCell="A4" sqref="A4"/>
    </sheetView>
  </sheetViews>
  <sheetFormatPr defaultColWidth="9.21875" defaultRowHeight="14.4" x14ac:dyDescent="0.3"/>
  <cols>
    <col min="1" max="1" width="9.21875" style="1"/>
    <col min="2" max="2" width="10.88671875" style="1" bestFit="1" customWidth="1"/>
    <col min="3" max="3" width="9" style="1" bestFit="1" customWidth="1"/>
    <col min="4" max="4" width="16.88671875" style="1" bestFit="1" customWidth="1"/>
    <col min="5" max="5" width="9.33203125" style="1" customWidth="1"/>
    <col min="6" max="6" width="29.109375" style="1" bestFit="1" customWidth="1"/>
    <col min="7" max="7" width="13.5546875" style="1" customWidth="1"/>
    <col min="8" max="8" width="14.44140625" style="1" customWidth="1"/>
    <col min="9" max="9" width="15.6640625" style="1" bestFit="1" customWidth="1"/>
    <col min="10" max="10" width="16.6640625" style="1" customWidth="1"/>
    <col min="11" max="11" width="7.33203125" style="1" customWidth="1"/>
    <col min="12" max="12" width="11.44140625" style="1" customWidth="1"/>
    <col min="13" max="13" width="13.33203125" style="1" customWidth="1"/>
    <col min="14" max="14" width="13.88671875" style="1" customWidth="1"/>
    <col min="15" max="15" width="15" style="1" customWidth="1"/>
    <col min="16" max="16384" width="9.21875" style="1"/>
  </cols>
  <sheetData>
    <row r="1" spans="1:26" s="27" customFormat="1" ht="34.049999999999997" customHeight="1" x14ac:dyDescent="0.6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3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3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21.638888888888889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3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21.566666666666666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3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20.027777777777779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3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18.413888888888888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3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17.183333333333334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3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16.649999999999999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3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16.497222222222224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3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15.886111111111111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3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14.438888888888888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3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14.069444444444445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3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12.772222222222222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3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12.611111111111111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3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11.583333333333334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3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11.255555555555556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3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10.486111111111111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3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9.9944444444444436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3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9.8972222222222221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3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9.3722222222222218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3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8.3138888888888882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3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8.0277777777777786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3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8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3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7.8555555555555552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3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7.7638888888888893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3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7.7277777777777779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3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7.4027777777777777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3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7.1083333333333334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3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7.1055555555555552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3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6.8555555555555552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3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6.8472222222222223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3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6.7194444444444441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3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6.6833333333333336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3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5.8444444444444441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3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5.7611111111111111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3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12.697222222222223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3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5.3388888888888886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2022-09-21T04:02:24Z</dcterms:modified>
</cp:coreProperties>
</file>