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B697B40-7352-4501-97C3-AE6B3991244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1 (2)" sheetId="5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0" i="5" l="1"/>
  <c r="AF29" i="5"/>
  <c r="AF28" i="5"/>
  <c r="AF27" i="5"/>
  <c r="AF25" i="5"/>
  <c r="AF24" i="5"/>
  <c r="AF23" i="5"/>
  <c r="AF22" i="5"/>
  <c r="J22" i="5"/>
  <c r="AG22" i="5" s="1"/>
  <c r="O21" i="5"/>
  <c r="AG26" i="5" s="1"/>
  <c r="M21" i="5"/>
  <c r="AF26" i="5" s="1"/>
  <c r="J21" i="5"/>
  <c r="AG21" i="5" s="1"/>
  <c r="H21" i="5"/>
  <c r="AF21" i="5" s="1"/>
  <c r="E21" i="5"/>
  <c r="AG16" i="5" s="1"/>
  <c r="C21" i="5"/>
  <c r="AF16" i="5" s="1"/>
  <c r="AF20" i="5"/>
  <c r="AF19" i="5"/>
  <c r="AF18" i="5"/>
  <c r="AF17" i="5"/>
  <c r="AF15" i="5"/>
  <c r="E15" i="5"/>
  <c r="C15" i="5"/>
  <c r="AF14" i="5"/>
  <c r="V14" i="5"/>
  <c r="U14" i="5" s="1"/>
  <c r="H14" i="5"/>
  <c r="AF13" i="5"/>
  <c r="V13" i="5"/>
  <c r="U13" i="5" s="1"/>
  <c r="H13" i="5"/>
  <c r="AF12" i="5"/>
  <c r="V12" i="5"/>
  <c r="U12" i="5" s="1"/>
  <c r="H12" i="5"/>
  <c r="AG11" i="5"/>
  <c r="AF11" i="5"/>
  <c r="V11" i="5"/>
  <c r="U11" i="5"/>
  <c r="H11" i="5"/>
  <c r="AF10" i="5"/>
  <c r="V10" i="5"/>
  <c r="U10" i="5"/>
  <c r="E22" i="5" s="1"/>
  <c r="AG17" i="5" s="1"/>
  <c r="H10" i="5"/>
  <c r="E10" i="5"/>
  <c r="AG7" i="5" s="1"/>
  <c r="AF9" i="5"/>
  <c r="V9" i="5"/>
  <c r="U9" i="5"/>
  <c r="H9" i="5"/>
  <c r="E9" i="5"/>
  <c r="C9" i="5"/>
  <c r="AF8" i="5"/>
  <c r="V8" i="5"/>
  <c r="U8" i="5" s="1"/>
  <c r="AF7" i="5"/>
  <c r="V7" i="5"/>
  <c r="U7" i="5" s="1"/>
  <c r="Q7" i="5"/>
  <c r="H7" i="5" s="1"/>
  <c r="C7" i="5"/>
  <c r="AG6" i="5"/>
  <c r="AF6" i="5"/>
  <c r="V6" i="5"/>
  <c r="U6" i="5"/>
  <c r="Q6" i="5"/>
  <c r="H6" i="5"/>
  <c r="C6" i="5"/>
  <c r="E6" i="5" s="1"/>
  <c r="AG4" i="5" s="1"/>
  <c r="AF5" i="5"/>
  <c r="V5" i="5"/>
  <c r="U5" i="5"/>
  <c r="H5" i="5"/>
  <c r="C5" i="5"/>
  <c r="E5" i="5" s="1"/>
  <c r="AG3" i="5" s="1"/>
  <c r="AF4" i="5"/>
  <c r="V4" i="5"/>
  <c r="U4" i="5"/>
  <c r="Q4" i="5"/>
  <c r="H4" i="5"/>
  <c r="AF3" i="5"/>
  <c r="V3" i="5"/>
  <c r="U3" i="5"/>
  <c r="E4" i="5" s="1"/>
  <c r="AG2" i="5" s="1"/>
  <c r="C3" i="5"/>
  <c r="E3" i="5" s="1"/>
  <c r="AG1" i="5" s="1"/>
  <c r="AF2" i="5"/>
  <c r="AF1" i="5"/>
  <c r="J14" i="5" s="1"/>
  <c r="K14" i="5" s="1"/>
  <c r="AF30" i="1"/>
  <c r="AF29" i="1"/>
  <c r="AF28" i="1"/>
  <c r="AF27" i="1"/>
  <c r="AF25" i="1"/>
  <c r="AF24" i="1"/>
  <c r="AF23" i="1"/>
  <c r="AF22" i="1"/>
  <c r="J22" i="1"/>
  <c r="AG22" i="1" s="1"/>
  <c r="O21" i="1"/>
  <c r="AG26" i="1" s="1"/>
  <c r="M21" i="1"/>
  <c r="AF26" i="1" s="1"/>
  <c r="J21" i="1"/>
  <c r="AG21" i="1" s="1"/>
  <c r="H21" i="1"/>
  <c r="AF21" i="1" s="1"/>
  <c r="E21" i="1"/>
  <c r="AG16" i="1" s="1"/>
  <c r="C21" i="1"/>
  <c r="AF20" i="1"/>
  <c r="AF19" i="1"/>
  <c r="AF18" i="1"/>
  <c r="AF17" i="1"/>
  <c r="AF16" i="1"/>
  <c r="AF15" i="1"/>
  <c r="E15" i="1"/>
  <c r="C15" i="1"/>
  <c r="AF14" i="1"/>
  <c r="V14" i="1"/>
  <c r="U14" i="1" s="1"/>
  <c r="H14" i="1"/>
  <c r="AF13" i="1"/>
  <c r="V13" i="1"/>
  <c r="U13" i="1" s="1"/>
  <c r="H13" i="1"/>
  <c r="AF12" i="1"/>
  <c r="V12" i="1"/>
  <c r="U12" i="1" s="1"/>
  <c r="H12" i="1"/>
  <c r="AG11" i="1"/>
  <c r="AF11" i="1"/>
  <c r="V11" i="1"/>
  <c r="U11" i="1" s="1"/>
  <c r="H11" i="1"/>
  <c r="AF10" i="1"/>
  <c r="V10" i="1"/>
  <c r="U10" i="1" s="1"/>
  <c r="H10" i="1"/>
  <c r="AF9" i="1"/>
  <c r="V9" i="1"/>
  <c r="U9" i="1" s="1"/>
  <c r="H9" i="1"/>
  <c r="E9" i="1"/>
  <c r="C9" i="1"/>
  <c r="AF8" i="1"/>
  <c r="V8" i="1"/>
  <c r="U8" i="1" s="1"/>
  <c r="AF7" i="1"/>
  <c r="V7" i="1"/>
  <c r="U7" i="1" s="1"/>
  <c r="Q7" i="1"/>
  <c r="H7" i="1" s="1"/>
  <c r="C7" i="1"/>
  <c r="AF5" i="1" s="1"/>
  <c r="AG6" i="1"/>
  <c r="AF6" i="1"/>
  <c r="V6" i="1"/>
  <c r="U6" i="1"/>
  <c r="Q6" i="1"/>
  <c r="H6" i="1"/>
  <c r="C6" i="1"/>
  <c r="V5" i="1"/>
  <c r="U5" i="1"/>
  <c r="H5" i="1"/>
  <c r="C5" i="1"/>
  <c r="AF4" i="1"/>
  <c r="V4" i="1"/>
  <c r="U4" i="1" s="1"/>
  <c r="Q4" i="1"/>
  <c r="H4" i="1"/>
  <c r="AF3" i="1"/>
  <c r="V3" i="1"/>
  <c r="U3" i="1"/>
  <c r="E10" i="1" s="1"/>
  <c r="AG7" i="1" s="1"/>
  <c r="E3" i="1"/>
  <c r="AG1" i="1" s="1"/>
  <c r="C3" i="1"/>
  <c r="AF2" i="1"/>
  <c r="AF1" i="1"/>
  <c r="J14" i="1" s="1"/>
  <c r="K14" i="1" s="1"/>
  <c r="H21" i="2"/>
  <c r="J21" i="2" s="1"/>
  <c r="C21" i="2"/>
  <c r="E21" i="2" s="1"/>
  <c r="H15" i="2"/>
  <c r="J15" i="2" s="1"/>
  <c r="J10" i="2" s="1"/>
  <c r="K10" i="2" s="1"/>
  <c r="E15" i="2"/>
  <c r="O14" i="2"/>
  <c r="N14" i="2"/>
  <c r="J25" i="2" s="1"/>
  <c r="O13" i="2"/>
  <c r="N13" i="2"/>
  <c r="J24" i="2" s="1"/>
  <c r="O12" i="2"/>
  <c r="N12" i="2" s="1"/>
  <c r="E12" i="2"/>
  <c r="O11" i="2"/>
  <c r="N11" i="2"/>
  <c r="K11" i="2"/>
  <c r="O10" i="2"/>
  <c r="N10" i="2"/>
  <c r="J23" i="2" s="1"/>
  <c r="O9" i="2"/>
  <c r="N9" i="2" s="1"/>
  <c r="E9" i="2"/>
  <c r="I4" i="2" s="1"/>
  <c r="C9" i="2"/>
  <c r="O8" i="2"/>
  <c r="N8" i="2" s="1"/>
  <c r="O7" i="2"/>
  <c r="N7" i="2" s="1"/>
  <c r="E7" i="2"/>
  <c r="C7" i="2"/>
  <c r="O6" i="2"/>
  <c r="N6" i="2" s="1"/>
  <c r="H6" i="2"/>
  <c r="C6" i="2"/>
  <c r="E6" i="2" s="1"/>
  <c r="O5" i="2"/>
  <c r="N5" i="2"/>
  <c r="H5" i="2"/>
  <c r="K5" i="2" s="1"/>
  <c r="C5" i="2"/>
  <c r="O4" i="2"/>
  <c r="N4" i="2"/>
  <c r="H4" i="2"/>
  <c r="O3" i="2"/>
  <c r="N3" i="2" s="1"/>
  <c r="H3" i="2"/>
  <c r="C3" i="2"/>
  <c r="E3" i="2" s="1"/>
  <c r="I3" i="2" s="1"/>
  <c r="K3" i="2" s="1"/>
  <c r="J25" i="5" l="1"/>
  <c r="AG25" i="5" s="1"/>
  <c r="E25" i="5"/>
  <c r="AG20" i="5" s="1"/>
  <c r="E13" i="5"/>
  <c r="AG10" i="5" s="1"/>
  <c r="O25" i="5"/>
  <c r="AG30" i="5" s="1"/>
  <c r="J10" i="5" s="1"/>
  <c r="K10" i="5" s="1"/>
  <c r="O24" i="5"/>
  <c r="AG29" i="5" s="1"/>
  <c r="E18" i="5"/>
  <c r="AG14" i="5" s="1"/>
  <c r="J9" i="5" s="1"/>
  <c r="K9" i="5" s="1"/>
  <c r="J24" i="5"/>
  <c r="AG24" i="5" s="1"/>
  <c r="E24" i="5"/>
  <c r="AG19" i="5" s="1"/>
  <c r="E12" i="5"/>
  <c r="AG9" i="5" s="1"/>
  <c r="J5" i="5"/>
  <c r="K5" i="5" s="1"/>
  <c r="E7" i="5"/>
  <c r="AG5" i="5" s="1"/>
  <c r="E23" i="5"/>
  <c r="AG18" i="5" s="1"/>
  <c r="E11" i="5"/>
  <c r="AG8" i="5" s="1"/>
  <c r="J23" i="5"/>
  <c r="AG23" i="5" s="1"/>
  <c r="E17" i="5"/>
  <c r="AG13" i="5" s="1"/>
  <c r="J4" i="5"/>
  <c r="I6" i="5"/>
  <c r="J13" i="5"/>
  <c r="K13" i="5" s="1"/>
  <c r="J6" i="5"/>
  <c r="K6" i="5" s="1"/>
  <c r="J12" i="5"/>
  <c r="E16" i="5"/>
  <c r="AG12" i="5" s="1"/>
  <c r="O22" i="5"/>
  <c r="AG27" i="5" s="1"/>
  <c r="I4" i="5"/>
  <c r="I7" i="5"/>
  <c r="K7" i="5" s="1"/>
  <c r="I5" i="5"/>
  <c r="E19" i="5"/>
  <c r="AG15" i="5" s="1"/>
  <c r="J11" i="5" s="1"/>
  <c r="K11" i="5" s="1"/>
  <c r="O23" i="5"/>
  <c r="AG28" i="5" s="1"/>
  <c r="O24" i="1"/>
  <c r="AG29" i="1" s="1"/>
  <c r="E18" i="1"/>
  <c r="AG14" i="1" s="1"/>
  <c r="E12" i="1"/>
  <c r="AG9" i="1" s="1"/>
  <c r="J9" i="1" s="1"/>
  <c r="K9" i="1" s="1"/>
  <c r="J24" i="1"/>
  <c r="AG24" i="1" s="1"/>
  <c r="E24" i="1"/>
  <c r="AG19" i="1" s="1"/>
  <c r="J13" i="1"/>
  <c r="K13" i="1" s="1"/>
  <c r="J4" i="1"/>
  <c r="K4" i="1" s="1"/>
  <c r="I6" i="1"/>
  <c r="E11" i="1"/>
  <c r="AG8" i="1" s="1"/>
  <c r="E5" i="1"/>
  <c r="AG3" i="1" s="1"/>
  <c r="E23" i="1"/>
  <c r="AG18" i="1" s="1"/>
  <c r="J5" i="1" s="1"/>
  <c r="K5" i="1" s="1"/>
  <c r="J23" i="1"/>
  <c r="AG23" i="1" s="1"/>
  <c r="E17" i="1"/>
  <c r="AG13" i="1" s="1"/>
  <c r="E22" i="1"/>
  <c r="AG17" i="1" s="1"/>
  <c r="J11" i="1" s="1"/>
  <c r="K11" i="1" s="1"/>
  <c r="O23" i="1"/>
  <c r="AG28" i="1" s="1"/>
  <c r="E19" i="1"/>
  <c r="AG15" i="1" s="1"/>
  <c r="E6" i="1"/>
  <c r="AG4" i="1" s="1"/>
  <c r="J25" i="1"/>
  <c r="AG25" i="1" s="1"/>
  <c r="E25" i="1"/>
  <c r="AG20" i="1" s="1"/>
  <c r="E13" i="1"/>
  <c r="AG10" i="1" s="1"/>
  <c r="O25" i="1"/>
  <c r="AG30" i="1" s="1"/>
  <c r="E4" i="1"/>
  <c r="AG2" i="1" s="1"/>
  <c r="J6" i="1"/>
  <c r="K6" i="1" s="1"/>
  <c r="E7" i="1"/>
  <c r="AG5" i="1" s="1"/>
  <c r="J10" i="1"/>
  <c r="K10" i="1" s="1"/>
  <c r="J12" i="1"/>
  <c r="E16" i="1"/>
  <c r="AG12" i="1" s="1"/>
  <c r="O22" i="1"/>
  <c r="AG27" i="1" s="1"/>
  <c r="I5" i="1"/>
  <c r="I4" i="1"/>
  <c r="I7" i="1"/>
  <c r="K7" i="1" s="1"/>
  <c r="J17" i="2"/>
  <c r="E17" i="2"/>
  <c r="E23" i="2"/>
  <c r="E11" i="2"/>
  <c r="E10" i="2"/>
  <c r="E4" i="2"/>
  <c r="J22" i="2"/>
  <c r="J16" i="2"/>
  <c r="E16" i="2"/>
  <c r="E5" i="2"/>
  <c r="E18" i="2"/>
  <c r="E22" i="2"/>
  <c r="E24" i="2"/>
  <c r="J18" i="2"/>
  <c r="E25" i="2"/>
  <c r="E19" i="2"/>
  <c r="J9" i="2" s="1"/>
  <c r="K9" i="2" s="1"/>
  <c r="E13" i="2"/>
  <c r="J19" i="2"/>
  <c r="K4" i="5" l="1"/>
  <c r="J8" i="2"/>
  <c r="K8" i="2" s="1"/>
  <c r="J7" i="2"/>
  <c r="K7" i="2" s="1"/>
  <c r="J4" i="2"/>
  <c r="K4" i="2" s="1"/>
  <c r="I6" i="2"/>
  <c r="K6" i="2" s="1"/>
</calcChain>
</file>

<file path=xl/sharedStrings.xml><?xml version="1.0" encoding="utf-8"?>
<sst xmlns="http://schemas.openxmlformats.org/spreadsheetml/2006/main" count="411" uniqueCount="76">
  <si>
    <t>Head</t>
  </si>
  <si>
    <t>Hands</t>
  </si>
  <si>
    <t>Body</t>
  </si>
  <si>
    <t>Boots</t>
  </si>
  <si>
    <t>main</t>
  </si>
  <si>
    <t>Sub1</t>
  </si>
  <si>
    <t>Sub2</t>
  </si>
  <si>
    <t>Sub3</t>
  </si>
  <si>
    <t>Sub4</t>
  </si>
  <si>
    <t>HP</t>
  </si>
  <si>
    <t>ATK</t>
  </si>
  <si>
    <t>DEF</t>
  </si>
  <si>
    <t>HP%</t>
  </si>
  <si>
    <t>ATK%</t>
  </si>
  <si>
    <t>DEF%</t>
  </si>
  <si>
    <t>SPD</t>
  </si>
  <si>
    <t>Stat</t>
  </si>
  <si>
    <t>Low</t>
  </si>
  <si>
    <t>Med</t>
  </si>
  <si>
    <t>High</t>
  </si>
  <si>
    <t>Link</t>
  </si>
  <si>
    <t>Planar</t>
  </si>
  <si>
    <t>CRIT DMG</t>
  </si>
  <si>
    <t>CRIT RATE</t>
  </si>
  <si>
    <t>BREAK EFF</t>
  </si>
  <si>
    <t>ER</t>
  </si>
  <si>
    <t>EHR</t>
  </si>
  <si>
    <t>Base</t>
  </si>
  <si>
    <t>flat</t>
  </si>
  <si>
    <t>Percent</t>
  </si>
  <si>
    <t>Total</t>
  </si>
  <si>
    <t>Per Lv.</t>
  </si>
  <si>
    <t>Max</t>
  </si>
  <si>
    <t>Break Effect</t>
  </si>
  <si>
    <t>Effect Hit Rate</t>
  </si>
  <si>
    <t>CRIT Rate</t>
  </si>
  <si>
    <t>Type DMG Boost</t>
  </si>
  <si>
    <t>spd</t>
  </si>
  <si>
    <t>crit rate</t>
  </si>
  <si>
    <t>output</t>
  </si>
  <si>
    <t>setting</t>
  </si>
  <si>
    <t>HP FLAT</t>
  </si>
  <si>
    <t>ATK FLAT</t>
  </si>
  <si>
    <t>DEF FLAT</t>
  </si>
  <si>
    <t>CD</t>
  </si>
  <si>
    <t>CR</t>
  </si>
  <si>
    <t>Eff RES</t>
  </si>
  <si>
    <t>atk</t>
  </si>
  <si>
    <t>cr</t>
  </si>
  <si>
    <t>cd</t>
  </si>
  <si>
    <t>Healing Boost</t>
  </si>
  <si>
    <t>break</t>
  </si>
  <si>
    <t>Break</t>
  </si>
  <si>
    <t>BREAK</t>
  </si>
  <si>
    <t>Energy Regeneration Rate</t>
  </si>
  <si>
    <t>Outgoing Healing Boost</t>
  </si>
  <si>
    <t>Light cone</t>
  </si>
  <si>
    <t>Character</t>
  </si>
  <si>
    <t>OHB</t>
  </si>
  <si>
    <t>Character stats</t>
  </si>
  <si>
    <t>HP_</t>
  </si>
  <si>
    <t>ATK_</t>
  </si>
  <si>
    <t>BE</t>
  </si>
  <si>
    <t>DB</t>
  </si>
  <si>
    <t>Legend</t>
  </si>
  <si>
    <t>Effect Resistance</t>
  </si>
  <si>
    <t>ERR</t>
  </si>
  <si>
    <t>ERES</t>
  </si>
  <si>
    <t>Defence</t>
  </si>
  <si>
    <t>Attack</t>
  </si>
  <si>
    <t>Hit Points</t>
  </si>
  <si>
    <t>Speed</t>
  </si>
  <si>
    <t>be</t>
  </si>
  <si>
    <t>Be</t>
  </si>
  <si>
    <t>Flat</t>
  </si>
  <si>
    <t>DEF_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</si>
</sst>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3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0" fillId="0" borderId="5" xfId="0" applyNumberFormat="1" applyBorder="1"/>
    <xf numFmtId="9" fontId="0" fillId="0" borderId="5" xfId="0" applyNumberFormat="1" applyBorder="1"/>
    <xf numFmtId="10" fontId="0" fillId="0" borderId="8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/>
    <xf numFmtId="10" fontId="0" fillId="0" borderId="15" xfId="0" applyNumberFormat="1" applyBorder="1"/>
    <xf numFmtId="10" fontId="0" fillId="0" borderId="16" xfId="0" applyNumberFormat="1" applyBorder="1"/>
    <xf numFmtId="10" fontId="0" fillId="0" borderId="0" xfId="0" applyNumberFormat="1" applyBorder="1"/>
    <xf numFmtId="2" fontId="0" fillId="0" borderId="16" xfId="0" applyNumberFormat="1" applyBorder="1"/>
    <xf numFmtId="0" fontId="0" fillId="0" borderId="1" xfId="0" applyFill="1" applyBorder="1"/>
    <xf numFmtId="0" fontId="2" fillId="2" borderId="10" xfId="1" applyBorder="1"/>
    <xf numFmtId="0" fontId="2" fillId="2" borderId="1" xfId="1" applyBorder="1"/>
    <xf numFmtId="0" fontId="2" fillId="2" borderId="4" xfId="1" applyBorder="1"/>
    <xf numFmtId="0" fontId="2" fillId="2" borderId="5" xfId="1" applyBorder="1"/>
    <xf numFmtId="10" fontId="0" fillId="0" borderId="10" xfId="0" applyNumberFormat="1" applyBorder="1"/>
    <xf numFmtId="10" fontId="0" fillId="0" borderId="11" xfId="0" applyNumberFormat="1" applyBorder="1"/>
    <xf numFmtId="9" fontId="0" fillId="0" borderId="22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3" borderId="1" xfId="1" applyFill="1" applyBorder="1"/>
    <xf numFmtId="0" fontId="0" fillId="4" borderId="5" xfId="0" applyFill="1" applyBorder="1"/>
    <xf numFmtId="0" fontId="0" fillId="4" borderId="8" xfId="0" applyFill="1" applyBorder="1"/>
    <xf numFmtId="164" fontId="0" fillId="4" borderId="5" xfId="0" applyNumberFormat="1" applyFill="1" applyBorder="1"/>
    <xf numFmtId="164" fontId="0" fillId="4" borderId="8" xfId="0" applyNumberFormat="1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7" xfId="0" applyFill="1" applyBorder="1"/>
    <xf numFmtId="0" fontId="0" fillId="4" borderId="11" xfId="0" applyFill="1" applyBorder="1"/>
    <xf numFmtId="0" fontId="0" fillId="0" borderId="35" xfId="0" applyBorder="1"/>
    <xf numFmtId="0" fontId="0" fillId="0" borderId="36" xfId="0" applyBorder="1"/>
    <xf numFmtId="0" fontId="2" fillId="3" borderId="27" xfId="1" applyFill="1" applyBorder="1"/>
    <xf numFmtId="0" fontId="2" fillId="3" borderId="5" xfId="1" applyFill="1" applyBorder="1"/>
    <xf numFmtId="10" fontId="0" fillId="0" borderId="7" xfId="0" applyNumberFormat="1" applyBorder="1"/>
    <xf numFmtId="0" fontId="2" fillId="4" borderId="10" xfId="1" applyFill="1" applyBorder="1"/>
    <xf numFmtId="0" fontId="2" fillId="3" borderId="4" xfId="1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3" fillId="5" borderId="0" xfId="0" applyFont="1" applyFill="1"/>
    <xf numFmtId="0" fontId="0" fillId="0" borderId="37" xfId="0" applyBorder="1"/>
    <xf numFmtId="0" fontId="0" fillId="3" borderId="36" xfId="0" applyFill="1" applyBorder="1"/>
    <xf numFmtId="0" fontId="0" fillId="3" borderId="3" xfId="0" applyFill="1" applyBorder="1"/>
    <xf numFmtId="0" fontId="0" fillId="3" borderId="9" xfId="0" applyFill="1" applyBorder="1"/>
    <xf numFmtId="0" fontId="0" fillId="3" borderId="24" xfId="0" applyFill="1" applyBorder="1"/>
    <xf numFmtId="164" fontId="0" fillId="0" borderId="4" xfId="0" applyNumberFormat="1" applyBorder="1"/>
    <xf numFmtId="164" fontId="0" fillId="3" borderId="24" xfId="0" applyNumberFormat="1" applyFill="1" applyBorder="1"/>
    <xf numFmtId="164" fontId="0" fillId="0" borderId="16" xfId="0" applyNumberFormat="1" applyBorder="1"/>
    <xf numFmtId="164" fontId="0" fillId="0" borderId="6" xfId="0" applyNumberFormat="1" applyBorder="1"/>
    <xf numFmtId="164" fontId="0" fillId="3" borderId="38" xfId="0" applyNumberFormat="1" applyFill="1" applyBorder="1"/>
    <xf numFmtId="164" fontId="0" fillId="0" borderId="26" xfId="0" applyNumberFormat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2">
    <cellStyle name="20% - Accent2" xfId="1" builtinId="3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0"/>
  <sheetViews>
    <sheetView zoomScaleNormal="100" workbookViewId="0">
      <selection activeCell="AF1" sqref="AF1"/>
    </sheetView>
  </sheetViews>
  <sheetFormatPr defaultRowHeight="14.4" x14ac:dyDescent="0.3"/>
  <cols>
    <col min="3" max="3" width="8.88671875" customWidth="1"/>
    <col min="6" max="6" width="8.88671875" customWidth="1"/>
    <col min="7" max="7" width="9.77734375" customWidth="1"/>
    <col min="11" max="11" width="10" bestFit="1" customWidth="1"/>
    <col min="12" max="13" width="8.88671875" customWidth="1"/>
    <col min="16" max="16" width="10.21875" customWidth="1"/>
    <col min="17" max="18" width="8.88671875" customWidth="1"/>
    <col min="20" max="20" width="8.88671875" customWidth="1"/>
    <col min="29" max="29" width="8.88671875" customWidth="1"/>
  </cols>
  <sheetData>
    <row r="1" spans="2:33" ht="15" thickBot="1" x14ac:dyDescent="0.35">
      <c r="AF1" s="76" t="str">
        <f>C3</f>
        <v>HP_</v>
      </c>
      <c r="AG1" s="76">
        <f>E3</f>
        <v>705.6</v>
      </c>
    </row>
    <row r="2" spans="2:33" ht="15" thickBot="1" x14ac:dyDescent="0.35">
      <c r="B2" s="95" t="s">
        <v>0</v>
      </c>
      <c r="C2" s="96"/>
      <c r="D2" s="96"/>
      <c r="E2" s="97"/>
      <c r="G2" s="100" t="s">
        <v>59</v>
      </c>
      <c r="H2" s="101"/>
      <c r="I2" s="101"/>
      <c r="J2" s="101"/>
      <c r="K2" s="102"/>
      <c r="M2" s="88" t="s">
        <v>56</v>
      </c>
      <c r="N2" s="89"/>
      <c r="P2" s="88" t="s">
        <v>57</v>
      </c>
      <c r="Q2" s="89"/>
      <c r="T2" s="59" t="s">
        <v>16</v>
      </c>
      <c r="U2" s="60" t="s">
        <v>39</v>
      </c>
      <c r="V2" s="77" t="s">
        <v>40</v>
      </c>
      <c r="W2" s="48" t="s">
        <v>17</v>
      </c>
      <c r="X2" s="60" t="s">
        <v>18</v>
      </c>
      <c r="Y2" s="31" t="s">
        <v>19</v>
      </c>
      <c r="AF2" s="76" t="str">
        <f>C4</f>
        <v>SPD</v>
      </c>
      <c r="AG2" s="76">
        <f>E4</f>
        <v>4.5999999999999996</v>
      </c>
    </row>
    <row r="3" spans="2:33" ht="15" thickBot="1" x14ac:dyDescent="0.35">
      <c r="B3" s="12" t="s">
        <v>4</v>
      </c>
      <c r="C3" s="55" t="str">
        <f>T18</f>
        <v>HP_</v>
      </c>
      <c r="D3" s="14"/>
      <c r="E3" s="31">
        <f>IF(C3=$T$17,$U$17,IF(C3=$T$18,$U$18,IF(C3=$T$19,$U$19,IF(C3=$T$20,$U$20,IF(C3=$T$21,$U$21,IF(C3=$T$22,$U$22,IF(C3=$T$23,$U$23,IF(C3=$T$24,$U$24,IF(C3=$T$25,$U$25,IF(C3=$T$26,$U$26,IF(C3=$T$27,$U$27,IF(C3=$T$28,$U$28,IF(C3=$T$29,$U$29)))))))))))))</f>
        <v>705.6</v>
      </c>
      <c r="G3" s="19" t="s">
        <v>16</v>
      </c>
      <c r="H3" s="20" t="s">
        <v>27</v>
      </c>
      <c r="I3" s="17" t="s">
        <v>74</v>
      </c>
      <c r="J3" s="18" t="s">
        <v>29</v>
      </c>
      <c r="K3" s="19" t="s">
        <v>30</v>
      </c>
      <c r="M3" s="48" t="s">
        <v>16</v>
      </c>
      <c r="N3" s="31" t="s">
        <v>27</v>
      </c>
      <c r="P3" s="48" t="s">
        <v>16</v>
      </c>
      <c r="Q3" s="31" t="s">
        <v>27</v>
      </c>
      <c r="T3" s="46" t="s">
        <v>15</v>
      </c>
      <c r="U3" s="70">
        <f t="shared" ref="U3:U14" si="0">IF(V3=$W$2,W3,IF(V3=$X$2,X3,IF(V3=$Y$2,Y3)))</f>
        <v>2.2999999999999998</v>
      </c>
      <c r="V3" s="56" t="str">
        <f t="shared" ref="V3:V14" si="1">$X$2</f>
        <v>Med</v>
      </c>
      <c r="W3" s="4">
        <v>2</v>
      </c>
      <c r="X3" s="70">
        <v>2.2999999999999998</v>
      </c>
      <c r="Y3" s="71">
        <v>2.6</v>
      </c>
      <c r="AF3" s="76" t="str">
        <f>C5</f>
        <v>ATK</v>
      </c>
      <c r="AG3" s="76">
        <f>E5</f>
        <v>3.8879999999999998E-2</v>
      </c>
    </row>
    <row r="4" spans="2:33" x14ac:dyDescent="0.3">
      <c r="B4" s="4" t="s">
        <v>5</v>
      </c>
      <c r="C4" s="54" t="s">
        <v>15</v>
      </c>
      <c r="D4" s="56">
        <v>1</v>
      </c>
      <c r="E4" s="71">
        <f>IF(C4=$T$3,(D4+1)*$U$3,IF(C4=$T$7,(D4+1)*$U$7,IF(C4=$T$8,(D4+1)*$U$8,IF(C4=$T$9,(D4+1)*$U$9,IF(C4=$T$10,(D4+1)*$U$10,IF(C4=$T$11,(D4+1)*$U$11,IF(C4=$T$12,(D4+1)*$U$12,IF(C4=$T$13,(D4+1)*$U$13,IF(C4=$T$14,(D4+1)*$U$14,IF(C4=$T$4,(D4+1)*$U$4,IF(C4=$T$5,(D4+1)*$U$5,IF(C4=$T$6,(D4+1)*$U$6))))))))))))</f>
        <v>4.5999999999999996</v>
      </c>
      <c r="G4" s="15" t="s">
        <v>9</v>
      </c>
      <c r="H4" s="48">
        <f>Q4+N4</f>
        <v>2300</v>
      </c>
      <c r="I4" s="78">
        <f>SUMIF($AF$1:$AF$30,T4,$AG$1:$AG$30)</f>
        <v>705.6</v>
      </c>
      <c r="J4" s="79">
        <f>SUMIF($AF$1:$AF$30,T7,$AG$1:$AG$30)</f>
        <v>0</v>
      </c>
      <c r="K4" s="37">
        <f>(H4*(1+J4))+I4</f>
        <v>3005.6</v>
      </c>
      <c r="M4" s="4" t="s">
        <v>9</v>
      </c>
      <c r="N4" s="50">
        <v>1058</v>
      </c>
      <c r="P4" s="4" t="s">
        <v>9</v>
      </c>
      <c r="Q4" s="50">
        <f>1242</f>
        <v>1242</v>
      </c>
      <c r="T4" s="61" t="s">
        <v>60</v>
      </c>
      <c r="U4" s="49">
        <f t="shared" si="0"/>
        <v>38.103755</v>
      </c>
      <c r="V4" s="64" t="str">
        <f t="shared" si="1"/>
        <v>Med</v>
      </c>
      <c r="W4" s="65">
        <v>33.869999999999997</v>
      </c>
      <c r="X4" s="49">
        <v>38.103755</v>
      </c>
      <c r="Y4" s="62">
        <v>42.337510000000002</v>
      </c>
      <c r="AF4" s="76" t="str">
        <f>C6</f>
        <v>CR</v>
      </c>
      <c r="AG4" s="76">
        <f>E6</f>
        <v>0.11663999999999999</v>
      </c>
    </row>
    <row r="5" spans="2:33" x14ac:dyDescent="0.3">
      <c r="B5" s="4" t="s">
        <v>6</v>
      </c>
      <c r="C5" s="54" t="str">
        <f>T8</f>
        <v>ATK</v>
      </c>
      <c r="D5" s="56"/>
      <c r="E5" s="71">
        <f>IF(C5=$T$3,(D5+1)*$U$3,IF(C5=$T$7,(D5+1)*$U$7,IF(C5=$T$8,(D5+1)*$U$8,IF(C5=$T$9,(D5+1)*$U$9,IF(C5=$T$10,(D5+1)*$U$10,IF(C5=$T$11,(D5+1)*$U$11,IF(C5=$T$12,(D5+1)*$U$12,IF(C5=$T$13,(D5+1)*$U$13,IF(C5=$T$14,(D5+1)*$U$14,IF(C5=$T$4,(D5+1)*$U$4,IF(C5=$T$5,(D5+1)*$U$5,IF(C5=$T$6,(D5+1)*$U$6))))))))))))</f>
        <v>3.8879999999999998E-2</v>
      </c>
      <c r="G5" s="10" t="s">
        <v>10</v>
      </c>
      <c r="H5" s="12">
        <f>Q5</f>
        <v>699</v>
      </c>
      <c r="I5" s="80">
        <f>SUMIF($AF$1:$AF$30,T5,$AG$1:$AG$30)</f>
        <v>352.8</v>
      </c>
      <c r="J5" s="81">
        <f>SUMIF($AF$1:$AF$30,T8,$AG$1:$AG$30)</f>
        <v>0.62639999999999996</v>
      </c>
      <c r="K5" s="37">
        <f t="shared" ref="K5:K7" si="2">(H5*(1+J5))+I5</f>
        <v>1489.6535999999999</v>
      </c>
      <c r="M5" s="4" t="s">
        <v>10</v>
      </c>
      <c r="N5" s="50">
        <v>635</v>
      </c>
      <c r="P5" s="4" t="s">
        <v>10</v>
      </c>
      <c r="Q5" s="50">
        <v>699</v>
      </c>
      <c r="T5" s="61" t="s">
        <v>61</v>
      </c>
      <c r="U5" s="49">
        <f t="shared" si="0"/>
        <v>19.051877000000001</v>
      </c>
      <c r="V5" s="64" t="str">
        <f t="shared" si="1"/>
        <v>Med</v>
      </c>
      <c r="W5" s="65">
        <v>16.934999999999999</v>
      </c>
      <c r="X5" s="49">
        <v>19.051877000000001</v>
      </c>
      <c r="Y5" s="62">
        <v>21.168754</v>
      </c>
      <c r="AF5" s="76" t="str">
        <f>C7</f>
        <v>CD</v>
      </c>
      <c r="AG5" s="76">
        <f>E7</f>
        <v>0.11663999999999999</v>
      </c>
    </row>
    <row r="6" spans="2:33" ht="15" thickBot="1" x14ac:dyDescent="0.35">
      <c r="B6" s="4" t="s">
        <v>7</v>
      </c>
      <c r="C6" s="54" t="str">
        <f>T13</f>
        <v>CR</v>
      </c>
      <c r="D6" s="56">
        <v>3</v>
      </c>
      <c r="E6" s="71">
        <f>IF(C6=$T$3,(D6+1)*$U$3,IF(C6=$T$7,(D6+1)*$U$7,IF(C6=$T$8,(D6+1)*$U$8,IF(C6=$T$9,(D6+1)*$U$9,IF(C6=$T$10,(D6+1)*$U$10,IF(C6=$T$11,(D6+1)*$U$11,IF(C6=$T$12,(D6+1)*$U$12,IF(C6=$T$13,(D6+1)*$U$13,IF(C6=$T$14,(D6+1)*$U$14,IF(C6=$T$4,(D6+1)*$U$4,IF(C6=$T$5,(D6+1)*$U$5,IF(C6=$T$6,(D6+1)*$U$6))))))))))))</f>
        <v>0.11663999999999999</v>
      </c>
      <c r="G6" s="10" t="s">
        <v>11</v>
      </c>
      <c r="H6" s="12">
        <f>Q6</f>
        <v>485</v>
      </c>
      <c r="I6" s="80">
        <f>SUMIF($AF$1:$AF$30,T6,$AG$1:$AG$30)</f>
        <v>0</v>
      </c>
      <c r="J6" s="81">
        <f>SUMIF($AF$1:$AF$30,T9,$AG$1:$AG$30)</f>
        <v>0</v>
      </c>
      <c r="K6" s="37">
        <f t="shared" si="2"/>
        <v>485</v>
      </c>
      <c r="M6" s="6" t="s">
        <v>11</v>
      </c>
      <c r="N6" s="51">
        <v>396</v>
      </c>
      <c r="P6" s="4" t="s">
        <v>11</v>
      </c>
      <c r="Q6" s="50">
        <f>485</f>
        <v>485</v>
      </c>
      <c r="T6" s="61" t="s">
        <v>75</v>
      </c>
      <c r="U6" s="49">
        <f t="shared" si="0"/>
        <v>19.051877000000001</v>
      </c>
      <c r="V6" s="64" t="str">
        <f t="shared" si="1"/>
        <v>Med</v>
      </c>
      <c r="W6" s="65">
        <v>16.934999999999999</v>
      </c>
      <c r="X6" s="49">
        <v>19.051877000000001</v>
      </c>
      <c r="Y6" s="62">
        <v>21.168754</v>
      </c>
      <c r="AF6" s="76" t="str">
        <f>C9</f>
        <v>ATK_</v>
      </c>
      <c r="AG6" s="76">
        <f>E9</f>
        <v>352.8</v>
      </c>
    </row>
    <row r="7" spans="2:33" ht="15" thickBot="1" x14ac:dyDescent="0.35">
      <c r="B7" s="6" t="s">
        <v>8</v>
      </c>
      <c r="C7" s="57" t="str">
        <f>T14</f>
        <v>CD</v>
      </c>
      <c r="D7" s="58">
        <v>1</v>
      </c>
      <c r="E7" s="71">
        <f>IF(C7=$T$3,(D7+1)*$U$3,IF(C7=$T$7,(D7+1)*$U$7,IF(C7=$T$8,(D7+1)*$U$8,IF(C7=$T$9,(D7+1)*$U$9,IF(C7=$T$10,(D7+1)*$U$10,IF(C7=$T$11,(D7+1)*$U$11,IF(C7=$T$12,(D7+1)*$U$12,IF(C7=$T$13,(D7+1)*$U$13,IF(C7=$T$14,(D7+1)*$U$14,IF(C7=$T$4,(D7+1)*$U$4,IF(C7=$T$5,(D7+1)*$U$5,IF(C7=$T$6,(D7+1)*$U$6))))))))))))</f>
        <v>0.11663999999999999</v>
      </c>
      <c r="G7" s="10" t="s">
        <v>15</v>
      </c>
      <c r="H7" s="12">
        <f>Q7</f>
        <v>114</v>
      </c>
      <c r="I7" s="80">
        <f>SUMIF($AF$1:$AF$30,T3,$AG$1:$AG$30)</f>
        <v>48.032000000000004</v>
      </c>
      <c r="J7" s="81"/>
      <c r="K7" s="37">
        <f t="shared" si="2"/>
        <v>162.03200000000001</v>
      </c>
      <c r="P7" s="4" t="s">
        <v>15</v>
      </c>
      <c r="Q7" s="50">
        <f>12+102</f>
        <v>114</v>
      </c>
      <c r="T7" s="46" t="s">
        <v>9</v>
      </c>
      <c r="U7" s="70">
        <f t="shared" si="0"/>
        <v>3.8879999999999998E-2</v>
      </c>
      <c r="V7" s="56" t="str">
        <f t="shared" si="1"/>
        <v>Med</v>
      </c>
      <c r="W7" s="27">
        <v>3.456E-2</v>
      </c>
      <c r="X7" s="3">
        <v>3.8879999999999998E-2</v>
      </c>
      <c r="Y7" s="24">
        <v>4.3200000000000002E-2</v>
      </c>
      <c r="Z7" s="1"/>
      <c r="AF7" s="76" t="str">
        <f>C10</f>
        <v>SPD</v>
      </c>
      <c r="AG7" s="76">
        <f>E10</f>
        <v>4.5999999999999996</v>
      </c>
    </row>
    <row r="8" spans="2:33" ht="15" thickBot="1" x14ac:dyDescent="0.35">
      <c r="B8" s="95" t="s">
        <v>1</v>
      </c>
      <c r="C8" s="96"/>
      <c r="D8" s="96"/>
      <c r="E8" s="97"/>
      <c r="G8" s="10"/>
      <c r="H8" s="4"/>
      <c r="I8" s="66"/>
      <c r="J8" s="68"/>
      <c r="K8" s="37"/>
      <c r="P8" s="67"/>
      <c r="Q8" s="68"/>
      <c r="T8" s="46" t="s">
        <v>10</v>
      </c>
      <c r="U8" s="70">
        <f t="shared" si="0"/>
        <v>3.8879999999999998E-2</v>
      </c>
      <c r="V8" s="56" t="str">
        <f t="shared" si="1"/>
        <v>Med</v>
      </c>
      <c r="W8" s="27">
        <v>3.456E-2</v>
      </c>
      <c r="X8" s="3">
        <v>3.8879999999999998E-2</v>
      </c>
      <c r="Y8" s="24">
        <v>4.3200000000000002E-2</v>
      </c>
      <c r="Z8" s="1"/>
      <c r="AF8" s="76" t="str">
        <f>C11</f>
        <v>atk</v>
      </c>
      <c r="AG8" s="76">
        <f>E11</f>
        <v>3.8879999999999998E-2</v>
      </c>
    </row>
    <row r="9" spans="2:33" x14ac:dyDescent="0.3">
      <c r="B9" s="12" t="s">
        <v>4</v>
      </c>
      <c r="C9" s="55" t="str">
        <f>T19</f>
        <v>ATK_</v>
      </c>
      <c r="D9" s="14"/>
      <c r="E9" s="31">
        <f>IF(C9=$T$17,$U$17,IF(C9=$T$18,$U$18,IF(C9=$T$19,$U$19,IF(C9=$T$20,$U$20,IF(C9=$T$21,$U$21,IF(C9=$T$22,$U$22,IF(C9=$T$23,$U$23,IF(C9=$T$24,$U$24,IF(C9=$T$25,$U$25,IF(C9=$T$26,$U$26,IF(C9=$T$27,$U$27,IF(C9=$T$28,$U$28,IF(C9=$T$29,$U$29)))))))))))))</f>
        <v>352.8</v>
      </c>
      <c r="G9" s="10" t="s">
        <v>23</v>
      </c>
      <c r="H9" s="82">
        <f>IF(Q9&lt;0.05,5%,Q9)</f>
        <v>0.05</v>
      </c>
      <c r="I9" s="66"/>
      <c r="J9" s="83">
        <f>SUMIF($AF$1:$AF$30,T13,$AG$1:$AG$30)</f>
        <v>0.69983999999999991</v>
      </c>
      <c r="K9" s="84">
        <f>J9+H9</f>
        <v>0.74983999999999995</v>
      </c>
      <c r="P9" s="4" t="s">
        <v>23</v>
      </c>
      <c r="Q9" s="52">
        <v>0.05</v>
      </c>
      <c r="T9" s="46" t="s">
        <v>11</v>
      </c>
      <c r="U9" s="70">
        <f t="shared" si="0"/>
        <v>4.8599999999999997E-2</v>
      </c>
      <c r="V9" s="56" t="str">
        <f t="shared" si="1"/>
        <v>Med</v>
      </c>
      <c r="W9" s="27">
        <v>4.3200000000000002E-2</v>
      </c>
      <c r="X9" s="3">
        <v>4.8599999999999997E-2</v>
      </c>
      <c r="Y9" s="24">
        <v>5.3999999999999999E-2</v>
      </c>
      <c r="Z9" s="1"/>
      <c r="AF9" s="76" t="str">
        <f>C12</f>
        <v>cr</v>
      </c>
      <c r="AG9" s="76">
        <f>E12</f>
        <v>0.11663999999999999</v>
      </c>
    </row>
    <row r="10" spans="2:33" x14ac:dyDescent="0.3">
      <c r="B10" s="4" t="s">
        <v>5</v>
      </c>
      <c r="C10" s="54" t="s">
        <v>15</v>
      </c>
      <c r="D10" s="56">
        <v>1</v>
      </c>
      <c r="E10" s="71">
        <f>IF(C10=$T$3,(D10+1)*$U$3,IF(C10=$T$7,(D10+1)*$U$7,IF(C10=$T$8,(D10+1)*$U$8,IF(C10=$T$9,(D10+1)*$U$9,IF(C10=$T$10,(D10+1)*$U$10,IF(C10=$T$11,(D10+1)*$U$11,IF(C10=$T$12,(D10+1)*$U$12,IF(C10=$T$13,(D10+1)*$U$13,IF(C10=$T$14,(D10+1)*$U$14,IF(C10=$T$4,(D10+1)*$U$4,IF(C10=$T$5,(D10+1)*$U$5,IF(C10=$T$6,(D10+1)*$U$6))))))))))))</f>
        <v>4.5999999999999996</v>
      </c>
      <c r="G10" s="10" t="s">
        <v>22</v>
      </c>
      <c r="H10" s="82">
        <f>IF(Q10&lt;0.5,5%,Q10)</f>
        <v>0.5</v>
      </c>
      <c r="I10" s="66"/>
      <c r="J10" s="83">
        <f>SUMIF($AF$1:$AF$30,T14,$AG$1:$AG$30)</f>
        <v>1.3478400000000001</v>
      </c>
      <c r="K10" s="84">
        <f>J10+H10</f>
        <v>1.8478400000000001</v>
      </c>
      <c r="P10" s="4" t="s">
        <v>22</v>
      </c>
      <c r="Q10" s="52">
        <v>0.5</v>
      </c>
      <c r="T10" s="46" t="s">
        <v>62</v>
      </c>
      <c r="U10" s="70">
        <f t="shared" si="0"/>
        <v>5.8319999999999997E-2</v>
      </c>
      <c r="V10" s="56" t="str">
        <f t="shared" si="1"/>
        <v>Med</v>
      </c>
      <c r="W10" s="27">
        <v>5.1839999999999997E-2</v>
      </c>
      <c r="X10" s="3">
        <v>5.8319999999999997E-2</v>
      </c>
      <c r="Y10" s="24">
        <v>6.4799999999999996E-2</v>
      </c>
      <c r="Z10" s="1"/>
      <c r="AF10" s="76" t="str">
        <f>C13</f>
        <v>cd</v>
      </c>
      <c r="AG10" s="76">
        <f>E13</f>
        <v>0.11663999999999999</v>
      </c>
    </row>
    <row r="11" spans="2:33" x14ac:dyDescent="0.3">
      <c r="B11" s="4" t="s">
        <v>6</v>
      </c>
      <c r="C11" s="54" t="s">
        <v>47</v>
      </c>
      <c r="D11" s="56"/>
      <c r="E11" s="71">
        <f>IF(C11=$T$3,(D11+1)*$U$3,IF(C11=$T$7,(D11+1)*$U$7,IF(C11=$T$8,(D11+1)*$U$8,IF(C11=$T$9,(D11+1)*$U$9,IF(C11=$T$10,(D11+1)*$U$10,IF(C11=$T$11,(D11+1)*$U$11,IF(C11=$T$12,(D11+1)*$U$12,IF(C11=$T$13,(D11+1)*$U$13,IF(C11=$T$14,(D11+1)*$U$14,IF(C11=$T$4,(D11+1)*$U$4,IF(C11=$T$5,(D11+1)*$U$5,IF(C11=$T$6,(D11+1)*$U$6))))))))))))</f>
        <v>3.8879999999999998E-2</v>
      </c>
      <c r="G11" s="10" t="s">
        <v>24</v>
      </c>
      <c r="H11" s="82">
        <f>Q11</f>
        <v>0</v>
      </c>
      <c r="I11" s="66"/>
      <c r="J11" s="83">
        <f>SUMIF($AF$1:$AF$30,T10,$AG$1:$AG$30)</f>
        <v>0.17496</v>
      </c>
      <c r="K11" s="84">
        <f t="shared" ref="K11" si="3">J11+H11</f>
        <v>0.17496</v>
      </c>
      <c r="P11" s="4" t="s">
        <v>24</v>
      </c>
      <c r="Q11" s="52">
        <v>0</v>
      </c>
      <c r="T11" s="46" t="s">
        <v>26</v>
      </c>
      <c r="U11" s="70">
        <f t="shared" si="0"/>
        <v>3.8879999999999998E-2</v>
      </c>
      <c r="V11" s="56" t="str">
        <f t="shared" si="1"/>
        <v>Med</v>
      </c>
      <c r="W11" s="27">
        <v>3.456E-2</v>
      </c>
      <c r="X11" s="3">
        <v>3.8879999999999998E-2</v>
      </c>
      <c r="Y11" s="24">
        <v>4.3200000000000002E-2</v>
      </c>
      <c r="Z11" s="1"/>
      <c r="AF11" s="76" t="str">
        <f>C15</f>
        <v>CD</v>
      </c>
      <c r="AG11" s="76">
        <f>E15</f>
        <v>0.64800000000000002</v>
      </c>
    </row>
    <row r="12" spans="2:33" x14ac:dyDescent="0.3">
      <c r="B12" s="4" t="s">
        <v>7</v>
      </c>
      <c r="C12" s="54" t="s">
        <v>48</v>
      </c>
      <c r="D12" s="56">
        <v>3</v>
      </c>
      <c r="E12" s="71">
        <f>IF(C12=$T$3,(D12+1)*$U$3,IF(C12=$T$7,(D12+1)*$U$7,IF(C12=$T$8,(D12+1)*$U$8,IF(C12=$T$9,(D12+1)*$U$9,IF(C12=$T$10,(D12+1)*$U$10,IF(C12=$T$11,(D12+1)*$U$11,IF(C12=$T$12,(D12+1)*$U$12,IF(C12=$T$13,(D12+1)*$U$13,IF(C12=$T$14,(D12+1)*$U$14,IF(C12=$T$4,(D12+1)*$U$4,IF(C12=$T$5,(D12+1)*$U$5,IF(C12=$T$6,(D12+1)*$U$6))))))))))))</f>
        <v>0.11663999999999999</v>
      </c>
      <c r="G12" s="10" t="s">
        <v>58</v>
      </c>
      <c r="H12" s="82">
        <f>Q12</f>
        <v>0</v>
      </c>
      <c r="I12" s="66"/>
      <c r="J12" s="83">
        <f>SUMIF($AF$1:$AF$30,T26,$AG$1:$AG$30)</f>
        <v>0</v>
      </c>
      <c r="K12" s="84"/>
      <c r="P12" s="4" t="s">
        <v>58</v>
      </c>
      <c r="Q12" s="52">
        <v>0</v>
      </c>
      <c r="T12" s="46" t="s">
        <v>67</v>
      </c>
      <c r="U12" s="70">
        <f t="shared" si="0"/>
        <v>3.8879999999999998E-2</v>
      </c>
      <c r="V12" s="56" t="str">
        <f t="shared" si="1"/>
        <v>Med</v>
      </c>
      <c r="W12" s="27">
        <v>3.456E-2</v>
      </c>
      <c r="X12" s="3">
        <v>3.8879999999999998E-2</v>
      </c>
      <c r="Y12" s="24">
        <v>4.3200000000000002E-2</v>
      </c>
      <c r="Z12" s="1"/>
      <c r="AF12" s="76" t="str">
        <f>C16</f>
        <v>SPD</v>
      </c>
      <c r="AG12" s="76">
        <f>E16</f>
        <v>4.5999999999999996</v>
      </c>
    </row>
    <row r="13" spans="2:33" ht="15" thickBot="1" x14ac:dyDescent="0.35">
      <c r="B13" s="6" t="s">
        <v>8</v>
      </c>
      <c r="C13" s="57" t="s">
        <v>49</v>
      </c>
      <c r="D13" s="58">
        <v>1</v>
      </c>
      <c r="E13" s="71">
        <f>IF(C13=$T$3,(D13+1)*$U$3,IF(C13=$T$7,(D13+1)*$U$7,IF(C13=$T$8,(D13+1)*$U$8,IF(C13=$T$9,(D13+1)*$U$9,IF(C13=$T$10,(D13+1)*$U$10,IF(C13=$T$11,(D13+1)*$U$11,IF(C13=$T$12,(D13+1)*$U$12,IF(C13=$T$13,(D13+1)*$U$13,IF(C13=$T$14,(D13+1)*$U$14,IF(C13=$T$4,(D13+1)*$U$4,IF(C13=$T$5,(D13+1)*$U$5,IF(C13=$T$6,(D13+1)*$U$6))))))))))))</f>
        <v>0.11663999999999999</v>
      </c>
      <c r="G13" s="10" t="s">
        <v>66</v>
      </c>
      <c r="H13" s="82">
        <f>IF(Q13&lt;1,100%,Q13)</f>
        <v>1.2</v>
      </c>
      <c r="I13" s="66"/>
      <c r="J13" s="83">
        <f>SUMIF($AF$1:$AF$30,T25,$AG$1:$AG$30)</f>
        <v>0.19439400000000001</v>
      </c>
      <c r="K13" s="84">
        <f>J13+H13</f>
        <v>1.3943939999999999</v>
      </c>
      <c r="P13" s="4" t="s">
        <v>25</v>
      </c>
      <c r="Q13" s="52">
        <v>1.2</v>
      </c>
      <c r="T13" s="46" t="s">
        <v>45</v>
      </c>
      <c r="U13" s="70">
        <f t="shared" si="0"/>
        <v>2.9159999999999998E-2</v>
      </c>
      <c r="V13" s="56" t="str">
        <f t="shared" si="1"/>
        <v>Med</v>
      </c>
      <c r="W13" s="27">
        <v>2.5919999999999999E-2</v>
      </c>
      <c r="X13" s="3">
        <v>2.9159999999999998E-2</v>
      </c>
      <c r="Y13" s="24">
        <v>3.2399999999999998E-2</v>
      </c>
      <c r="Z13" s="1"/>
      <c r="AF13" s="76" t="str">
        <f>C17</f>
        <v>atk</v>
      </c>
      <c r="AG13" s="76">
        <f>E17</f>
        <v>3.8879999999999998E-2</v>
      </c>
    </row>
    <row r="14" spans="2:33" ht="15" thickBot="1" x14ac:dyDescent="0.35">
      <c r="B14" s="95" t="s">
        <v>2</v>
      </c>
      <c r="C14" s="96"/>
      <c r="D14" s="96"/>
      <c r="E14" s="97"/>
      <c r="G14" s="11" t="s">
        <v>26</v>
      </c>
      <c r="H14" s="85">
        <f>Q14</f>
        <v>0</v>
      </c>
      <c r="I14" s="69"/>
      <c r="J14" s="86">
        <f>SUMIF($AF$1:$AF$30,T11,$AG$1:$AG$30)</f>
        <v>0</v>
      </c>
      <c r="K14" s="87">
        <f>J14+H14</f>
        <v>0</v>
      </c>
      <c r="P14" s="6" t="s">
        <v>26</v>
      </c>
      <c r="Q14" s="53">
        <v>0</v>
      </c>
      <c r="T14" s="47" t="s">
        <v>44</v>
      </c>
      <c r="U14" s="72">
        <f t="shared" si="0"/>
        <v>5.8319999999999997E-2</v>
      </c>
      <c r="V14" s="58" t="str">
        <f t="shared" si="1"/>
        <v>Med</v>
      </c>
      <c r="W14" s="28">
        <v>5.1839999999999997E-2</v>
      </c>
      <c r="X14" s="63">
        <v>5.8319999999999997E-2</v>
      </c>
      <c r="Y14" s="26">
        <v>6.4799999999999996E-2</v>
      </c>
      <c r="Z14" s="1"/>
      <c r="AF14" s="76" t="str">
        <f>C18</f>
        <v>cr</v>
      </c>
      <c r="AG14" s="76">
        <f>E18</f>
        <v>0.14579999999999999</v>
      </c>
    </row>
    <row r="15" spans="2:33" ht="15" thickBot="1" x14ac:dyDescent="0.35">
      <c r="B15" s="12" t="s">
        <v>4</v>
      </c>
      <c r="C15" s="55" t="str">
        <f>T29</f>
        <v>CD</v>
      </c>
      <c r="D15" s="14"/>
      <c r="E15" s="31">
        <f>IF(C15=$T$17,$U$17,IF(C15=$T$18,$U$18,IF(C15=$T$19,$U$19,IF(C15=$T$20,$U$20,IF(C15=$T$21,$U$21,IF(C15=$T$22,$U$22,IF(C15=$T$23,$U$23,IF(C15=$T$24,$U$24,IF(C15=$T$25,$U$25,IF(C15=$T$26,$U$26,IF(C15=$T$27,$U$27,IF(C15=$T$28,$U$28,IF(C15=$T$29,$U$29)))))))))))))</f>
        <v>0.64800000000000002</v>
      </c>
      <c r="Z15" s="1"/>
      <c r="AF15" s="76" t="str">
        <f>C19</f>
        <v>be</v>
      </c>
      <c r="AG15" s="76">
        <f>E19</f>
        <v>5.8319999999999997E-2</v>
      </c>
    </row>
    <row r="16" spans="2:33" ht="15" thickBot="1" x14ac:dyDescent="0.35">
      <c r="B16" s="4" t="s">
        <v>5</v>
      </c>
      <c r="C16" s="54" t="s">
        <v>15</v>
      </c>
      <c r="D16" s="56">
        <v>1</v>
      </c>
      <c r="E16" s="71">
        <f>IF(C16=$T$3,(D16+1)*$U$3,IF(C16=$T$7,(D16+1)*$U$7,IF(C16=$T$8,(D16+1)*$U$8,IF(C16=$T$9,(D16+1)*$U$9,IF(C16=$T$10,(D16+1)*$U$10,IF(C16=$T$11,(D16+1)*$U$11,IF(C16=$T$12,(D16+1)*$U$12,IF(C16=$T$13,(D16+1)*$U$13,IF(C16=$T$14,(D16+1)*$U$14,IF(C16=$T$4,(D16+1)*$U$4,IF(C16=$T$5,(D16+1)*$U$5,IF(C16=$T$6,(D16+1)*$U$6))))))))))))</f>
        <v>4.5999999999999996</v>
      </c>
      <c r="T16" s="16" t="s">
        <v>16</v>
      </c>
      <c r="U16" s="30" t="s">
        <v>32</v>
      </c>
      <c r="V16" s="16" t="s">
        <v>27</v>
      </c>
      <c r="W16" s="30" t="s">
        <v>31</v>
      </c>
      <c r="Z16" s="1"/>
      <c r="AF16" s="76" t="str">
        <f>C21</f>
        <v>SPD</v>
      </c>
      <c r="AG16" s="76">
        <f>E21</f>
        <v>25.032</v>
      </c>
    </row>
    <row r="17" spans="2:33" x14ac:dyDescent="0.3">
      <c r="B17" s="4" t="s">
        <v>6</v>
      </c>
      <c r="C17" s="54" t="s">
        <v>47</v>
      </c>
      <c r="D17" s="56"/>
      <c r="E17" s="71">
        <f>IF(C17=$T$3,(D17+1)*$U$3,IF(C17=$T$7,(D17+1)*$U$7,IF(C17=$T$8,(D17+1)*$U$8,IF(C17=$T$9,(D17+1)*$U$9,IF(C17=$T$10,(D17+1)*$U$10,IF(C17=$T$11,(D17+1)*$U$11,IF(C17=$T$12,(D17+1)*$U$12,IF(C17=$T$13,(D17+1)*$U$13,IF(C17=$T$14,(D17+1)*$U$14,IF(C17=$T$4,(D17+1)*$U$4,IF(C17=$T$5,(D17+1)*$U$5,IF(C17=$T$6,(D17+1)*$U$6))))))))))))</f>
        <v>3.8879999999999998E-2</v>
      </c>
      <c r="L17" s="1"/>
      <c r="R17" s="1"/>
      <c r="S17" s="1"/>
      <c r="T17" s="48" t="s">
        <v>15</v>
      </c>
      <c r="U17" s="31">
        <v>25.032</v>
      </c>
      <c r="V17" s="48">
        <v>4.032</v>
      </c>
      <c r="W17" s="31">
        <v>1.4</v>
      </c>
      <c r="Z17" s="1"/>
      <c r="AF17" s="76" t="str">
        <f>C22</f>
        <v>Be</v>
      </c>
      <c r="AG17" s="76">
        <f>E22</f>
        <v>5.8319999999999997E-2</v>
      </c>
    </row>
    <row r="18" spans="2:33" x14ac:dyDescent="0.3">
      <c r="B18" s="4" t="s">
        <v>7</v>
      </c>
      <c r="C18" s="54" t="s">
        <v>48</v>
      </c>
      <c r="D18" s="56">
        <v>4</v>
      </c>
      <c r="E18" s="71">
        <f>IF(C18=$T$3,(D18+1)*$U$3,IF(C18=$T$7,(D18+1)*$U$7,IF(C18=$T$8,(D18+1)*$U$8,IF(C18=$T$9,(D18+1)*$U$9,IF(C18=$T$10,(D18+1)*$U$10,IF(C18=$T$11,(D18+1)*$U$11,IF(C18=$T$12,(D18+1)*$U$12,IF(C18=$T$13,(D18+1)*$U$13,IF(C18=$T$14,(D18+1)*$U$14,IF(C18=$T$4,(D18+1)*$U$4,IF(C18=$T$5,(D18+1)*$U$5,IF(C18=$T$6,(D18+1)*$U$6))))))))))))</f>
        <v>0.14579999999999999</v>
      </c>
      <c r="R18" s="1"/>
      <c r="S18" s="1"/>
      <c r="T18" s="4" t="s">
        <v>60</v>
      </c>
      <c r="U18" s="71">
        <v>705.6</v>
      </c>
      <c r="V18" s="4">
        <v>112.896</v>
      </c>
      <c r="W18" s="71">
        <v>39.513599999999997</v>
      </c>
      <c r="Z18" s="1"/>
      <c r="AF18" s="76" t="str">
        <f>C23</f>
        <v>atk</v>
      </c>
      <c r="AG18" s="76">
        <f>E23</f>
        <v>3.8879999999999998E-2</v>
      </c>
    </row>
    <row r="19" spans="2:33" ht="15" thickBot="1" x14ac:dyDescent="0.35">
      <c r="B19" s="6" t="s">
        <v>8</v>
      </c>
      <c r="C19" s="57" t="s">
        <v>72</v>
      </c>
      <c r="D19" s="58"/>
      <c r="E19" s="71">
        <f>IF(C19=$T$3,(D19+1)*$U$3,IF(C19=$T$7,(D19+1)*$U$7,IF(C19=$T$8,(D19+1)*$U$8,IF(C19=$T$9,(D19+1)*$U$9,IF(C19=$T$10,(D19+1)*$U$10,IF(C19=$T$11,(D19+1)*$U$11,IF(C19=$T$12,(D19+1)*$U$12,IF(C19=$T$13,(D19+1)*$U$13,IF(C19=$T$14,(D19+1)*$U$14,IF(C19=$T$4,(D19+1)*$U$4,IF(C19=$T$5,(D19+1)*$U$5,IF(C19=$T$6,(D19+1)*$U$6))))))))))))</f>
        <v>5.8319999999999997E-2</v>
      </c>
      <c r="R19" s="1"/>
      <c r="S19" s="1"/>
      <c r="T19" s="4" t="s">
        <v>61</v>
      </c>
      <c r="U19" s="71">
        <v>352.8</v>
      </c>
      <c r="V19" s="4">
        <v>56.448</v>
      </c>
      <c r="W19" s="71">
        <v>19.756799999999998</v>
      </c>
      <c r="Z19" s="1"/>
      <c r="AF19" s="76" t="str">
        <f>C24</f>
        <v>cr</v>
      </c>
      <c r="AG19" s="76">
        <f>E24</f>
        <v>0.11663999999999999</v>
      </c>
    </row>
    <row r="20" spans="2:33" ht="15" thickBot="1" x14ac:dyDescent="0.35">
      <c r="B20" s="95" t="s">
        <v>3</v>
      </c>
      <c r="C20" s="96"/>
      <c r="D20" s="96"/>
      <c r="E20" s="97"/>
      <c r="G20" s="95" t="s">
        <v>20</v>
      </c>
      <c r="H20" s="96"/>
      <c r="I20" s="96"/>
      <c r="J20" s="97"/>
      <c r="L20" s="95" t="s">
        <v>21</v>
      </c>
      <c r="M20" s="96"/>
      <c r="N20" s="96"/>
      <c r="O20" s="97"/>
      <c r="R20" s="1"/>
      <c r="S20" s="1"/>
      <c r="T20" s="4" t="s">
        <v>9</v>
      </c>
      <c r="U20" s="24">
        <v>0.432</v>
      </c>
      <c r="V20" s="27">
        <v>6.9120000000000001E-2</v>
      </c>
      <c r="W20" s="24">
        <v>2.4192000000000002E-2</v>
      </c>
      <c r="Z20" s="1"/>
      <c r="AF20" s="76" t="str">
        <f>C25</f>
        <v>cd</v>
      </c>
      <c r="AG20" s="76">
        <f>E25</f>
        <v>0.17496</v>
      </c>
    </row>
    <row r="21" spans="2:33" x14ac:dyDescent="0.3">
      <c r="B21" s="12" t="s">
        <v>4</v>
      </c>
      <c r="C21" s="55" t="str">
        <f>T17</f>
        <v>SPD</v>
      </c>
      <c r="D21" s="14"/>
      <c r="E21" s="31">
        <f>IF(C21=$T$17,$U$17,IF(C21=$T$18,$U$18,IF(C21=$T$19,$U$19,IF(C21=$T$20,$U$20,IF(C21=$T$21,$U$21,IF(C21=$T$22,$U$22,IF(C21=$T$23,$U$23,IF(C21=$T$24,$U$24,IF(C21=$T$25,$U$25,IF(C21=$T$26,$U$26,IF(C21=$T$27,$U$27,IF(C21=$T$28,$U$28,IF(C21=$T$29,$U$29)))))))))))))</f>
        <v>25.032</v>
      </c>
      <c r="G21" s="12" t="s">
        <v>4</v>
      </c>
      <c r="H21" s="55" t="str">
        <f>T25</f>
        <v>ERR</v>
      </c>
      <c r="I21" s="14"/>
      <c r="J21" s="31">
        <f>IF(H21=$T$17,$U$17,IF(H21=$T$18,$U$18,IF(H21=$T$19,$U$19,IF(H21=$T$20,$U$20,IF(H21=$T$21,$U$21,IF(H21=$T$22,$U$22,IF(H21=$T$23,$U$23,IF(H21=$T$24,$U$24,IF(H21=$T$25,$U$25,IF(H21=$T$26,$U$26,IF(H21=$T$27,$U$27,IF(H21=$T$28,$U$28,IF(H21=$T$29,$U$29)))))))))))))</f>
        <v>0.19439400000000001</v>
      </c>
      <c r="L21" s="12" t="s">
        <v>4</v>
      </c>
      <c r="M21" s="55" t="str">
        <f>T21</f>
        <v>ATK</v>
      </c>
      <c r="N21" s="14"/>
      <c r="O21" s="31">
        <f>IF(M21=$T$17,$U$17,IF(M21=$T$18,$U$18,IF(M21=$T$19,$U$19,IF(M21=$T$20,$U$20,IF(M21=$T$21,$U$21,IF(M21=$T$22,$U$22,IF(M21=$T$23,$U$23,IF(M21=$T$24,$U$24,IF(M21=$T$25,$U$25,IF(M21=$T$26,$U$26,IF(M21=$T$27,$U$27,IF(M21=$T$28,$U$28,IF(M21=$T$29,$U$29)))))))))))))</f>
        <v>0.432</v>
      </c>
      <c r="T21" s="4" t="s">
        <v>10</v>
      </c>
      <c r="U21" s="24">
        <v>0.432</v>
      </c>
      <c r="V21" s="27">
        <v>6.9120000000000001E-2</v>
      </c>
      <c r="W21" s="24">
        <v>2.4192000000000002E-2</v>
      </c>
      <c r="Z21" s="1"/>
      <c r="AF21" s="76" t="str">
        <f>H21</f>
        <v>ERR</v>
      </c>
      <c r="AG21" s="76">
        <f>J21</f>
        <v>0.19439400000000001</v>
      </c>
    </row>
    <row r="22" spans="2:33" x14ac:dyDescent="0.3">
      <c r="B22" s="4" t="s">
        <v>5</v>
      </c>
      <c r="C22" s="54" t="s">
        <v>73</v>
      </c>
      <c r="D22" s="56"/>
      <c r="E22" s="71">
        <f>IF(C22=$T$3,(D22+1)*$U$3,IF(C22=$T$7,(D22+1)*$U$7,IF(C22=$T$8,(D22+1)*$U$8,IF(C22=$T$9,(D22+1)*$U$9,IF(C22=$T$10,(D22+1)*$U$10,IF(C22=$T$11,(D22+1)*$U$11,IF(C22=$T$12,(D22+1)*$U$12,IF(C22=$T$13,(D22+1)*$U$13,IF(C22=$T$14,(D22+1)*$U$14,IF(C22=$T$4,(D22+1)*$U$4,IF(C22=$T$5,(D22+1)*$U$5,IF(C22=$T$6,(D22+1)*$U$6))))))))))))</f>
        <v>5.8319999999999997E-2</v>
      </c>
      <c r="G22" s="4" t="s">
        <v>5</v>
      </c>
      <c r="H22" s="54" t="s">
        <v>37</v>
      </c>
      <c r="I22" s="56">
        <v>1</v>
      </c>
      <c r="J22" s="71">
        <f>IF(H22=$T$3,(I22+1)*$U$3,IF(H22=$T$7,(I22+1)*$U$7,IF(H22=$T$8,(I22+1)*$U$8,IF(H22=$T$9,(I22+1)*$U$9,IF(H22=$T$10,(I22+1)*$U$10,IF(H22=$T$11,(I22+1)*$U$11,IF(H22=$T$12,(I22+1)*$U$12,IF(H22=$T$13,(I22+1)*$U$13,IF(H22=$T$14,(I22+1)*$U$14,IF(H22=$T$4,(I22+1)*$U$4,IF(H22=$T$5,(I22+1)*$U$5,IF(H22=$T$6,(I22+1)*$U$6))))))))))))</f>
        <v>4.5999999999999996</v>
      </c>
      <c r="L22" s="4" t="s">
        <v>5</v>
      </c>
      <c r="M22" s="54" t="s">
        <v>37</v>
      </c>
      <c r="N22" s="56">
        <v>1</v>
      </c>
      <c r="O22" s="71">
        <f>IF(M22=$T$3,(N22+1)*$U$3,IF(M22=$T$7,(N22+1)*$U$7,IF(M22=$T$8,(N22+1)*$U$8,IF(M22=$T$9,(N22+1)*$U$9,IF(M22=$T$10,(N22+1)*$U$10,IF(M22=$T$11,(N22+1)*$U$11,IF(M22=$T$12,(N22+1)*$U$12,IF(M22=$T$13,(N22+1)*$U$13,IF(M22=$T$14,(N22+1)*$U$14,IF(M22=$T$4,(N22+1)*$U$4,IF(M22=$T$5,(N22+1)*$U$5,IF(M22=$T$6,(N22+1)*$U$6))))))))))))</f>
        <v>4.5999999999999996</v>
      </c>
      <c r="T22" s="4" t="s">
        <v>11</v>
      </c>
      <c r="U22" s="25">
        <v>0.54</v>
      </c>
      <c r="V22" s="27">
        <v>8.6400000000000005E-2</v>
      </c>
      <c r="W22" s="24">
        <v>3.024E-2</v>
      </c>
      <c r="Z22" s="1"/>
      <c r="AF22" s="76" t="str">
        <f>H22</f>
        <v>spd</v>
      </c>
      <c r="AG22" s="76">
        <f>J22</f>
        <v>4.5999999999999996</v>
      </c>
    </row>
    <row r="23" spans="2:33" x14ac:dyDescent="0.3">
      <c r="B23" s="4" t="s">
        <v>6</v>
      </c>
      <c r="C23" s="54" t="s">
        <v>47</v>
      </c>
      <c r="D23" s="56"/>
      <c r="E23" s="71">
        <f>IF(C23=$T$3,(D23+1)*$U$3,IF(C23=$T$7,(D23+1)*$U$7,IF(C23=$T$8,(D23+1)*$U$8,IF(C23=$T$9,(D23+1)*$U$9,IF(C23=$T$10,(D23+1)*$U$10,IF(C23=$T$11,(D23+1)*$U$11,IF(C23=$T$12,(D23+1)*$U$12,IF(C23=$T$13,(D23+1)*$U$13,IF(C23=$T$14,(D23+1)*$U$14,IF(C23=$T$4,(D23+1)*$U$4,IF(C23=$T$5,(D23+1)*$U$5,IF(C23=$T$6,(D23+1)*$U$6))))))))))))</f>
        <v>3.8879999999999998E-2</v>
      </c>
      <c r="G23" s="4" t="s">
        <v>6</v>
      </c>
      <c r="H23" s="54" t="s">
        <v>47</v>
      </c>
      <c r="I23" s="56"/>
      <c r="J23" s="71">
        <f>IF(H23=$T$3,(I23+1)*$U$3,IF(H23=$T$7,(I23+1)*$U$7,IF(H23=$T$8,(I23+1)*$U$8,IF(H23=$T$9,(I23+1)*$U$9,IF(H23=$T$10,(I23+1)*$U$10,IF(H23=$T$11,(I23+1)*$U$11,IF(H23=$T$12,(I23+1)*$U$12,IF(H23=$T$13,(I23+1)*$U$13,IF(H23=$T$14,(I23+1)*$U$14,IF(H23=$T$4,(I23+1)*$U$4,IF(H23=$T$5,(I23+1)*$U$5,IF(H23=$T$6,(I23+1)*$U$6))))))))))))</f>
        <v>3.8879999999999998E-2</v>
      </c>
      <c r="L23" s="4" t="s">
        <v>6</v>
      </c>
      <c r="M23" s="54" t="s">
        <v>72</v>
      </c>
      <c r="N23" s="56"/>
      <c r="O23" s="71">
        <f>IF(M23=$T$3,(N23+1)*$U$3,IF(M23=$T$7,(N23+1)*$U$7,IF(M23=$T$8,(N23+1)*$U$8,IF(M23=$T$9,(N23+1)*$U$9,IF(M23=$T$10,(N23+1)*$U$10,IF(M23=$T$11,(N23+1)*$U$11,IF(M23=$T$12,(N23+1)*$U$12,IF(M23=$T$13,(N23+1)*$U$13,IF(M23=$T$14,(N23+1)*$U$14,IF(M23=$T$4,(N23+1)*$U$4,IF(M23=$T$5,(N23+1)*$U$5,IF(M23=$T$6,(N23+1)*$U$6))))))))))))</f>
        <v>5.8319999999999997E-2</v>
      </c>
      <c r="T23" s="4" t="s">
        <v>62</v>
      </c>
      <c r="U23" s="24">
        <v>0.64800000000000002</v>
      </c>
      <c r="V23" s="27">
        <v>0.10367999999999999</v>
      </c>
      <c r="W23" s="24">
        <v>3.6276999999999997E-2</v>
      </c>
      <c r="AF23" s="76" t="str">
        <f>H23</f>
        <v>atk</v>
      </c>
      <c r="AG23" s="76">
        <f>J23</f>
        <v>3.8879999999999998E-2</v>
      </c>
    </row>
    <row r="24" spans="2:33" x14ac:dyDescent="0.3">
      <c r="B24" s="4" t="s">
        <v>7</v>
      </c>
      <c r="C24" s="54" t="s">
        <v>48</v>
      </c>
      <c r="D24" s="56">
        <v>3</v>
      </c>
      <c r="E24" s="71">
        <f>IF(C24=$T$3,(D24+1)*$U$3,IF(C24=$T$7,(D24+1)*$U$7,IF(C24=$T$8,(D24+1)*$U$8,IF(C24=$T$9,(D24+1)*$U$9,IF(C24=$T$10,(D24+1)*$U$10,IF(C24=$T$11,(D24+1)*$U$11,IF(C24=$T$12,(D24+1)*$U$12,IF(C24=$T$13,(D24+1)*$U$13,IF(C24=$T$14,(D24+1)*$U$14,IF(C24=$T$4,(D24+1)*$U$4,IF(C24=$T$5,(D24+1)*$U$5,IF(C24=$T$6,(D24+1)*$U$6))))))))))))</f>
        <v>0.11663999999999999</v>
      </c>
      <c r="G24" s="4" t="s">
        <v>7</v>
      </c>
      <c r="H24" s="54" t="s">
        <v>48</v>
      </c>
      <c r="I24" s="56">
        <v>2</v>
      </c>
      <c r="J24" s="71">
        <f>IF(H24=$T$3,(I24+1)*$U$3,IF(H24=$T$7,(I24+1)*$U$7,IF(H24=$T$8,(I24+1)*$U$8,IF(H24=$T$9,(I24+1)*$U$9,IF(H24=$T$10,(I24+1)*$U$10,IF(H24=$T$11,(I24+1)*$U$11,IF(H24=$T$12,(I24+1)*$U$12,IF(H24=$T$13,(I24+1)*$U$13,IF(H24=$T$14,(I24+1)*$U$14,IF(H24=$T$4,(I24+1)*$U$4,IF(H24=$T$5,(I24+1)*$U$5,IF(H24=$T$6,(I24+1)*$U$6))))))))))))</f>
        <v>8.7480000000000002E-2</v>
      </c>
      <c r="L24" s="4" t="s">
        <v>7</v>
      </c>
      <c r="M24" s="54" t="s">
        <v>48</v>
      </c>
      <c r="N24" s="56">
        <v>3</v>
      </c>
      <c r="O24" s="71">
        <f>IF(M24=$T$3,(N24+1)*$U$3,IF(M24=$T$7,(N24+1)*$U$7,IF(M24=$T$8,(N24+1)*$U$8,IF(M24=$T$9,(N24+1)*$U$9,IF(M24=$T$10,(N24+1)*$U$10,IF(M24=$T$11,(N24+1)*$U$11,IF(M24=$T$12,(N24+1)*$U$12,IF(M24=$T$13,(N24+1)*$U$13,IF(M24=$T$14,(N24+1)*$U$14,IF(M24=$T$4,(N24+1)*$U$4,IF(M24=$T$5,(N24+1)*$U$5,IF(M24=$T$6,(N24+1)*$U$6))))))))))))</f>
        <v>0.11663999999999999</v>
      </c>
      <c r="T24" s="4" t="s">
        <v>26</v>
      </c>
      <c r="U24" s="24">
        <v>0.432</v>
      </c>
      <c r="V24" s="27">
        <v>6.9120000000000001E-2</v>
      </c>
      <c r="W24" s="24">
        <v>2.4192000000000002E-2</v>
      </c>
      <c r="AF24" s="76" t="str">
        <f>H24</f>
        <v>cr</v>
      </c>
      <c r="AG24" s="76">
        <f>J24</f>
        <v>8.7480000000000002E-2</v>
      </c>
    </row>
    <row r="25" spans="2:33" ht="15" thickBot="1" x14ac:dyDescent="0.35">
      <c r="B25" s="6" t="s">
        <v>8</v>
      </c>
      <c r="C25" s="57" t="s">
        <v>49</v>
      </c>
      <c r="D25" s="58">
        <v>2</v>
      </c>
      <c r="E25" s="71">
        <f>IF(C25=$T$3,(D25+1)*$U$3,IF(C25=$T$7,(D25+1)*$U$7,IF(C25=$T$8,(D25+1)*$U$8,IF(C25=$T$9,(D25+1)*$U$9,IF(C25=$T$10,(D25+1)*$U$10,IF(C25=$T$11,(D25+1)*$U$11,IF(C25=$T$12,(D25+1)*$U$12,IF(C25=$T$13,(D25+1)*$U$13,IF(C25=$T$14,(D25+1)*$U$14,IF(C25=$T$4,(D25+1)*$U$4,IF(C25=$T$5,(D25+1)*$U$5,IF(C25=$T$6,(D25+1)*$U$6))))))))))))</f>
        <v>0.17496</v>
      </c>
      <c r="G25" s="6" t="s">
        <v>8</v>
      </c>
      <c r="H25" s="57" t="s">
        <v>49</v>
      </c>
      <c r="I25" s="58">
        <v>2</v>
      </c>
      <c r="J25" s="71">
        <f>IF(H25=$T$3,(I25+1)*$U$3,IF(H25=$T$7,(I25+1)*$U$7,IF(H25=$T$8,(I25+1)*$U$8,IF(H25=$T$9,(I25+1)*$U$9,IF(H25=$T$10,(I25+1)*$U$10,IF(H25=$T$11,(I25+1)*$U$11,IF(H25=$T$12,(I25+1)*$U$12,IF(H25=$T$13,(I25+1)*$U$13,IF(H25=$T$14,(I25+1)*$U$14,IF(H25=$T$4,(I25+1)*$U$4,IF(H25=$T$5,(I25+1)*$U$5,IF(H25=$T$6,(I25+1)*$U$6))))))))))))</f>
        <v>0.17496</v>
      </c>
      <c r="L25" s="6" t="s">
        <v>8</v>
      </c>
      <c r="M25" s="57" t="s">
        <v>49</v>
      </c>
      <c r="N25" s="58">
        <v>1</v>
      </c>
      <c r="O25" s="71">
        <f>IF(M25=$T$3,(N25+1)*$U$3,IF(M25=$T$7,(N25+1)*$U$7,IF(M25=$T$8,(N25+1)*$U$8,IF(M25=$T$9,(N25+1)*$U$9,IF(M25=$T$10,(N25+1)*$U$10,IF(M25=$T$11,(N25+1)*$U$11,IF(M25=$T$12,(N25+1)*$U$12,IF(M25=$T$13,(N25+1)*$U$13,IF(M25=$T$14,(N25+1)*$U$14,IF(M25=$T$4,(N25+1)*$U$4,IF(M25=$T$5,(N25+1)*$U$5,IF(M25=$T$6,(N25+1)*$U$6))))))))))))</f>
        <v>0.11663999999999999</v>
      </c>
      <c r="T25" s="12" t="s">
        <v>66</v>
      </c>
      <c r="U25" s="24">
        <v>0.19439400000000001</v>
      </c>
      <c r="V25" s="27">
        <v>3.1104E-2</v>
      </c>
      <c r="W25" s="24">
        <v>1.0886E-2</v>
      </c>
      <c r="AF25" s="76" t="str">
        <f>H25</f>
        <v>cd</v>
      </c>
      <c r="AG25" s="76">
        <f>J25</f>
        <v>0.17496</v>
      </c>
    </row>
    <row r="26" spans="2:33" x14ac:dyDescent="0.3">
      <c r="T26" s="4" t="s">
        <v>58</v>
      </c>
      <c r="U26" s="24">
        <v>0.34560600000000002</v>
      </c>
      <c r="V26" s="27">
        <v>5.5295999999999998E-2</v>
      </c>
      <c r="W26" s="24">
        <v>1.9354E-2</v>
      </c>
      <c r="AF26" s="76" t="str">
        <f>M21</f>
        <v>ATK</v>
      </c>
      <c r="AG26" s="76">
        <f>O21</f>
        <v>0.432</v>
      </c>
    </row>
    <row r="27" spans="2:33" ht="15" thickBot="1" x14ac:dyDescent="0.35">
      <c r="T27" s="4" t="s">
        <v>63</v>
      </c>
      <c r="U27" s="24">
        <v>0.38880300000000001</v>
      </c>
      <c r="V27" s="27">
        <v>6.2207999999999999E-2</v>
      </c>
      <c r="W27" s="24">
        <v>2.1773000000000001E-2</v>
      </c>
      <c r="AF27" s="76" t="str">
        <f>M22</f>
        <v>spd</v>
      </c>
      <c r="AG27" s="76">
        <f>O22</f>
        <v>4.5999999999999996</v>
      </c>
    </row>
    <row r="28" spans="2:33" x14ac:dyDescent="0.3">
      <c r="B28" s="90" t="s">
        <v>64</v>
      </c>
      <c r="C28" s="91"/>
      <c r="D28" s="91"/>
      <c r="E28" s="92"/>
      <c r="T28" s="4" t="s">
        <v>45</v>
      </c>
      <c r="U28" s="24">
        <v>0.32400000000000001</v>
      </c>
      <c r="V28" s="27">
        <v>5.1839999999999997E-2</v>
      </c>
      <c r="W28" s="24">
        <v>1.8144E-2</v>
      </c>
      <c r="AF28" s="76" t="str">
        <f>M23</f>
        <v>be</v>
      </c>
      <c r="AG28" s="76">
        <f>O23</f>
        <v>5.8319999999999997E-2</v>
      </c>
    </row>
    <row r="29" spans="2:33" ht="15" thickBot="1" x14ac:dyDescent="0.35">
      <c r="B29" s="4" t="s">
        <v>9</v>
      </c>
      <c r="C29" s="98" t="s">
        <v>70</v>
      </c>
      <c r="D29" s="98"/>
      <c r="E29" s="99"/>
      <c r="T29" s="6" t="s">
        <v>44</v>
      </c>
      <c r="U29" s="26">
        <v>0.64800000000000002</v>
      </c>
      <c r="V29" s="28">
        <v>0.10367999999999999</v>
      </c>
      <c r="W29" s="26">
        <v>3.6288000000000001E-2</v>
      </c>
      <c r="AF29" s="76" t="str">
        <f>M24</f>
        <v>cr</v>
      </c>
      <c r="AG29" s="76">
        <f>O24</f>
        <v>0.11663999999999999</v>
      </c>
    </row>
    <row r="30" spans="2:33" x14ac:dyDescent="0.3">
      <c r="B30" s="4" t="s">
        <v>10</v>
      </c>
      <c r="C30" s="98" t="s">
        <v>69</v>
      </c>
      <c r="D30" s="98"/>
      <c r="E30" s="99"/>
      <c r="AF30" s="76" t="str">
        <f>M25</f>
        <v>cd</v>
      </c>
      <c r="AG30" s="76">
        <f>O25</f>
        <v>0.11663999999999999</v>
      </c>
    </row>
    <row r="31" spans="2:33" x14ac:dyDescent="0.3">
      <c r="B31" s="4" t="s">
        <v>11</v>
      </c>
      <c r="C31" s="98" t="s">
        <v>68</v>
      </c>
      <c r="D31" s="98"/>
      <c r="E31" s="99"/>
    </row>
    <row r="32" spans="2:33" x14ac:dyDescent="0.3">
      <c r="B32" s="4" t="s">
        <v>15</v>
      </c>
      <c r="C32" s="98" t="s">
        <v>71</v>
      </c>
      <c r="D32" s="98"/>
      <c r="E32" s="99"/>
    </row>
    <row r="33" spans="2:5" x14ac:dyDescent="0.3">
      <c r="B33" s="4" t="s">
        <v>62</v>
      </c>
      <c r="C33" s="98" t="s">
        <v>33</v>
      </c>
      <c r="D33" s="98"/>
      <c r="E33" s="99"/>
    </row>
    <row r="34" spans="2:5" x14ac:dyDescent="0.3">
      <c r="B34" s="4" t="s">
        <v>26</v>
      </c>
      <c r="C34" s="98" t="s">
        <v>34</v>
      </c>
      <c r="D34" s="98"/>
      <c r="E34" s="99"/>
    </row>
    <row r="35" spans="2:5" x14ac:dyDescent="0.3">
      <c r="B35" s="4" t="s">
        <v>66</v>
      </c>
      <c r="C35" s="98" t="s">
        <v>54</v>
      </c>
      <c r="D35" s="98"/>
      <c r="E35" s="99"/>
    </row>
    <row r="36" spans="2:5" x14ac:dyDescent="0.3">
      <c r="B36" s="4" t="s">
        <v>67</v>
      </c>
      <c r="C36" s="98" t="s">
        <v>65</v>
      </c>
      <c r="D36" s="98"/>
      <c r="E36" s="99"/>
    </row>
    <row r="37" spans="2:5" x14ac:dyDescent="0.3">
      <c r="B37" s="4" t="s">
        <v>58</v>
      </c>
      <c r="C37" s="98" t="s">
        <v>55</v>
      </c>
      <c r="D37" s="98"/>
      <c r="E37" s="99"/>
    </row>
    <row r="38" spans="2:5" x14ac:dyDescent="0.3">
      <c r="B38" s="4" t="s">
        <v>63</v>
      </c>
      <c r="C38" s="98" t="s">
        <v>36</v>
      </c>
      <c r="D38" s="98"/>
      <c r="E38" s="99"/>
    </row>
    <row r="39" spans="2:5" x14ac:dyDescent="0.3">
      <c r="B39" s="4" t="s">
        <v>45</v>
      </c>
      <c r="C39" s="98" t="s">
        <v>35</v>
      </c>
      <c r="D39" s="98"/>
      <c r="E39" s="99"/>
    </row>
    <row r="40" spans="2:5" ht="15" thickBot="1" x14ac:dyDescent="0.35">
      <c r="B40" s="6" t="s">
        <v>44</v>
      </c>
      <c r="C40" s="93" t="s">
        <v>22</v>
      </c>
      <c r="D40" s="93"/>
      <c r="E40" s="94"/>
    </row>
  </sheetData>
  <mergeCells count="22">
    <mergeCell ref="C35:E35"/>
    <mergeCell ref="C36:E36"/>
    <mergeCell ref="C37:E37"/>
    <mergeCell ref="C29:E29"/>
    <mergeCell ref="C30:E30"/>
    <mergeCell ref="C31:E31"/>
    <mergeCell ref="P2:Q2"/>
    <mergeCell ref="B28:E28"/>
    <mergeCell ref="C40:E40"/>
    <mergeCell ref="B2:E2"/>
    <mergeCell ref="G20:J20"/>
    <mergeCell ref="L20:O20"/>
    <mergeCell ref="M2:N2"/>
    <mergeCell ref="C32:E32"/>
    <mergeCell ref="G2:K2"/>
    <mergeCell ref="C38:E38"/>
    <mergeCell ref="C39:E39"/>
    <mergeCell ref="B8:E8"/>
    <mergeCell ref="B14:E14"/>
    <mergeCell ref="B20:E20"/>
    <mergeCell ref="C33:E33"/>
    <mergeCell ref="C34:E34"/>
  </mergeCells>
  <phoneticPr fontId="1" type="noConversion"/>
  <dataValidations count="1">
    <dataValidation type="list" allowBlank="1" showInputMessage="1" showErrorMessage="1" sqref="C4:C7 C10:C13 C16:C19 C22:C25 H22:H25 M22:M25" xr:uid="{13DE0DAD-D54A-41FC-B526-212B94D8D15A}">
      <formula1>$T$3:$T$14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CE0C-1070-46F5-83AB-55E37DF7CBC7}">
  <dimension ref="B1:AG40"/>
  <sheetViews>
    <sheetView tabSelected="1" zoomScaleNormal="100" workbookViewId="0">
      <selection activeCell="AF1" sqref="AF1"/>
    </sheetView>
  </sheetViews>
  <sheetFormatPr defaultRowHeight="14.4" x14ac:dyDescent="0.3"/>
  <cols>
    <col min="3" max="3" width="8.88671875" customWidth="1"/>
    <col min="6" max="6" width="8.88671875" customWidth="1"/>
    <col min="7" max="7" width="9.77734375" customWidth="1"/>
    <col min="11" max="11" width="10" bestFit="1" customWidth="1"/>
    <col min="12" max="13" width="8.88671875" customWidth="1"/>
    <col min="16" max="16" width="10.21875" customWidth="1"/>
    <col min="17" max="18" width="8.88671875" customWidth="1"/>
    <col min="20" max="20" width="8.88671875" customWidth="1"/>
    <col min="29" max="29" width="8.88671875" customWidth="1"/>
  </cols>
  <sheetData>
    <row r="1" spans="2:33" ht="15" thickBot="1" x14ac:dyDescent="0.35">
      <c r="AF1" s="76" t="str">
        <f>C3</f>
        <v>HP_</v>
      </c>
      <c r="AG1" s="76">
        <f>E3</f>
        <v>705.6</v>
      </c>
    </row>
    <row r="2" spans="2:33" ht="15" thickBot="1" x14ac:dyDescent="0.35">
      <c r="B2" s="95" t="s">
        <v>0</v>
      </c>
      <c r="C2" s="96"/>
      <c r="D2" s="96"/>
      <c r="E2" s="97"/>
      <c r="G2" s="100" t="s">
        <v>59</v>
      </c>
      <c r="H2" s="101"/>
      <c r="I2" s="101"/>
      <c r="J2" s="101"/>
      <c r="K2" s="102"/>
      <c r="M2" s="88" t="s">
        <v>56</v>
      </c>
      <c r="N2" s="89"/>
      <c r="P2" s="88" t="s">
        <v>57</v>
      </c>
      <c r="Q2" s="89"/>
      <c r="T2" s="59" t="s">
        <v>16</v>
      </c>
      <c r="U2" s="60" t="s">
        <v>39</v>
      </c>
      <c r="V2" s="77" t="s">
        <v>40</v>
      </c>
      <c r="W2" s="48" t="s">
        <v>17</v>
      </c>
      <c r="X2" s="60" t="s">
        <v>18</v>
      </c>
      <c r="Y2" s="31" t="s">
        <v>19</v>
      </c>
      <c r="AF2" s="76" t="str">
        <f>C4</f>
        <v>SPD</v>
      </c>
      <c r="AG2" s="76">
        <f>E4</f>
        <v>4.5999999999999996</v>
      </c>
    </row>
    <row r="3" spans="2:33" ht="15" thickBot="1" x14ac:dyDescent="0.35">
      <c r="B3" s="12" t="s">
        <v>4</v>
      </c>
      <c r="C3" s="55" t="str">
        <f>T18</f>
        <v>HP_</v>
      </c>
      <c r="D3" s="14"/>
      <c r="E3" s="31">
        <f>IF(C3=$T$17,$U$17,IF(C3=$T$18,$U$18,IF(C3=$T$19,$U$19,IF(C3=$T$20,$U$20,IF(C3=$T$21,$U$21,IF(C3=$T$22,$U$22,IF(C3=$T$23,$U$23,IF(C3=$T$24,$U$24,IF(C3=$T$25,$U$25,IF(C3=$T$26,$U$26,IF(C3=$T$27,$U$27,IF(C3=$T$28,$U$28,IF(C3=$T$29,$U$29)))))))))))))</f>
        <v>705.6</v>
      </c>
      <c r="G3" s="19" t="s">
        <v>16</v>
      </c>
      <c r="H3" s="20" t="s">
        <v>27</v>
      </c>
      <c r="I3" s="17" t="s">
        <v>74</v>
      </c>
      <c r="J3" s="18" t="s">
        <v>29</v>
      </c>
      <c r="K3" s="19" t="s">
        <v>30</v>
      </c>
      <c r="M3" s="48" t="s">
        <v>16</v>
      </c>
      <c r="N3" s="31" t="s">
        <v>27</v>
      </c>
      <c r="P3" s="48" t="s">
        <v>16</v>
      </c>
      <c r="Q3" s="31" t="s">
        <v>27</v>
      </c>
      <c r="T3" s="46" t="s">
        <v>15</v>
      </c>
      <c r="U3" s="73">
        <f t="shared" ref="U3:U14" si="0">IF(V3=$W$2,W3,IF(V3=$X$2,X3,IF(V3=$Y$2,Y3)))</f>
        <v>2.2999999999999998</v>
      </c>
      <c r="V3" s="56" t="str">
        <f t="shared" ref="V3:V14" si="1">$X$2</f>
        <v>Med</v>
      </c>
      <c r="W3" s="4">
        <v>2</v>
      </c>
      <c r="X3" s="73">
        <v>2.2999999999999998</v>
      </c>
      <c r="Y3" s="74">
        <v>2.6</v>
      </c>
      <c r="AF3" s="76" t="str">
        <f>C5</f>
        <v>ATK</v>
      </c>
      <c r="AG3" s="76">
        <f>E5</f>
        <v>3.8879999999999998E-2</v>
      </c>
    </row>
    <row r="4" spans="2:33" x14ac:dyDescent="0.3">
      <c r="B4" s="4" t="s">
        <v>5</v>
      </c>
      <c r="C4" s="54" t="s">
        <v>15</v>
      </c>
      <c r="D4" s="56">
        <v>1</v>
      </c>
      <c r="E4" s="74">
        <f>IF(C4=$T$3,(D4+1)*$U$3,IF(C4=$T$7,(D4+1)*$U$7,IF(C4=$T$8,(D4+1)*$U$8,IF(C4=$T$9,(D4+1)*$U$9,IF(C4=$T$10,(D4+1)*$U$10,IF(C4=$T$11,(D4+1)*$U$11,IF(C4=$T$12,(D4+1)*$U$12,IF(C4=$T$13,(D4+1)*$U$13,IF(C4=$T$14,(D4+1)*$U$14,IF(C4=$T$4,(D4+1)*$U$4,IF(C4=$T$5,(D4+1)*$U$5,IF(C4=$T$6,(D4+1)*$U$6))))))))))))</f>
        <v>4.5999999999999996</v>
      </c>
      <c r="G4" s="15" t="s">
        <v>9</v>
      </c>
      <c r="H4" s="48">
        <f>Q4+N4</f>
        <v>2300</v>
      </c>
      <c r="I4" s="78">
        <f>SUMIF($AF$1:$AF$30,T4,$AG$1:$AG$30)</f>
        <v>705.6</v>
      </c>
      <c r="J4" s="79">
        <f>SUMIF($AF$1:$AF$30,T7,$AG$1:$AG$30)</f>
        <v>0</v>
      </c>
      <c r="K4" s="37">
        <f>(H4*(1+J4))+I4</f>
        <v>3005.6</v>
      </c>
      <c r="M4" s="4" t="s">
        <v>9</v>
      </c>
      <c r="N4" s="50">
        <v>1058</v>
      </c>
      <c r="P4" s="4" t="s">
        <v>9</v>
      </c>
      <c r="Q4" s="50">
        <f>1242</f>
        <v>1242</v>
      </c>
      <c r="T4" s="61" t="s">
        <v>60</v>
      </c>
      <c r="U4" s="49">
        <f t="shared" si="0"/>
        <v>38.103755</v>
      </c>
      <c r="V4" s="64" t="str">
        <f t="shared" si="1"/>
        <v>Med</v>
      </c>
      <c r="W4" s="65">
        <v>33.869999999999997</v>
      </c>
      <c r="X4" s="49">
        <v>38.103755</v>
      </c>
      <c r="Y4" s="62">
        <v>42.337510000000002</v>
      </c>
      <c r="AF4" s="76" t="str">
        <f>C6</f>
        <v>CR</v>
      </c>
      <c r="AG4" s="76">
        <f>E6</f>
        <v>0.11663999999999999</v>
      </c>
    </row>
    <row r="5" spans="2:33" x14ac:dyDescent="0.3">
      <c r="B5" s="4" t="s">
        <v>6</v>
      </c>
      <c r="C5" s="54" t="str">
        <f>T8</f>
        <v>ATK</v>
      </c>
      <c r="D5" s="56"/>
      <c r="E5" s="74">
        <f>IF(C5=$T$3,(D5+1)*$U$3,IF(C5=$T$7,(D5+1)*$U$7,IF(C5=$T$8,(D5+1)*$U$8,IF(C5=$T$9,(D5+1)*$U$9,IF(C5=$T$10,(D5+1)*$U$10,IF(C5=$T$11,(D5+1)*$U$11,IF(C5=$T$12,(D5+1)*$U$12,IF(C5=$T$13,(D5+1)*$U$13,IF(C5=$T$14,(D5+1)*$U$14,IF(C5=$T$4,(D5+1)*$U$4,IF(C5=$T$5,(D5+1)*$U$5,IF(C5=$T$6,(D5+1)*$U$6))))))))))))</f>
        <v>3.8879999999999998E-2</v>
      </c>
      <c r="G5" s="10" t="s">
        <v>10</v>
      </c>
      <c r="H5" s="12">
        <f>Q5</f>
        <v>699</v>
      </c>
      <c r="I5" s="80">
        <f>SUMIF($AF$1:$AF$30,T5,$AG$1:$AG$30)</f>
        <v>352.8</v>
      </c>
      <c r="J5" s="81">
        <f>SUMIF($AF$1:$AF$30,T8,$AG$1:$AG$30)</f>
        <v>0.62639999999999996</v>
      </c>
      <c r="K5" s="37">
        <f t="shared" ref="K5:K7" si="2">(H5*(1+J5))+I5</f>
        <v>1489.6535999999999</v>
      </c>
      <c r="M5" s="4" t="s">
        <v>10</v>
      </c>
      <c r="N5" s="50">
        <v>635</v>
      </c>
      <c r="P5" s="4" t="s">
        <v>10</v>
      </c>
      <c r="Q5" s="50">
        <v>699</v>
      </c>
      <c r="T5" s="61" t="s">
        <v>61</v>
      </c>
      <c r="U5" s="49">
        <f t="shared" si="0"/>
        <v>19.051877000000001</v>
      </c>
      <c r="V5" s="64" t="str">
        <f t="shared" si="1"/>
        <v>Med</v>
      </c>
      <c r="W5" s="65">
        <v>16.934999999999999</v>
      </c>
      <c r="X5" s="49">
        <v>19.051877000000001</v>
      </c>
      <c r="Y5" s="62">
        <v>21.168754</v>
      </c>
      <c r="AF5" s="76" t="str">
        <f>C7</f>
        <v>CD</v>
      </c>
      <c r="AG5" s="76">
        <f>E7</f>
        <v>0.11663999999999999</v>
      </c>
    </row>
    <row r="6" spans="2:33" ht="15" thickBot="1" x14ac:dyDescent="0.35">
      <c r="B6" s="4" t="s">
        <v>7</v>
      </c>
      <c r="C6" s="54" t="str">
        <f>T13</f>
        <v>CR</v>
      </c>
      <c r="D6" s="56">
        <v>3</v>
      </c>
      <c r="E6" s="74">
        <f>IF(C6=$T$3,(D6+1)*$U$3,IF(C6=$T$7,(D6+1)*$U$7,IF(C6=$T$8,(D6+1)*$U$8,IF(C6=$T$9,(D6+1)*$U$9,IF(C6=$T$10,(D6+1)*$U$10,IF(C6=$T$11,(D6+1)*$U$11,IF(C6=$T$12,(D6+1)*$U$12,IF(C6=$T$13,(D6+1)*$U$13,IF(C6=$T$14,(D6+1)*$U$14,IF(C6=$T$4,(D6+1)*$U$4,IF(C6=$T$5,(D6+1)*$U$5,IF(C6=$T$6,(D6+1)*$U$6))))))))))))</f>
        <v>0.11663999999999999</v>
      </c>
      <c r="G6" s="10" t="s">
        <v>11</v>
      </c>
      <c r="H6" s="12">
        <f>Q6</f>
        <v>485</v>
      </c>
      <c r="I6" s="80">
        <f>SUMIF($AF$1:$AF$30,T6,$AG$1:$AG$30)</f>
        <v>0</v>
      </c>
      <c r="J6" s="81">
        <f>SUMIF($AF$1:$AF$30,T9,$AG$1:$AG$30)</f>
        <v>0</v>
      </c>
      <c r="K6" s="37">
        <f t="shared" si="2"/>
        <v>485</v>
      </c>
      <c r="M6" s="6" t="s">
        <v>11</v>
      </c>
      <c r="N6" s="51">
        <v>396</v>
      </c>
      <c r="P6" s="4" t="s">
        <v>11</v>
      </c>
      <c r="Q6" s="50">
        <f>485</f>
        <v>485</v>
      </c>
      <c r="T6" s="61" t="s">
        <v>75</v>
      </c>
      <c r="U6" s="49">
        <f t="shared" si="0"/>
        <v>19.051877000000001</v>
      </c>
      <c r="V6" s="64" t="str">
        <f t="shared" si="1"/>
        <v>Med</v>
      </c>
      <c r="W6" s="65">
        <v>16.934999999999999</v>
      </c>
      <c r="X6" s="49">
        <v>19.051877000000001</v>
      </c>
      <c r="Y6" s="62">
        <v>21.168754</v>
      </c>
      <c r="AF6" s="76" t="str">
        <f>C9</f>
        <v>ATK_</v>
      </c>
      <c r="AG6" s="76">
        <f>E9</f>
        <v>352.8</v>
      </c>
    </row>
    <row r="7" spans="2:33" ht="15" thickBot="1" x14ac:dyDescent="0.35">
      <c r="B7" s="6" t="s">
        <v>8</v>
      </c>
      <c r="C7" s="57" t="str">
        <f>T14</f>
        <v>CD</v>
      </c>
      <c r="D7" s="58">
        <v>1</v>
      </c>
      <c r="E7" s="74">
        <f>IF(C7=$T$3,(D7+1)*$U$3,IF(C7=$T$7,(D7+1)*$U$7,IF(C7=$T$8,(D7+1)*$U$8,IF(C7=$T$9,(D7+1)*$U$9,IF(C7=$T$10,(D7+1)*$U$10,IF(C7=$T$11,(D7+1)*$U$11,IF(C7=$T$12,(D7+1)*$U$12,IF(C7=$T$13,(D7+1)*$U$13,IF(C7=$T$14,(D7+1)*$U$14,IF(C7=$T$4,(D7+1)*$U$4,IF(C7=$T$5,(D7+1)*$U$5,IF(C7=$T$6,(D7+1)*$U$6))))))))))))</f>
        <v>0.11663999999999999</v>
      </c>
      <c r="G7" s="10" t="s">
        <v>15</v>
      </c>
      <c r="H7" s="12">
        <f>Q7</f>
        <v>114</v>
      </c>
      <c r="I7" s="80">
        <f>SUMIF($AF$1:$AF$30,T3,$AG$1:$AG$30)</f>
        <v>48.032000000000004</v>
      </c>
      <c r="J7" s="81"/>
      <c r="K7" s="37">
        <f t="shared" si="2"/>
        <v>162.03200000000001</v>
      </c>
      <c r="P7" s="4" t="s">
        <v>15</v>
      </c>
      <c r="Q7" s="50">
        <f>12+102</f>
        <v>114</v>
      </c>
      <c r="T7" s="46" t="s">
        <v>9</v>
      </c>
      <c r="U7" s="73">
        <f t="shared" si="0"/>
        <v>3.8879999999999998E-2</v>
      </c>
      <c r="V7" s="56" t="str">
        <f t="shared" si="1"/>
        <v>Med</v>
      </c>
      <c r="W7" s="27">
        <v>3.456E-2</v>
      </c>
      <c r="X7" s="3">
        <v>3.8879999999999998E-2</v>
      </c>
      <c r="Y7" s="24">
        <v>4.3200000000000002E-2</v>
      </c>
      <c r="Z7" s="1"/>
      <c r="AF7" s="76" t="str">
        <f>C10</f>
        <v>SPD</v>
      </c>
      <c r="AG7" s="76">
        <f>E10</f>
        <v>4.5999999999999996</v>
      </c>
    </row>
    <row r="8" spans="2:33" ht="15" thickBot="1" x14ac:dyDescent="0.35">
      <c r="B8" s="95" t="s">
        <v>1</v>
      </c>
      <c r="C8" s="96"/>
      <c r="D8" s="96"/>
      <c r="E8" s="97"/>
      <c r="G8" s="10"/>
      <c r="H8" s="4"/>
      <c r="I8" s="66"/>
      <c r="J8" s="68"/>
      <c r="K8" s="37"/>
      <c r="P8" s="67"/>
      <c r="Q8" s="68"/>
      <c r="T8" s="46" t="s">
        <v>10</v>
      </c>
      <c r="U8" s="73">
        <f t="shared" si="0"/>
        <v>3.8879999999999998E-2</v>
      </c>
      <c r="V8" s="56" t="str">
        <f t="shared" si="1"/>
        <v>Med</v>
      </c>
      <c r="W8" s="27">
        <v>3.456E-2</v>
      </c>
      <c r="X8" s="3">
        <v>3.8879999999999998E-2</v>
      </c>
      <c r="Y8" s="24">
        <v>4.3200000000000002E-2</v>
      </c>
      <c r="Z8" s="1"/>
      <c r="AF8" s="76" t="str">
        <f>C11</f>
        <v>atk</v>
      </c>
      <c r="AG8" s="76">
        <f>E11</f>
        <v>3.8879999999999998E-2</v>
      </c>
    </row>
    <row r="9" spans="2:33" x14ac:dyDescent="0.3">
      <c r="B9" s="12" t="s">
        <v>4</v>
      </c>
      <c r="C9" s="55" t="str">
        <f>T19</f>
        <v>ATK_</v>
      </c>
      <c r="D9" s="14"/>
      <c r="E9" s="31">
        <f>IF(C9=$T$17,$U$17,IF(C9=$T$18,$U$18,IF(C9=$T$19,$U$19,IF(C9=$T$20,$U$20,IF(C9=$T$21,$U$21,IF(C9=$T$22,$U$22,IF(C9=$T$23,$U$23,IF(C9=$T$24,$U$24,IF(C9=$T$25,$U$25,IF(C9=$T$26,$U$26,IF(C9=$T$27,$U$27,IF(C9=$T$28,$U$28,IF(C9=$T$29,$U$29)))))))))))))</f>
        <v>352.8</v>
      </c>
      <c r="G9" s="10" t="s">
        <v>23</v>
      </c>
      <c r="H9" s="82">
        <f>IF(Q9&lt;0.05,5%,Q9)</f>
        <v>0.05</v>
      </c>
      <c r="I9" s="66"/>
      <c r="J9" s="83">
        <f>SUMIF($AF$1:$AF$30,T13,$AG$1:$AG$30)</f>
        <v>0.69983999999999991</v>
      </c>
      <c r="K9" s="84">
        <f>J9+H9</f>
        <v>0.74983999999999995</v>
      </c>
      <c r="P9" s="4" t="s">
        <v>23</v>
      </c>
      <c r="Q9" s="52">
        <v>0.05</v>
      </c>
      <c r="T9" s="46" t="s">
        <v>11</v>
      </c>
      <c r="U9" s="73">
        <f t="shared" si="0"/>
        <v>4.8599999999999997E-2</v>
      </c>
      <c r="V9" s="56" t="str">
        <f t="shared" si="1"/>
        <v>Med</v>
      </c>
      <c r="W9" s="27">
        <v>4.3200000000000002E-2</v>
      </c>
      <c r="X9" s="3">
        <v>4.8599999999999997E-2</v>
      </c>
      <c r="Y9" s="24">
        <v>5.3999999999999999E-2</v>
      </c>
      <c r="Z9" s="1"/>
      <c r="AF9" s="76" t="str">
        <f>C12</f>
        <v>cr</v>
      </c>
      <c r="AG9" s="76">
        <f>E12</f>
        <v>0.11663999999999999</v>
      </c>
    </row>
    <row r="10" spans="2:33" x14ac:dyDescent="0.3">
      <c r="B10" s="4" t="s">
        <v>5</v>
      </c>
      <c r="C10" s="54" t="s">
        <v>15</v>
      </c>
      <c r="D10" s="56">
        <v>1</v>
      </c>
      <c r="E10" s="74">
        <f>IF(C10=$T$3,(D10+1)*$U$3,IF(C10=$T$7,(D10+1)*$U$7,IF(C10=$T$8,(D10+1)*$U$8,IF(C10=$T$9,(D10+1)*$U$9,IF(C10=$T$10,(D10+1)*$U$10,IF(C10=$T$11,(D10+1)*$U$11,IF(C10=$T$12,(D10+1)*$U$12,IF(C10=$T$13,(D10+1)*$U$13,IF(C10=$T$14,(D10+1)*$U$14,IF(C10=$T$4,(D10+1)*$U$4,IF(C10=$T$5,(D10+1)*$U$5,IF(C10=$T$6,(D10+1)*$U$6))))))))))))</f>
        <v>4.5999999999999996</v>
      </c>
      <c r="G10" s="10" t="s">
        <v>22</v>
      </c>
      <c r="H10" s="82">
        <f>IF(Q10&lt;0.5,5%,Q10)</f>
        <v>0.5</v>
      </c>
      <c r="I10" s="66"/>
      <c r="J10" s="83">
        <f>SUMIF($AF$1:$AF$30,T14,$AG$1:$AG$30)</f>
        <v>1.3478400000000001</v>
      </c>
      <c r="K10" s="84">
        <f>J10+H10</f>
        <v>1.8478400000000001</v>
      </c>
      <c r="P10" s="4" t="s">
        <v>22</v>
      </c>
      <c r="Q10" s="52">
        <v>0.5</v>
      </c>
      <c r="T10" s="46" t="s">
        <v>62</v>
      </c>
      <c r="U10" s="73">
        <f t="shared" si="0"/>
        <v>5.8319999999999997E-2</v>
      </c>
      <c r="V10" s="56" t="str">
        <f t="shared" si="1"/>
        <v>Med</v>
      </c>
      <c r="W10" s="27">
        <v>5.1839999999999997E-2</v>
      </c>
      <c r="X10" s="3">
        <v>5.8319999999999997E-2</v>
      </c>
      <c r="Y10" s="24">
        <v>6.4799999999999996E-2</v>
      </c>
      <c r="Z10" s="1"/>
      <c r="AF10" s="76" t="str">
        <f>C13</f>
        <v>cd</v>
      </c>
      <c r="AG10" s="76">
        <f>E13</f>
        <v>0.11663999999999999</v>
      </c>
    </row>
    <row r="11" spans="2:33" x14ac:dyDescent="0.3">
      <c r="B11" s="4" t="s">
        <v>6</v>
      </c>
      <c r="C11" s="54" t="s">
        <v>47</v>
      </c>
      <c r="D11" s="56"/>
      <c r="E11" s="74">
        <f>IF(C11=$T$3,(D11+1)*$U$3,IF(C11=$T$7,(D11+1)*$U$7,IF(C11=$T$8,(D11+1)*$U$8,IF(C11=$T$9,(D11+1)*$U$9,IF(C11=$T$10,(D11+1)*$U$10,IF(C11=$T$11,(D11+1)*$U$11,IF(C11=$T$12,(D11+1)*$U$12,IF(C11=$T$13,(D11+1)*$U$13,IF(C11=$T$14,(D11+1)*$U$14,IF(C11=$T$4,(D11+1)*$U$4,IF(C11=$T$5,(D11+1)*$U$5,IF(C11=$T$6,(D11+1)*$U$6))))))))))))</f>
        <v>3.8879999999999998E-2</v>
      </c>
      <c r="G11" s="10" t="s">
        <v>24</v>
      </c>
      <c r="H11" s="82">
        <f>Q11</f>
        <v>0</v>
      </c>
      <c r="I11" s="66"/>
      <c r="J11" s="83">
        <f>SUMIF($AF$1:$AF$30,T10,$AG$1:$AG$30)</f>
        <v>0.17496</v>
      </c>
      <c r="K11" s="84">
        <f t="shared" ref="K11" si="3">J11+H11</f>
        <v>0.17496</v>
      </c>
      <c r="P11" s="4" t="s">
        <v>24</v>
      </c>
      <c r="Q11" s="52">
        <v>0</v>
      </c>
      <c r="T11" s="46" t="s">
        <v>26</v>
      </c>
      <c r="U11" s="73">
        <f t="shared" si="0"/>
        <v>3.8879999999999998E-2</v>
      </c>
      <c r="V11" s="56" t="str">
        <f t="shared" si="1"/>
        <v>Med</v>
      </c>
      <c r="W11" s="27">
        <v>3.456E-2</v>
      </c>
      <c r="X11" s="3">
        <v>3.8879999999999998E-2</v>
      </c>
      <c r="Y11" s="24">
        <v>4.3200000000000002E-2</v>
      </c>
      <c r="Z11" s="1"/>
      <c r="AF11" s="76" t="str">
        <f>C15</f>
        <v>CD</v>
      </c>
      <c r="AG11" s="76">
        <f>E15</f>
        <v>0.64800000000000002</v>
      </c>
    </row>
    <row r="12" spans="2:33" x14ac:dyDescent="0.3">
      <c r="B12" s="4" t="s">
        <v>7</v>
      </c>
      <c r="C12" s="54" t="s">
        <v>48</v>
      </c>
      <c r="D12" s="56">
        <v>3</v>
      </c>
      <c r="E12" s="74">
        <f>IF(C12=$T$3,(D12+1)*$U$3,IF(C12=$T$7,(D12+1)*$U$7,IF(C12=$T$8,(D12+1)*$U$8,IF(C12=$T$9,(D12+1)*$U$9,IF(C12=$T$10,(D12+1)*$U$10,IF(C12=$T$11,(D12+1)*$U$11,IF(C12=$T$12,(D12+1)*$U$12,IF(C12=$T$13,(D12+1)*$U$13,IF(C12=$T$14,(D12+1)*$U$14,IF(C12=$T$4,(D12+1)*$U$4,IF(C12=$T$5,(D12+1)*$U$5,IF(C12=$T$6,(D12+1)*$U$6))))))))))))</f>
        <v>0.11663999999999999</v>
      </c>
      <c r="G12" s="10" t="s">
        <v>58</v>
      </c>
      <c r="H12" s="82">
        <f>Q12</f>
        <v>0</v>
      </c>
      <c r="I12" s="66"/>
      <c r="J12" s="83">
        <f>SUMIF($AF$1:$AF$30,T26,$AG$1:$AG$30)</f>
        <v>0</v>
      </c>
      <c r="K12" s="84"/>
      <c r="P12" s="4" t="s">
        <v>58</v>
      </c>
      <c r="Q12" s="52">
        <v>0</v>
      </c>
      <c r="T12" s="46" t="s">
        <v>67</v>
      </c>
      <c r="U12" s="73">
        <f t="shared" si="0"/>
        <v>3.8879999999999998E-2</v>
      </c>
      <c r="V12" s="56" t="str">
        <f t="shared" si="1"/>
        <v>Med</v>
      </c>
      <c r="W12" s="27">
        <v>3.456E-2</v>
      </c>
      <c r="X12" s="3">
        <v>3.8879999999999998E-2</v>
      </c>
      <c r="Y12" s="24">
        <v>4.3200000000000002E-2</v>
      </c>
      <c r="Z12" s="1"/>
      <c r="AF12" s="76" t="str">
        <f>C16</f>
        <v>SPD</v>
      </c>
      <c r="AG12" s="76">
        <f>E16</f>
        <v>4.5999999999999996</v>
      </c>
    </row>
    <row r="13" spans="2:33" ht="15" thickBot="1" x14ac:dyDescent="0.35">
      <c r="B13" s="6" t="s">
        <v>8</v>
      </c>
      <c r="C13" s="57" t="s">
        <v>49</v>
      </c>
      <c r="D13" s="58">
        <v>1</v>
      </c>
      <c r="E13" s="74">
        <f>IF(C13=$T$3,(D13+1)*$U$3,IF(C13=$T$7,(D13+1)*$U$7,IF(C13=$T$8,(D13+1)*$U$8,IF(C13=$T$9,(D13+1)*$U$9,IF(C13=$T$10,(D13+1)*$U$10,IF(C13=$T$11,(D13+1)*$U$11,IF(C13=$T$12,(D13+1)*$U$12,IF(C13=$T$13,(D13+1)*$U$13,IF(C13=$T$14,(D13+1)*$U$14,IF(C13=$T$4,(D13+1)*$U$4,IF(C13=$T$5,(D13+1)*$U$5,IF(C13=$T$6,(D13+1)*$U$6))))))))))))</f>
        <v>0.11663999999999999</v>
      </c>
      <c r="G13" s="10" t="s">
        <v>66</v>
      </c>
      <c r="H13" s="82">
        <f>IF(Q13&lt;1,100%,Q13)</f>
        <v>1.2</v>
      </c>
      <c r="I13" s="66"/>
      <c r="J13" s="83">
        <f>SUMIF($AF$1:$AF$30,T25,$AG$1:$AG$30)</f>
        <v>0.19439400000000001</v>
      </c>
      <c r="K13" s="84">
        <f>J13+H13</f>
        <v>1.3943939999999999</v>
      </c>
      <c r="P13" s="4" t="s">
        <v>25</v>
      </c>
      <c r="Q13" s="52">
        <v>1.2</v>
      </c>
      <c r="T13" s="46" t="s">
        <v>45</v>
      </c>
      <c r="U13" s="73">
        <f t="shared" si="0"/>
        <v>2.9159999999999998E-2</v>
      </c>
      <c r="V13" s="56" t="str">
        <f t="shared" si="1"/>
        <v>Med</v>
      </c>
      <c r="W13" s="27">
        <v>2.5919999999999999E-2</v>
      </c>
      <c r="X13" s="3">
        <v>2.9159999999999998E-2</v>
      </c>
      <c r="Y13" s="24">
        <v>3.2399999999999998E-2</v>
      </c>
      <c r="Z13" s="1"/>
      <c r="AF13" s="76" t="str">
        <f>C17</f>
        <v>atk</v>
      </c>
      <c r="AG13" s="76">
        <f>E17</f>
        <v>3.8879999999999998E-2</v>
      </c>
    </row>
    <row r="14" spans="2:33" ht="15" thickBot="1" x14ac:dyDescent="0.35">
      <c r="B14" s="95" t="s">
        <v>2</v>
      </c>
      <c r="C14" s="96"/>
      <c r="D14" s="96"/>
      <c r="E14" s="97"/>
      <c r="G14" s="11" t="s">
        <v>26</v>
      </c>
      <c r="H14" s="85">
        <f>Q14</f>
        <v>0</v>
      </c>
      <c r="I14" s="69"/>
      <c r="J14" s="86">
        <f>SUMIF($AF$1:$AF$30,T11,$AG$1:$AG$30)</f>
        <v>0</v>
      </c>
      <c r="K14" s="87">
        <f>J14+H14</f>
        <v>0</v>
      </c>
      <c r="P14" s="6" t="s">
        <v>26</v>
      </c>
      <c r="Q14" s="53">
        <v>0</v>
      </c>
      <c r="T14" s="47" t="s">
        <v>44</v>
      </c>
      <c r="U14" s="75">
        <f t="shared" si="0"/>
        <v>5.8319999999999997E-2</v>
      </c>
      <c r="V14" s="58" t="str">
        <f t="shared" si="1"/>
        <v>Med</v>
      </c>
      <c r="W14" s="28">
        <v>5.1839999999999997E-2</v>
      </c>
      <c r="X14" s="63">
        <v>5.8319999999999997E-2</v>
      </c>
      <c r="Y14" s="26">
        <v>6.4799999999999996E-2</v>
      </c>
      <c r="Z14" s="1"/>
      <c r="AF14" s="76" t="str">
        <f>C18</f>
        <v>cr</v>
      </c>
      <c r="AG14" s="76">
        <f>E18</f>
        <v>0.14579999999999999</v>
      </c>
    </row>
    <row r="15" spans="2:33" ht="15" thickBot="1" x14ac:dyDescent="0.35">
      <c r="B15" s="12" t="s">
        <v>4</v>
      </c>
      <c r="C15" s="55" t="str">
        <f>T29</f>
        <v>CD</v>
      </c>
      <c r="D15" s="14"/>
      <c r="E15" s="31">
        <f>IF(C15=$T$17,$U$17,IF(C15=$T$18,$U$18,IF(C15=$T$19,$U$19,IF(C15=$T$20,$U$20,IF(C15=$T$21,$U$21,IF(C15=$T$22,$U$22,IF(C15=$T$23,$U$23,IF(C15=$T$24,$U$24,IF(C15=$T$25,$U$25,IF(C15=$T$26,$U$26,IF(C15=$T$27,$U$27,IF(C15=$T$28,$U$28,IF(C15=$T$29,$U$29)))))))))))))</f>
        <v>0.64800000000000002</v>
      </c>
      <c r="Z15" s="1"/>
      <c r="AF15" s="76" t="str">
        <f>C19</f>
        <v>be</v>
      </c>
      <c r="AG15" s="76">
        <f>E19</f>
        <v>5.8319999999999997E-2</v>
      </c>
    </row>
    <row r="16" spans="2:33" ht="15" thickBot="1" x14ac:dyDescent="0.35">
      <c r="B16" s="4" t="s">
        <v>5</v>
      </c>
      <c r="C16" s="54" t="s">
        <v>15</v>
      </c>
      <c r="D16" s="56">
        <v>1</v>
      </c>
      <c r="E16" s="74">
        <f>IF(C16=$T$3,(D16+1)*$U$3,IF(C16=$T$7,(D16+1)*$U$7,IF(C16=$T$8,(D16+1)*$U$8,IF(C16=$T$9,(D16+1)*$U$9,IF(C16=$T$10,(D16+1)*$U$10,IF(C16=$T$11,(D16+1)*$U$11,IF(C16=$T$12,(D16+1)*$U$12,IF(C16=$T$13,(D16+1)*$U$13,IF(C16=$T$14,(D16+1)*$U$14,IF(C16=$T$4,(D16+1)*$U$4,IF(C16=$T$5,(D16+1)*$U$5,IF(C16=$T$6,(D16+1)*$U$6))))))))))))</f>
        <v>4.5999999999999996</v>
      </c>
      <c r="T16" s="16" t="s">
        <v>16</v>
      </c>
      <c r="U16" s="30" t="s">
        <v>32</v>
      </c>
      <c r="V16" s="16" t="s">
        <v>27</v>
      </c>
      <c r="W16" s="30" t="s">
        <v>31</v>
      </c>
      <c r="Z16" s="1"/>
      <c r="AF16" s="76" t="str">
        <f>C21</f>
        <v>SPD</v>
      </c>
      <c r="AG16" s="76">
        <f>E21</f>
        <v>25.032</v>
      </c>
    </row>
    <row r="17" spans="2:33" x14ac:dyDescent="0.3">
      <c r="B17" s="4" t="s">
        <v>6</v>
      </c>
      <c r="C17" s="54" t="s">
        <v>47</v>
      </c>
      <c r="D17" s="56"/>
      <c r="E17" s="74">
        <f>IF(C17=$T$3,(D17+1)*$U$3,IF(C17=$T$7,(D17+1)*$U$7,IF(C17=$T$8,(D17+1)*$U$8,IF(C17=$T$9,(D17+1)*$U$9,IF(C17=$T$10,(D17+1)*$U$10,IF(C17=$T$11,(D17+1)*$U$11,IF(C17=$T$12,(D17+1)*$U$12,IF(C17=$T$13,(D17+1)*$U$13,IF(C17=$T$14,(D17+1)*$U$14,IF(C17=$T$4,(D17+1)*$U$4,IF(C17=$T$5,(D17+1)*$U$5,IF(C17=$T$6,(D17+1)*$U$6))))))))))))</f>
        <v>3.8879999999999998E-2</v>
      </c>
      <c r="L17" s="1"/>
      <c r="R17" s="1"/>
      <c r="S17" s="1"/>
      <c r="T17" s="48" t="s">
        <v>15</v>
      </c>
      <c r="U17" s="31">
        <v>25.032</v>
      </c>
      <c r="V17" s="48">
        <v>4.032</v>
      </c>
      <c r="W17" s="31">
        <v>1.4</v>
      </c>
      <c r="Z17" s="1"/>
      <c r="AF17" s="76" t="str">
        <f>C22</f>
        <v>Be</v>
      </c>
      <c r="AG17" s="76">
        <f>E22</f>
        <v>5.8319999999999997E-2</v>
      </c>
    </row>
    <row r="18" spans="2:33" x14ac:dyDescent="0.3">
      <c r="B18" s="4" t="s">
        <v>7</v>
      </c>
      <c r="C18" s="54" t="s">
        <v>48</v>
      </c>
      <c r="D18" s="56">
        <v>4</v>
      </c>
      <c r="E18" s="74">
        <f>IF(C18=$T$3,(D18+1)*$U$3,IF(C18=$T$7,(D18+1)*$U$7,IF(C18=$T$8,(D18+1)*$U$8,IF(C18=$T$9,(D18+1)*$U$9,IF(C18=$T$10,(D18+1)*$U$10,IF(C18=$T$11,(D18+1)*$U$11,IF(C18=$T$12,(D18+1)*$U$12,IF(C18=$T$13,(D18+1)*$U$13,IF(C18=$T$14,(D18+1)*$U$14,IF(C18=$T$4,(D18+1)*$U$4,IF(C18=$T$5,(D18+1)*$U$5,IF(C18=$T$6,(D18+1)*$U$6))))))))))))</f>
        <v>0.14579999999999999</v>
      </c>
      <c r="R18" s="1"/>
      <c r="S18" s="1"/>
      <c r="T18" s="4" t="s">
        <v>60</v>
      </c>
      <c r="U18" s="74">
        <v>705.6</v>
      </c>
      <c r="V18" s="4">
        <v>112.896</v>
      </c>
      <c r="W18" s="74">
        <v>39.513599999999997</v>
      </c>
      <c r="Z18" s="1"/>
      <c r="AF18" s="76" t="str">
        <f>C23</f>
        <v>atk</v>
      </c>
      <c r="AG18" s="76">
        <f>E23</f>
        <v>3.8879999999999998E-2</v>
      </c>
    </row>
    <row r="19" spans="2:33" ht="15" thickBot="1" x14ac:dyDescent="0.35">
      <c r="B19" s="6" t="s">
        <v>8</v>
      </c>
      <c r="C19" s="57" t="s">
        <v>72</v>
      </c>
      <c r="D19" s="58"/>
      <c r="E19" s="74">
        <f>IF(C19=$T$3,(D19+1)*$U$3,IF(C19=$T$7,(D19+1)*$U$7,IF(C19=$T$8,(D19+1)*$U$8,IF(C19=$T$9,(D19+1)*$U$9,IF(C19=$T$10,(D19+1)*$U$10,IF(C19=$T$11,(D19+1)*$U$11,IF(C19=$T$12,(D19+1)*$U$12,IF(C19=$T$13,(D19+1)*$U$13,IF(C19=$T$14,(D19+1)*$U$14,IF(C19=$T$4,(D19+1)*$U$4,IF(C19=$T$5,(D19+1)*$U$5,IF(C19=$T$6,(D19+1)*$U$6))))))))))))</f>
        <v>5.8319999999999997E-2</v>
      </c>
      <c r="R19" s="1"/>
      <c r="S19" s="1"/>
      <c r="T19" s="4" t="s">
        <v>61</v>
      </c>
      <c r="U19" s="74">
        <v>352.8</v>
      </c>
      <c r="V19" s="4">
        <v>56.448</v>
      </c>
      <c r="W19" s="74">
        <v>19.756799999999998</v>
      </c>
      <c r="Z19" s="1"/>
      <c r="AF19" s="76" t="str">
        <f>C24</f>
        <v>cr</v>
      </c>
      <c r="AG19" s="76">
        <f>E24</f>
        <v>0.11663999999999999</v>
      </c>
    </row>
    <row r="20" spans="2:33" ht="15" thickBot="1" x14ac:dyDescent="0.35">
      <c r="B20" s="95" t="s">
        <v>3</v>
      </c>
      <c r="C20" s="96"/>
      <c r="D20" s="96"/>
      <c r="E20" s="97"/>
      <c r="G20" s="95" t="s">
        <v>20</v>
      </c>
      <c r="H20" s="96"/>
      <c r="I20" s="96"/>
      <c r="J20" s="97"/>
      <c r="L20" s="95" t="s">
        <v>21</v>
      </c>
      <c r="M20" s="96"/>
      <c r="N20" s="96"/>
      <c r="O20" s="97"/>
      <c r="R20" s="1"/>
      <c r="S20" s="1"/>
      <c r="T20" s="4" t="s">
        <v>9</v>
      </c>
      <c r="U20" s="24">
        <v>0.432</v>
      </c>
      <c r="V20" s="27">
        <v>6.9120000000000001E-2</v>
      </c>
      <c r="W20" s="24">
        <v>2.4192000000000002E-2</v>
      </c>
      <c r="Z20" s="1"/>
      <c r="AF20" s="76" t="str">
        <f>C25</f>
        <v>cd</v>
      </c>
      <c r="AG20" s="76">
        <f>E25</f>
        <v>0.17496</v>
      </c>
    </row>
    <row r="21" spans="2:33" x14ac:dyDescent="0.3">
      <c r="B21" s="12" t="s">
        <v>4</v>
      </c>
      <c r="C21" s="55" t="str">
        <f>T17</f>
        <v>SPD</v>
      </c>
      <c r="D21" s="14"/>
      <c r="E21" s="31">
        <f>IF(C21=$T$17,$U$17,IF(C21=$T$18,$U$18,IF(C21=$T$19,$U$19,IF(C21=$T$20,$U$20,IF(C21=$T$21,$U$21,IF(C21=$T$22,$U$22,IF(C21=$T$23,$U$23,IF(C21=$T$24,$U$24,IF(C21=$T$25,$U$25,IF(C21=$T$26,$U$26,IF(C21=$T$27,$U$27,IF(C21=$T$28,$U$28,IF(C21=$T$29,$U$29)))))))))))))</f>
        <v>25.032</v>
      </c>
      <c r="G21" s="12" t="s">
        <v>4</v>
      </c>
      <c r="H21" s="55" t="str">
        <f>T25</f>
        <v>ERR</v>
      </c>
      <c r="I21" s="14"/>
      <c r="J21" s="31">
        <f>IF(H21=$T$17,$U$17,IF(H21=$T$18,$U$18,IF(H21=$T$19,$U$19,IF(H21=$T$20,$U$20,IF(H21=$T$21,$U$21,IF(H21=$T$22,$U$22,IF(H21=$T$23,$U$23,IF(H21=$T$24,$U$24,IF(H21=$T$25,$U$25,IF(H21=$T$26,$U$26,IF(H21=$T$27,$U$27,IF(H21=$T$28,$U$28,IF(H21=$T$29,$U$29)))))))))))))</f>
        <v>0.19439400000000001</v>
      </c>
      <c r="L21" s="12" t="s">
        <v>4</v>
      </c>
      <c r="M21" s="55" t="str">
        <f>T21</f>
        <v>ATK</v>
      </c>
      <c r="N21" s="14"/>
      <c r="O21" s="31">
        <f>IF(M21=$T$17,$U$17,IF(M21=$T$18,$U$18,IF(M21=$T$19,$U$19,IF(M21=$T$20,$U$20,IF(M21=$T$21,$U$21,IF(M21=$T$22,$U$22,IF(M21=$T$23,$U$23,IF(M21=$T$24,$U$24,IF(M21=$T$25,$U$25,IF(M21=$T$26,$U$26,IF(M21=$T$27,$U$27,IF(M21=$T$28,$U$28,IF(M21=$T$29,$U$29)))))))))))))</f>
        <v>0.432</v>
      </c>
      <c r="T21" s="4" t="s">
        <v>10</v>
      </c>
      <c r="U21" s="24">
        <v>0.432</v>
      </c>
      <c r="V21" s="27">
        <v>6.9120000000000001E-2</v>
      </c>
      <c r="W21" s="24">
        <v>2.4192000000000002E-2</v>
      </c>
      <c r="Z21" s="1"/>
      <c r="AF21" s="76" t="str">
        <f>H21</f>
        <v>ERR</v>
      </c>
      <c r="AG21" s="76">
        <f>J21</f>
        <v>0.19439400000000001</v>
      </c>
    </row>
    <row r="22" spans="2:33" x14ac:dyDescent="0.3">
      <c r="B22" s="4" t="s">
        <v>5</v>
      </c>
      <c r="C22" s="54" t="s">
        <v>73</v>
      </c>
      <c r="D22" s="56"/>
      <c r="E22" s="74">
        <f>IF(C22=$T$3,(D22+1)*$U$3,IF(C22=$T$7,(D22+1)*$U$7,IF(C22=$T$8,(D22+1)*$U$8,IF(C22=$T$9,(D22+1)*$U$9,IF(C22=$T$10,(D22+1)*$U$10,IF(C22=$T$11,(D22+1)*$U$11,IF(C22=$T$12,(D22+1)*$U$12,IF(C22=$T$13,(D22+1)*$U$13,IF(C22=$T$14,(D22+1)*$U$14,IF(C22=$T$4,(D22+1)*$U$4,IF(C22=$T$5,(D22+1)*$U$5,IF(C22=$T$6,(D22+1)*$U$6))))))))))))</f>
        <v>5.8319999999999997E-2</v>
      </c>
      <c r="G22" s="4" t="s">
        <v>5</v>
      </c>
      <c r="H22" s="54" t="s">
        <v>37</v>
      </c>
      <c r="I22" s="56">
        <v>1</v>
      </c>
      <c r="J22" s="74">
        <f>IF(H22=$T$3,(I22+1)*$U$3,IF(H22=$T$7,(I22+1)*$U$7,IF(H22=$T$8,(I22+1)*$U$8,IF(H22=$T$9,(I22+1)*$U$9,IF(H22=$T$10,(I22+1)*$U$10,IF(H22=$T$11,(I22+1)*$U$11,IF(H22=$T$12,(I22+1)*$U$12,IF(H22=$T$13,(I22+1)*$U$13,IF(H22=$T$14,(I22+1)*$U$14,IF(H22=$T$4,(I22+1)*$U$4,IF(H22=$T$5,(I22+1)*$U$5,IF(H22=$T$6,(I22+1)*$U$6))))))))))))</f>
        <v>4.5999999999999996</v>
      </c>
      <c r="L22" s="4" t="s">
        <v>5</v>
      </c>
      <c r="M22" s="54" t="s">
        <v>37</v>
      </c>
      <c r="N22" s="56">
        <v>1</v>
      </c>
      <c r="O22" s="74">
        <f>IF(M22=$T$3,(N22+1)*$U$3,IF(M22=$T$7,(N22+1)*$U$7,IF(M22=$T$8,(N22+1)*$U$8,IF(M22=$T$9,(N22+1)*$U$9,IF(M22=$T$10,(N22+1)*$U$10,IF(M22=$T$11,(N22+1)*$U$11,IF(M22=$T$12,(N22+1)*$U$12,IF(M22=$T$13,(N22+1)*$U$13,IF(M22=$T$14,(N22+1)*$U$14,IF(M22=$T$4,(N22+1)*$U$4,IF(M22=$T$5,(N22+1)*$U$5,IF(M22=$T$6,(N22+1)*$U$6))))))))))))</f>
        <v>4.5999999999999996</v>
      </c>
      <c r="T22" s="4" t="s">
        <v>11</v>
      </c>
      <c r="U22" s="25">
        <v>0.54</v>
      </c>
      <c r="V22" s="27">
        <v>8.6400000000000005E-2</v>
      </c>
      <c r="W22" s="24">
        <v>3.024E-2</v>
      </c>
      <c r="Z22" s="1"/>
      <c r="AF22" s="76" t="str">
        <f>H22</f>
        <v>spd</v>
      </c>
      <c r="AG22" s="76">
        <f>J22</f>
        <v>4.5999999999999996</v>
      </c>
    </row>
    <row r="23" spans="2:33" x14ac:dyDescent="0.3">
      <c r="B23" s="4" t="s">
        <v>6</v>
      </c>
      <c r="C23" s="54" t="s">
        <v>47</v>
      </c>
      <c r="D23" s="56"/>
      <c r="E23" s="74">
        <f>IF(C23=$T$3,(D23+1)*$U$3,IF(C23=$T$7,(D23+1)*$U$7,IF(C23=$T$8,(D23+1)*$U$8,IF(C23=$T$9,(D23+1)*$U$9,IF(C23=$T$10,(D23+1)*$U$10,IF(C23=$T$11,(D23+1)*$U$11,IF(C23=$T$12,(D23+1)*$U$12,IF(C23=$T$13,(D23+1)*$U$13,IF(C23=$T$14,(D23+1)*$U$14,IF(C23=$T$4,(D23+1)*$U$4,IF(C23=$T$5,(D23+1)*$U$5,IF(C23=$T$6,(D23+1)*$U$6))))))))))))</f>
        <v>3.8879999999999998E-2</v>
      </c>
      <c r="G23" s="4" t="s">
        <v>6</v>
      </c>
      <c r="H23" s="54" t="s">
        <v>47</v>
      </c>
      <c r="I23" s="56"/>
      <c r="J23" s="74">
        <f>IF(H23=$T$3,(I23+1)*$U$3,IF(H23=$T$7,(I23+1)*$U$7,IF(H23=$T$8,(I23+1)*$U$8,IF(H23=$T$9,(I23+1)*$U$9,IF(H23=$T$10,(I23+1)*$U$10,IF(H23=$T$11,(I23+1)*$U$11,IF(H23=$T$12,(I23+1)*$U$12,IF(H23=$T$13,(I23+1)*$U$13,IF(H23=$T$14,(I23+1)*$U$14,IF(H23=$T$4,(I23+1)*$U$4,IF(H23=$T$5,(I23+1)*$U$5,IF(H23=$T$6,(I23+1)*$U$6))))))))))))</f>
        <v>3.8879999999999998E-2</v>
      </c>
      <c r="L23" s="4" t="s">
        <v>6</v>
      </c>
      <c r="M23" s="54" t="s">
        <v>72</v>
      </c>
      <c r="N23" s="56"/>
      <c r="O23" s="74">
        <f>IF(M23=$T$3,(N23+1)*$U$3,IF(M23=$T$7,(N23+1)*$U$7,IF(M23=$T$8,(N23+1)*$U$8,IF(M23=$T$9,(N23+1)*$U$9,IF(M23=$T$10,(N23+1)*$U$10,IF(M23=$T$11,(N23+1)*$U$11,IF(M23=$T$12,(N23+1)*$U$12,IF(M23=$T$13,(N23+1)*$U$13,IF(M23=$T$14,(N23+1)*$U$14,IF(M23=$T$4,(N23+1)*$U$4,IF(M23=$T$5,(N23+1)*$U$5,IF(M23=$T$6,(N23+1)*$U$6))))))))))))</f>
        <v>5.8319999999999997E-2</v>
      </c>
      <c r="T23" s="4" t="s">
        <v>62</v>
      </c>
      <c r="U23" s="24">
        <v>0.64800000000000002</v>
      </c>
      <c r="V23" s="27">
        <v>0.10367999999999999</v>
      </c>
      <c r="W23" s="24">
        <v>3.6276999999999997E-2</v>
      </c>
      <c r="AF23" s="76" t="str">
        <f>H23</f>
        <v>atk</v>
      </c>
      <c r="AG23" s="76">
        <f>J23</f>
        <v>3.8879999999999998E-2</v>
      </c>
    </row>
    <row r="24" spans="2:33" x14ac:dyDescent="0.3">
      <c r="B24" s="4" t="s">
        <v>7</v>
      </c>
      <c r="C24" s="54" t="s">
        <v>48</v>
      </c>
      <c r="D24" s="56">
        <v>3</v>
      </c>
      <c r="E24" s="74">
        <f>IF(C24=$T$3,(D24+1)*$U$3,IF(C24=$T$7,(D24+1)*$U$7,IF(C24=$T$8,(D24+1)*$U$8,IF(C24=$T$9,(D24+1)*$U$9,IF(C24=$T$10,(D24+1)*$U$10,IF(C24=$T$11,(D24+1)*$U$11,IF(C24=$T$12,(D24+1)*$U$12,IF(C24=$T$13,(D24+1)*$U$13,IF(C24=$T$14,(D24+1)*$U$14,IF(C24=$T$4,(D24+1)*$U$4,IF(C24=$T$5,(D24+1)*$U$5,IF(C24=$T$6,(D24+1)*$U$6))))))))))))</f>
        <v>0.11663999999999999</v>
      </c>
      <c r="G24" s="4" t="s">
        <v>7</v>
      </c>
      <c r="H24" s="54" t="s">
        <v>48</v>
      </c>
      <c r="I24" s="56">
        <v>2</v>
      </c>
      <c r="J24" s="74">
        <f>IF(H24=$T$3,(I24+1)*$U$3,IF(H24=$T$7,(I24+1)*$U$7,IF(H24=$T$8,(I24+1)*$U$8,IF(H24=$T$9,(I24+1)*$U$9,IF(H24=$T$10,(I24+1)*$U$10,IF(H24=$T$11,(I24+1)*$U$11,IF(H24=$T$12,(I24+1)*$U$12,IF(H24=$T$13,(I24+1)*$U$13,IF(H24=$T$14,(I24+1)*$U$14,IF(H24=$T$4,(I24+1)*$U$4,IF(H24=$T$5,(I24+1)*$U$5,IF(H24=$T$6,(I24+1)*$U$6))))))))))))</f>
        <v>8.7480000000000002E-2</v>
      </c>
      <c r="L24" s="4" t="s">
        <v>7</v>
      </c>
      <c r="M24" s="54" t="s">
        <v>48</v>
      </c>
      <c r="N24" s="56">
        <v>3</v>
      </c>
      <c r="O24" s="74">
        <f>IF(M24=$T$3,(N24+1)*$U$3,IF(M24=$T$7,(N24+1)*$U$7,IF(M24=$T$8,(N24+1)*$U$8,IF(M24=$T$9,(N24+1)*$U$9,IF(M24=$T$10,(N24+1)*$U$10,IF(M24=$T$11,(N24+1)*$U$11,IF(M24=$T$12,(N24+1)*$U$12,IF(M24=$T$13,(N24+1)*$U$13,IF(M24=$T$14,(N24+1)*$U$14,IF(M24=$T$4,(N24+1)*$U$4,IF(M24=$T$5,(N24+1)*$U$5,IF(M24=$T$6,(N24+1)*$U$6))))))))))))</f>
        <v>0.11663999999999999</v>
      </c>
      <c r="T24" s="4" t="s">
        <v>26</v>
      </c>
      <c r="U24" s="24">
        <v>0.432</v>
      </c>
      <c r="V24" s="27">
        <v>6.9120000000000001E-2</v>
      </c>
      <c r="W24" s="24">
        <v>2.4192000000000002E-2</v>
      </c>
      <c r="AF24" s="76" t="str">
        <f>H24</f>
        <v>cr</v>
      </c>
      <c r="AG24" s="76">
        <f>J24</f>
        <v>8.7480000000000002E-2</v>
      </c>
    </row>
    <row r="25" spans="2:33" ht="15" thickBot="1" x14ac:dyDescent="0.35">
      <c r="B25" s="6" t="s">
        <v>8</v>
      </c>
      <c r="C25" s="57" t="s">
        <v>49</v>
      </c>
      <c r="D25" s="58">
        <v>2</v>
      </c>
      <c r="E25" s="74">
        <f>IF(C25=$T$3,(D25+1)*$U$3,IF(C25=$T$7,(D25+1)*$U$7,IF(C25=$T$8,(D25+1)*$U$8,IF(C25=$T$9,(D25+1)*$U$9,IF(C25=$T$10,(D25+1)*$U$10,IF(C25=$T$11,(D25+1)*$U$11,IF(C25=$T$12,(D25+1)*$U$12,IF(C25=$T$13,(D25+1)*$U$13,IF(C25=$T$14,(D25+1)*$U$14,IF(C25=$T$4,(D25+1)*$U$4,IF(C25=$T$5,(D25+1)*$U$5,IF(C25=$T$6,(D25+1)*$U$6))))))))))))</f>
        <v>0.17496</v>
      </c>
      <c r="G25" s="6" t="s">
        <v>8</v>
      </c>
      <c r="H25" s="57" t="s">
        <v>49</v>
      </c>
      <c r="I25" s="58">
        <v>2</v>
      </c>
      <c r="J25" s="74">
        <f>IF(H25=$T$3,(I25+1)*$U$3,IF(H25=$T$7,(I25+1)*$U$7,IF(H25=$T$8,(I25+1)*$U$8,IF(H25=$T$9,(I25+1)*$U$9,IF(H25=$T$10,(I25+1)*$U$10,IF(H25=$T$11,(I25+1)*$U$11,IF(H25=$T$12,(I25+1)*$U$12,IF(H25=$T$13,(I25+1)*$U$13,IF(H25=$T$14,(I25+1)*$U$14,IF(H25=$T$4,(I25+1)*$U$4,IF(H25=$T$5,(I25+1)*$U$5,IF(H25=$T$6,(I25+1)*$U$6))))))))))))</f>
        <v>0.17496</v>
      </c>
      <c r="L25" s="6" t="s">
        <v>8</v>
      </c>
      <c r="M25" s="57" t="s">
        <v>49</v>
      </c>
      <c r="N25" s="58">
        <v>1</v>
      </c>
      <c r="O25" s="74">
        <f>IF(M25=$T$3,(N25+1)*$U$3,IF(M25=$T$7,(N25+1)*$U$7,IF(M25=$T$8,(N25+1)*$U$8,IF(M25=$T$9,(N25+1)*$U$9,IF(M25=$T$10,(N25+1)*$U$10,IF(M25=$T$11,(N25+1)*$U$11,IF(M25=$T$12,(N25+1)*$U$12,IF(M25=$T$13,(N25+1)*$U$13,IF(M25=$T$14,(N25+1)*$U$14,IF(M25=$T$4,(N25+1)*$U$4,IF(M25=$T$5,(N25+1)*$U$5,IF(M25=$T$6,(N25+1)*$U$6))))))))))))</f>
        <v>0.11663999999999999</v>
      </c>
      <c r="T25" s="12" t="s">
        <v>66</v>
      </c>
      <c r="U25" s="24">
        <v>0.19439400000000001</v>
      </c>
      <c r="V25" s="27">
        <v>3.1104E-2</v>
      </c>
      <c r="W25" s="24">
        <v>1.0886E-2</v>
      </c>
      <c r="AF25" s="76" t="str">
        <f>H25</f>
        <v>cd</v>
      </c>
      <c r="AG25" s="76">
        <f>J25</f>
        <v>0.17496</v>
      </c>
    </row>
    <row r="26" spans="2:33" x14ac:dyDescent="0.3">
      <c r="T26" s="4" t="s">
        <v>58</v>
      </c>
      <c r="U26" s="24">
        <v>0.34560600000000002</v>
      </c>
      <c r="V26" s="27">
        <v>5.5295999999999998E-2</v>
      </c>
      <c r="W26" s="24">
        <v>1.9354E-2</v>
      </c>
      <c r="AF26" s="76" t="str">
        <f>M21</f>
        <v>ATK</v>
      </c>
      <c r="AG26" s="76">
        <f>O21</f>
        <v>0.432</v>
      </c>
    </row>
    <row r="27" spans="2:33" ht="15" thickBot="1" x14ac:dyDescent="0.35">
      <c r="T27" s="4" t="s">
        <v>63</v>
      </c>
      <c r="U27" s="24">
        <v>0.38880300000000001</v>
      </c>
      <c r="V27" s="27">
        <v>6.2207999999999999E-2</v>
      </c>
      <c r="W27" s="24">
        <v>2.1773000000000001E-2</v>
      </c>
      <c r="AF27" s="76" t="str">
        <f>M22</f>
        <v>spd</v>
      </c>
      <c r="AG27" s="76">
        <f>O22</f>
        <v>4.5999999999999996</v>
      </c>
    </row>
    <row r="28" spans="2:33" x14ac:dyDescent="0.3">
      <c r="B28" s="90" t="s">
        <v>64</v>
      </c>
      <c r="C28" s="91"/>
      <c r="D28" s="91"/>
      <c r="E28" s="92"/>
      <c r="T28" s="4" t="s">
        <v>45</v>
      </c>
      <c r="U28" s="24">
        <v>0.32400000000000001</v>
      </c>
      <c r="V28" s="27">
        <v>5.1839999999999997E-2</v>
      </c>
      <c r="W28" s="24">
        <v>1.8144E-2</v>
      </c>
      <c r="AF28" s="76" t="str">
        <f>M23</f>
        <v>be</v>
      </c>
      <c r="AG28" s="76">
        <f>O23</f>
        <v>5.8319999999999997E-2</v>
      </c>
    </row>
    <row r="29" spans="2:33" ht="15" thickBot="1" x14ac:dyDescent="0.35">
      <c r="B29" s="4" t="s">
        <v>9</v>
      </c>
      <c r="C29" s="98" t="s">
        <v>70</v>
      </c>
      <c r="D29" s="98"/>
      <c r="E29" s="99"/>
      <c r="T29" s="6" t="s">
        <v>44</v>
      </c>
      <c r="U29" s="26">
        <v>0.64800000000000002</v>
      </c>
      <c r="V29" s="28">
        <v>0.10367999999999999</v>
      </c>
      <c r="W29" s="26">
        <v>3.6288000000000001E-2</v>
      </c>
      <c r="AF29" s="76" t="str">
        <f>M24</f>
        <v>cr</v>
      </c>
      <c r="AG29" s="76">
        <f>O24</f>
        <v>0.11663999999999999</v>
      </c>
    </row>
    <row r="30" spans="2:33" x14ac:dyDescent="0.3">
      <c r="B30" s="4" t="s">
        <v>10</v>
      </c>
      <c r="C30" s="98" t="s">
        <v>69</v>
      </c>
      <c r="D30" s="98"/>
      <c r="E30" s="99"/>
      <c r="AF30" s="76" t="str">
        <f>M25</f>
        <v>cd</v>
      </c>
      <c r="AG30" s="76">
        <f>O25</f>
        <v>0.11663999999999999</v>
      </c>
    </row>
    <row r="31" spans="2:33" x14ac:dyDescent="0.3">
      <c r="B31" s="4" t="s">
        <v>11</v>
      </c>
      <c r="C31" s="98" t="s">
        <v>68</v>
      </c>
      <c r="D31" s="98"/>
      <c r="E31" s="99"/>
    </row>
    <row r="32" spans="2:33" x14ac:dyDescent="0.3">
      <c r="B32" s="4" t="s">
        <v>15</v>
      </c>
      <c r="C32" s="98" t="s">
        <v>71</v>
      </c>
      <c r="D32" s="98"/>
      <c r="E32" s="99"/>
    </row>
    <row r="33" spans="2:5" x14ac:dyDescent="0.3">
      <c r="B33" s="4" t="s">
        <v>62</v>
      </c>
      <c r="C33" s="98" t="s">
        <v>33</v>
      </c>
      <c r="D33" s="98"/>
      <c r="E33" s="99"/>
    </row>
    <row r="34" spans="2:5" x14ac:dyDescent="0.3">
      <c r="B34" s="4" t="s">
        <v>26</v>
      </c>
      <c r="C34" s="98" t="s">
        <v>34</v>
      </c>
      <c r="D34" s="98"/>
      <c r="E34" s="99"/>
    </row>
    <row r="35" spans="2:5" x14ac:dyDescent="0.3">
      <c r="B35" s="4" t="s">
        <v>66</v>
      </c>
      <c r="C35" s="98" t="s">
        <v>54</v>
      </c>
      <c r="D35" s="98"/>
      <c r="E35" s="99"/>
    </row>
    <row r="36" spans="2:5" x14ac:dyDescent="0.3">
      <c r="B36" s="4" t="s">
        <v>67</v>
      </c>
      <c r="C36" s="98" t="s">
        <v>65</v>
      </c>
      <c r="D36" s="98"/>
      <c r="E36" s="99"/>
    </row>
    <row r="37" spans="2:5" x14ac:dyDescent="0.3">
      <c r="B37" s="4" t="s">
        <v>58</v>
      </c>
      <c r="C37" s="98" t="s">
        <v>55</v>
      </c>
      <c r="D37" s="98"/>
      <c r="E37" s="99"/>
    </row>
    <row r="38" spans="2:5" x14ac:dyDescent="0.3">
      <c r="B38" s="4" t="s">
        <v>63</v>
      </c>
      <c r="C38" s="98" t="s">
        <v>36</v>
      </c>
      <c r="D38" s="98"/>
      <c r="E38" s="99"/>
    </row>
    <row r="39" spans="2:5" x14ac:dyDescent="0.3">
      <c r="B39" s="4" t="s">
        <v>45</v>
      </c>
      <c r="C39" s="98" t="s">
        <v>35</v>
      </c>
      <c r="D39" s="98"/>
      <c r="E39" s="99"/>
    </row>
    <row r="40" spans="2:5" ht="15" thickBot="1" x14ac:dyDescent="0.35">
      <c r="B40" s="6" t="s">
        <v>44</v>
      </c>
      <c r="C40" s="93" t="s">
        <v>22</v>
      </c>
      <c r="D40" s="93"/>
      <c r="E40" s="94"/>
    </row>
  </sheetData>
  <mergeCells count="22">
    <mergeCell ref="C37:E37"/>
    <mergeCell ref="C38:E38"/>
    <mergeCell ref="C39:E39"/>
    <mergeCell ref="C40:E40"/>
    <mergeCell ref="C31:E31"/>
    <mergeCell ref="C32:E32"/>
    <mergeCell ref="C33:E33"/>
    <mergeCell ref="C34:E34"/>
    <mergeCell ref="C35:E35"/>
    <mergeCell ref="C36:E36"/>
    <mergeCell ref="B20:E20"/>
    <mergeCell ref="G20:J20"/>
    <mergeCell ref="L20:O20"/>
    <mergeCell ref="B28:E28"/>
    <mergeCell ref="C29:E29"/>
    <mergeCell ref="C30:E30"/>
    <mergeCell ref="B2:E2"/>
    <mergeCell ref="G2:K2"/>
    <mergeCell ref="M2:N2"/>
    <mergeCell ref="P2:Q2"/>
    <mergeCell ref="B8:E8"/>
    <mergeCell ref="B14:E14"/>
  </mergeCells>
  <dataValidations count="1">
    <dataValidation type="list" allowBlank="1" showInputMessage="1" showErrorMessage="1" sqref="C4:C7 C10:C13 C16:C19 C22:C25 H22:H25 M22:M25" xr:uid="{34F42C2C-206E-41BF-A2F0-7C3BCEF6BF35}">
      <formula1>$T$3:$T$14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31"/>
  <sheetViews>
    <sheetView workbookViewId="0">
      <selection activeCell="M12" sqref="M12"/>
    </sheetView>
  </sheetViews>
  <sheetFormatPr defaultRowHeight="14.4" x14ac:dyDescent="0.3"/>
  <cols>
    <col min="20" max="20" width="15.33203125" customWidth="1"/>
  </cols>
  <sheetData>
    <row r="1" spans="2:24" ht="15" thickBot="1" x14ac:dyDescent="0.35"/>
    <row r="2" spans="2:24" ht="15" thickBot="1" x14ac:dyDescent="0.35">
      <c r="B2" s="95" t="s">
        <v>0</v>
      </c>
      <c r="C2" s="96"/>
      <c r="D2" s="96"/>
      <c r="E2" s="97"/>
      <c r="G2" s="19" t="s">
        <v>16</v>
      </c>
      <c r="H2" s="20" t="s">
        <v>27</v>
      </c>
      <c r="I2" s="17" t="s">
        <v>28</v>
      </c>
      <c r="J2" s="18" t="s">
        <v>29</v>
      </c>
      <c r="K2" s="19" t="s">
        <v>30</v>
      </c>
      <c r="M2" s="8" t="s">
        <v>16</v>
      </c>
      <c r="N2" s="38" t="s">
        <v>39</v>
      </c>
      <c r="O2" s="38" t="s">
        <v>40</v>
      </c>
      <c r="P2" s="2" t="s">
        <v>17</v>
      </c>
      <c r="Q2" s="2" t="s">
        <v>18</v>
      </c>
      <c r="R2" s="2" t="s">
        <v>19</v>
      </c>
      <c r="T2" s="16" t="s">
        <v>16</v>
      </c>
      <c r="U2" s="30" t="s">
        <v>32</v>
      </c>
      <c r="V2" s="16" t="s">
        <v>27</v>
      </c>
      <c r="W2" s="30" t="s">
        <v>31</v>
      </c>
    </row>
    <row r="3" spans="2:24" x14ac:dyDescent="0.3">
      <c r="B3" s="12" t="s">
        <v>4</v>
      </c>
      <c r="C3" s="13" t="str">
        <f>T4</f>
        <v>HP</v>
      </c>
      <c r="D3" s="14"/>
      <c r="E3" s="31">
        <f>IF(C3=$T$3,$U$3,IF(C3=$T$4,$U$4,IF(C3=$T$5,$U$5,IF(C3=$T$6,$U$6,IF(C3=$T$7,$U$7,IF(C3=$T$8,$U$8,IF(C3=$T$9,$U$9,IF(C3=$T$10,$U$10,IF(C3=$T$11,$U$11,IF(C3=$T$12,$U$12,IF(C3=$T$13,$U$13,IF(C3=$T$14,$U$14,IF(C3=$T$15,$U$15)))))))))))))</f>
        <v>705.6</v>
      </c>
      <c r="G3" s="15" t="s">
        <v>9</v>
      </c>
      <c r="H3" s="21">
        <f>1058+1242</f>
        <v>2300</v>
      </c>
      <c r="I3" s="13">
        <f>E3</f>
        <v>705.6</v>
      </c>
      <c r="J3" s="34"/>
      <c r="K3" s="37">
        <f>(H3*(1+J3))+I3</f>
        <v>3005.6</v>
      </c>
      <c r="M3" s="8" t="s">
        <v>15</v>
      </c>
      <c r="N3" s="2">
        <f>IF(O3=$P$2,P3,IF(O3=$Q$2,Q3,IF(O3=$R$2,R3)))</f>
        <v>2.2999999999999998</v>
      </c>
      <c r="O3" s="2" t="str">
        <f>$Q$2</f>
        <v>Med</v>
      </c>
      <c r="P3" s="2">
        <v>2</v>
      </c>
      <c r="Q3" s="2">
        <v>2.2999999999999998</v>
      </c>
      <c r="R3" s="2">
        <v>2.6</v>
      </c>
      <c r="T3" s="12" t="s">
        <v>15</v>
      </c>
      <c r="U3" s="29">
        <v>25.032</v>
      </c>
      <c r="V3" s="12">
        <v>4.032</v>
      </c>
      <c r="W3" s="29">
        <v>1.4</v>
      </c>
    </row>
    <row r="4" spans="2:24" x14ac:dyDescent="0.3">
      <c r="B4" s="4" t="s">
        <v>5</v>
      </c>
      <c r="C4" s="2" t="s">
        <v>37</v>
      </c>
      <c r="D4" s="8">
        <v>1</v>
      </c>
      <c r="E4" s="5">
        <f>IF(C4=$M$3,(D4+1)*$N$3,IF(C4=$M$7,(D4+1)*$N$7,IF(C4=$M$8,(D4+1)*$N$8,IF(C4=$M$9,(D4+1)*$N$9,IF(C4=$M$10,(D4+1)*$N$10,IF(C4=$M$11,(D4+1)*$N$11,IF(C4=$M$12,(D4+1)*$N$12,IF(C4=$M$13,(D4+1)*$N$13,IF(C4=$M$14,(D4+1)*$N$14)))))))))</f>
        <v>4.5999999999999996</v>
      </c>
      <c r="G4" s="10" t="s">
        <v>10</v>
      </c>
      <c r="H4" s="22">
        <f>635+699</f>
        <v>1334</v>
      </c>
      <c r="I4" s="2">
        <f>E9</f>
        <v>352.8</v>
      </c>
      <c r="J4" s="8">
        <f>E5+E11+E17+E23+J17+J21</f>
        <v>0.62639999999999996</v>
      </c>
      <c r="K4" s="37">
        <f t="shared" ref="K4:K6" si="0">(H4*(1+J4))+I4</f>
        <v>2522.4175999999998</v>
      </c>
      <c r="M4" s="39" t="s">
        <v>41</v>
      </c>
      <c r="N4" s="40">
        <f t="shared" ref="N4:N14" si="1">IF(O4=$P$2,P4,IF(O4=$Q$2,Q4,IF(O4=$R$2,R4)))</f>
        <v>38.103755</v>
      </c>
      <c r="O4" s="40" t="str">
        <f t="shared" ref="O4:O14" si="2">$Q$2</f>
        <v>Med</v>
      </c>
      <c r="P4" s="40">
        <v>33.869999999999997</v>
      </c>
      <c r="Q4" s="40">
        <v>38.103755</v>
      </c>
      <c r="R4" s="40">
        <v>42.337510000000002</v>
      </c>
      <c r="T4" s="41" t="s">
        <v>9</v>
      </c>
      <c r="U4" s="42">
        <v>705.6</v>
      </c>
      <c r="V4" s="41">
        <v>112.896</v>
      </c>
      <c r="W4" s="42">
        <v>39.513599999999997</v>
      </c>
    </row>
    <row r="5" spans="2:24" x14ac:dyDescent="0.3">
      <c r="B5" s="4" t="s">
        <v>6</v>
      </c>
      <c r="C5" s="2" t="str">
        <f>M8</f>
        <v>ATK</v>
      </c>
      <c r="D5" s="8"/>
      <c r="E5" s="5">
        <f t="shared" ref="E5:E7" si="3">IF(C5=$M$3,(D5+1)*$N$3,IF(C5=$M$7,(D5+1)*$N$7,IF(C5=$M$8,(D5+1)*$N$8,IF(C5=$M$9,(D5+1)*$N$9,IF(C5=$M$10,(D5+1)*$N$10,IF(C5=$M$11,(D5+1)*$N$11,IF(C5=$M$12,(D5+1)*$N$12,IF(C5=$M$13,(D5+1)*$N$13,IF(C5=$M$14,(D5+1)*$N$14)))))))))</f>
        <v>3.8879999999999998E-2</v>
      </c>
      <c r="G5" s="10" t="s">
        <v>11</v>
      </c>
      <c r="H5" s="22">
        <f>396+485</f>
        <v>881</v>
      </c>
      <c r="I5" s="2"/>
      <c r="J5" s="8"/>
      <c r="K5" s="37">
        <f t="shared" si="0"/>
        <v>881</v>
      </c>
      <c r="M5" s="39" t="s">
        <v>42</v>
      </c>
      <c r="N5" s="40">
        <f t="shared" si="1"/>
        <v>19.051877000000001</v>
      </c>
      <c r="O5" s="40" t="str">
        <f t="shared" si="2"/>
        <v>Med</v>
      </c>
      <c r="P5" s="40">
        <v>16.934999999999999</v>
      </c>
      <c r="Q5" s="40">
        <v>19.051877000000001</v>
      </c>
      <c r="R5" s="40">
        <v>21.168754</v>
      </c>
      <c r="T5" s="41" t="s">
        <v>10</v>
      </c>
      <c r="U5" s="42">
        <v>352.8</v>
      </c>
      <c r="V5" s="41">
        <v>56.448</v>
      </c>
      <c r="W5" s="42">
        <v>19.756799999999998</v>
      </c>
    </row>
    <row r="6" spans="2:24" x14ac:dyDescent="0.3">
      <c r="B6" s="4" t="s">
        <v>7</v>
      </c>
      <c r="C6" s="2" t="str">
        <f>M13</f>
        <v>CR</v>
      </c>
      <c r="D6" s="8">
        <v>2</v>
      </c>
      <c r="E6" s="5">
        <f t="shared" si="3"/>
        <v>8.7480000000000002E-2</v>
      </c>
      <c r="G6" s="10" t="s">
        <v>15</v>
      </c>
      <c r="H6" s="22">
        <f>12+102</f>
        <v>114</v>
      </c>
      <c r="I6" s="2">
        <f>E4+E10+E16+E21+J16+J22</f>
        <v>48.032000000000004</v>
      </c>
      <c r="J6" s="8"/>
      <c r="K6" s="37">
        <f t="shared" si="0"/>
        <v>162.03200000000001</v>
      </c>
      <c r="M6" s="39" t="s">
        <v>43</v>
      </c>
      <c r="N6" s="40">
        <f t="shared" si="1"/>
        <v>19.051877000000001</v>
      </c>
      <c r="O6" s="40" t="str">
        <f t="shared" si="2"/>
        <v>Med</v>
      </c>
      <c r="P6" s="40">
        <v>16.934999999999999</v>
      </c>
      <c r="Q6" s="40">
        <v>19.051877000000001</v>
      </c>
      <c r="R6" s="40">
        <v>21.168754</v>
      </c>
      <c r="T6" s="4" t="s">
        <v>12</v>
      </c>
      <c r="U6" s="24">
        <v>0.432</v>
      </c>
      <c r="V6" s="27">
        <v>6.9120000000000001E-2</v>
      </c>
      <c r="W6" s="24">
        <v>2.4192000000000002E-2</v>
      </c>
    </row>
    <row r="7" spans="2:24" ht="15" thickBot="1" x14ac:dyDescent="0.35">
      <c r="B7" s="6" t="s">
        <v>8</v>
      </c>
      <c r="C7" s="7" t="str">
        <f>M14</f>
        <v>CD</v>
      </c>
      <c r="D7" s="9">
        <v>2</v>
      </c>
      <c r="E7" s="5">
        <f t="shared" si="3"/>
        <v>0.17496</v>
      </c>
      <c r="G7" s="10" t="s">
        <v>23</v>
      </c>
      <c r="H7" s="45">
        <v>0.05</v>
      </c>
      <c r="I7" s="2"/>
      <c r="J7" s="43">
        <f>E6+E12+E24+J18+J24+E15</f>
        <v>0.76140000000000008</v>
      </c>
      <c r="K7" s="35">
        <f>J7+H7</f>
        <v>0.81140000000000012</v>
      </c>
      <c r="M7" s="8" t="s">
        <v>9</v>
      </c>
      <c r="N7" s="2">
        <f t="shared" si="1"/>
        <v>3.8879999999999998E-2</v>
      </c>
      <c r="O7" s="2" t="str">
        <f t="shared" si="2"/>
        <v>Med</v>
      </c>
      <c r="P7" s="3">
        <v>3.456E-2</v>
      </c>
      <c r="Q7" s="3">
        <v>3.8879999999999998E-2</v>
      </c>
      <c r="R7" s="3">
        <v>4.3200000000000002E-2</v>
      </c>
      <c r="T7" s="4" t="s">
        <v>13</v>
      </c>
      <c r="U7" s="24">
        <v>0.432</v>
      </c>
      <c r="V7" s="27">
        <v>6.9120000000000001E-2</v>
      </c>
      <c r="W7" s="24">
        <v>2.4192000000000002E-2</v>
      </c>
      <c r="X7" s="1"/>
    </row>
    <row r="8" spans="2:24" ht="15" thickBot="1" x14ac:dyDescent="0.35">
      <c r="B8" s="95" t="s">
        <v>1</v>
      </c>
      <c r="C8" s="96"/>
      <c r="D8" s="96"/>
      <c r="E8" s="97"/>
      <c r="G8" s="10" t="s">
        <v>22</v>
      </c>
      <c r="H8" s="45">
        <v>0.5</v>
      </c>
      <c r="I8" s="2"/>
      <c r="J8" s="43">
        <f>E7+E13+E25+J19+J25+E18</f>
        <v>1.22472</v>
      </c>
      <c r="K8" s="35">
        <f>J8+H8</f>
        <v>1.72472</v>
      </c>
      <c r="M8" s="8" t="s">
        <v>10</v>
      </c>
      <c r="N8" s="2">
        <f t="shared" si="1"/>
        <v>3.8879999999999998E-2</v>
      </c>
      <c r="O8" s="2" t="str">
        <f t="shared" si="2"/>
        <v>Med</v>
      </c>
      <c r="P8" s="3">
        <v>3.456E-2</v>
      </c>
      <c r="Q8" s="3">
        <v>3.8879999999999998E-2</v>
      </c>
      <c r="R8" s="3">
        <v>4.3200000000000002E-2</v>
      </c>
      <c r="T8" s="4" t="s">
        <v>14</v>
      </c>
      <c r="U8" s="25">
        <v>0.54</v>
      </c>
      <c r="V8" s="27">
        <v>8.6400000000000005E-2</v>
      </c>
      <c r="W8" s="24">
        <v>3.024E-2</v>
      </c>
      <c r="X8" s="1"/>
    </row>
    <row r="9" spans="2:24" x14ac:dyDescent="0.3">
      <c r="B9" s="12" t="s">
        <v>4</v>
      </c>
      <c r="C9" s="13" t="str">
        <f>T5</f>
        <v>ATK</v>
      </c>
      <c r="D9" s="14"/>
      <c r="E9" s="31">
        <f>IF(C9=$T$3,$U$3,IF(C9=$T$4,$U$4,IF(C9=$T$5,$U$5,IF(C9=$T$6,$U$6,IF(C9=$T$7,$U$7,IF(C9=$T$8,$U$8,IF(C9=$T$9,$U$9,IF(C9=$T$10,$U$10,IF(C9=$T$11,$U$11,IF(C9=$T$12,$U$12,IF(C9=$T$13,$U$13,IF(C9=$T$14,$U$14,IF(C9=$T$15,$U$15)))))))))))))</f>
        <v>352.8</v>
      </c>
      <c r="G9" s="10" t="s">
        <v>53</v>
      </c>
      <c r="H9" s="22"/>
      <c r="I9" s="2"/>
      <c r="J9" s="43">
        <f>E19+E22+J23</f>
        <v>0.17496</v>
      </c>
      <c r="K9" s="35">
        <f t="shared" ref="K9:K11" si="4">J9+H9</f>
        <v>0.17496</v>
      </c>
      <c r="M9" s="8" t="s">
        <v>11</v>
      </c>
      <c r="N9" s="2">
        <f t="shared" si="1"/>
        <v>4.8599999999999997E-2</v>
      </c>
      <c r="O9" s="2" t="str">
        <f t="shared" si="2"/>
        <v>Med</v>
      </c>
      <c r="P9" s="3">
        <v>4.3200000000000002E-2</v>
      </c>
      <c r="Q9" s="3">
        <v>4.8599999999999997E-2</v>
      </c>
      <c r="R9" s="3">
        <v>5.3999999999999999E-2</v>
      </c>
      <c r="T9" s="4" t="s">
        <v>33</v>
      </c>
      <c r="U9" s="24">
        <v>0.64800000000000002</v>
      </c>
      <c r="V9" s="27">
        <v>0.10367999999999999</v>
      </c>
      <c r="W9" s="24">
        <v>3.6276999999999997E-2</v>
      </c>
      <c r="X9" s="1"/>
    </row>
    <row r="10" spans="2:24" x14ac:dyDescent="0.3">
      <c r="B10" s="4" t="s">
        <v>5</v>
      </c>
      <c r="C10" s="2" t="s">
        <v>37</v>
      </c>
      <c r="D10" s="8">
        <v>1</v>
      </c>
      <c r="E10" s="5">
        <f>IF(C10=$M$3,(D10+1)*$N$3,IF(C10=$M$7,(D10+1)*$N$7,IF(C10=$M$8,(D10+1)*$N$8,IF(C10=$M$9,(D10+1)*$N$9,IF(C10=$M$10,(D10+1)*$N$10,IF(C10=$M$11,(D10+1)*$N$11,IF(C10=$M$12,(D10+1)*$N$12,IF(C10=$M$13,(D10+1)*$N$13,IF(C10=$M$14,(D10+1)*$N$14)))))))))</f>
        <v>4.5999999999999996</v>
      </c>
      <c r="G10" s="10" t="s">
        <v>25</v>
      </c>
      <c r="H10" s="45">
        <v>1</v>
      </c>
      <c r="I10" s="2"/>
      <c r="J10" s="43">
        <f>J15</f>
        <v>0.19439400000000001</v>
      </c>
      <c r="K10" s="35">
        <f t="shared" si="4"/>
        <v>1.194394</v>
      </c>
      <c r="M10" s="8" t="s">
        <v>52</v>
      </c>
      <c r="N10" s="2">
        <f t="shared" si="1"/>
        <v>5.8319999999999997E-2</v>
      </c>
      <c r="O10" s="2" t="str">
        <f t="shared" si="2"/>
        <v>Med</v>
      </c>
      <c r="P10" s="3">
        <v>5.1839999999999997E-2</v>
      </c>
      <c r="Q10" s="3">
        <v>5.8319999999999997E-2</v>
      </c>
      <c r="R10" s="3">
        <v>6.4799999999999996E-2</v>
      </c>
      <c r="T10" s="4" t="s">
        <v>34</v>
      </c>
      <c r="U10" s="24">
        <v>0.432</v>
      </c>
      <c r="V10" s="27">
        <v>6.9120000000000001E-2</v>
      </c>
      <c r="W10" s="24">
        <v>2.4192000000000002E-2</v>
      </c>
      <c r="X10" s="1"/>
    </row>
    <row r="11" spans="2:24" ht="15" thickBot="1" x14ac:dyDescent="0.35">
      <c r="B11" s="4" t="s">
        <v>6</v>
      </c>
      <c r="C11" s="2" t="s">
        <v>47</v>
      </c>
      <c r="D11" s="8"/>
      <c r="E11" s="5">
        <f t="shared" ref="E11:E13" si="5">IF(C11=$M$3,(D11+1)*$N$3,IF(C11=$M$7,(D11+1)*$N$7,IF(C11=$M$8,(D11+1)*$N$8,IF(C11=$M$9,(D11+1)*$N$9,IF(C11=$M$10,(D11+1)*$N$10,IF(C11=$M$11,(D11+1)*$N$11,IF(C11=$M$12,(D11+1)*$N$12,IF(C11=$M$13,(D11+1)*$N$13,IF(C11=$M$14,(D11+1)*$N$14)))))))))</f>
        <v>3.8879999999999998E-2</v>
      </c>
      <c r="G11" s="11" t="s">
        <v>26</v>
      </c>
      <c r="H11" s="23"/>
      <c r="I11" s="7"/>
      <c r="J11" s="44"/>
      <c r="K11" s="35">
        <f t="shared" si="4"/>
        <v>0</v>
      </c>
      <c r="M11" s="8" t="s">
        <v>26</v>
      </c>
      <c r="N11" s="2">
        <f t="shared" si="1"/>
        <v>3.8879999999999998E-2</v>
      </c>
      <c r="O11" s="2" t="str">
        <f t="shared" si="2"/>
        <v>Med</v>
      </c>
      <c r="P11" s="3">
        <v>3.456E-2</v>
      </c>
      <c r="Q11" s="3">
        <v>3.8879999999999998E-2</v>
      </c>
      <c r="R11" s="3">
        <v>4.3200000000000002E-2</v>
      </c>
      <c r="T11" s="4" t="s">
        <v>25</v>
      </c>
      <c r="U11" s="24">
        <v>0.19439400000000001</v>
      </c>
      <c r="V11" s="27">
        <v>3.1104E-2</v>
      </c>
      <c r="W11" s="24">
        <v>1.0886E-2</v>
      </c>
      <c r="X11" s="1"/>
    </row>
    <row r="12" spans="2:24" x14ac:dyDescent="0.3">
      <c r="B12" s="4" t="s">
        <v>7</v>
      </c>
      <c r="C12" s="2" t="s">
        <v>48</v>
      </c>
      <c r="D12" s="8">
        <v>2</v>
      </c>
      <c r="E12" s="5">
        <f t="shared" si="5"/>
        <v>8.7480000000000002E-2</v>
      </c>
      <c r="M12" s="8" t="s">
        <v>46</v>
      </c>
      <c r="N12" s="2">
        <f t="shared" si="1"/>
        <v>3.8879999999999998E-2</v>
      </c>
      <c r="O12" s="2" t="str">
        <f t="shared" si="2"/>
        <v>Med</v>
      </c>
      <c r="P12" s="3">
        <v>3.456E-2</v>
      </c>
      <c r="Q12" s="3">
        <v>3.8879999999999998E-2</v>
      </c>
      <c r="R12" s="3">
        <v>4.3200000000000002E-2</v>
      </c>
      <c r="T12" s="4" t="s">
        <v>50</v>
      </c>
      <c r="U12" s="24">
        <v>0.34560600000000002</v>
      </c>
      <c r="V12" s="27">
        <v>5.5295999999999998E-2</v>
      </c>
      <c r="W12" s="24">
        <v>1.9354E-2</v>
      </c>
      <c r="X12" s="1"/>
    </row>
    <row r="13" spans="2:24" ht="15" thickBot="1" x14ac:dyDescent="0.35">
      <c r="B13" s="6" t="s">
        <v>8</v>
      </c>
      <c r="C13" s="7" t="s">
        <v>49</v>
      </c>
      <c r="D13" s="9">
        <v>2</v>
      </c>
      <c r="E13" s="5">
        <f t="shared" si="5"/>
        <v>0.17496</v>
      </c>
      <c r="M13" s="8" t="s">
        <v>45</v>
      </c>
      <c r="N13" s="2">
        <f t="shared" si="1"/>
        <v>2.9159999999999998E-2</v>
      </c>
      <c r="O13" s="2" t="str">
        <f t="shared" si="2"/>
        <v>Med</v>
      </c>
      <c r="P13" s="3">
        <v>2.5919999999999999E-2</v>
      </c>
      <c r="Q13" s="3">
        <v>2.9159999999999998E-2</v>
      </c>
      <c r="R13" s="3">
        <v>3.2399999999999998E-2</v>
      </c>
      <c r="T13" s="4" t="s">
        <v>36</v>
      </c>
      <c r="U13" s="24">
        <v>0.38880300000000001</v>
      </c>
      <c r="V13" s="27">
        <v>6.2207999999999999E-2</v>
      </c>
      <c r="W13" s="24">
        <v>2.1773000000000001E-2</v>
      </c>
      <c r="X13" s="1"/>
    </row>
    <row r="14" spans="2:24" ht="15" thickBot="1" x14ac:dyDescent="0.35">
      <c r="B14" s="95" t="s">
        <v>2</v>
      </c>
      <c r="C14" s="96"/>
      <c r="D14" s="96"/>
      <c r="E14" s="97"/>
      <c r="G14" s="95" t="s">
        <v>20</v>
      </c>
      <c r="H14" s="96"/>
      <c r="I14" s="96"/>
      <c r="J14" s="97"/>
      <c r="M14" s="8" t="s">
        <v>44</v>
      </c>
      <c r="N14" s="2">
        <f t="shared" si="1"/>
        <v>5.8319999999999997E-2</v>
      </c>
      <c r="O14" s="2" t="str">
        <f t="shared" si="2"/>
        <v>Med</v>
      </c>
      <c r="P14" s="3">
        <v>5.1839999999999997E-2</v>
      </c>
      <c r="Q14" s="3">
        <v>5.8319999999999997E-2</v>
      </c>
      <c r="R14" s="3">
        <v>6.4799999999999996E-2</v>
      </c>
      <c r="T14" s="4" t="s">
        <v>35</v>
      </c>
      <c r="U14" s="24">
        <v>0.32400000000000001</v>
      </c>
      <c r="V14" s="27">
        <v>5.1839999999999997E-2</v>
      </c>
      <c r="W14" s="24">
        <v>1.8144E-2</v>
      </c>
      <c r="X14" s="1"/>
    </row>
    <row r="15" spans="2:24" ht="15" thickBot="1" x14ac:dyDescent="0.35">
      <c r="B15" s="12" t="s">
        <v>4</v>
      </c>
      <c r="C15" s="13" t="s">
        <v>38</v>
      </c>
      <c r="D15" s="14"/>
      <c r="E15" s="31">
        <f>IF(C15=$T$3,$U$3,IF(C15=$T$4,$U$4,IF(C15=$T$5,$U$5,IF(C15=$T$6,$U$6,IF(C15=$T$7,$U$7,IF(C15=$T$8,$U$8,IF(C15=$T$9,$U$9,IF(C15=$T$10,$U$10,IF(C15=$T$11,$U$11,IF(C15=$T$12,$U$12,IF(C15=$T$13,$U$13,IF(C15=$T$14,$U$14,IF(C15=$T$15,$U$15)))))))))))))</f>
        <v>0.32400000000000001</v>
      </c>
      <c r="G15" s="12" t="s">
        <v>4</v>
      </c>
      <c r="H15" s="13" t="str">
        <f>T11</f>
        <v>ER</v>
      </c>
      <c r="I15" s="14"/>
      <c r="J15" s="31">
        <f>IF(H15=$T$3,$U$3,IF(H15=$T$4,$U$4,IF(H15=$T$5,$U$5,IF(H15=$T$6,$U$6,IF(H15=$T$7,$U$7,IF(H15=$T$8,$U$8,IF(H15=$T$9,$U$9,IF(H15=$T$10,$U$10,IF(H15=$T$11,$U$11,IF(H15=$T$12,$U$12,IF(H15=$T$13,$U$13,IF(H15=$T$14,$U$14,IF(H15=$T$15,$U$15)))))))))))))</f>
        <v>0.19439400000000001</v>
      </c>
      <c r="T15" s="6" t="s">
        <v>22</v>
      </c>
      <c r="U15" s="26">
        <v>0.64800000000000002</v>
      </c>
      <c r="V15" s="28">
        <v>0.10367999999999999</v>
      </c>
      <c r="W15" s="26">
        <v>3.6288000000000001E-2</v>
      </c>
      <c r="X15" s="1"/>
    </row>
    <row r="16" spans="2:24" x14ac:dyDescent="0.3">
      <c r="B16" s="4" t="s">
        <v>5</v>
      </c>
      <c r="C16" s="2" t="s">
        <v>37</v>
      </c>
      <c r="D16" s="8">
        <v>1</v>
      </c>
      <c r="E16" s="5">
        <f>IF(C16=$M$3,(D16+1)*$N$3,IF(C16=$M$7,(D16+1)*$N$7,IF(C16=$M$8,(D16+1)*$N$8,IF(C16=$M$9,(D16+1)*$N$9,IF(C16=$M$10,(D16+1)*$N$10,IF(C16=$M$11,(D16+1)*$N$11,IF(C16=$M$12,(D16+1)*$N$12,IF(C16=$M$13,(D16+1)*$N$13,IF(C16=$M$14,(D16+1)*$N$14)))))))))</f>
        <v>4.5999999999999996</v>
      </c>
      <c r="G16" s="4" t="s">
        <v>5</v>
      </c>
      <c r="H16" s="2" t="s">
        <v>37</v>
      </c>
      <c r="I16" s="8">
        <v>1</v>
      </c>
      <c r="J16" s="5">
        <f>IF(H16=$M$3,(I16+1)*$N$3,IF(H16=$M$7,(I16+1)*$N$7,IF(H16=$M$8,(I16+1)*$N$8,IF(H16=$M$9,(I16+1)*$N$9,IF(H16=$M$10,(I16+1)*$N$10,IF(H16=$M$11,(I16+1)*$N$11,IF(H16=$M$12,(I16+1)*$N$12,IF(H16=$M$13,(I16+1)*$N$13,IF(H16=$M$14,(I16+1)*$N$14)))))))))</f>
        <v>4.5999999999999996</v>
      </c>
      <c r="W16" s="1"/>
      <c r="X16" s="1"/>
    </row>
    <row r="17" spans="2:24" x14ac:dyDescent="0.3">
      <c r="B17" s="4" t="s">
        <v>6</v>
      </c>
      <c r="C17" s="2" t="s">
        <v>47</v>
      </c>
      <c r="D17" s="8"/>
      <c r="E17" s="5">
        <f t="shared" ref="E17:E19" si="6">IF(C17=$M$3,(D17+1)*$N$3,IF(C17=$M$7,(D17+1)*$N$7,IF(C17=$M$8,(D17+1)*$N$8,IF(C17=$M$9,(D17+1)*$N$9,IF(C17=$M$10,(D17+1)*$N$10,IF(C17=$M$11,(D17+1)*$N$11,IF(C17=$M$12,(D17+1)*$N$12,IF(C17=$M$13,(D17+1)*$N$13,IF(C17=$M$14,(D17+1)*$N$14)))))))))</f>
        <v>3.8879999999999998E-2</v>
      </c>
      <c r="G17" s="4" t="s">
        <v>6</v>
      </c>
      <c r="H17" s="2" t="s">
        <v>47</v>
      </c>
      <c r="I17" s="8"/>
      <c r="J17" s="5">
        <f t="shared" ref="J17:J19" si="7">IF(H17=$M$3,(I17+1)*$N$3,IF(H17=$M$7,(I17+1)*$N$7,IF(H17=$M$8,(I17+1)*$N$8,IF(H17=$M$9,(I17+1)*$N$9,IF(H17=$M$10,(I17+1)*$N$10,IF(H17=$M$11,(I17+1)*$N$11,IF(H17=$M$12,(I17+1)*$N$12,IF(H17=$M$13,(I17+1)*$N$13,IF(H17=$M$14,(I17+1)*$N$14)))))))))</f>
        <v>3.8879999999999998E-2</v>
      </c>
      <c r="L17" s="36"/>
      <c r="M17" s="32"/>
      <c r="N17" s="32"/>
      <c r="O17" s="32"/>
      <c r="P17" s="32"/>
      <c r="R17" s="1"/>
      <c r="S17" s="1"/>
      <c r="T17" s="1"/>
      <c r="U17" s="1"/>
      <c r="V17" s="1"/>
      <c r="W17" s="1"/>
      <c r="X17" s="1"/>
    </row>
    <row r="18" spans="2:24" x14ac:dyDescent="0.3">
      <c r="B18" s="4" t="s">
        <v>7</v>
      </c>
      <c r="C18" s="2" t="s">
        <v>49</v>
      </c>
      <c r="D18" s="8">
        <v>4</v>
      </c>
      <c r="E18" s="5">
        <f t="shared" si="6"/>
        <v>0.29159999999999997</v>
      </c>
      <c r="G18" s="4" t="s">
        <v>7</v>
      </c>
      <c r="H18" s="2" t="s">
        <v>48</v>
      </c>
      <c r="I18" s="8">
        <v>2</v>
      </c>
      <c r="J18" s="5">
        <f t="shared" si="7"/>
        <v>8.7480000000000002E-2</v>
      </c>
      <c r="L18" s="33"/>
      <c r="M18" s="33"/>
      <c r="N18" s="33"/>
      <c r="O18" s="32"/>
      <c r="P18" s="32"/>
      <c r="R18" s="1"/>
      <c r="S18" s="1"/>
      <c r="T18" s="1"/>
      <c r="U18" s="1"/>
      <c r="V18" s="1"/>
      <c r="W18" s="1"/>
      <c r="X18" s="1"/>
    </row>
    <row r="19" spans="2:24" ht="15" thickBot="1" x14ac:dyDescent="0.35">
      <c r="B19" s="6" t="s">
        <v>8</v>
      </c>
      <c r="C19" s="7" t="s">
        <v>51</v>
      </c>
      <c r="D19" s="9"/>
      <c r="E19" s="5">
        <f t="shared" si="6"/>
        <v>5.8319999999999997E-2</v>
      </c>
      <c r="G19" s="6" t="s">
        <v>8</v>
      </c>
      <c r="H19" s="7" t="s">
        <v>49</v>
      </c>
      <c r="I19" s="9">
        <v>2</v>
      </c>
      <c r="J19" s="5">
        <f t="shared" si="7"/>
        <v>0.17496</v>
      </c>
      <c r="L19" s="32"/>
      <c r="M19" s="33"/>
      <c r="N19" s="33"/>
      <c r="O19" s="33"/>
      <c r="P19" s="32"/>
      <c r="R19" s="1"/>
      <c r="S19" s="1"/>
      <c r="T19" s="1"/>
      <c r="U19" s="1"/>
      <c r="V19" s="1"/>
      <c r="W19" s="1"/>
      <c r="X19" s="1"/>
    </row>
    <row r="20" spans="2:24" ht="15" thickBot="1" x14ac:dyDescent="0.35">
      <c r="B20" s="95" t="s">
        <v>3</v>
      </c>
      <c r="C20" s="96"/>
      <c r="D20" s="96"/>
      <c r="E20" s="97"/>
      <c r="G20" s="95" t="s">
        <v>21</v>
      </c>
      <c r="H20" s="96"/>
      <c r="I20" s="96"/>
      <c r="J20" s="97"/>
      <c r="L20" s="32"/>
      <c r="M20" s="32"/>
      <c r="N20" s="32"/>
      <c r="O20" s="32"/>
      <c r="P20" s="32"/>
      <c r="R20" s="1"/>
      <c r="S20" s="1"/>
      <c r="T20" s="1"/>
      <c r="U20" s="1"/>
      <c r="V20" s="1"/>
      <c r="W20" s="1"/>
      <c r="X20" s="1"/>
    </row>
    <row r="21" spans="2:24" x14ac:dyDescent="0.3">
      <c r="B21" s="12" t="s">
        <v>4</v>
      </c>
      <c r="C21" s="13" t="str">
        <f>T3</f>
        <v>SPD</v>
      </c>
      <c r="D21" s="14"/>
      <c r="E21" s="31">
        <f>IF(C21=$T$3,$U$3,IF(C21=$T$4,$U$4,IF(C21=$T$5,$U$5,IF(C21=$T$6,$U$6,IF(C21=$T$7,$U$7,IF(C21=$T$8,$U$8,IF(C21=$T$9,$U$9,IF(C21=$T$10,$U$10,IF(C21=$T$11,$U$11,IF(C21=$T$12,$U$12,IF(C21=$T$13,$U$13,IF(C21=$T$14,$U$14,IF(C21=$T$15,$U$15)))))))))))))</f>
        <v>25.032</v>
      </c>
      <c r="G21" s="12" t="s">
        <v>4</v>
      </c>
      <c r="H21" s="13" t="str">
        <f>T7</f>
        <v>ATK%</v>
      </c>
      <c r="I21" s="14"/>
      <c r="J21" s="31">
        <f>IF(H21=$T$3,$U$3,IF(H21=$T$4,$U$4,IF(H21=$T$5,$U$5,IF(H21=$T$6,$U$6,IF(H21=$T$7,$U$7,IF(H21=$T$8,$U$8,IF(H21=$T$9,$U$9,IF(H21=$T$10,$U$10,IF(H21=$T$11,$U$11,IF(H21=$T$12,$U$12,IF(H21=$T$13,$U$13,IF(H21=$T$14,$U$14,IF(H21=$T$15,$U$15)))))))))))))</f>
        <v>0.432</v>
      </c>
      <c r="U21" s="1"/>
      <c r="V21" s="1"/>
      <c r="W21" s="1"/>
      <c r="X21" s="1"/>
    </row>
    <row r="22" spans="2:24" x14ac:dyDescent="0.3">
      <c r="B22" s="4" t="s">
        <v>5</v>
      </c>
      <c r="C22" s="2" t="s">
        <v>52</v>
      </c>
      <c r="D22" s="8"/>
      <c r="E22" s="5">
        <f>IF(C22=$M$3,(D22+1)*$N$3,IF(C22=$M$7,(D22+1)*$N$7,IF(C22=$M$8,(D22+1)*$N$8,IF(C22=$M$9,(D22+1)*$N$9,IF(C22=$M$10,(D22+1)*$N$10,IF(C22=$M$11,(D22+1)*$N$11,IF(C22=$M$12,(D22+1)*$N$12,IF(C22=$M$13,(D22+1)*$N$13,IF(C22=$M$14,(D22+1)*$N$14)))))))))</f>
        <v>5.8319999999999997E-2</v>
      </c>
      <c r="G22" s="4" t="s">
        <v>5</v>
      </c>
      <c r="H22" s="2" t="s">
        <v>37</v>
      </c>
      <c r="I22" s="8">
        <v>1</v>
      </c>
      <c r="J22" s="5">
        <f>IF(H22=$M$3,(I22+1)*$N$3,IF(H22=$M$7,(I22+1)*$N$7,IF(H22=$M$8,(I22+1)*$N$8,IF(H22=$M$9,(I22+1)*$N$9,IF(H22=$M$10,(I22+1)*$N$10,IF(H22=$M$11,(I22+1)*$N$11,IF(H22=$M$12,(I22+1)*$N$12,IF(H22=$M$13,(I22+1)*$N$13,IF(H22=$M$14,(I22+1)*$N$14)))))))))</f>
        <v>4.5999999999999996</v>
      </c>
      <c r="U22" s="1"/>
      <c r="V22" s="1"/>
      <c r="W22" s="1"/>
      <c r="X22" s="1"/>
    </row>
    <row r="23" spans="2:24" x14ac:dyDescent="0.3">
      <c r="B23" s="4" t="s">
        <v>6</v>
      </c>
      <c r="C23" s="2" t="s">
        <v>47</v>
      </c>
      <c r="D23" s="8"/>
      <c r="E23" s="5">
        <f t="shared" ref="E23:E25" si="8">IF(C23=$M$3,(D23+1)*$N$3,IF(C23=$M$7,(D23+1)*$N$7,IF(C23=$M$8,(D23+1)*$N$8,IF(C23=$M$9,(D23+1)*$N$9,IF(C23=$M$10,(D23+1)*$N$10,IF(C23=$M$11,(D23+1)*$N$11,IF(C23=$M$12,(D23+1)*$N$12,IF(C23=$M$13,(D23+1)*$N$13,IF(C23=$M$14,(D23+1)*$N$14)))))))))</f>
        <v>3.8879999999999998E-2</v>
      </c>
      <c r="G23" s="4" t="s">
        <v>6</v>
      </c>
      <c r="H23" s="2" t="s">
        <v>51</v>
      </c>
      <c r="I23" s="8"/>
      <c r="J23" s="5">
        <f t="shared" ref="J23:J25" si="9">IF(H23=$M$3,(I23+1)*$N$3,IF(H23=$M$7,(I23+1)*$N$7,IF(H23=$M$8,(I23+1)*$N$8,IF(H23=$M$9,(I23+1)*$N$9,IF(H23=$M$10,(I23+1)*$N$10,IF(H23=$M$11,(I23+1)*$N$11,IF(H23=$M$12,(I23+1)*$N$12,IF(H23=$M$13,(I23+1)*$N$13,IF(H23=$M$14,(I23+1)*$N$14)))))))))</f>
        <v>5.8319999999999997E-2</v>
      </c>
    </row>
    <row r="24" spans="2:24" x14ac:dyDescent="0.3">
      <c r="B24" s="4" t="s">
        <v>7</v>
      </c>
      <c r="C24" s="2" t="s">
        <v>48</v>
      </c>
      <c r="D24" s="8">
        <v>2</v>
      </c>
      <c r="E24" s="5">
        <f t="shared" si="8"/>
        <v>8.7480000000000002E-2</v>
      </c>
      <c r="G24" s="4" t="s">
        <v>7</v>
      </c>
      <c r="H24" s="2" t="s">
        <v>48</v>
      </c>
      <c r="I24" s="8">
        <v>2</v>
      </c>
      <c r="J24" s="5">
        <f t="shared" si="9"/>
        <v>8.7480000000000002E-2</v>
      </c>
      <c r="Q24" s="1"/>
      <c r="R24" s="1"/>
      <c r="S24" s="1"/>
    </row>
    <row r="25" spans="2:24" ht="15" thickBot="1" x14ac:dyDescent="0.35">
      <c r="B25" s="6" t="s">
        <v>8</v>
      </c>
      <c r="C25" s="7" t="s">
        <v>49</v>
      </c>
      <c r="D25" s="9">
        <v>3</v>
      </c>
      <c r="E25" s="5">
        <f t="shared" si="8"/>
        <v>0.23327999999999999</v>
      </c>
      <c r="G25" s="6" t="s">
        <v>8</v>
      </c>
      <c r="H25" s="7" t="s">
        <v>49</v>
      </c>
      <c r="I25" s="9">
        <v>2</v>
      </c>
      <c r="J25" s="5">
        <f t="shared" si="9"/>
        <v>0.17496</v>
      </c>
      <c r="Q25" s="1"/>
      <c r="R25" s="1"/>
      <c r="S25" s="1"/>
    </row>
    <row r="26" spans="2:24" x14ac:dyDescent="0.3">
      <c r="Q26" s="1"/>
      <c r="R26" s="1"/>
      <c r="S26" s="1"/>
    </row>
    <row r="27" spans="2:24" x14ac:dyDescent="0.3">
      <c r="Q27" s="1"/>
      <c r="R27" s="1"/>
      <c r="S27" s="1"/>
    </row>
    <row r="28" spans="2:24" x14ac:dyDescent="0.3">
      <c r="Q28" s="1"/>
      <c r="R28" s="1"/>
      <c r="S28" s="1"/>
    </row>
    <row r="29" spans="2:24" x14ac:dyDescent="0.3">
      <c r="Q29" s="1"/>
      <c r="R29" s="1"/>
      <c r="S29" s="1"/>
    </row>
    <row r="30" spans="2:24" x14ac:dyDescent="0.3">
      <c r="Q30" s="1"/>
      <c r="R30" s="1"/>
      <c r="S30" s="1"/>
    </row>
    <row r="31" spans="2:24" x14ac:dyDescent="0.3">
      <c r="Q31" s="1"/>
      <c r="R31" s="1"/>
      <c r="S31" s="1"/>
    </row>
  </sheetData>
  <mergeCells count="6">
    <mergeCell ref="B2:E2"/>
    <mergeCell ref="B8:E8"/>
    <mergeCell ref="B14:E14"/>
    <mergeCell ref="G14:J14"/>
    <mergeCell ref="B20:E20"/>
    <mergeCell ref="G20:J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2025-03-03T16:03:26Z</dcterms:modified>
</cp:coreProperties>
</file>